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4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clcltd-my.sharepoint.com/personal/twcec-od-sys-all_continental-engineering_com/Documents/TH60A/60.02會計/60.02.05預算/2027年/02 BIM/01 BIM預算報表/"/>
    </mc:Choice>
  </mc:AlternateContent>
  <xr:revisionPtr revIDLastSave="650" documentId="8_{F25D02C4-6C31-45B5-9FE5-1B93AB2EA490}" xr6:coauthVersionLast="47" xr6:coauthVersionMax="47" xr10:uidLastSave="{085C741C-1457-4D73-BADF-6BED32FED969}"/>
  <bookViews>
    <workbookView xWindow="-28920" yWindow="-1410" windowWidth="29040" windowHeight="15720" tabRatio="807" firstSheet="1" activeTab="5" xr2:uid="{00000000-000D-0000-FFFF-FFFF00000000}"/>
  </bookViews>
  <sheets>
    <sheet name="調整說明" sheetId="1" state="hidden" r:id="rId1"/>
    <sheet name="BS2_WIP" sheetId="2" r:id="rId2"/>
    <sheet name="Over Under Bill 1 COPY 到CO欄位" sheetId="3" r:id="rId3"/>
    <sheet name="WIP-IPC_月" sheetId="4" r:id="rId4"/>
    <sheet name="Over Under Bill 2" sheetId="5" r:id="rId5"/>
    <sheet name="A0 BS 1240在建" sheetId="6" r:id="rId6"/>
    <sheet name="B0 2264預收" sheetId="7" r:id="rId7"/>
    <sheet name="計價收入預算" sheetId="12" r:id="rId8"/>
    <sheet name="預算A1 BIM" sheetId="14" r:id="rId9"/>
    <sheet name="202608收入成本表" sheetId="10" r:id="rId10"/>
    <sheet name="分月預算(完比)" sheetId="13" r:id="rId11"/>
    <sheet name="2026FCST%" sheetId="15" r:id="rId12"/>
    <sheet name="202609-202712-2031完比法各月收入彙總" sheetId="16" r:id="rId13"/>
    <sheet name="SAP累計至20260831收入實際數" sheetId="17" r:id="rId14"/>
    <sheet name="A3 22 FCST" sheetId="8" state="hidden" r:id="rId15"/>
    <sheet name="A4 23 FCST" sheetId="9" state="hidden" r:id="rId16"/>
  </sheets>
  <externalReferences>
    <externalReference r:id="rId17"/>
    <externalReference r:id="rId18"/>
  </externalReferences>
  <definedNames>
    <definedName name="\" hidden="1">{#N/A,#N/A,FALSE,"MODULE3"}</definedName>
    <definedName name="_______________________________________________bb1" hidden="1">{"'Bill No. 7'!$A$1:$G$32"}</definedName>
    <definedName name="_____________________________________________121" hidden="1">{"'Bill No. 7'!$A$1:$G$32"}</definedName>
    <definedName name="_____________________________________________bb1" hidden="1">{"'Bill No. 7'!$A$1:$G$32"}</definedName>
    <definedName name="___________________________________________bb1" hidden="1">{"'Bill No. 7'!$A$1:$G$32"}</definedName>
    <definedName name="_________________________________________bb1" hidden="1">{"'Bill No. 7'!$A$1:$G$32"}</definedName>
    <definedName name="_______________________________________bb1" hidden="1">{"'Bill No. 7'!$A$1:$G$32"}</definedName>
    <definedName name="_____________________________________bb1" hidden="1">{"'Bill No. 7'!$A$1:$G$32"}</definedName>
    <definedName name="___________________________________bb1" hidden="1">{"'Bill No. 7'!$A$1:$G$32"}</definedName>
    <definedName name="_________________________________bb1" hidden="1">{"'Bill No. 7'!$A$1:$G$32"}</definedName>
    <definedName name="_______________________________bb1" hidden="1">{"'Bill No. 7'!$A$1:$G$32"}</definedName>
    <definedName name="_____________________________bb1" hidden="1">{"'Bill No. 7'!$A$1:$G$32"}</definedName>
    <definedName name="___________________________bb1" hidden="1">{"'Bill No. 7'!$A$1:$G$32"}</definedName>
    <definedName name="_________________________bb1" hidden="1">{"'Bill No. 7'!$A$1:$G$32"}</definedName>
    <definedName name="_______________________bb1" hidden="1">{"'Bill No. 7'!$A$1:$G$32"}</definedName>
    <definedName name="_______________________SK1" hidden="1">{"ss",#N/A,FALSE,"MODULE3"}</definedName>
    <definedName name="_______________________WN7" hidden="1">{#N/A,#N/A,FALSE,"MODULE3"}</definedName>
    <definedName name="______________________key2" hidden="1">#REF!</definedName>
    <definedName name="______________________SK1" hidden="1">{"ss",#N/A,FALSE,"MODULE3"}</definedName>
    <definedName name="______________________WN7" hidden="1">{#N/A,#N/A,FALSE,"MODULE3"}</definedName>
    <definedName name="_____________________a1" hidden="1">#REF!</definedName>
    <definedName name="_____________________bb1" hidden="1">{"'Bill No. 7'!$A$1:$G$32"}</definedName>
    <definedName name="_____________________key2" hidden="1">#REF!</definedName>
    <definedName name="_____________________SK1" hidden="1">{"ss",#N/A,FALSE,"MODULE3"}</definedName>
    <definedName name="_____________________WN7" hidden="1">{#N/A,#N/A,FALSE,"MODULE3"}</definedName>
    <definedName name="____________________a1" hidden="1">#REF!</definedName>
    <definedName name="____________________key2" hidden="1">#REF!</definedName>
    <definedName name="____________________SK1" hidden="1">{"ss",#N/A,FALSE,"MODULE3"}</definedName>
    <definedName name="____________________WN7" hidden="1">{#N/A,#N/A,FALSE,"MODULE3"}</definedName>
    <definedName name="___________________a1" hidden="1">#REF!</definedName>
    <definedName name="___________________bb1" hidden="1">{"'Bill No. 7'!$A$1:$G$32"}</definedName>
    <definedName name="___________________key2" hidden="1">#REF!</definedName>
    <definedName name="___________________SK1" hidden="1">{"ss",#N/A,FALSE,"MODULE3"}</definedName>
    <definedName name="___________________WN7" hidden="1">{#N/A,#N/A,FALSE,"MODULE3"}</definedName>
    <definedName name="__________________a1" hidden="1">#REF!</definedName>
    <definedName name="__________________bb1" hidden="1">{"'Bill No. 7'!$A$1:$G$32"}</definedName>
    <definedName name="__________________key2" hidden="1">#REF!</definedName>
    <definedName name="__________________SK1" hidden="1">{"ss",#N/A,FALSE,"MODULE3"}</definedName>
    <definedName name="__________________WN7" hidden="1">{#N/A,#N/A,FALSE,"MODULE3"}</definedName>
    <definedName name="_________________a1" hidden="1">#REF!</definedName>
    <definedName name="_________________key2" hidden="1">#REF!</definedName>
    <definedName name="_________________SK1" hidden="1">{"ss",#N/A,FALSE,"MODULE3"}</definedName>
    <definedName name="_________________WN7" hidden="1">{#N/A,#N/A,FALSE,"MODULE3"}</definedName>
    <definedName name="________________a1" hidden="1">#REF!</definedName>
    <definedName name="________________bb1" hidden="1">{"'Bill No. 7'!$A$1:$G$32"}</definedName>
    <definedName name="________________key2" hidden="1">#REF!</definedName>
    <definedName name="________________SK1" hidden="1">{"ss",#N/A,FALSE,"MODULE3"}</definedName>
    <definedName name="________________WN7" hidden="1">{#N/A,#N/A,FALSE,"MODULE3"}</definedName>
    <definedName name="_______________a1" hidden="1">#REF!</definedName>
    <definedName name="_______________bb1" hidden="1">{"'Bill No. 7'!$A$1:$G$32"}</definedName>
    <definedName name="_______________key2" hidden="1">#REF!</definedName>
    <definedName name="_______________SK1" hidden="1">{"ss",#N/A,FALSE,"MODULE3"}</definedName>
    <definedName name="_______________WN7" hidden="1">{#N/A,#N/A,FALSE,"MODULE3"}</definedName>
    <definedName name="______________a1" hidden="1">#REF!</definedName>
    <definedName name="______________bb1" hidden="1">{"'Bill No. 7'!$A$1:$G$32"}</definedName>
    <definedName name="______________key2" hidden="1">#REF!</definedName>
    <definedName name="______________SK1" hidden="1">{"ss",#N/A,FALSE,"MODULE3"}</definedName>
    <definedName name="______________WN7" hidden="1">{#N/A,#N/A,FALSE,"MODULE3"}</definedName>
    <definedName name="_____________a1" hidden="1">#REF!</definedName>
    <definedName name="_____________bb1" hidden="1">{"'Bill No. 7'!$A$1:$G$32"}</definedName>
    <definedName name="_____________key2" hidden="1">#REF!</definedName>
    <definedName name="_____________SK1" hidden="1">{"ss",#N/A,FALSE,"MODULE3"}</definedName>
    <definedName name="_____________WN7" hidden="1">{#N/A,#N/A,FALSE,"MODULE3"}</definedName>
    <definedName name="____________a1" hidden="1">#REF!</definedName>
    <definedName name="____________bb1" hidden="1">{"'Bill No. 7'!$A$1:$G$32"}</definedName>
    <definedName name="____________key2" hidden="1">#REF!</definedName>
    <definedName name="____________SK1" hidden="1">{"ss",#N/A,FALSE,"MODULE3"}</definedName>
    <definedName name="____________WN7" hidden="1">{#N/A,#N/A,FALSE,"MODULE3"}</definedName>
    <definedName name="___________a1" hidden="1">#REF!</definedName>
    <definedName name="___________bb1" hidden="1">{"'Bill No. 7'!$A$1:$G$32"}</definedName>
    <definedName name="___________key2" hidden="1">#REF!</definedName>
    <definedName name="___________SK1" hidden="1">{"ss",#N/A,FALSE,"MODULE3"}</definedName>
    <definedName name="___________WN7" hidden="1">{#N/A,#N/A,FALSE,"MODULE3"}</definedName>
    <definedName name="__________a1" hidden="1">#REF!</definedName>
    <definedName name="__________bb1" hidden="1">{"'Bill No. 7'!$A$1:$G$32"}</definedName>
    <definedName name="__________key2" hidden="1">#REF!</definedName>
    <definedName name="__________SK1" hidden="1">{"ss",#N/A,FALSE,"MODULE3"}</definedName>
    <definedName name="__________WN7" hidden="1">{#N/A,#N/A,FALSE,"MODULE3"}</definedName>
    <definedName name="_________a1" hidden="1">#REF!</definedName>
    <definedName name="_________bb1" hidden="1">{"'Bill No. 7'!$A$1:$G$32"}</definedName>
    <definedName name="_________jpl1" hidden="1">#REF!</definedName>
    <definedName name="_________key2" hidden="1">#REF!</definedName>
    <definedName name="_________SK1" hidden="1">{"ss",#N/A,FALSE,"MODULE3"}</definedName>
    <definedName name="_________WN7" hidden="1">{#N/A,#N/A,FALSE,"MODULE3"}</definedName>
    <definedName name="________a1" hidden="1">#REF!</definedName>
    <definedName name="________bb1" hidden="1">{"'Bill No. 7'!$A$1:$G$32"}</definedName>
    <definedName name="________jpl1" hidden="1">#REF!</definedName>
    <definedName name="________key2" hidden="1">#REF!</definedName>
    <definedName name="________SK1" hidden="1">{"ss",#N/A,FALSE,"MODULE3"}</definedName>
    <definedName name="________WN7" hidden="1">{#N/A,#N/A,FALSE,"MODULE3"}</definedName>
    <definedName name="_______a1" hidden="1">#REF!</definedName>
    <definedName name="_______bb1" hidden="1">{"'Bill No. 7'!$A$1:$G$32"}</definedName>
    <definedName name="_______jpl1" hidden="1">#REF!</definedName>
    <definedName name="_______key2" hidden="1">#REF!</definedName>
    <definedName name="_______SK1" hidden="1">{"ss",#N/A,FALSE,"MODULE3"}</definedName>
    <definedName name="_______WN7" hidden="1">{#N/A,#N/A,FALSE,"MODULE3"}</definedName>
    <definedName name="______a1" hidden="1">#REF!</definedName>
    <definedName name="__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__bb1" hidden="1">{"'Bill No. 7'!$A$1:$G$32"}</definedName>
    <definedName name="______jpl1" hidden="1">#REF!</definedName>
    <definedName name="______key123" hidden="1">#REF!</definedName>
    <definedName name="______key2" hidden="1">#REF!</definedName>
    <definedName name="______SK1" hidden="1">{"ss",#N/A,FALSE,"MODULE3"}</definedName>
    <definedName name="______WN7" hidden="1">{#N/A,#N/A,FALSE,"MODULE3"}</definedName>
    <definedName name="_____a1" hidden="1">#REF!</definedName>
    <definedName name="_____bb1" hidden="1">{"'Bill No. 7'!$A$1:$G$32"}</definedName>
    <definedName name="_____jpl1" hidden="1">#REF!</definedName>
    <definedName name="_____key123" hidden="1">#REF!</definedName>
    <definedName name="_____key2" hidden="1">#REF!</definedName>
    <definedName name="_____SK1" hidden="1">{"ss",#N/A,FALSE,"MODULE3"}</definedName>
    <definedName name="_____WN7" hidden="1">{#N/A,#N/A,FALSE,"MODULE3"}</definedName>
    <definedName name="____a1" hidden="1">#REF!</definedName>
    <definedName name="_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_bb1" hidden="1">{"'Bill No. 7'!$A$1:$G$32"}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pl1" hidden="1">#REF!</definedName>
    <definedName name="____key123" hidden="1">#REF!</definedName>
    <definedName name="____key2" hidden="1">#REF!</definedName>
    <definedName name="____med2" hidden="1">{"ES_Medicoes_pt",#N/A,TRUE,"A - Estrutura";"AG_Medicoes_pt",#N/A,TRUE,"C - Rede de Agua";"EG_Medicoes_pt",#N/A,TRUE,"D - Rede de Drenagem"}</definedName>
    <definedName name="____SK1" hidden="1">{"ss",#N/A,FALSE,"MODULE3"}</definedName>
    <definedName name="____SSS1" hidden="1">{"'Bill No. 7'!$A$1:$G$32"}</definedName>
    <definedName name="____tu2" hidden="1">{"ES_Medicoes_pt",#N/A,TRUE,"A - Estrutura";"AG_Medicoes_pt",#N/A,TRUE,"C - Rede de Agua";"EG_Medicoes_pt",#N/A,TRUE,"D - Rede de Drenagem"}</definedName>
    <definedName name="____WN7" hidden="1">{#N/A,#N/A,FALSE,"MODULE3"}</definedName>
    <definedName name="___a1" hidden="1">#REF!</definedName>
    <definedName name="_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_bb1" hidden="1">{"'Bill No. 7'!$A$1:$G$32"}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pl1" hidden="1">#REF!</definedName>
    <definedName name="___key123" hidden="1">#REF!</definedName>
    <definedName name="___key2" hidden="1">#REF!</definedName>
    <definedName name="___med2" hidden="1">{"ES_Medicoes_pt",#N/A,TRUE,"A - Estrutura";"AG_Medicoes_pt",#N/A,TRUE,"C - Rede de Agua";"EG_Medicoes_pt",#N/A,TRUE,"D - Rede de Drenagem"}</definedName>
    <definedName name="___SK1" hidden="1">{"ss",#N/A,FALSE,"MODULE3"}</definedName>
    <definedName name="___SSS1" hidden="1">{"'Bill No. 7'!$A$1:$G$32"}</definedName>
    <definedName name="___tu2" hidden="1">{"ES_Medicoes_pt",#N/A,TRUE,"A - Estrutura";"AG_Medicoes_pt",#N/A,TRUE,"C - Rede de Agua";"EG_Medicoes_pt",#N/A,TRUE,"D - Rede de Drenagem"}</definedName>
    <definedName name="___WN7" hidden="1">{#N/A,#N/A,FALSE,"MODULE3"}</definedName>
    <definedName name="__123Graph_A" hidden="1">#REF!</definedName>
    <definedName name="__123Graph_ACURRENT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1" hidden="1">#REF!</definedName>
    <definedName name="_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_bb1" hidden="1">{"'Bill No. 7'!$A$1:$G$32"}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pl1" hidden="1">#REF!</definedName>
    <definedName name="__key123" hidden="1">#REF!</definedName>
    <definedName name="__key2" hidden="1">#REF!</definedName>
    <definedName name="__med2" hidden="1">{"ES_Medicoes_pt",#N/A,TRUE,"A - Estrutura";"AG_Medicoes_pt",#N/A,TRUE,"C - Rede de Agua";"EG_Medicoes_pt",#N/A,TRUE,"D - Rede de Drenagem"}</definedName>
    <definedName name="__pl1" hidden="1">{"PLANT BREAKUP",#N/A,FALSE,"E"}</definedName>
    <definedName name="__SSS1" hidden="1">{"'Bill No. 7'!$A$1:$G$32"}</definedName>
    <definedName name="__tu2" hidden="1">{"ES_Medicoes_pt",#N/A,TRUE,"A - Estrutura";"AG_Medicoes_pt",#N/A,TRUE,"C - Rede de Agua";"EG_Medicoes_pt",#N/A,TRUE,"D - Rede de Drenagem"}</definedName>
    <definedName name="__WN7" hidden="1">{#N/A,#N/A,FALSE,"MODULE3"}</definedName>
    <definedName name="_1" hidden="1">#REF!</definedName>
    <definedName name="_1______0_S" hidden="1">#REF!</definedName>
    <definedName name="_11" hidden="1">#REF!</definedName>
    <definedName name="_11a1_" hidden="1">#REF!</definedName>
    <definedName name="_12____0_S" hidden="1">#REF!</definedName>
    <definedName name="_12___0_S" hidden="1">#REF!</definedName>
    <definedName name="_123graph_p" hidden="1">#REF!</definedName>
    <definedName name="_16_____S" hidden="1">#REF!</definedName>
    <definedName name="_19___0_S" hidden="1">#REF!</definedName>
    <definedName name="_2_____0_S" hidden="1">#REF!</definedName>
    <definedName name="_23S" hidden="1">#REF!</definedName>
    <definedName name="_26_0_S" hidden="1">#REF!</definedName>
    <definedName name="_27_0_S" hidden="1">#REF!</definedName>
    <definedName name="_28_0_S" hidden="1">#REF!</definedName>
    <definedName name="_29_0_S" hidden="1">#REF!</definedName>
    <definedName name="_2bb1_" hidden="1">{"'Bill No. 7'!$A$1:$G$32"}</definedName>
    <definedName name="_3______0_S" hidden="1">#REF!</definedName>
    <definedName name="_3____0_S" hidden="1">#REF!</definedName>
    <definedName name="_33a1_" hidden="1">#REF!</definedName>
    <definedName name="_3bb1_" hidden="1">{"'Bill No. 7'!$A$1:$G$32"}</definedName>
    <definedName name="_4______0_S" hidden="1">#REF!</definedName>
    <definedName name="_4_____S" hidden="1">#REF!</definedName>
    <definedName name="_40_0_S" hidden="1">#REF!</definedName>
    <definedName name="_41_0_S" hidden="1">#REF!</definedName>
    <definedName name="_42_0_S" hidden="1">#REF!</definedName>
    <definedName name="_47a1_" hidden="1">#REF!</definedName>
    <definedName name="_5___0_S" hidden="1">#REF!</definedName>
    <definedName name="_6_____0_S" hidden="1">#REF!</definedName>
    <definedName name="_6S" hidden="1">#REF!</definedName>
    <definedName name="_8_____0_S" hidden="1">#REF!</definedName>
    <definedName name="_9____0_S" hidden="1">#REF!</definedName>
    <definedName name="_9_0_S" hidden="1">#REF!</definedName>
    <definedName name="_a1" hidden="1">#REF!</definedName>
    <definedName name="_aa1" hidden="1">{"'Bill No. 7'!$A$1:$G$32"}</definedName>
    <definedName name="_AAA3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_AtRisk_SimSetting_AutomaticallyGenerateReports" hidden="1">FALSE()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TRUE()</definedName>
    <definedName name="_AtRisk_SimSetting_ConvergencePerformPercentileTest" hidden="1">FALSE()</definedName>
    <definedName name="_AtRisk_SimSetting_ConvergencePerformStdDeviationTest" hidden="1">FALSE()</definedName>
    <definedName name="_AtRisk_SimSetting_ConvergenceTestAllOutputs" hidden="1">TRUE()</definedName>
    <definedName name="_AtRisk_SimSetting_ConvergenceTestingPeriod" hidden="1">100</definedName>
    <definedName name="_AtRisk_SimSetting_ConvergenceTolerance" hidden="1">0.03</definedName>
    <definedName name="_AtRisk_SimSetting_LiveUpdate" hidden="1">TRUE()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TRUE()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1" hidden="1">{"'Bill No. 7'!$A$1:$G$32"}</definedName>
    <definedName name="_boq1" hidden="1">{"form-D1",#N/A,FALSE,"FORM-D1";"form-D1_amt",#N/A,FALSE,"FORM-D1"}</definedName>
    <definedName name="_boq2" hidden="1">{"form-D1",#N/A,FALSE,"FORM-D1";"form-D1_amt",#N/A,FALSE,"FORM-D1"}</definedName>
    <definedName name="_boq3" hidden="1">{"form-D1",#N/A,FALSE,"FORM-D1";"form-D1_amt",#N/A,FALSE,"FORM-D1"}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ist_Values" hidden="1">#REF!</definedName>
    <definedName name="_Fill" hidden="1">#REF!</definedName>
    <definedName name="_Fill1" hidden="1">#REF!</definedName>
    <definedName name="_xlnm._FilterDatabase" localSheetId="5" hidden="1">'A0 BS 1240在建'!$D$1:$D$249</definedName>
    <definedName name="_xlnm._FilterDatabase" localSheetId="6" hidden="1">'B0 2264預收'!$B$1:$B$236</definedName>
    <definedName name="_xlnm._FilterDatabase" localSheetId="1" hidden="1">BS2_WIP!$A$1:$A$142</definedName>
    <definedName name="_xlnm._FilterDatabase" hidden="1">#REF!</definedName>
    <definedName name="_jpl1" hidden="1">#REF!</definedName>
    <definedName name="_k3" hidden="1">{"form-D1",#N/A,FALSE,"FORM-D1";"form-D1_amt",#N/A,FALSE,"FORM-D1"}</definedName>
    <definedName name="_Key1" hidden="1">#REF!</definedName>
    <definedName name="_key123" hidden="1">#REF!</definedName>
    <definedName name="_Key2" hidden="1">#REF!</definedName>
    <definedName name="_KEY3" hidden="1">#REF!</definedName>
    <definedName name="_mas23" hidden="1">{"'Sheet1'!$A$4386:$N$4591"}</definedName>
    <definedName name="_med2" hidden="1">{"ES_Medicoes_pt",#N/A,TRUE,"A - Estrutura";"AG_Medicoes_pt",#N/A,TRUE,"C - Rede de Agua";"EG_Medicoes_pt",#N/A,TRUE,"D - Rede de Drenagem"}</definedName>
    <definedName name="_N" hidden="1">{#N/A,#N/A,FALSE,"MODULE3"}</definedName>
    <definedName name="_Order1" hidden="1">255</definedName>
    <definedName name="_Order1_1" hidden="1">1</definedName>
    <definedName name="_Order2" hidden="1">255</definedName>
    <definedName name="_Parse_Out" hidden="1">#REF!</definedName>
    <definedName name="_Parse_Out_2" hidden="1">#REF!</definedName>
    <definedName name="_pl1" hidden="1">{"PLANT BREAKUP",#N/A,FALSE,"E"}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41" hidden="1">{"form-D1",#N/A,FALSE,"FORM-D1";"form-D1_amt",#N/A,FALSE,"FORM-D1"}</definedName>
    <definedName name="_Sort" hidden="1">#REF!</definedName>
    <definedName name="_SSS1" hidden="1">{"'Bill No. 7'!$A$1:$G$32"}</definedName>
    <definedName name="_Table1_In1" hidden="1">#REF!</definedName>
    <definedName name="_Table1_Out" hidden="1">#REF!</definedName>
    <definedName name="_TC2" hidden="1">{"form-D1",#N/A,FALSE,"FORM-D1";"form-D1_amt",#N/A,FALSE,"FORM-D1"}</definedName>
    <definedName name="_tu2" hidden="1">{"ES_Medicoes_pt",#N/A,TRUE,"A - Estrutura";"AG_Medicoes_pt",#N/A,TRUE,"C - Rede de Agua";"EG_Medicoes_pt",#N/A,TRUE,"D - Rede de Drenagem"}</definedName>
    <definedName name="_WN7" hidden="1">{#N/A,#N/A,FALSE,"MODULE3"}</definedName>
    <definedName name="_wrn2" hidden="1">{"form-D1",#N/A,FALSE,"FORM-D1";"form-D1_amt",#N/A,FALSE,"FORM-D1"}</definedName>
    <definedName name="・・・" hidden="1">#REF!</definedName>
    <definedName name="AAAA2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aaaaaaaaaaaaaa" hidden="1">{"form-D1",#N/A,FALSE,"FORM-D1";"form-D1_amt",#N/A,FALSE,"FORM-D1"}</definedName>
    <definedName name="aarvee" hidden="1">{"PLANNING",#N/A,FALSE,"A"}</definedName>
    <definedName name="AAwrn.med" hidden="1">{"ES_Medicoes_pt",#N/A,TRUE,"A - Estrutura";"AG_Medicoes_pt",#N/A,TRUE,"C - Rede de Agua";"EG_Medicoes_pt",#N/A,TRUE,"D - Rede de Drenagem"}</definedName>
    <definedName name="AAwrn.Medicoes." hidden="1">{"ES_Medicoes_pt",#N/A,TRUE,"A - Estrutura";"AG_Medicoes_pt",#N/A,TRUE,"C - Rede de Agua";"EG_Medicoes_pt",#N/A,TRUE,"D - Rede de Drenagem"}</definedName>
    <definedName name="abcd" hidden="1">#REF!</definedName>
    <definedName name="abcde" hidden="1">#REF!</definedName>
    <definedName name="abp" hidden="1">{"form-D1",#N/A,FALSE,"FORM-D1";"form-D1_amt",#N/A,FALSE,"FORM-D1"}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cessDatabase" hidden="1">"C:\My Documents\MRTA\COST\VO\BS\L_subway.mdb"</definedName>
    <definedName name="ad" hidden="1">#REF!</definedName>
    <definedName name="adadad" hidden="1">{"'Bill No. 7'!$A$1:$G$32"}</definedName>
    <definedName name="adas" hidden="1">{"'Bill No. 7'!$A$1:$G$32"}</definedName>
    <definedName name="ADITION" hidden="1">{"'장비'!$A$3:$M$12"}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jslk" hidden="1">{"form-D1",#N/A,FALSE,"FORM-D1";"form-D1_amt",#N/A,FALSE,"FORM-D1"}</definedName>
    <definedName name="aksj" hidden="1">{"form-D1",#N/A,FALSE,"FORM-D1";"form-D1_amt",#N/A,FALSE,"FORM-D1"}</definedName>
    <definedName name="anp" hidden="1">{#N/A,#N/A,FALSE,"MODULE3"}</definedName>
    <definedName name="anscount" hidden="1">1</definedName>
    <definedName name="apk" hidden="1">{"form-D1",#N/A,FALSE,"FORM-D1";"form-D1_amt",#N/A,FALSE,"FORM-D1"}</definedName>
    <definedName name="app" hidden="1">#REF!</definedName>
    <definedName name="APR" hidden="1">{#N/A,#N/A,FALSE,"MODULE3"}</definedName>
    <definedName name="Arao" hidden="1">{"'Sheet1'!$A$4386:$N$4591"}</definedName>
    <definedName name="asas" hidden="1">{#N/A,#N/A,FALSE,"MODULE3"}</definedName>
    <definedName name="asdasd" hidden="1">{"ss",#N/A,FALSE,"MODULE3"}</definedName>
    <definedName name="asdffafafafa" hidden="1">{"'Bill No. 7'!$A$1:$G$32"}</definedName>
    <definedName name="asjk" hidden="1">{"form-D1",#N/A,FALSE,"FORM-D1";"form-D1_amt",#N/A,FALSE,"FORM-D1"}</definedName>
    <definedName name="ASSUM" hidden="1">{#N/A,#N/A,FALSE,"MODULE3"}</definedName>
    <definedName name="Awrn.med" hidden="1">{"ES_Medicoes_pt",#N/A,TRUE,"A - Estrutura";"AG_Medicoes_pt",#N/A,TRUE,"C - Rede de Agua";"EG_Medicoes_pt",#N/A,TRUE,"D - Rede de Drenagem"}</definedName>
    <definedName name="Awrn.Medicoes." hidden="1">{"ES_Medicoes_pt",#N/A,TRUE,"A - Estrutura";"AG_Medicoes_pt",#N/A,TRUE,"C - Rede de Agua";"EG_Medicoes_pt",#N/A,TRUE,"D - Rede de Drenagem"}</definedName>
    <definedName name="ay" hidden="1">#REF!</definedName>
    <definedName name="b." hidden="1">{"'Bill No. 7'!$A$1:$G$32"}</definedName>
    <definedName name="bb" hidden="1">{"'Bill No. 7'!$A$1:$G$32"}</definedName>
    <definedName name="BC" hidden="1">#REF!</definedName>
    <definedName name="BD" hidden="1">#REF!</definedName>
    <definedName name="BE" hidden="1">#REF!</definedName>
    <definedName name="Bellary" hidden="1">#REF!</definedName>
    <definedName name="BF" hidden="1">#REF!</definedName>
    <definedName name="BG" hidden="1">#REF!</definedName>
    <definedName name="BGH" hidden="1">{#N/A,#N/A,FALSE,"MODULE3"}</definedName>
    <definedName name="BH" hidden="1">#REF!</definedName>
    <definedName name="bhanu" hidden="1">{"form-D1",#N/A,FALSE,"FORM-D1";"form-D1_amt",#N/A,FALSE,"FORM-D1"}</definedName>
    <definedName name="BJ" hidden="1">#REF!</definedName>
    <definedName name="BlockB" hidden="1">{#N/A,#N/A,FALSE,"Expenses";#N/A,#N/A,FALSE,"Expenses"}</definedName>
    <definedName name="bo" hidden="1">{"form-D1",#N/A,FALSE,"FORM-D1";"form-D1_amt",#N/A,FALSE,"FORM-D1"}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ANDO" hidden="1">#REF!</definedName>
    <definedName name="Brdg3" hidden="1">#REF!</definedName>
    <definedName name="Budget" hidden="1">{"'bar'!$A$1:$AQ$33","'bar'!$A$10:$B$10"}</definedName>
    <definedName name="Building12" hidden="1">{#N/A,#N/A,FALSE,"Expenses";#N/A,#N/A,FALSE,"Expenses"}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S" hidden="1">{0}</definedName>
    <definedName name="ccss" hidden="1">{0}</definedName>
    <definedName name="ccwrn.med" hidden="1">{"ES_Medicoes_pt",#N/A,TRUE,"A - Estrutura";"AG_Medicoes_pt",#N/A,TRUE,"C - Rede de Agua";"EG_Medicoes_pt",#N/A,TRUE,"D - Rede de Drenagem"}</definedName>
    <definedName name="ccwrn.Medicoes." hidden="1">{"ES_Medicoes_pt",#N/A,TRUE,"A - Estrutura";"AG_Medicoes_pt",#N/A,TRUE,"C - Rede de Agua";"EG_Medicoes_pt",#N/A,TRUE,"D - Rede de Drenagem"}</definedName>
    <definedName name="cde" hidden="1">{"'Bill No. 7'!$A$1:$G$32"}</definedName>
    <definedName name="cflo" hidden="1">{"CASH FLOW",#N/A,FALSE,"A"}</definedName>
    <definedName name="cflow" hidden="1">{"CASH FLOW",#N/A,FALSE,"A"}</definedName>
    <definedName name="Cl.Preforma" hidden="1">{"Execavation",#N/A,FALSE,"furniture (employer)"}</definedName>
    <definedName name="CLAIMB" hidden="1">{"Execavation",#N/A,FALSE,"furniture (employer)"}</definedName>
    <definedName name="CLAIMSB" hidden="1">{"Execavation",#N/A,FALSE,"furniture (employer)"}</definedName>
    <definedName name="CLM" hidden="1">{"Execavation",#N/A,FALSE,"furniture (employer)"}</definedName>
    <definedName name="Comparision" hidden="1">{"'Sheet1'!$A$4386:$N$4591"}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2" hidden="1">{"CASH FLOW",#N/A,FALSE,"A"}</definedName>
    <definedName name="crsr" hidden="1">#REF!</definedName>
    <definedName name="crsr1" hidden="1">#REF!</definedName>
    <definedName name="crsr2" hidden="1">#REF!</definedName>
    <definedName name="crsr3" hidden="1">#REF!</definedName>
    <definedName name="cwrn.med" hidden="1">{"ES_Medicoes_pt",#N/A,TRUE,"A - Estrutura";"AG_Medicoes_pt",#N/A,TRUE,"C - Rede de Agua";"EG_Medicoes_pt",#N/A,TRUE,"D - Rede de Drenagem"}</definedName>
    <definedName name="cwrn.Medicoes." hidden="1">{"ES_Medicoes_pt",#N/A,TRUE,"A - Estrutura";"AG_Medicoes_pt",#N/A,TRUE,"C - Rede de Agua";"EG_Medicoes_pt",#N/A,TRUE,"D - Rede de Drenagem"}</definedName>
    <definedName name="dcdc" hidden="1">{"CASH FLOW",#N/A,FALSE,"A"}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{#N/A,#N/A,FALSE,"MODULE3"}</definedName>
    <definedName name="ddwrn.med" hidden="1">{"ES_Medicoes_pt",#N/A,TRUE,"A - Estrutura";"AG_Medicoes_pt",#N/A,TRUE,"C - Rede de Agua";"EG_Medicoes_pt",#N/A,TRUE,"D - Rede de Drenagem"}</definedName>
    <definedName name="ddwrn.Medicoes." hidden="1">{"ES_Medicoes_pt",#N/A,TRUE,"A - Estrutura";"AG_Medicoes_pt",#N/A,TRUE,"C - Rede de Agua";"EG_Medicoes_pt",#N/A,TRUE,"D - Rede de Drenagem"}</definedName>
    <definedName name="DEVI" hidden="1">{"'Sheet1'!$A$4386:$N$4591"}</definedName>
    <definedName name="df" hidden="1">{#N/A,#N/A,FALSE,"MODULE3"}</definedName>
    <definedName name="dfaf" hidden="1">{"'장비'!$A$3:$M$12"}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lo" hidden="1">{"CASH FLOW",#N/A,FALSE,"A"}</definedName>
    <definedName name="DFSDD" hidden="1">#REF!</definedName>
    <definedName name="dghkl" hidden="1">{"'Bill No. 7'!$A$1:$G$32"}</definedName>
    <definedName name="DHTML" hidden="1">{"'Sheet1'!$A$4386:$N$4591"}</definedName>
    <definedName name="din" hidden="1">{"CASH FLOW",#N/A,FALSE,"A"}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ko" hidden="1">#REF!</definedName>
    <definedName name="doko2" hidden="1">#REF!</definedName>
    <definedName name="dr" hidden="1">#REF!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fgsdf" hidden="1">{#N/A,#N/A,FALSE,"MODULE3"}</definedName>
    <definedName name="dwrn.med" hidden="1">{"ES_Medicoes_pt",#N/A,TRUE,"A - Estrutura";"AG_Medicoes_pt",#N/A,TRUE,"C - Rede de Agua";"EG_Medicoes_pt",#N/A,TRUE,"D - Rede de Drenagem"}</definedName>
    <definedName name="dwrn.Medicoes." hidden="1">{"ES_Medicoes_pt",#N/A,TRUE,"A - Estrutura";"AG_Medicoes_pt",#N/A,TRUE,"C - Rede de Agua";"EG_Medicoes_pt",#N/A,TRUE,"D - Rede de Drenagem"}</definedName>
    <definedName name="ee" hidden="1">#REF!</definedName>
    <definedName name="EEwrn.med" hidden="1">{"ES_Medicoes_pt",#N/A,TRUE,"A - Estrutura";"AG_Medicoes_pt",#N/A,TRUE,"C - Rede de Agua";"EG_Medicoes_pt",#N/A,TRUE,"D - Rede de Drenagem"}</definedName>
    <definedName name="EEwrn.Medicoes." hidden="1">{"ES_Medicoes_pt",#N/A,TRUE,"A - Estrutura";"AG_Medicoes_pt",#N/A,TRUE,"C - Rede de Agua";"EG_Medicoes_pt",#N/A,TRUE,"D - Rede de Drenagem"}</definedName>
    <definedName name="emb" hidden="1">{"Execavation",#N/A,FALSE,"furniture (employer)"}</definedName>
    <definedName name="estimate">'[1]01 收入底稿'!$B$4</definedName>
    <definedName name="eswar" hidden="1">{"'Bill No. 7'!$A$1:$G$32"}</definedName>
    <definedName name="ewq" hidden="1">#REF!</definedName>
    <definedName name="Ewrn.med" hidden="1">{"ES_Medicoes_pt",#N/A,TRUE,"A - Estrutura";"AG_Medicoes_pt",#N/A,TRUE,"C - Rede de Agua";"EG_Medicoes_pt",#N/A,TRUE,"D - Rede de Drenagem"}</definedName>
    <definedName name="Ewrn.Medicoes." hidden="1">{"ES_Medicoes_pt",#N/A,TRUE,"A - Estrutura";"AG_Medicoes_pt",#N/A,TRUE,"C - Rede de Agua";"EG_Medicoes_pt",#N/A,TRUE,"D - Rede de Drenagem"}</definedName>
    <definedName name="Except" hidden="1">#REF!</definedName>
    <definedName name="exit" hidden="1">{#N/A,#N/A,FALSE,"MODULE3"}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#N/A</definedName>
    <definedName name="ffffff" hidden="1">{"'Bill No. 7'!$A$1:$G$32"}</definedName>
    <definedName name="fffffg" hidden="1">{"form-D1",#N/A,FALSE,"FORM-D1";"form-D1_amt",#N/A,FALSE,"FORM-D1"}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{"PLANT BREAKUP",#N/A,FALSE,"E"}</definedName>
    <definedName name="FGFGF" hidden="1">{#N/A,#N/A,FALSE,"MODULE3"}</definedName>
    <definedName name="file2" hidden="1">#REF!</definedName>
    <definedName name="fill" hidden="1">#REF!</definedName>
    <definedName name="FILL1" hidden="1">#REF!</definedName>
    <definedName name="foren" hidden="1">{"Execavation",#N/A,FALSE,"furniture (employer)"}</definedName>
    <definedName name="form_ORR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tss" hidden="1">{"FTS",#N/A,FALSE,"E"}</definedName>
    <definedName name="FUGIGIULQWG" hidden="1">{"PLANT BREAKUP",#N/A,FALSE,"E"}</definedName>
    <definedName name="gdgwg" hidden="1">{"FTS",#N/A,FALSE,"E"}</definedName>
    <definedName name="gdwilugi" hidden="1">{"CASH FLOW",#N/A,FALSE,"A"}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V" hidden="1">{#N/A,#N/A,FALSE,"CCTV"}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hfj" hidden="1">{"PLANNING",#N/A,FALSE,"A"}</definedName>
    <definedName name="hh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J" hidden="1">{"form-D1",#N/A,FALSE,"FORM-D1";"form-D1_amt",#N/A,FALSE,"FORM-D1"}</definedName>
    <definedName name="hjjjjjj" hidden="1">{"form-D1",#N/A,FALSE,"FORM-D1";"form-D1_amt",#N/A,FALSE,"FORM-D1"}</definedName>
    <definedName name="HP" hidden="1">{"form-D1",#N/A,FALSE,"FORM-D1";"form-D1_amt",#N/A,FALSE,"FORM-D1"}</definedName>
    <definedName name="HTML" hidden="1">{"'장비'!$A$3:$M$12"}</definedName>
    <definedName name="HTML_CodePage" hidden="1">932</definedName>
    <definedName name="HTML_Control" hidden="1">{"'大興物産(株)'!$J$36:$L$38"}</definedName>
    <definedName name="HTML_Description" hidden="1">""</definedName>
    <definedName name="HTML_Email" hidden="1">""</definedName>
    <definedName name="HTML_Header" hidden="1">"大興物産(株)"</definedName>
    <definedName name="HTML_LastUpdate" hidden="1">"98/05/19"</definedName>
    <definedName name="HTML_LineAfter" hidden="1">FALSE()</definedName>
    <definedName name="HTML_LineBefore" hidden="1">FALSE()</definedName>
    <definedName name="HTML_Name" hidden="1">"大興物産株式会社"</definedName>
    <definedName name="HTML_OBDlg2" hidden="1">TRUE()</definedName>
    <definedName name="HTML_OBDlg3" hidden="1">TRUE()</definedName>
    <definedName name="HTML_OBDlg4" hidden="1">TRUE()</definedName>
    <definedName name="HTML_OS" hidden="1">0</definedName>
    <definedName name="HTML_PathFile" hidden="1">"B:\大興物産\MyHTML.htm"</definedName>
    <definedName name="HTML_PathTemplate" hidden="1">"B:\原価管理\"</definedName>
    <definedName name="HTML_Title" hidden="1">"連結資料"</definedName>
    <definedName name="hy" hidden="1">{"CASH FLOW",#N/A,FALSE,"A"}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K\" hidden="1">{"form-D1",#N/A,FALSE,"FORM-D1";"form-D1_amt",#N/A,FALSE,"FORM-D1"}</definedName>
    <definedName name="Informal" hidden="1">{"PLANNING",#N/A,FALSE,"A"}</definedName>
    <definedName name="isaac" hidden="1">{"SUMMARY",#N/A,FALSE,"C"}</definedName>
    <definedName name="jap" hidden="1">{"FTS",#N/A,FALSE,"E"}</definedName>
    <definedName name="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 hidden="1">{#N/A,#N/A,FALSE,"MODULE3"}</definedName>
    <definedName name="jo" hidden="1">{"ES_Medicoes_pt",#N/A,TRUE,"A - Estrutura";"AG_Medicoes_pt",#N/A,TRUE,"C - Rede de Agua";"EG_Medicoes_pt",#N/A,TRUE,"D - Rede de Drenagem"}</definedName>
    <definedName name="kaka" hidden="1">{"form-D1",#N/A,FALSE,"FORM-D1";"form-D1_amt",#N/A,FALSE,"FORM-D1"}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ey" hidden="1">#REF!</definedName>
    <definedName name="KHF" hidden="1">{"PLANNING",#N/A,FALSE,"A"}</definedName>
    <definedName name="KIL" hidden="1">{"PLANT BREAKUP",#N/A,FALSE,"E"}</definedName>
    <definedName name="KKKK" hidden="1">{"ss",#N/A,FALSE,"MODULE3"}</definedName>
    <definedName name="KKKKK" hidden="1">{"ss",#N/A,FALSE,"MODULE3"}</definedName>
    <definedName name="klk" hidden="1">{"'Bill No. 7'!$A$1:$G$32"}</definedName>
    <definedName name="ko" hidden="1">{#N/A,#N/A,FALSE,"MODULE3"}</definedName>
    <definedName name="kondapally" hidden="1">{"'Sheet1'!$A$4386:$N$4591"}</definedName>
    <definedName name="limcount" hidden="1">1</definedName>
    <definedName name="list" hidden="1">{"form-D1",#N/A,FALSE,"FORM-D1";"form-D1_amt",#N/A,FALSE,"FORM-D1"}</definedName>
    <definedName name="lk" hidden="1">{"form-D1",#N/A,FALSE,"FORM-D1";"form-D1_amt",#N/A,FALSE,"FORM-D1"}</definedName>
    <definedName name="lklkljl" hidden="1">{"SUMMARY",#N/A,FALSE,"C"}</definedName>
    <definedName name="LLC" hidden="1">{"PLANNING",#N/A,FALSE,"A"}</definedName>
    <definedName name="lll" hidden="1">{"form-D1",#N/A,FALSE,"FORM-D1";"form-D1_amt",#N/A,FALSE,"FORM-D1"}</definedName>
    <definedName name="LM" hidden="1">{"form-D1",#N/A,FALSE,"FORM-D1";"form-D1_amt",#N/A,FALSE,"FORM-D1"}</definedName>
    <definedName name="lo" hidden="1">{"PLANT BREAKUP",#N/A,FALSE,"E"}</definedName>
    <definedName name="lohari" hidden="1">{"form-D1",#N/A,FALSE,"FORM-D1";"form-D1_amt",#N/A,FALSE,"FORM-D1"}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" hidden="1">{"form-D1",#N/A,FALSE,"FORM-D1";"form-D1_amt",#N/A,FALSE,"FORM-D1"}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1" hidden="1">{#N/A,#N/A,FALSE,"MODULE3"}</definedName>
    <definedName name="med" hidden="1">{"ES_Medicoes_pt",#N/A,TRUE,"A - Estrutura";"AG_Medicoes_pt",#N/A,TRUE,"C - Rede de Agua";"EG_Medicoes_pt",#N/A,TRUE,"D - Rede de Drenagem"}</definedName>
    <definedName name="Median." hidden="1">{"'Bill No. 7'!$A$1:$G$32"}</definedName>
    <definedName name="medicoes" hidden="1">{"ES_Medicoes_pt",#N/A,TRUE,"A - Estrutura";"AG_Medicoes_pt",#N/A,TRUE,"C - Rede de Agua";"EG_Medicoes_pt",#N/A,TRUE,"D - Rede de Drenagem"}</definedName>
    <definedName name="mhjj" hidden="1">{"'Bill No. 7'!$A$1:$G$32"}</definedName>
    <definedName name="mi" hidden="1">{"FTS",#N/A,FALSE,"E"}</definedName>
    <definedName name="mimim" hidden="1">{"CASH FLOW",#N/A,FALSE,"A"}</definedName>
    <definedName name="mmmmm" hidden="1">{"'状況報告原価管理'!$B$1:$P$47","'工種code'!$A$4:$E$33","'商号code'!$A$3:$E$41","'表紙'!$A$136:$G$146","'表紙'!$A$92:$G$104","'表紙'!$A$1:$G$26","'表紙'!$A$1","'科目code'!$A$1:$G$174","'科目code'!$A$1:$G$56","'表紙'!$C$10:$C$11","'表紙'!$A$47:$G$78","'表紙'!$A$136:$F$146","'実行予算 (2)'!$A$1:$D$272","'状況報告原価管理'!$B$1:$C$3"}</definedName>
    <definedName name="mohan" hidden="1">{"form-D1",#N/A,FALSE,"FORM-D1";"form-D1_amt",#N/A,FALSE,"FORM-D1"}</definedName>
    <definedName name="MOS_Arcylic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MP" hidden="1">{#N/A,#N/A,FALSE,"CCTV"}</definedName>
    <definedName name="msraju" hidden="1">{"'Sheet1'!$A$4386:$N$4591"}</definedName>
    <definedName name="mukesh" hidden="1">{"form-D1",#N/A,FALSE,"FORM-D1";"form-D1_amt",#N/A,FALSE,"FORM-D1"}</definedName>
    <definedName name="mura" hidden="1">{"PLANNING",#N/A,FALSE,"A"}</definedName>
    <definedName name="murali" hidden="1">{"PLANNING",#N/A,FALSE,"A"}</definedName>
    <definedName name="myrtet" hidden="1">{"PLANT BREAKUP",#N/A,FALSE,"E"}</definedName>
    <definedName name="na" hidden="1">{"ss",#N/A,FALSE,"MODULE3"}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{"form-D1",#N/A,FALSE,"FORM-D1";"form-D1_amt",#N/A,FALSE,"FORM-D1"}</definedName>
    <definedName name="NEWNAME" hidden="1">{#N/A,#N/A,FALSE,"CCTV"}</definedName>
    <definedName name="NFILL1" hidden="1">#REF!</definedName>
    <definedName name="nitin" hidden="1">#REF!</definedName>
    <definedName name="nkp" hidden="1">{#N/A,#N/A,FALSE,"MODULE3"}</definedName>
    <definedName name="NLP" hidden="1">{"form-D1",#N/A,FALSE,"FORM-D1";"form-D1_amt",#N/A,FALSE,"FORM-D1"}</definedName>
    <definedName name="NMASC1" hidden="1">{"'Sheet1'!$A$4386:$N$4591"}</definedName>
    <definedName name="NOSW" hidden="1">{"'Sheet1'!$A$4386:$N$4591"}</definedName>
    <definedName name="ODH" hidden="1">#REF!</definedName>
    <definedName name="ohwiohw" hidden="1">{"PLANT BREAKUP",#N/A,FALSE,"E"}</definedName>
    <definedName name="oi" hidden="1">{"FTS",#N/A,FALSE,"E"}</definedName>
    <definedName name="OIFHWIOQGH" hidden="1">{"SUMMARY",#N/A,FALSE,"C"}</definedName>
    <definedName name="op" hidden="1">{"PLANT BREAKUP",#N/A,FALSE,"E"}</definedName>
    <definedName name="orr" hidden="1">{#N/A,#N/A,FALSE,"MODULE3"}</definedName>
    <definedName name="pare" hidden="1">{"form-D1",#N/A,FALSE,"FORM-D1";"form-D1_amt",#N/A,FALSE,"FORM-D1"}</definedName>
    <definedName name="pfr" hidden="1">{"form-D1",#N/A,FALSE,"FORM-D1";"form-D1_amt",#N/A,FALSE,"FORM-D1"}</definedName>
    <definedName name="Physical" hidden="1">#REF!</definedName>
    <definedName name="POGHJ" hidden="1">{"form-D1",#N/A,FALSE,"FORM-D1";"form-D1_amt",#N/A,FALSE,"FORM-D1"}</definedName>
    <definedName name="poipo" hidden="1">{"CASH FLOW",#N/A,FALSE,"A"}</definedName>
    <definedName name="PONDICHERY" hidden="1">{"'Sheet1'!$A$4386:$N$4591"}</definedName>
    <definedName name="pooiwut" hidden="1">{"PLANNING",#N/A,FALSE,"A"}</definedName>
    <definedName name="pop" hidden="1">{"PLANNING",#N/A,FALSE,"A"}</definedName>
    <definedName name="popo" hidden="1">{"ES_Medicoes_pt",#N/A,TRUE,"A - Estrutura";"AG_Medicoes_pt",#N/A,TRUE,"C - Rede de Agua";"EG_Medicoes_pt",#N/A,TRUE,"D - Rede de Drenagem"}</definedName>
    <definedName name="popo.mediçoes" hidden="1">{"ES_Medicoes_pt",#N/A,TRUE,"A - Estrutura";"AG_Medicoes_pt",#N/A,TRUE,"C - Rede de Agua";"EG_Medicoes_pt",#N/A,TRUE,"D - Rede de Drenagem"}</definedName>
    <definedName name="POPUH1IPO" hidden="1">{"PLANNING",#N/A,FALSE,"A"}</definedName>
    <definedName name="popuoy" hidden="1">{"FTS",#N/A,FALSE,"E"}</definedName>
    <definedName name="pp" hidden="1">#REF!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iceBid" hidden="1">#REF!</definedName>
    <definedName name="prw" hidden="1">{"form-D1",#N/A,FALSE,"FORM-D1";"form-D1_amt",#N/A,FALSE,"FORM-D1"}</definedName>
    <definedName name="qqq" hidden="1">#REF!</definedName>
    <definedName name="qqqqqqqqq" hidden="1">#REF!</definedName>
    <definedName name="QUANTITY" hidden="1">{"form-D1",#N/A,FALSE,"FORM-D1";"form-D1_amt",#N/A,FALSE,"FORM-D1"}</definedName>
    <definedName name="qw" hidden="1">{#N/A,#N/A,FALSE,"MODULE3"}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q" hidden="1">{"form-D1",#N/A,FALSE,"FORM-D1";"form-D1_amt",#N/A,FALSE,"FORM-D1"}</definedName>
    <definedName name="Raj" hidden="1">{"'Sheet1'!$A$4386:$N$4591"}</definedName>
    <definedName name="ra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CON" hidden="1">{"form-D1",#N/A,FALSE,"FORM-D1";"form-D1_amt",#N/A,FALSE,"FORM-D1"}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sumo" hidden="1">{"ES_Medicoes_pt",#N/A,TRUE,"A - Estrutura";"AG_Medicoes_pt",#N/A,TRUE,"C - Rede de Agua";"EG_Medicoes_pt",#N/A,TRUE,"D - Rede de Drenagem"}</definedName>
    <definedName name="rewall" hidden="1">{"'Bill No. 7'!$A$1:$G$32"}</definedName>
    <definedName name="RF" hidden="1">{#N/A,#N/A,FALSE,"CCTV"}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FALSE()</definedName>
    <definedName name="RiskMonitorConvergence" hidden="1">FALSE()</definedName>
    <definedName name="RiskNumIterations" hidden="1">500</definedName>
    <definedName name="RiskNumSimulations" hidden="1">1</definedName>
    <definedName name="RiskPauseOnError" hidden="1">FALSE()</definedName>
    <definedName name="RiskRunAfterRecalcMacro" hidden="1">FALSE()</definedName>
    <definedName name="RiskRunAfterSimMacro" hidden="1">FALSE()</definedName>
    <definedName name="RiskRunBeforeRecalcMacro" hidden="1">FALSE()</definedName>
    <definedName name="RiskRunBeforeSimMacro" hidden="1">FALSE()</definedName>
    <definedName name="RiskSamplingType" hidden="1">3</definedName>
    <definedName name="RiskStandardRecalc" hidden="1">1</definedName>
    <definedName name="RiskUpdateDisplay" hidden="1">FALSE()</definedName>
    <definedName name="RiskUseDifferentSeedForEachSim" hidden="1">FALSE()</definedName>
    <definedName name="RiskUseFixedSeed" hidden="1">FALSE()</definedName>
    <definedName name="RiskUseMultipleCPUs" hidden="1">FALSE()</definedName>
    <definedName name="rraa" hidden="1">{"'Bill No. 7'!$A$1:$G$32"}</definedName>
    <definedName name="rttrt" hidden="1">{"form-D1",#N/A,FALSE,"FORM-D1";"form-D1_amt",#N/A,FALSE,"FORM-D1"}</definedName>
    <definedName name="saa" hidden="1">{"form-D1",#N/A,FALSE,"FORM-D1";"form-D1_amt",#N/A,FALSE,"FORM-D1"}</definedName>
    <definedName name="saaas" hidden="1">{"PLANNING",#N/A,FALSE,"A"}</definedName>
    <definedName name="sam" hidden="1">{"PLANT BREAKUP",#N/A,FALSE,"E"}</definedName>
    <definedName name="sama" hidden="1">{"PLANT BREAKUP",#N/A,FALSE,"E"}</definedName>
    <definedName name="sasa" hidden="1">{#N/A,#N/A,FALSE,"MODULE3"}</definedName>
    <definedName name="SATISH" hidden="1">{"'Bill No. 7'!$A$1:$G$32"}</definedName>
    <definedName name="sc" hidden="1">{"form-D1",#N/A,FALSE,"FORM-D1";"form-D1_amt",#N/A,FALSE,"FORM-D1"}</definedName>
    <definedName name="Scurve" hidden="1">{"'Bill No. 7'!$A$1:$G$32"}</definedName>
    <definedName name="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sf" hidden="1">#REF!</definedName>
    <definedName name="se" hidden="1">{"'Bill No. 7'!$A$1:$G$32"}</definedName>
    <definedName name="sencount" hidden="1">1</definedName>
    <definedName name="SG" hidden="1">{"'Bill No. 7'!$A$1:$G$32"}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hidden="1">{"ss",#N/A,FALSE,"MODULE3"}</definedName>
    <definedName name="slab" hidden="1">{"form-D1",#N/A,FALSE,"FORM-D1";"form-D1_amt",#N/A,FALSE,"FORM-D1"}</definedName>
    <definedName name="slab_p" hidden="1">{"form-D1",#N/A,FALSE,"FORM-D1";"form-D1_amt",#N/A,FALSE,"FORM-D1"}</definedName>
    <definedName name="SN" hidden="1">{#N/A,#N/A,FALSE,"MODULE3"}</definedName>
    <definedName name="sort" hidden="1">#REF!</definedName>
    <definedName name="sort01" hidden="1">#REF!</definedName>
    <definedName name="sort1" hidden="1">#REF!</definedName>
    <definedName name="sort2" hidden="1">#REF!</definedName>
    <definedName name="ssc" hidden="1">{"'Bill No. 7'!$A$1:$G$32"}</definedName>
    <definedName name="ssd" hidden="1">{"'Bill No. 7'!$A$1:$G$32"}</definedName>
    <definedName name="SSS" hidden="1">{#N/A,#N/A,FALSE,"MODULE3"}</definedName>
    <definedName name="SSSS" hidden="1">{#N/A,#N/A,FALSE,"MODULE3"}</definedName>
    <definedName name="sssssssss" hidden="1">{"form-D1",#N/A,FALSE,"FORM-D1";"form-D1_amt",#N/A,FALSE,"FORM-D1"}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nd" hidden="1">{"'Sheet1'!$A$4386:$N$4591"}</definedName>
    <definedName name="Summary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WERWISE" hidden="1">{"'Sheet1'!$A$4386:$N$4591"}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rrrrrrrrr" hidden="1">{"form-D1",#N/A,FALSE,"FORM-D1";"form-D1_amt",#N/A,FALSE,"FORM-D1"}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u" hidden="1">{"ES_Medicoes_pt",#N/A,TRUE,"A - Estrutura";"AG_Medicoes_pt",#N/A,TRUE,"C - Rede de Agua";"EG_Medicoes_pt",#N/A,TRUE,"D - Rede de Drenagem"}</definedName>
    <definedName name="typ" hidden="1">#REF!</definedName>
    <definedName name="tyr" hidden="1">{"FTS",#N/A,FALSE,"E"}</definedName>
    <definedName name="UI" hidden="1">#REF!</definedName>
    <definedName name="uot" hidden="1">{"SUMMARY",#N/A,FALSE,"C"}</definedName>
    <definedName name="uy" hidden="1">{"form-D1",#N/A,FALSE,"FORM-D1";"form-D1_amt",#N/A,FALSE,"FORM-D1"}</definedName>
    <definedName name="V.O" hidden="1">#REF!</definedName>
    <definedName name="Variance" hidden="1">{#N/A,#N/A,FALSE,"MODULE3"}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POPO" hidden="1">{"PLANT BREAKUP",#N/A,FALSE,"E"}</definedName>
    <definedName name="wer" hidden="1">{"form-D1",#N/A,FALSE,"FORM-D1";"form-D1_amt",#N/A,FALSE,"FORM-D1"}</definedName>
    <definedName name="WESLTEE" hidden="1">#REF!</definedName>
    <definedName name="wfqhofoo" hidden="1">{"PLANT BREAKUP",#N/A,FALSE,"E"}</definedName>
    <definedName name="wgkjqklgw" hidden="1">{"PLANT BREAKUP",#N/A,FALSE,"E"}</definedName>
    <definedName name="wip" hidden="1">{"'Sheet1'!$A$4386:$N$4591"}</definedName>
    <definedName name="wipn" hidden="1">{"'Sheet1'!$A$4386:$N$4591"}</definedName>
    <definedName name="WRITE" hidden="1">{#N/A,#N/A,FALSE,"CCTV"}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abc." hidden="1">{"Execavation",#N/A,FALSE,"furniture (employer)"}</definedName>
    <definedName name="wrn.All._.Sheets." hidden="1">{"Hire Schedule",#N/A,FALSE,"Number";"Hire Amount",#N/A,FALSE,"Spread";"Fuel Schedule",#N/A,FALSE,"Number";"Fuel Amount",#N/A,FALSE,"Spread";"Form 9D",#N/A,FALSE,"Form 9D"}</definedName>
    <definedName name="wrn.Application." hidden="1">{#N/A,#N/A,FALSE,"GS";#N/A,#N/A,FALSE,"Cost Code Summary";#N/A,#N/A,FALSE,"VO";#N/A,#N/A,FALSE,"CUM FLUCT";#N/A,#N/A,FALSE,"Fluct";#N/A,#N/A,FALSE,"Bill 3";#N/A,#N/A,FALSE,"Bill 4";#N/A,#N/A,FALSE,"bill 5";#N/A,#N/A,FALSE,"Bill 7";#N/A,#N/A,FALSE,"Bill 8";#N/A,#N/A,FALSE,"Bill 10";#N/A,#N/A,FALSE,"Bill 12"}</definedName>
    <definedName name="wrn.BM." hidden="1">{#N/A,#N/A,FALSE,"CCTV"}</definedName>
    <definedName name="wrn.BOOK11." hidden="1">{"SUM",#N/A,FALSE,"summary";"BOOK11-1",#N/A,FALSE,"1CityGarden";"BOOK11-2",#N/A,FALSE,"2CountryGarden";"BOOK11-3",#N/A,FALSE,"3JUNGLE";"BOOK11-4CIVIL",#N/A,FALSE,"CIVIL"}</definedName>
    <definedName name="wrn.budget." hidden="1">{"form-D1",#N/A,FALSE,"FORM-D1";"form-D1_amt",#N/A,FALSE,"FORM-D1"}</definedName>
    <definedName name="wrn.CASH._.FLOW." hidden="1">{"CASH FLOW",#N/A,FALSE,"A"}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TS." hidden="1">{"FTS",#N/A,FALSE,"E"}</definedName>
    <definedName name="wrn.FTS._.PLANT._.BREAKUP." hidden="1">{"PLANT BREAKUP",#N/A,FALSE,"E"}</definedName>
    <definedName name="wrn.Fuel._.Amount." hidden="1">{"Fuel Amount",#N/A,FALSE,"Spread"}</definedName>
    <definedName name="wrn.Fuel._.Schedule." hidden="1">{"Fuel Schedule",#N/A,FALSE,"Number"}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" hidden="1">{"Forecast_sht",#N/A,FALSE,"Forecast";"Statement_sht",#N/A,FALSE,"Statement";"Prelim_sht",#N/A,FALSE,"Prelim";"Trade_sht",#N/A,FALSE,"Trade";"NSC_sht",#N/A,FALSE,"NSC"}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Hire._.Amount." hidden="1">{"Hire Amount",#N/A,FALSE,"Spread"}</definedName>
    <definedName name="wrn.Hire._.Scedule." hidden="1">{"Hire Schedule",#N/A,FALSE,"Number"}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ed" hidden="1">{"ES_Medicoes_pt",#N/A,TRUE,"A - Estrutura";"AG_Medicoes_pt",#N/A,TRUE,"C - Rede de Agua";"EG_Medicoes_pt",#N/A,TRUE,"D - Rede de Drenagem"}</definedName>
    <definedName name="wrn.Medicoes." hidden="1">{"ES_Medicoes_pt",#N/A,TRUE,"A - Estrutura";"AG_Medicoes_pt",#N/A,TRUE,"C - Rede de Agua";"EG_Medicoes_pt",#N/A,TRUE,"D - Rede de Drenagem"}</definedName>
    <definedName name="wrn.NSC._.Summary." hidden="1">{#N/A,#N/A,FALSE,"11-NSC"}</definedName>
    <definedName name="wrn.PLANNING." hidden="1">{"PLANNING",#N/A,FALSE,"A"}</definedName>
    <definedName name="wrn.planning.1" hidden="1">{"PLANNING",#N/A,FALSE,"A"}</definedName>
    <definedName name="wrn.PrelimSummary." hidden="1">{"Prelim_Summary",#N/A,FALSE,"Summary"}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ss." hidden="1">{#N/A,#N/A,FALSE,"MODULE3"}</definedName>
    <definedName name="wrn.ss1." hidden="1">{"ss",#N/A,FALSE,"MODULE3"}</definedName>
    <definedName name="wrn.summary." hidden="1">{"SUMMARY",#N/A,FALSE,"C"}</definedName>
    <definedName name="wrn.zando." hidden="1">{#N/A,#N/A,FALSE,"残土ﾘｽﾄ一覧";#N/A,#N/A,FALSE,"残土価格一覧"}</definedName>
    <definedName name="wrn.zando._1" hidden="1">{#N/A,#N/A,FALSE,"残土ﾘｽﾄ一覧";#N/A,#N/A,FALSE,"残土価格一覧"}</definedName>
    <definedName name="wrnbudget" hidden="1">{"form-D1",#N/A,FALSE,"FORM-D1";"form-D1_amt",#N/A,FALSE,"FORM-D1"}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w" hidden="1">#REF!</definedName>
    <definedName name="xc" hidden="1">{"form-D1",#N/A,FALSE,"FORM-D1";"form-D1_amt",#N/A,FALSE,"FORM-D1"}</definedName>
    <definedName name="YM">'[2]01 收入底稿(計價收入)'!$I$6:$T$6</definedName>
    <definedName name="Z_87FC2C73_120F_4A0A_A49E_0CF96AAB3E9C_.wvu.FilterData" hidden="1">#REF!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" hidden="1">{"'Bill No. 7'!$A$1:$G$32"}</definedName>
    <definedName name="zxgsdfg" hidden="1">{"'Bill No. 7'!$A$1:$G$32"}</definedName>
    <definedName name="ききき" hidden="1">{#N/A,#N/A,FALSE,"残土ﾘｽﾄ一覧";#N/A,#N/A,FALSE,"残土価格一覧"}</definedName>
    <definedName name="ききき_1" hidden="1">{#N/A,#N/A,FALSE,"残土ﾘｽﾄ一覧";#N/A,#N/A,FALSE,"残土価格一覧"}</definedName>
    <definedName name="字" hidden="1">#REF!</definedName>
    <definedName name="도면외주" hidden="1">#REF!</definedName>
    <definedName name="도면용역비" hidden="1">#REF!</definedName>
    <definedName name="부대공사" hidden="1">#REF!</definedName>
    <definedName name="전계장금액" hidden="1">#REF!</definedName>
    <definedName name="추가분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3" authorId="0" shapeId="0" xr:uid="{00000000-0006-0000-0100-000001000000}">
      <text>
        <r>
          <rPr>
            <sz val="10"/>
            <rFont val="Arial"/>
            <family val="2"/>
          </rPr>
          <t xml:space="preserve">Joyce Li </t>
        </r>
        <r>
          <rPr>
            <b/>
            <sz val="9"/>
            <color rgb="FF000000"/>
            <rFont val="Noto Sans CJK SC"/>
            <family val="2"/>
          </rPr>
          <t>李明靜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 xml:space="preserve">係雜項金額之差異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P3" authorId="0" shapeId="0" xr:uid="{00000000-0006-0000-0200-000001000000}">
      <text>
        <r>
          <rPr>
            <sz val="10"/>
            <rFont val="Noto Sans CJK SC"/>
            <family val="2"/>
          </rPr>
          <t>顏色標示說明
淺粉色為</t>
        </r>
        <r>
          <rPr>
            <sz val="12"/>
            <color rgb="FF000000"/>
            <rFont val="Tahoma"/>
            <family val="2"/>
            <charset val="1"/>
          </rPr>
          <t xml:space="preserve">Underbill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 xml:space="preserve">累計皆 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深粉色為</t>
        </r>
        <r>
          <rPr>
            <sz val="12"/>
            <color rgb="FF000000"/>
            <rFont val="Tahoma"/>
            <family val="2"/>
            <charset val="1"/>
          </rPr>
          <t>Underbill
-2023.12.31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 &amp;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 xml:space="preserve">&gt; 0
</t>
        </r>
        <r>
          <rPr>
            <sz val="12"/>
            <color rgb="FF000000"/>
            <rFont val="Noto Sans CJK SC"/>
            <family val="2"/>
          </rPr>
          <t>淺藍色為</t>
        </r>
        <r>
          <rPr>
            <sz val="12"/>
            <color rgb="FF000000"/>
            <rFont val="Tahoma"/>
            <family val="2"/>
            <charset val="1"/>
          </rPr>
          <t xml:space="preserve">Overbill
- 2023.12.31 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&amp;2023.8.31</t>
        </r>
        <r>
          <rPr>
            <sz val="12"/>
            <color rgb="FF000000"/>
            <rFont val="Noto Sans CJK SC"/>
            <family val="2"/>
          </rPr>
          <t>累計皆</t>
        </r>
        <r>
          <rPr>
            <sz val="12"/>
            <color rgb="FF000000"/>
            <rFont val="Tahoma"/>
            <family val="2"/>
            <charset val="1"/>
          </rPr>
          <t xml:space="preserve">&lt; 0
</t>
        </r>
        <r>
          <rPr>
            <sz val="12"/>
            <color rgb="FF000000"/>
            <rFont val="Noto Sans CJK SC"/>
            <family val="2"/>
          </rPr>
          <t>深藍色為</t>
        </r>
        <r>
          <rPr>
            <sz val="12"/>
            <color rgb="FF000000"/>
            <rFont val="Tahoma"/>
            <family val="2"/>
            <charset val="1"/>
          </rPr>
          <t>Overbill
- 2023.12.31</t>
        </r>
        <r>
          <rPr>
            <sz val="12"/>
            <color rgb="FF000000"/>
            <rFont val="Noto Sans CJK SC"/>
            <family val="2"/>
          </rPr>
          <t>累計</t>
        </r>
        <r>
          <rPr>
            <sz val="12"/>
            <color rgb="FF000000"/>
            <rFont val="Tahoma"/>
            <family val="2"/>
            <charset val="1"/>
          </rPr>
          <t>&gt; 0 &amp; 2023.12.31</t>
        </r>
        <r>
          <rPr>
            <sz val="12"/>
            <color rgb="FF000000"/>
            <rFont val="Noto Sans CJK SC"/>
            <family val="2"/>
          </rPr>
          <t xml:space="preserve">累計 </t>
        </r>
        <r>
          <rPr>
            <sz val="12"/>
            <color rgb="FF000000"/>
            <rFont val="Tahoma"/>
            <family val="2"/>
            <charset val="1"/>
          </rPr>
          <t>&lt; 0</t>
        </r>
      </text>
    </comment>
    <comment ref="CQ3" authorId="0" shapeId="0" xr:uid="{00000000-0006-0000-0200-000002000000}">
      <text>
        <r>
          <rPr>
            <sz val="10"/>
            <rFont val="Noto Sans CJK SC"/>
            <family val="2"/>
          </rPr>
          <t xml:space="preserve">公式
</t>
        </r>
        <r>
          <rPr>
            <sz val="12"/>
            <color rgb="FF000000"/>
            <rFont val="新細明體"/>
            <family val="1"/>
            <charset val="136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淺粉色
</t>
        </r>
        <r>
          <rPr>
            <sz val="12"/>
            <color rgb="FF000000"/>
            <rFont val="新細明體"/>
            <family val="1"/>
            <charset val="136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若為深粉色
    </t>
        </r>
        <r>
          <rPr>
            <sz val="12"/>
            <color rgb="FF000000"/>
            <rFont val="新細明體"/>
            <family val="1"/>
            <charset val="136"/>
          </rPr>
          <t>UnderBill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新細明體"/>
            <family val="1"/>
            <charset val="136"/>
          </rPr>
          <t>Overbill =  - 2023.8.31</t>
        </r>
        <r>
          <rPr>
            <sz val="12"/>
            <color rgb="FF000000"/>
            <rFont val="Noto Sans CJK SC"/>
            <family val="2"/>
          </rPr>
          <t xml:space="preserve">累計數
      </t>
        </r>
      </text>
    </comment>
    <comment ref="CR3" authorId="0" shapeId="0" xr:uid="{00000000-0006-0000-0200-000003000000}">
      <text>
        <r>
          <rPr>
            <sz val="10"/>
            <rFont val="Arial"/>
            <family val="2"/>
          </rPr>
          <t xml:space="preserve">
</t>
        </r>
        <r>
          <rPr>
            <sz val="12"/>
            <color rgb="FF000000"/>
            <rFont val="Noto Sans CJK SC"/>
            <family val="2"/>
          </rPr>
          <t xml:space="preserve">公式
</t>
        </r>
        <r>
          <rPr>
            <sz val="12"/>
            <color rgb="FF000000"/>
            <rFont val="Tahoma"/>
            <family val="2"/>
            <charset val="1"/>
          </rPr>
          <t xml:space="preserve">1. = </t>
        </r>
        <r>
          <rPr>
            <sz val="12"/>
            <color rgb="FF000000"/>
            <rFont val="Noto Sans CJK SC"/>
            <family val="2"/>
          </rPr>
          <t xml:space="preserve">淺藍色
</t>
        </r>
        <r>
          <rPr>
            <sz val="12"/>
            <color rgb="FF000000"/>
            <rFont val="Tahoma"/>
            <family val="2"/>
            <charset val="1"/>
          </rPr>
          <t xml:space="preserve">2. </t>
        </r>
        <r>
          <rPr>
            <sz val="12"/>
            <color rgb="FF000000"/>
            <rFont val="Noto Sans CJK SC"/>
            <family val="2"/>
          </rPr>
          <t xml:space="preserve">若為深藍色
    </t>
        </r>
        <r>
          <rPr>
            <sz val="12"/>
            <color rgb="FF000000"/>
            <rFont val="Tahoma"/>
            <family val="2"/>
            <charset val="1"/>
          </rPr>
          <t>OverBill = + 2023.12.31</t>
        </r>
        <r>
          <rPr>
            <sz val="12"/>
            <color rgb="FF000000"/>
            <rFont val="Noto Sans CJK SC"/>
            <family val="2"/>
          </rPr>
          <t xml:space="preserve">累計數
    </t>
        </r>
        <r>
          <rPr>
            <sz val="12"/>
            <color rgb="FF000000"/>
            <rFont val="Tahoma"/>
            <family val="2"/>
            <charset val="1"/>
          </rPr>
          <t>Underbill =  - 2023.8.31</t>
        </r>
        <r>
          <rPr>
            <sz val="12"/>
            <color rgb="FF000000"/>
            <rFont val="Noto Sans CJK SC"/>
            <family val="2"/>
          </rPr>
          <t>累計數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00000000-0006-0000-0600-000002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12"/>
            <color rgb="FF000000"/>
            <rFont val="Noto Sans CJK SC"/>
            <family val="2"/>
          </rPr>
          <t>池盈枝</t>
        </r>
        <r>
          <rPr>
            <b/>
            <sz val="12"/>
            <color rgb="FF000000"/>
            <rFont val="Tahoma"/>
            <family val="2"/>
            <charset val="1"/>
          </rPr>
          <t xml:space="preserve">:
</t>
        </r>
        <r>
          <rPr>
            <b/>
            <sz val="12"/>
            <color rgb="FF000000"/>
            <rFont val="Noto Sans CJK SC"/>
            <family val="2"/>
          </rPr>
          <t>檢查合理性</t>
        </r>
        <r>
          <rPr>
            <b/>
            <sz val="12"/>
            <color rgb="FF000000"/>
            <rFont val="Tahoma"/>
            <family val="2"/>
            <charset val="1"/>
          </rPr>
          <t>,</t>
        </r>
        <r>
          <rPr>
            <b/>
            <sz val="12"/>
            <color rgb="FF000000"/>
            <rFont val="Noto Sans CJK SC"/>
            <family val="2"/>
          </rPr>
          <t xml:space="preserve">如
</t>
        </r>
        <r>
          <rPr>
            <b/>
            <sz val="12"/>
            <color rgb="FF000000"/>
            <rFont val="Tahoma"/>
            <family val="2"/>
            <charset val="1"/>
          </rPr>
          <t>1.</t>
        </r>
        <r>
          <rPr>
            <b/>
            <sz val="12"/>
            <color rgb="FF000000"/>
            <rFont val="Noto Sans CJK SC"/>
            <family val="2"/>
          </rPr>
          <t>帳上已驗收結轉</t>
        </r>
        <r>
          <rPr>
            <b/>
            <sz val="12"/>
            <color rgb="FF000000"/>
            <rFont val="Tahoma"/>
            <family val="2"/>
            <charset val="1"/>
          </rPr>
          <t>C-F</t>
        </r>
        <r>
          <rPr>
            <b/>
            <sz val="12"/>
            <color rgb="FF000000"/>
            <rFont val="Noto Sans CJK SC"/>
            <family val="2"/>
          </rPr>
          <t>欄</t>
        </r>
        <r>
          <rPr>
            <b/>
            <sz val="12"/>
            <color rgb="FF000000"/>
            <rFont val="Tahoma"/>
            <family val="2"/>
            <charset val="1"/>
          </rPr>
          <t xml:space="preserve">$0 </t>
        </r>
        <r>
          <rPr>
            <b/>
            <sz val="12"/>
            <color rgb="FF000000"/>
            <rFont val="Noto Sans CJK SC"/>
            <family val="2"/>
          </rPr>
          <t>但此有金額者需為</t>
        </r>
        <r>
          <rPr>
            <b/>
            <sz val="12"/>
            <color rgb="FF000000"/>
            <rFont val="細明體"/>
            <family val="3"/>
            <charset val="136"/>
          </rPr>
          <t xml:space="preserve">$0
</t>
        </r>
      </text>
    </comment>
    <comment ref="H5" authorId="0" shapeId="0" xr:uid="{00000000-0006-0000-0600-000003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Tahoma"/>
            <family val="2"/>
            <charset val="1"/>
          </rPr>
          <t xml:space="preserve"> = ZSD060 </t>
        </r>
        <r>
          <rPr>
            <sz val="9"/>
            <color rgb="FF000000"/>
            <rFont val="Noto Sans CJK SC"/>
            <family val="2"/>
          </rPr>
          <t>合計金額</t>
        </r>
        <r>
          <rPr>
            <sz val="9"/>
            <color rgb="FF000000"/>
            <rFont val="Tahoma"/>
            <family val="2"/>
            <charset val="1"/>
          </rPr>
          <t>-</t>
        </r>
        <r>
          <rPr>
            <sz val="9"/>
            <color rgb="FF000000"/>
            <rFont val="Noto Sans CJK SC"/>
            <family val="2"/>
          </rPr>
          <t xml:space="preserve">預付款金額 </t>
        </r>
      </text>
    </comment>
    <comment ref="A225" authorId="0" shapeId="0" xr:uid="{00000000-0006-0000-0600-000001000000}">
      <text>
        <r>
          <rPr>
            <sz val="10"/>
            <rFont val="Arial"/>
            <family val="2"/>
          </rPr>
          <t xml:space="preserve">Silvia Chih </t>
        </r>
        <r>
          <rPr>
            <b/>
            <sz val="9"/>
            <color rgb="FF000000"/>
            <rFont val="Noto Sans CJK SC"/>
            <family val="2"/>
          </rPr>
          <t>池盈枝</t>
        </r>
        <r>
          <rPr>
            <b/>
            <sz val="9"/>
            <color rgb="FF000000"/>
            <rFont val="Tahoma"/>
            <family val="2"/>
            <charset val="1"/>
          </rPr>
          <t xml:space="preserve">:
</t>
        </r>
        <r>
          <rPr>
            <sz val="9"/>
            <color rgb="FF000000"/>
            <rFont val="Noto Sans CJK SC"/>
            <family val="2"/>
          </rPr>
          <t>不可刪除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Silvia Chih 池盈枝</author>
  </authors>
  <commentList>
    <comment ref="T12" authorId="0" shapeId="0" xr:uid="{E4DBCD2C-C862-4543-91BF-4A12AC28AA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月露寄收入</t>
        </r>
        <r>
          <rPr>
            <sz val="9"/>
            <color indexed="81"/>
            <rFont val="Tahoma"/>
            <family val="2"/>
          </rPr>
          <t>90000
5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
6</t>
        </r>
        <r>
          <rPr>
            <sz val="9"/>
            <color indexed="81"/>
            <rFont val="細明體"/>
            <family val="3"/>
            <charset val="136"/>
          </rPr>
          <t>月</t>
        </r>
        <r>
          <rPr>
            <sz val="9"/>
            <color indexed="81"/>
            <rFont val="Tahoma"/>
            <family val="2"/>
          </rPr>
          <t>45000</t>
        </r>
      </text>
    </comment>
    <comment ref="V24" authorId="0" shapeId="0" xr:uid="{B8A58F37-E2D6-4A4C-8995-527086BD7464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價
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細明體"/>
            <family val="3"/>
            <charset val="136"/>
          </rPr>
          <t>月是忠義國小</t>
        </r>
      </text>
    </comment>
    <comment ref="Y24" authorId="1" shapeId="0" xr:uid="{15FAAE56-B012-4DFF-B590-6A68B5467AF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CF670</t>
        </r>
        <r>
          <rPr>
            <sz val="9"/>
            <color indexed="81"/>
            <rFont val="細明體"/>
            <family val="3"/>
            <charset val="136"/>
          </rPr>
          <t>支撐支援，不含在原本服務內容，會額外計</t>
        </r>
      </text>
    </comment>
    <comment ref="R42" authorId="1" shapeId="0" xr:uid="{E920A8BB-1224-4E92-8990-1B920BB3A0B5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雲端</t>
        </r>
        <r>
          <rPr>
            <sz val="11"/>
            <color indexed="81"/>
            <rFont val="Tahoma"/>
            <family val="2"/>
          </rPr>
          <t xml:space="preserve">320,000
</t>
        </r>
      </text>
    </comment>
    <comment ref="O183" authorId="0" shapeId="0" xr:uid="{CDC835BA-B4D0-4F3B-B563-AE6D3F5F2C5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待調帳 從.02.05調到.02.04
1900781299</t>
        </r>
      </text>
    </comment>
    <comment ref="O185" authorId="0" shapeId="0" xr:uid="{6DBC2B7C-D05F-424C-9C96-94DA524E5EB6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依性質從.02.02代購收入調整至.02.04
1900781958</t>
        </r>
      </text>
    </comment>
    <comment ref="N257" authorId="0" shapeId="0" xr:uid="{AC5A4574-F676-4CEF-BF7C-68749CA8BE0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.02.02</t>
        </r>
        <r>
          <rPr>
            <sz val="9"/>
            <color indexed="81"/>
            <rFont val="細明體"/>
            <family val="3"/>
            <charset val="136"/>
          </rPr>
          <t>代購調整至.02.04雲端(1900781958)</t>
        </r>
      </text>
    </comment>
    <comment ref="N259" authorId="0" shapeId="0" xr:uid="{51194FA8-A261-4323-924C-146A0540819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</t>
        </r>
        <r>
          <rPr>
            <sz val="9"/>
            <color indexed="81"/>
            <rFont val="細明體"/>
            <family val="3"/>
            <charset val="136"/>
          </rPr>
          <t>委外</t>
        </r>
        <r>
          <rPr>
            <sz val="9"/>
            <color indexed="81"/>
            <rFont val="Tahoma"/>
            <family val="2"/>
          </rPr>
          <t>.02.05</t>
        </r>
        <r>
          <rPr>
            <sz val="9"/>
            <color indexed="81"/>
            <rFont val="細明體"/>
            <family val="3"/>
            <charset val="136"/>
          </rPr>
          <t>調整至</t>
        </r>
        <r>
          <rPr>
            <sz val="9"/>
            <color indexed="81"/>
            <rFont val="Tahoma"/>
            <family val="2"/>
          </rPr>
          <t>.02.04</t>
        </r>
        <r>
          <rPr>
            <sz val="9"/>
            <color indexed="81"/>
            <rFont val="細明體"/>
            <family val="3"/>
            <charset val="136"/>
          </rPr>
          <t>雲端</t>
        </r>
        <r>
          <rPr>
            <sz val="9"/>
            <color indexed="81"/>
            <rFont val="Tahoma"/>
            <family val="2"/>
          </rPr>
          <t>(1900781299)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Arwen Kuo 郭品彣</author>
    <author>Kit Wong 黃寶琪</author>
  </authors>
  <commentList>
    <comment ref="G7" authorId="0" shapeId="0" xr:uid="{15C67F14-A5D5-4716-8B5A-B5EC9A9625AF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</t>
        </r>
        <r>
          <rPr>
            <sz val="12"/>
            <color indexed="81"/>
            <rFont val="細明體"/>
            <family val="3"/>
            <charset val="136"/>
          </rPr>
          <t>欄皆可以直接連結</t>
        </r>
        <r>
          <rPr>
            <sz val="12"/>
            <color indexed="81"/>
            <rFont val="Tahoma"/>
            <family val="2"/>
          </rPr>
          <t>B 25</t>
        </r>
        <r>
          <rPr>
            <sz val="12"/>
            <color indexed="81"/>
            <rFont val="細明體"/>
            <family val="3"/>
            <charset val="136"/>
          </rPr>
          <t>預算底稿</t>
        </r>
      </text>
    </comment>
    <comment ref="S25" authorId="1" shapeId="0" xr:uid="{4DD28F6E-8411-42F2-971A-730B367698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</t>
        </r>
        <r>
          <rPr>
            <sz val="9"/>
            <color indexed="81"/>
            <rFont val="細明體"/>
            <family val="3"/>
            <charset val="136"/>
          </rPr>
          <t>合約外收入</t>
        </r>
      </text>
    </comment>
    <comment ref="T58" authorId="1" shapeId="0" xr:uid="{02F989FB-98FF-4C27-96EE-28A7664BF67F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2025.10</t>
        </r>
        <r>
          <rPr>
            <sz val="12"/>
            <color indexed="81"/>
            <rFont val="細明體"/>
            <family val="3"/>
            <charset val="136"/>
          </rPr>
          <t>月管報
調整使A1 BIM = 收入成本表實際狀況，
故從雜項減少加回南港三重</t>
        </r>
      </text>
    </comment>
    <comment ref="C97" authorId="1" shapeId="0" xr:uid="{9F68020C-917A-4330-BE53-E7D3094C17C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只放當年度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因為</t>
        </r>
        <r>
          <rPr>
            <sz val="9"/>
            <color indexed="81"/>
            <rFont val="Tahoma"/>
            <family val="2"/>
          </rPr>
          <t>backlog</t>
        </r>
        <r>
          <rPr>
            <sz val="9"/>
            <color indexed="81"/>
            <rFont val="細明體"/>
            <family val="3"/>
            <charset val="136"/>
          </rPr>
          <t>不計算無合約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7" authorId="1" shapeId="0" xr:uid="{4EC953E7-ECBF-4091-B3D5-E0D69A028CF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沖銷後等於外案</t>
        </r>
      </text>
    </comment>
    <comment ref="G287" authorId="2" shapeId="0" xr:uid="{3A393E13-3F74-46E1-B3CB-AD13380DDCCA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C290" authorId="1" shapeId="0" xr:uid="{2434A8DA-AD08-4F98-BBB1-9E49173D1911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細明體"/>
            <family val="3"/>
            <charset val="136"/>
          </rPr>
          <t>取得新案要檢查公式</t>
        </r>
      </text>
    </comment>
    <comment ref="G314" authorId="2" shapeId="0" xr:uid="{D143BF91-45A2-4995-B245-9DC9778DC7AD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  <comment ref="G341" authorId="2" shapeId="0" xr:uid="{BDDA9362-93E4-4B08-B203-DE43D397282F}">
      <text>
        <r>
          <rPr>
            <b/>
            <sz val="9"/>
            <color indexed="81"/>
            <rFont val="Tahoma"/>
            <family val="2"/>
          </rPr>
          <t xml:space="preserve">Kit Wong </t>
        </r>
        <r>
          <rPr>
            <b/>
            <sz val="9"/>
            <color indexed="81"/>
            <rFont val="細明體"/>
            <family val="3"/>
            <charset val="136"/>
          </rPr>
          <t>黃寶琪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為明年5月預算變更之用, </t>
        </r>
        <r>
          <rPr>
            <b/>
            <sz val="11"/>
            <color indexed="81"/>
            <rFont val="細明體"/>
            <family val="3"/>
            <charset val="136"/>
          </rPr>
          <t>請勿刪除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  <author>Chieh Ning Peng 彭婕寧</author>
  </authors>
  <commentList>
    <comment ref="C6" authorId="0" shapeId="0" xr:uid="{775BD6A0-7AB0-48CD-8AE5-A7E7A461D51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CF680Cj</t>
        </r>
        <r>
          <rPr>
            <sz val="9"/>
            <color indexed="81"/>
            <rFont val="細明體"/>
            <family val="3"/>
            <charset val="136"/>
          </rPr>
          <t>追加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土木136萬、機電604萬)202503通過</t>
        </r>
      </text>
    </comment>
    <comment ref="P9" authorId="0" shapeId="0" xr:uid="{826EAF57-A25D-49EB-965C-AC19F647663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-405001(</t>
        </r>
        <r>
          <rPr>
            <sz val="9"/>
            <color indexed="81"/>
            <rFont val="細明體"/>
            <family val="3"/>
            <charset val="136"/>
          </rPr>
          <t>為</t>
        </r>
        <r>
          <rPr>
            <sz val="9"/>
            <color indexed="81"/>
            <rFont val="Tahoma"/>
            <family val="2"/>
          </rPr>
          <t>CF670A</t>
        </r>
        <r>
          <rPr>
            <sz val="9"/>
            <color indexed="81"/>
            <rFont val="細明體"/>
            <family val="3"/>
            <charset val="136"/>
          </rPr>
          <t>調整回</t>
        </r>
        <r>
          <rPr>
            <sz val="9"/>
            <color indexed="81"/>
            <rFont val="Tahoma"/>
            <family val="2"/>
          </rPr>
          <t>RD)</t>
        </r>
      </text>
    </comment>
    <comment ref="H15" authorId="0" shapeId="0" xr:uid="{17F81CC2-9634-4D45-A268-79A06AA64523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與SAP帳差異20204，係1900782252傳票，會計入厝帳，收入成本表是對的</t>
        </r>
      </text>
    </comment>
    <comment ref="H16" authorId="0" shapeId="0" xr:uid="{87296792-E699-498D-8D21-55AE0C57A3F9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與</t>
        </r>
        <r>
          <rPr>
            <b/>
            <sz val="9"/>
            <color indexed="81"/>
            <rFont val="Tahoma"/>
            <family val="2"/>
          </rPr>
          <t>SAP</t>
        </r>
        <r>
          <rPr>
            <b/>
            <sz val="9"/>
            <color indexed="81"/>
            <rFont val="細明體"/>
            <family val="3"/>
            <charset val="136"/>
          </rPr>
          <t>帳差異</t>
        </r>
        <r>
          <rPr>
            <b/>
            <sz val="9"/>
            <color indexed="81"/>
            <rFont val="Tahoma"/>
            <family val="2"/>
          </rPr>
          <t>20204</t>
        </r>
        <r>
          <rPr>
            <b/>
            <sz val="9"/>
            <color indexed="81"/>
            <rFont val="細明體"/>
            <family val="3"/>
            <charset val="136"/>
          </rPr>
          <t>，係</t>
        </r>
        <r>
          <rPr>
            <b/>
            <sz val="9"/>
            <color indexed="81"/>
            <rFont val="Tahoma"/>
            <family val="2"/>
          </rPr>
          <t>1900782252</t>
        </r>
        <r>
          <rPr>
            <b/>
            <sz val="9"/>
            <color indexed="81"/>
            <rFont val="細明體"/>
            <family val="3"/>
            <charset val="136"/>
          </rPr>
          <t>傳票，會計入厝帳，收入成本屌是對的</t>
        </r>
      </text>
    </comment>
    <comment ref="D20" authorId="0" shapeId="0" xr:uid="{58FAF800-60E3-4439-9A30-769388D3C07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P22" authorId="0" shapeId="0" xr:uid="{DA6A3831-393E-4E97-A59D-A4182C3461D7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CF690B</t>
        </r>
        <r>
          <rPr>
            <sz val="9"/>
            <color indexed="81"/>
            <rFont val="細明體"/>
            <family val="3"/>
            <charset val="136"/>
          </rPr>
          <t>合約外服務</t>
        </r>
      </text>
    </comment>
    <comment ref="O42" authorId="0" shapeId="0" xr:uid="{DBFC7BC7-D50D-4FB6-9DFE-BF69344F0B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先放雜項</t>
        </r>
      </text>
    </comment>
    <comment ref="D45" authorId="0" shapeId="0" xr:uid="{CB2D177B-C10B-4B0D-B204-26E2AC23F12A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2026/8</t>
        </r>
        <r>
          <rPr>
            <sz val="9"/>
            <color indexed="81"/>
            <rFont val="細明體"/>
            <family val="3"/>
            <charset val="136"/>
          </rPr>
          <t>原始預算</t>
        </r>
      </text>
    </comment>
    <comment ref="B46" authorId="0" shapeId="0" xr:uid="{D6035E98-5C18-4094-9715-1A8197941B2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  <comment ref="P47" authorId="0" shapeId="0" xr:uid="{5169C050-B3EC-412C-9429-3B7CBC5C6B5D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9</t>
        </r>
        <r>
          <rPr>
            <sz val="9"/>
            <color indexed="81"/>
            <rFont val="細明體"/>
            <family val="3"/>
            <charset val="136"/>
          </rPr>
          <t>月實際成本先放雜項</t>
        </r>
      </text>
    </comment>
    <comment ref="G49" authorId="0" shapeId="0" xr:uid="{D23049BB-6B60-4A10-98E2-BB96021C930B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W59" authorId="0" shapeId="0" xr:uid="{3B6B0203-6E13-4CCF-A1B3-BA2A4793A6F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雜項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備標</t>
        </r>
      </text>
    </comment>
    <comment ref="A62" authorId="1" shapeId="0" xr:uid="{E8CF4134-8201-4C0A-8282-922F095460CB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Q62" authorId="1" shapeId="0" xr:uid="{737594AC-93AD-4B75-BFA1-C499101A7343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80" authorId="0" shapeId="0" xr:uid="{47870559-E2BC-4007-A836-DF66E7BF45E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中華郵政信維 原始預算差異</t>
        </r>
      </text>
    </comment>
    <comment ref="AV81" authorId="0" shapeId="0" xr:uid="{5226F685-7FA8-474E-9B6E-2709AE884A2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係因下半年預算變更，非</t>
        </r>
        <r>
          <rPr>
            <b/>
            <sz val="9"/>
            <color indexed="81"/>
            <rFont val="Tahoma"/>
            <family val="2"/>
          </rPr>
          <t>new work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Joyce Li 李明靜</author>
    <author>Arwen Kuo 郭品彣</author>
  </authors>
  <commentList>
    <comment ref="DK24" authorId="0" shapeId="0" xr:uid="{C2BC06EE-6376-4F54-BCBA-700DF5BF4D55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24" authorId="0" shapeId="0" xr:uid="{CE963F05-1B1C-4378-843D-685D1192A69F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25" authorId="0" shapeId="0" xr:uid="{E7653602-B01E-4538-A683-5700C6D4D6C7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DK53" authorId="0" shapeId="0" xr:uid="{3B896F48-6A48-4944-AFCB-46E893BA2F6C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沒有成本</t>
        </r>
        <r>
          <rPr>
            <sz val="9"/>
            <color indexed="81"/>
            <rFont val="Tahoma"/>
            <family val="2"/>
          </rPr>
          <t>OK?</t>
        </r>
      </text>
    </comment>
    <comment ref="EK59" authorId="0" shapeId="0" xr:uid="{253DCDF0-1D43-402A-AB0F-A23F5F1C516D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60" authorId="0" shapeId="0" xr:uid="{BF8947E5-1B6D-4F3F-91CC-7AE6EAA2EB01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EK73" authorId="0" shapeId="0" xr:uid="{6F6F4C69-2686-4923-9F55-F0FD4F911AE8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細明體"/>
            <family val="3"/>
            <charset val="136"/>
          </rPr>
          <t>每年年底累計不計無合約的金額</t>
        </r>
        <r>
          <rPr>
            <b/>
            <sz val="12"/>
            <color indexed="81"/>
            <rFont val="Tahoma"/>
            <family val="2"/>
          </rPr>
          <t>,</t>
        </r>
        <r>
          <rPr>
            <b/>
            <sz val="12"/>
            <color indexed="81"/>
            <rFont val="細明體"/>
            <family val="3"/>
            <charset val="136"/>
          </rPr>
          <t>以利計算次年</t>
        </r>
        <r>
          <rPr>
            <b/>
            <sz val="12"/>
            <color indexed="81"/>
            <rFont val="Tahoma"/>
            <family val="2"/>
          </rPr>
          <t>backlog</t>
        </r>
      </text>
    </comment>
    <comment ref="A92" authorId="0" shapeId="0" xr:uid="{E3F6D3DB-2FEB-4FF7-B5F0-408184123539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11" authorId="0" shapeId="0" xr:uid="{09927026-7EC5-4167-AD1C-C15F57CB6073}">
      <text>
        <r>
          <rPr>
            <b/>
            <sz val="9"/>
            <color indexed="81"/>
            <rFont val="Tahoma"/>
            <family val="2"/>
          </rPr>
          <t xml:space="preserve">Silvia Chih </t>
        </r>
        <r>
          <rPr>
            <b/>
            <sz val="9"/>
            <color indexed="81"/>
            <rFont val="細明體"/>
            <family val="3"/>
            <charset val="136"/>
          </rPr>
          <t>池盈枝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2025</t>
        </r>
        <r>
          <rPr>
            <sz val="12"/>
            <color indexed="81"/>
            <rFont val="細明體"/>
            <family val="3"/>
            <charset val="136"/>
          </rPr>
          <t>修改為此科目
與</t>
        </r>
        <r>
          <rPr>
            <sz val="12"/>
            <color indexed="81"/>
            <rFont val="Tahoma"/>
            <family val="2"/>
          </rPr>
          <t>CF</t>
        </r>
        <r>
          <rPr>
            <sz val="12"/>
            <color indexed="81"/>
            <rFont val="細明體"/>
            <family val="3"/>
            <charset val="136"/>
          </rPr>
          <t>收現同</t>
        </r>
      </text>
    </comment>
    <comment ref="A122" authorId="0" shapeId="0" xr:uid="{04B0E309-EFBC-4C9A-9ED7-69F0AF9921E2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22" authorId="1" shapeId="0" xr:uid="{B6C0216E-ADD2-4364-8B6E-97C755C03BB1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46" authorId="2" shapeId="0" xr:uid="{D596CCAD-775D-4432-A269-D2BF8133F01E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Chih 池盈枝</author>
    <author>Chieh Ning Peng 彭婕寧</author>
    <author>Arwen Kuo 郭品彣</author>
    <author>Joyce Li 李明靜</author>
  </authors>
  <commentList>
    <comment ref="N57" authorId="0" shapeId="0" xr:uid="{EEB109AC-C421-4838-BDC0-BA04E6D375B2}">
      <text>
        <r>
          <rPr>
            <b/>
            <sz val="11"/>
            <color indexed="81"/>
            <rFont val="Tahoma"/>
            <family val="2"/>
          </rPr>
          <t xml:space="preserve">Silvia Chih </t>
        </r>
        <r>
          <rPr>
            <b/>
            <sz val="11"/>
            <color indexed="81"/>
            <rFont val="細明體"/>
            <family val="3"/>
            <charset val="136"/>
          </rPr>
          <t>池盈枝</t>
        </r>
        <r>
          <rPr>
            <b/>
            <sz val="11"/>
            <color indexed="81"/>
            <rFont val="Tahoma"/>
            <family val="2"/>
          </rPr>
          <t>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如果2026取得機率不大,建議不要放</t>
        </r>
      </text>
    </comment>
    <comment ref="A75" authorId="1" shapeId="0" xr:uid="{1693C760-9513-4447-86A3-5DFFF01D90C2}">
      <text>
        <r>
          <rPr>
            <b/>
            <sz val="9"/>
            <color indexed="81"/>
            <rFont val="Tahoma"/>
            <family val="2"/>
          </rPr>
          <t xml:space="preserve"> C/99993_EL </t>
        </r>
        <r>
          <rPr>
            <b/>
            <sz val="9"/>
            <color indexed="81"/>
            <rFont val="細明體"/>
            <family val="3"/>
            <charset val="136"/>
          </rPr>
          <t xml:space="preserve">係為業務備標專案沖銷管理費的金額
</t>
        </r>
      </text>
    </comment>
    <comment ref="O75" authorId="1" shapeId="0" xr:uid="{CE43C015-B05F-4973-9323-1A06F6C944CC}">
      <text>
        <r>
          <rPr>
            <b/>
            <sz val="9"/>
            <color indexed="81"/>
            <rFont val="Tahoma"/>
            <family val="2"/>
          </rPr>
          <t>=62</t>
        </r>
        <r>
          <rPr>
            <b/>
            <sz val="9"/>
            <color indexed="81"/>
            <rFont val="細明體"/>
            <family val="3"/>
            <charset val="136"/>
          </rPr>
          <t>科目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細明體"/>
            <family val="3"/>
            <charset val="136"/>
          </rPr>
          <t>業務範圍
ELIA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7" authorId="2" shapeId="0" xr:uid="{0E25F8E7-BAF9-4B74-802A-6C4A94A25035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36" authorId="2" shapeId="0" xr:uid="{B309608A-D417-4852-AD76-A081633A116C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20251013
</t>
        </r>
        <r>
          <rPr>
            <sz val="16"/>
            <color indexed="81"/>
            <rFont val="細明體"/>
            <family val="3"/>
            <charset val="136"/>
          </rPr>
          <t>會計入帳內案用</t>
        </r>
        <r>
          <rPr>
            <sz val="16"/>
            <color indexed="81"/>
            <rFont val="Tahoma"/>
            <family val="2"/>
          </rPr>
          <t>"</t>
        </r>
        <r>
          <rPr>
            <sz val="16"/>
            <color indexed="81"/>
            <rFont val="細明體"/>
            <family val="3"/>
            <charset val="136"/>
          </rPr>
          <t>公司內部往來</t>
        </r>
        <r>
          <rPr>
            <sz val="16"/>
            <color indexed="81"/>
            <rFont val="Tahoma"/>
            <family val="2"/>
          </rPr>
          <t xml:space="preserve">TO&amp;BIM"
</t>
        </r>
        <r>
          <rPr>
            <sz val="16"/>
            <color indexed="81"/>
            <rFont val="細明體"/>
            <family val="3"/>
            <charset val="136"/>
          </rPr>
          <t>但預算</t>
        </r>
        <r>
          <rPr>
            <sz val="16"/>
            <color indexed="81"/>
            <rFont val="Tahoma"/>
            <family val="2"/>
          </rPr>
          <t>BS</t>
        </r>
        <r>
          <rPr>
            <sz val="16"/>
            <color indexed="81"/>
            <rFont val="細明體"/>
            <family val="3"/>
            <charset val="136"/>
          </rPr>
          <t>報表時，改為應收帳款淨額</t>
        </r>
      </text>
    </comment>
    <comment ref="A147" authorId="0" shapeId="0" xr:uid="{950E5822-1847-4614-BB04-60ECD9E9D02F}">
      <text>
        <r>
          <rPr>
            <b/>
            <sz val="12"/>
            <color indexed="81"/>
            <rFont val="Tahoma"/>
            <family val="2"/>
          </rPr>
          <t xml:space="preserve">Silvia Chih </t>
        </r>
        <r>
          <rPr>
            <b/>
            <sz val="12"/>
            <color indexed="81"/>
            <rFont val="細明體"/>
            <family val="3"/>
            <charset val="136"/>
          </rPr>
          <t>池盈枝</t>
        </r>
        <r>
          <rPr>
            <b/>
            <sz val="12"/>
            <color indexed="81"/>
            <rFont val="Tahoma"/>
            <family val="2"/>
          </rPr>
          <t>:
CF</t>
        </r>
        <r>
          <rPr>
            <b/>
            <sz val="12"/>
            <color indexed="81"/>
            <rFont val="細明體"/>
            <family val="3"/>
            <charset val="136"/>
          </rPr>
          <t>支出皆以2170應付支出現金餘額不足時,再以內部往來-資金向TO借款
故BS項目相對應為2170應付</t>
        </r>
      </text>
    </comment>
    <comment ref="F147" authorId="3" shapeId="0" xr:uid="{440A51AB-D389-492F-92AE-4E6872ADAE13}">
      <text>
        <r>
          <rPr>
            <b/>
            <sz val="9"/>
            <color indexed="81"/>
            <rFont val="Tahoma"/>
            <family val="2"/>
          </rPr>
          <t xml:space="preserve">Joyce Li </t>
        </r>
        <r>
          <rPr>
            <b/>
            <sz val="9"/>
            <color indexed="81"/>
            <rFont val="細明體"/>
            <family val="3"/>
            <charset val="136"/>
          </rPr>
          <t>李明靜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因為怡如提供的管理費用分錄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係已經包含分攤的部分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會少一塊A/P,故須把A/P補回</t>
        </r>
      </text>
    </comment>
    <comment ref="A174" authorId="2" shapeId="0" xr:uid="{ECDE4565-2420-4B83-8C08-B8C26C68CC52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新增，以前內案收入歸類在應收，現拆開為1471內往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Arwen Kuo 郭品彣</author>
  </authors>
  <commentList>
    <comment ref="B51" authorId="0" shapeId="0" xr:uid="{2C0CDD21-91F2-4789-AA87-7946BD5A28A0}">
      <text>
        <r>
          <rPr>
            <b/>
            <sz val="9"/>
            <color indexed="81"/>
            <rFont val="Tahoma"/>
            <family val="2"/>
          </rPr>
          <t xml:space="preserve">Arwen Kuo </t>
        </r>
        <r>
          <rPr>
            <b/>
            <sz val="9"/>
            <color indexed="81"/>
            <rFont val="細明體"/>
            <family val="3"/>
            <charset val="136"/>
          </rPr>
          <t>郭品彣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202607</t>
        </r>
        <r>
          <rPr>
            <sz val="9"/>
            <color indexed="81"/>
            <rFont val="細明體"/>
            <family val="3"/>
            <charset val="136"/>
          </rPr>
          <t>已送簽完使預算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<sst xmlns="http://schemas.openxmlformats.org/spreadsheetml/2006/main" count="10900" uniqueCount="2577">
  <si>
    <t>調整說明</t>
  </si>
  <si>
    <t>1.</t>
  </si>
  <si>
    <r>
      <rPr>
        <sz val="12"/>
        <color theme="1"/>
        <rFont val="Noto Sans CJK SC"/>
        <family val="2"/>
      </rPr>
      <t>依</t>
    </r>
    <r>
      <rPr>
        <sz val="12"/>
        <color theme="1"/>
        <rFont val="Calibri"/>
        <family val="2"/>
        <charset val="1"/>
      </rPr>
      <t>KL</t>
    </r>
    <r>
      <rPr>
        <sz val="12"/>
        <color theme="1"/>
        <rFont val="Noto Sans CJK SC"/>
        <family val="2"/>
      </rPr>
      <t>意見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詳圖一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</si>
  <si>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 xml:space="preserve">1) </t>
    </r>
    <r>
      <rPr>
        <sz val="12"/>
        <color theme="1"/>
        <rFont val="Noto Sans CJK SC"/>
        <family val="2"/>
      </rPr>
      <t>增加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Underbill,(</t>
    </r>
    <r>
      <rPr>
        <sz val="12"/>
        <color theme="1"/>
        <rFont val="Noto Sans CJK SC"/>
        <family val="2"/>
      </rPr>
      <t>即</t>
    </r>
    <r>
      <rPr>
        <sz val="12"/>
        <color theme="1"/>
        <rFont val="Calibri"/>
        <family val="2"/>
        <charset val="1"/>
      </rPr>
      <t>2023</t>
    </r>
    <r>
      <rPr>
        <sz val="12"/>
        <color theme="1"/>
        <rFont val="Noto Sans CJK SC"/>
        <family val="2"/>
      </rPr>
      <t>年底調整</t>
    </r>
    <r>
      <rPr>
        <sz val="12"/>
        <color theme="1"/>
        <rFont val="Calibri"/>
        <family val="2"/>
        <charset val="1"/>
      </rPr>
      <t>C/TO_Adj. $400m),2023</t>
    </r>
    <r>
      <rPr>
        <sz val="12"/>
        <color theme="1"/>
        <rFont val="Noto Sans CJK SC"/>
        <family val="2"/>
      </rPr>
      <t>年底與</t>
    </r>
    <r>
      <rPr>
        <sz val="12"/>
        <color theme="1"/>
        <rFont val="Calibri"/>
        <family val="2"/>
        <charset val="1"/>
      </rPr>
      <t>2023.8.31</t>
    </r>
    <r>
      <rPr>
        <sz val="12"/>
        <color theme="1"/>
        <rFont val="Noto Sans CJK SC"/>
        <family val="2"/>
      </rPr>
      <t>差異請詳</t>
    </r>
    <r>
      <rPr>
        <sz val="12"/>
        <color theme="1"/>
        <rFont val="Calibri"/>
        <family val="2"/>
        <charset val="1"/>
      </rPr>
      <t>"Over Under Bill 1"</t>
    </r>
    <r>
      <rPr>
        <sz val="12"/>
        <color theme="1"/>
        <rFont val="Noto Sans CJK SC"/>
        <family val="2"/>
      </rPr>
      <t>工作表</t>
    </r>
  </si>
  <si>
    <r>
      <rPr>
        <sz val="12"/>
        <color theme="1"/>
        <rFont val="Calibri"/>
        <family val="2"/>
        <charset val="1"/>
      </rPr>
      <t>2) B0 2264</t>
    </r>
    <r>
      <rPr>
        <sz val="12"/>
        <color theme="1"/>
        <rFont val="Noto Sans CJK SC"/>
        <family val="2"/>
      </rPr>
      <t>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考量物調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專案先行投入及權重因素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調整業主計價百分比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比例詳</t>
    </r>
    <r>
      <rPr>
        <sz val="12"/>
        <color theme="1"/>
        <rFont val="Calibri"/>
        <family val="2"/>
        <charset val="1"/>
      </rPr>
      <t xml:space="preserve">line 2, </t>
    </r>
    <r>
      <rPr>
        <sz val="12"/>
        <color theme="1"/>
        <rFont val="Noto Sans CJK SC"/>
        <family val="2"/>
      </rPr>
      <t>以利</t>
    </r>
    <r>
      <rPr>
        <sz val="12"/>
        <color theme="1"/>
        <rFont val="Calibri"/>
        <family val="2"/>
        <charset val="1"/>
      </rPr>
      <t xml:space="preserve">underbill or overbill </t>
    </r>
    <r>
      <rPr>
        <sz val="12"/>
        <color theme="1"/>
        <rFont val="Noto Sans CJK SC"/>
        <family val="2"/>
      </rPr>
      <t>金額表達較合理之趨勢</t>
    </r>
  </si>
  <si>
    <t>2.</t>
  </si>
  <si>
    <r>
      <rPr>
        <sz val="12"/>
        <color theme="1"/>
        <rFont val="Calibri"/>
        <family val="2"/>
        <charset val="1"/>
      </rPr>
      <t>B1 ZSD060</t>
    </r>
    <r>
      <rPr>
        <sz val="12"/>
        <color theme="1"/>
        <rFont val="Noto Sans CJK SC"/>
        <family val="2"/>
      </rPr>
      <t>扣保工作表</t>
    </r>
    <r>
      <rPr>
        <sz val="12"/>
        <color theme="1"/>
        <rFont val="Calibri"/>
        <family val="2"/>
        <charset val="1"/>
      </rPr>
      <t>_</t>
    </r>
    <r>
      <rPr>
        <sz val="12"/>
        <color theme="1"/>
        <rFont val="Noto Sans CJK SC"/>
        <family val="2"/>
      </rPr>
      <t>包括</t>
    </r>
    <r>
      <rPr>
        <sz val="12"/>
        <color theme="1"/>
        <rFont val="Calibri"/>
        <family val="2"/>
        <charset val="1"/>
      </rPr>
      <t>CF</t>
    </r>
    <r>
      <rPr>
        <sz val="12"/>
        <color theme="1"/>
        <rFont val="Noto Sans CJK SC"/>
        <family val="2"/>
      </rPr>
      <t>重分配金額</t>
    </r>
  </si>
  <si>
    <t>3.</t>
  </si>
  <si>
    <r>
      <rPr>
        <sz val="12"/>
        <color theme="1"/>
        <rFont val="Noto Sans CJK SC"/>
        <family val="2"/>
      </rPr>
      <t>調整</t>
    </r>
    <r>
      <rPr>
        <sz val="12"/>
        <color theme="1"/>
        <rFont val="Calibri"/>
        <family val="2"/>
        <charset val="1"/>
      </rPr>
      <t>2028</t>
    </r>
    <r>
      <rPr>
        <sz val="12"/>
        <color theme="1"/>
        <rFont val="Noto Sans CJK SC"/>
        <family val="2"/>
      </rPr>
      <t>年底</t>
    </r>
    <r>
      <rPr>
        <sz val="12"/>
        <color theme="1"/>
        <rFont val="Calibri"/>
        <family val="2"/>
        <charset val="1"/>
      </rPr>
      <t>Underbill</t>
    </r>
  </si>
  <si>
    <t>圖一</t>
  </si>
  <si>
    <t>CEC 2026 Budget- Balance Sheets</t>
  </si>
  <si>
    <t>CEC 2020 Budget- Balance Sheets (for HQ Consolidation)</t>
  </si>
  <si>
    <t>Business Office : Taiwan Office</t>
  </si>
  <si>
    <t>Currency : NTD</t>
  </si>
  <si>
    <r>
      <rPr>
        <b/>
        <sz val="11"/>
        <color theme="1"/>
        <rFont val="Calibri"/>
        <family val="2"/>
        <charset val="1"/>
      </rPr>
      <t>BY Monthly _</t>
    </r>
    <r>
      <rPr>
        <b/>
        <sz val="11"/>
        <color rgb="FFC00000"/>
        <rFont val="Calibri"/>
        <family val="2"/>
        <charset val="1"/>
      </rPr>
      <t xml:space="preserve"> for  A0 BS 1240</t>
    </r>
  </si>
  <si>
    <t>BS_WIP</t>
  </si>
  <si>
    <t>2025.10.18</t>
  </si>
  <si>
    <t>Actaul</t>
  </si>
  <si>
    <t>FCST</t>
  </si>
  <si>
    <t>月份</t>
  </si>
  <si>
    <t>9/1-12/31</t>
  </si>
  <si>
    <t>Forecast</t>
  </si>
  <si>
    <t>Budget</t>
  </si>
  <si>
    <t>Year 2026</t>
  </si>
  <si>
    <t>Year 2027</t>
  </si>
  <si>
    <t>Year 2028</t>
  </si>
  <si>
    <t>Year 2029</t>
  </si>
  <si>
    <t>Year 2030</t>
  </si>
  <si>
    <r>
      <rPr>
        <b/>
        <u/>
        <sz val="11"/>
        <color theme="1"/>
        <rFont val="Noto Sans CJK SC"/>
        <family val="2"/>
      </rPr>
      <t>流動資產</t>
    </r>
    <r>
      <rPr>
        <b/>
        <u/>
        <sz val="11"/>
        <color theme="1"/>
        <rFont val="Calibri"/>
        <family val="2"/>
        <charset val="1"/>
      </rPr>
      <t>:</t>
    </r>
  </si>
  <si>
    <t>Current Assets:</t>
  </si>
  <si>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Noto Sans CJK SC"/>
        <family val="2"/>
      </rPr>
      <t>現金及約當現金</t>
    </r>
  </si>
  <si>
    <t>銀行存款</t>
  </si>
  <si>
    <t>1100 Cash and cash equivalents</t>
  </si>
  <si>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Noto Sans CJK SC"/>
        <family val="2"/>
      </rPr>
      <t>避險之金融資產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流動</t>
    </r>
  </si>
  <si>
    <t xml:space="preserve">1130 Current financial assets for hedging  </t>
  </si>
  <si>
    <r>
      <rPr>
        <sz val="11"/>
        <color theme="1" tint="0.3498947111423078"/>
        <rFont val="Calibri"/>
        <family val="2"/>
        <charset val="1"/>
      </rPr>
      <t>1103</t>
    </r>
    <r>
      <rPr>
        <sz val="11"/>
        <color theme="1" tint="0.3498947111423078"/>
        <rFont val="Noto Sans CJK SC"/>
        <family val="2"/>
      </rPr>
      <t>外幣存款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避險</t>
    </r>
  </si>
  <si>
    <r>
      <rPr>
        <sz val="11"/>
        <color theme="1" tint="0.3498947111423078"/>
        <rFont val="Calibri"/>
        <family val="2"/>
        <charset val="1"/>
      </rPr>
      <t>1139</t>
    </r>
    <r>
      <rPr>
        <sz val="11"/>
        <color theme="1" tint="0.3498947111423078"/>
        <rFont val="Noto Sans CJK SC"/>
        <family val="2"/>
      </rPr>
      <t>避險之金融資產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流動</t>
    </r>
    <r>
      <rPr>
        <sz val="11"/>
        <color theme="1" tint="0.3498947111423078"/>
        <rFont val="Calibri"/>
        <family val="2"/>
        <charset val="1"/>
      </rPr>
      <t>.</t>
    </r>
  </si>
  <si>
    <t>其他流動資產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</si>
  <si>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應收建造合約款</t>
    </r>
  </si>
  <si>
    <t>1190 Construction contracts receivable</t>
  </si>
  <si>
    <r>
      <rPr>
        <sz val="11"/>
        <rFont val="Calibri"/>
        <family val="2"/>
        <charset val="1"/>
      </rPr>
      <t xml:space="preserve">1240 X </t>
    </r>
    <r>
      <rPr>
        <sz val="11"/>
        <rFont val="Noto Sans CJK SC"/>
        <family val="2"/>
      </rPr>
      <t>在建工程</t>
    </r>
    <r>
      <rPr>
        <sz val="11"/>
        <rFont val="Calibri"/>
        <family val="2"/>
        <charset val="1"/>
      </rPr>
      <t>_</t>
    </r>
    <r>
      <rPr>
        <sz val="11"/>
        <rFont val="Noto Sans CJK SC"/>
        <family val="2"/>
      </rPr>
      <t>成本</t>
    </r>
  </si>
  <si>
    <t>1240 X WIP -Cost Incurred</t>
  </si>
  <si>
    <r>
      <rPr>
        <sz val="11"/>
        <rFont val="Calibri"/>
        <family val="2"/>
        <charset val="1"/>
      </rPr>
      <t xml:space="preserve">1247X </t>
    </r>
    <r>
      <rPr>
        <sz val="11"/>
        <rFont val="Noto Sans CJK SC"/>
        <family val="2"/>
      </rPr>
      <t>在建損益</t>
    </r>
  </si>
  <si>
    <t>1247X WIP - P&amp;L (by POC)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</si>
  <si>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其他預收工程款</t>
    </r>
  </si>
  <si>
    <t>2264X Construction contracts - Progress billing</t>
  </si>
  <si>
    <r>
      <rPr>
        <sz val="11"/>
        <rFont val="Calibri"/>
        <family val="2"/>
        <charset val="1"/>
      </rPr>
      <t xml:space="preserve">2264X </t>
    </r>
    <r>
      <rPr>
        <sz val="11"/>
        <rFont val="Noto Sans CJK SC"/>
        <family val="2"/>
      </rPr>
      <t>工程合約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業主預付款</t>
    </r>
  </si>
  <si>
    <t>2264X Construction contracts -Client's Advance Payment</t>
  </si>
  <si>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應收工程保留款</t>
    </r>
  </si>
  <si>
    <t>應收款項</t>
  </si>
  <si>
    <t>1141 Contract assets - Retention receivable</t>
  </si>
  <si>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Noto Sans CJK SC"/>
        <family val="2"/>
      </rPr>
      <t>合約資產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應收完工估列款</t>
    </r>
  </si>
  <si>
    <t>1142 Contract assets - Accrual receivable</t>
  </si>
  <si>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Noto Sans CJK SC"/>
        <family val="2"/>
      </rPr>
      <t>應收票據淨額</t>
    </r>
  </si>
  <si>
    <t xml:space="preserve">1150 Notes receivable, net </t>
  </si>
  <si>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Noto Sans CJK SC"/>
        <family val="2"/>
      </rPr>
      <t>應收帳款淨額</t>
    </r>
  </si>
  <si>
    <t xml:space="preserve">1170 Accounts receivable, net </t>
  </si>
  <si>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Noto Sans CJK SC"/>
        <family val="2"/>
      </rPr>
      <t>應收帳款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關係人淨額</t>
    </r>
  </si>
  <si>
    <t xml:space="preserve">1180 Accounts receivable-related parties, net </t>
  </si>
  <si>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Noto Sans CJK SC"/>
        <family val="2"/>
      </rPr>
      <t>其他應收款</t>
    </r>
  </si>
  <si>
    <t>1200 Other receivable</t>
  </si>
  <si>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Noto Sans CJK SC"/>
        <family val="2"/>
      </rPr>
      <t>當期所得稅資產</t>
    </r>
  </si>
  <si>
    <t>1220 Current tax assets</t>
  </si>
  <si>
    <r>
      <rPr>
        <sz val="11"/>
        <color theme="1"/>
        <rFont val="Calibri"/>
        <family val="2"/>
        <charset val="1"/>
      </rPr>
      <t xml:space="preserve">130X </t>
    </r>
    <r>
      <rPr>
        <sz val="11"/>
        <color theme="1"/>
        <rFont val="Noto Sans CJK SC"/>
        <family val="2"/>
      </rPr>
      <t>存貨</t>
    </r>
  </si>
  <si>
    <t>130X Inventories</t>
  </si>
  <si>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Noto Sans CJK SC"/>
        <family val="2"/>
      </rPr>
      <t>預付款項</t>
    </r>
  </si>
  <si>
    <t>1410 Prepayments</t>
  </si>
  <si>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Noto Sans CJK SC"/>
        <family val="2"/>
      </rPr>
      <t>其他流動資產</t>
    </r>
  </si>
  <si>
    <t xml:space="preserve">1470 Other current assets </t>
  </si>
  <si>
    <t>質押定期存款</t>
  </si>
  <si>
    <r>
      <rPr>
        <sz val="11"/>
        <color theme="1" tint="0.3498947111423078"/>
        <rFont val="Noto Sans CJK SC"/>
        <family val="2"/>
      </rPr>
      <t>銀行存款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備償</t>
    </r>
  </si>
  <si>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Noto Sans CJK SC"/>
        <family val="2"/>
      </rPr>
      <t>公司內部往來</t>
    </r>
    <r>
      <rPr>
        <sz val="11"/>
        <color theme="1"/>
        <rFont val="Calibri"/>
        <family val="2"/>
        <charset val="1"/>
      </rPr>
      <t>:</t>
    </r>
  </si>
  <si>
    <t xml:space="preserve">1471 Intercompany current account : </t>
  </si>
  <si>
    <t>台灣事業處</t>
  </si>
  <si>
    <t xml:space="preserve">Taiwan/HQ </t>
  </si>
  <si>
    <r>
      <rPr>
        <sz val="11"/>
        <rFont val="Noto Sans CJK SC"/>
        <family val="2"/>
      </rPr>
      <t>台灣事業處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資金往來</t>
    </r>
  </si>
  <si>
    <t>Taiwan/HQ -Funding</t>
  </si>
  <si>
    <t>香港分公司</t>
  </si>
  <si>
    <t xml:space="preserve">HK branch /HQ </t>
  </si>
  <si>
    <t>香港子公司</t>
  </si>
  <si>
    <t xml:space="preserve">HK subsidiary/HQ </t>
  </si>
  <si>
    <t>澳門分公司</t>
  </si>
  <si>
    <t xml:space="preserve">Macau branch /HQ </t>
  </si>
  <si>
    <t>印度專案辦公室</t>
  </si>
  <si>
    <t>ICEC/HQ</t>
  </si>
  <si>
    <t>印度子公司</t>
  </si>
  <si>
    <t>CICI/HQ</t>
  </si>
  <si>
    <t>馬來西亞子公司</t>
  </si>
  <si>
    <t>CIMY/HQ</t>
  </si>
  <si>
    <t>流動資產小計</t>
  </si>
  <si>
    <t>Subtotal Current assets</t>
  </si>
  <si>
    <r>
      <rPr>
        <b/>
        <u/>
        <sz val="14"/>
        <color theme="1"/>
        <rFont val="Noto Sans CJK SC"/>
        <family val="2"/>
      </rPr>
      <t>非流動資產</t>
    </r>
    <r>
      <rPr>
        <b/>
        <u/>
        <sz val="14"/>
        <color theme="1"/>
        <rFont val="Calibri"/>
        <family val="2"/>
        <charset val="1"/>
      </rPr>
      <t>:</t>
    </r>
  </si>
  <si>
    <t>Non-current Assets:</t>
  </si>
  <si>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Noto Sans CJK SC"/>
        <family val="2"/>
      </rPr>
      <t>透過損益按公允價值衡量之金融資產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</si>
  <si>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1510 Non-current Financial Assets at FV through P&amp;L</t>
  </si>
  <si>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Noto Sans CJK SC"/>
        <family val="2"/>
      </rPr>
      <t>透過</t>
    </r>
    <r>
      <rPr>
        <sz val="11"/>
        <color theme="1"/>
        <rFont val="Calibri"/>
        <family val="2"/>
        <charset val="1"/>
      </rPr>
      <t>OCI</t>
    </r>
    <r>
      <rPr>
        <sz val="11"/>
        <color theme="1"/>
        <rFont val="Noto Sans CJK SC"/>
        <family val="2"/>
      </rPr>
      <t>按</t>
    </r>
    <r>
      <rPr>
        <sz val="11"/>
        <color theme="1"/>
        <rFont val="Calibri"/>
        <family val="2"/>
        <charset val="1"/>
      </rPr>
      <t>FV</t>
    </r>
    <r>
      <rPr>
        <sz val="11"/>
        <color theme="1"/>
        <rFont val="Noto Sans CJK SC"/>
        <family val="2"/>
      </rPr>
      <t>衡量之金融資產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非流動</t>
    </r>
  </si>
  <si>
    <t>1517 Non-current Financial Assets at FV through OCI</t>
  </si>
  <si>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Noto Sans CJK SC"/>
        <family val="2"/>
      </rPr>
      <t>採權益法之投資</t>
    </r>
  </si>
  <si>
    <t xml:space="preserve">1550 Investment accounted for using equity method </t>
  </si>
  <si>
    <r>
      <rPr>
        <sz val="11"/>
        <rFont val="Calibri"/>
        <family val="2"/>
        <charset val="1"/>
      </rPr>
      <t xml:space="preserve">1601 </t>
    </r>
    <r>
      <rPr>
        <sz val="11"/>
        <rFont val="Noto Sans CJK SC"/>
        <family val="2"/>
      </rPr>
      <t>土地</t>
    </r>
  </si>
  <si>
    <t>1601 Land</t>
  </si>
  <si>
    <r>
      <rPr>
        <sz val="11"/>
        <rFont val="Calibri"/>
        <family val="2"/>
        <charset val="1"/>
      </rPr>
      <t xml:space="preserve">1611 </t>
    </r>
    <r>
      <rPr>
        <sz val="11"/>
        <rFont val="Noto Sans CJK SC"/>
        <family val="2"/>
      </rPr>
      <t>房屋及建築</t>
    </r>
  </si>
  <si>
    <t>1611 Buildings</t>
  </si>
  <si>
    <r>
      <rPr>
        <sz val="11"/>
        <rFont val="Calibri"/>
        <family val="2"/>
        <charset val="1"/>
      </rPr>
      <t xml:space="preserve">1615 </t>
    </r>
    <r>
      <rPr>
        <sz val="11"/>
        <rFont val="Noto Sans CJK SC"/>
        <family val="2"/>
      </rPr>
      <t>機器設備</t>
    </r>
  </si>
  <si>
    <t>1615 Machinery and equipment</t>
  </si>
  <si>
    <r>
      <rPr>
        <sz val="11"/>
        <rFont val="Calibri"/>
        <family val="2"/>
        <charset val="1"/>
      </rPr>
      <t xml:space="preserve">1655 </t>
    </r>
    <r>
      <rPr>
        <sz val="11"/>
        <rFont val="Noto Sans CJK SC"/>
        <family val="2"/>
      </rPr>
      <t>電腦通訊設備</t>
    </r>
  </si>
  <si>
    <t>1655 Computer equipment</t>
  </si>
  <si>
    <r>
      <rPr>
        <sz val="11"/>
        <rFont val="Calibri"/>
        <family val="2"/>
        <charset val="1"/>
      </rPr>
      <t xml:space="preserve">1670 </t>
    </r>
    <r>
      <rPr>
        <sz val="11"/>
        <rFont val="Noto Sans CJK SC"/>
        <family val="2"/>
      </rPr>
      <t>運輸設備</t>
    </r>
  </si>
  <si>
    <t xml:space="preserve">1670 Transportation equipment </t>
  </si>
  <si>
    <r>
      <rPr>
        <sz val="11"/>
        <rFont val="Calibri"/>
        <family val="2"/>
        <charset val="1"/>
      </rPr>
      <t xml:space="preserve">1690 </t>
    </r>
    <r>
      <rPr>
        <sz val="11"/>
        <rFont val="Noto Sans CJK SC"/>
        <family val="2"/>
      </rPr>
      <t>辦公設備</t>
    </r>
  </si>
  <si>
    <t>1690 Office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</si>
  <si>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成本</t>
    </r>
  </si>
  <si>
    <t xml:space="preserve">1600 Property, plant and equipment -Cost </t>
  </si>
  <si>
    <r>
      <rPr>
        <sz val="11"/>
        <rFont val="Calibri"/>
        <family val="2"/>
        <charset val="1"/>
      </rPr>
      <t xml:space="preserve">1613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</si>
  <si>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1613 AD-Buildings</t>
  </si>
  <si>
    <r>
      <rPr>
        <sz val="11"/>
        <rFont val="Calibri"/>
        <family val="2"/>
        <charset val="1"/>
      </rPr>
      <t xml:space="preserve">1618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</si>
  <si>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1618 AD-Machinery and equipment</t>
  </si>
  <si>
    <r>
      <rPr>
        <sz val="11"/>
        <rFont val="Calibri"/>
        <family val="2"/>
        <charset val="1"/>
      </rPr>
      <t xml:space="preserve">1658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電腦通訊設備</t>
    </r>
  </si>
  <si>
    <t>1658 Computer equipment</t>
  </si>
  <si>
    <r>
      <rPr>
        <sz val="11"/>
        <rFont val="Calibri"/>
        <family val="2"/>
        <charset val="1"/>
      </rPr>
      <t xml:space="preserve">1673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</si>
  <si>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 xml:space="preserve">1673 Transportation equipment </t>
  </si>
  <si>
    <r>
      <rPr>
        <sz val="11"/>
        <rFont val="Calibri"/>
        <family val="2"/>
        <charset val="1"/>
      </rPr>
      <t xml:space="preserve">1693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辦公設備</t>
    </r>
  </si>
  <si>
    <t>1693 Office equipment</t>
  </si>
  <si>
    <r>
      <rPr>
        <sz val="11"/>
        <rFont val="Calibri"/>
        <family val="2"/>
        <charset val="1"/>
      </rPr>
      <t xml:space="preserve">1619 </t>
    </r>
    <r>
      <rPr>
        <sz val="11"/>
        <rFont val="Noto Sans CJK SC"/>
        <family val="2"/>
      </rPr>
      <t>累減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機器設備</t>
    </r>
  </si>
  <si>
    <t>1619 Impairment-Machinery &amp; Equipment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</si>
  <si>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累折及減損</t>
    </r>
  </si>
  <si>
    <t>1600 Property, plant and equipment -AD &amp; impairment</t>
  </si>
  <si>
    <r>
      <rPr>
        <sz val="11"/>
        <rFont val="Calibri"/>
        <family val="2"/>
        <charset val="1"/>
      </rPr>
      <t xml:space="preserve">1600 </t>
    </r>
    <r>
      <rPr>
        <sz val="11"/>
        <rFont val="Noto Sans CJK SC"/>
        <family val="2"/>
      </rPr>
      <t>不動產、廠房及設備淨額</t>
    </r>
  </si>
  <si>
    <t>1600 Property, plant and equipment -net</t>
  </si>
  <si>
    <r>
      <rPr>
        <sz val="11"/>
        <rFont val="Calibri"/>
        <family val="2"/>
        <charset val="1"/>
      </rPr>
      <t xml:space="preserve">1751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</si>
  <si>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1751 Right-of-use property-land </t>
  </si>
  <si>
    <r>
      <rPr>
        <sz val="11"/>
        <rFont val="Calibri"/>
        <family val="2"/>
        <charset val="1"/>
      </rPr>
      <t xml:space="preserve">1752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</si>
  <si>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1752 Right-of-use property-buildings</t>
  </si>
  <si>
    <r>
      <rPr>
        <sz val="11"/>
        <rFont val="Calibri"/>
        <family val="2"/>
        <charset val="1"/>
      </rPr>
      <t xml:space="preserve">1754 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</si>
  <si>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1754 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</si>
  <si>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使用權資產小計</t>
    </r>
  </si>
  <si>
    <t>1750 Subtotal Right-of-use property</t>
  </si>
  <si>
    <r>
      <rPr>
        <sz val="11"/>
        <rFont val="Calibri"/>
        <family val="2"/>
        <charset val="1"/>
      </rPr>
      <t xml:space="preserve">1756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</si>
  <si>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 xml:space="preserve">1756 AD_Right-of-use property-land </t>
  </si>
  <si>
    <r>
      <rPr>
        <sz val="11"/>
        <rFont val="Calibri"/>
        <family val="2"/>
        <charset val="1"/>
      </rPr>
      <t xml:space="preserve">1757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房屋及建築</t>
    </r>
  </si>
  <si>
    <t>1757 AD_Right-of-use property-buildings</t>
  </si>
  <si>
    <r>
      <rPr>
        <sz val="11"/>
        <rFont val="Calibri"/>
        <family val="2"/>
        <charset val="1"/>
      </rPr>
      <t xml:space="preserve">1759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使用權資產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運輸設備</t>
    </r>
  </si>
  <si>
    <t>1759 AD_Right-of-use property-transportation equip.</t>
  </si>
  <si>
    <r>
      <rPr>
        <sz val="11"/>
        <rFont val="Calibri"/>
        <family val="2"/>
        <charset val="1"/>
      </rPr>
      <t xml:space="preserve">1750 </t>
    </r>
    <r>
      <rPr>
        <sz val="11"/>
        <rFont val="Noto Sans CJK SC"/>
        <family val="2"/>
      </rPr>
      <t>使用權資產淨額</t>
    </r>
  </si>
  <si>
    <t>1750 Right-of-use property - net (IFRS 16)</t>
  </si>
  <si>
    <r>
      <rPr>
        <sz val="11"/>
        <rFont val="Calibri"/>
        <family val="2"/>
        <charset val="1"/>
      </rPr>
      <t xml:space="preserve">1761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土地</t>
    </r>
  </si>
  <si>
    <t>1761 Investment property-land</t>
  </si>
  <si>
    <r>
      <rPr>
        <sz val="11"/>
        <rFont val="Calibri"/>
        <family val="2"/>
        <charset val="1"/>
      </rPr>
      <t xml:space="preserve">1765 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</si>
  <si>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1765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</si>
  <si>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投資性不動產小計</t>
    </r>
  </si>
  <si>
    <t>1760 Subtotal Investment property</t>
  </si>
  <si>
    <r>
      <rPr>
        <sz val="11"/>
        <rFont val="Calibri"/>
        <family val="2"/>
        <charset val="1"/>
      </rPr>
      <t xml:space="preserve">1768 </t>
    </r>
    <r>
      <rPr>
        <sz val="11"/>
        <rFont val="Noto Sans CJK SC"/>
        <family val="2"/>
      </rPr>
      <t>累折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投資性不動產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建築物</t>
    </r>
  </si>
  <si>
    <t>1768 AD_ Investment property-buildings</t>
  </si>
  <si>
    <r>
      <rPr>
        <sz val="11"/>
        <rFont val="Calibri"/>
        <family val="2"/>
        <charset val="1"/>
      </rPr>
      <t xml:space="preserve">1760 </t>
    </r>
    <r>
      <rPr>
        <sz val="11"/>
        <rFont val="Noto Sans CJK SC"/>
        <family val="2"/>
      </rPr>
      <t>投資性不動產淨額</t>
    </r>
  </si>
  <si>
    <t>1760 Investment property - net</t>
  </si>
  <si>
    <r>
      <rPr>
        <sz val="11"/>
        <rFont val="Calibri"/>
        <family val="2"/>
        <charset val="1"/>
      </rPr>
      <t xml:space="preserve">1900 </t>
    </r>
    <r>
      <rPr>
        <sz val="11"/>
        <rFont val="Noto Sans CJK SC"/>
        <family val="2"/>
      </rPr>
      <t>其他非流動資產</t>
    </r>
  </si>
  <si>
    <t>1900 Other Non-current assets</t>
  </si>
  <si>
    <t>非流動資產小計</t>
  </si>
  <si>
    <t>Subtotal Non-current assets</t>
  </si>
  <si>
    <t>資產總計</t>
  </si>
  <si>
    <t>TOTAL ASSETS</t>
  </si>
  <si>
    <r>
      <rPr>
        <b/>
        <u/>
        <sz val="14"/>
        <rFont val="Noto Sans CJK SC"/>
        <family val="2"/>
      </rPr>
      <t>流動負債</t>
    </r>
    <r>
      <rPr>
        <b/>
        <u/>
        <sz val="14"/>
        <rFont val="Calibri"/>
        <family val="2"/>
        <charset val="1"/>
      </rPr>
      <t>:</t>
    </r>
  </si>
  <si>
    <r>
      <rPr>
        <b/>
        <sz val="11"/>
        <color rgb="FFC00000"/>
        <rFont val="Noto Sans CJK SC"/>
        <family val="2"/>
      </rPr>
      <t>以下</t>
    </r>
    <r>
      <rPr>
        <b/>
        <sz val="11"/>
        <color rgb="FFC00000"/>
        <rFont val="微軟正黑體"/>
        <family val="2"/>
        <charset val="136"/>
      </rPr>
      <t>*-1</t>
    </r>
  </si>
  <si>
    <t>Current Liabilities:</t>
  </si>
  <si>
    <r>
      <rPr>
        <sz val="11"/>
        <rFont val="Calibri"/>
        <family val="2"/>
        <charset val="1"/>
      </rPr>
      <t xml:space="preserve">2100 </t>
    </r>
    <r>
      <rPr>
        <sz val="11"/>
        <rFont val="Noto Sans CJK SC"/>
        <family val="2"/>
      </rPr>
      <t>短期借款</t>
    </r>
  </si>
  <si>
    <t>2100 Short-term borrowings</t>
  </si>
  <si>
    <r>
      <rPr>
        <sz val="11"/>
        <rFont val="Calibri"/>
        <family val="2"/>
        <charset val="1"/>
      </rPr>
      <t xml:space="preserve">2110 </t>
    </r>
    <r>
      <rPr>
        <sz val="11"/>
        <rFont val="Noto Sans CJK SC"/>
        <family val="2"/>
      </rPr>
      <t>應付短期票券</t>
    </r>
  </si>
  <si>
    <t>2110 Short-term notes &amp; bill payable</t>
  </si>
  <si>
    <r>
      <rPr>
        <sz val="11"/>
        <color rgb="FF7030A0"/>
        <rFont val="Calibri"/>
        <family val="2"/>
        <charset val="1"/>
      </rPr>
      <t xml:space="preserve">1190 </t>
    </r>
    <r>
      <rPr>
        <sz val="11"/>
        <color rgb="FF7030A0"/>
        <rFont val="Noto Sans CJK SC"/>
        <family val="2"/>
      </rPr>
      <t>應付建造合約款</t>
    </r>
  </si>
  <si>
    <t>2190 Construction contracts payable</t>
  </si>
  <si>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Noto Sans CJK SC"/>
        <family val="2"/>
      </rPr>
      <t>預收工程款</t>
    </r>
    <r>
      <rPr>
        <sz val="11"/>
        <color theme="1"/>
        <rFont val="Calibri"/>
        <family val="2"/>
        <charset val="1"/>
      </rPr>
      <t>-</t>
    </r>
    <r>
      <rPr>
        <sz val="11"/>
        <color theme="1"/>
        <rFont val="Noto Sans CJK SC"/>
        <family val="2"/>
      </rPr>
      <t>業主預付款</t>
    </r>
  </si>
  <si>
    <t>2300 Advance receipts - client advance payment</t>
  </si>
  <si>
    <r>
      <rPr>
        <sz val="11"/>
        <rFont val="Calibri"/>
        <family val="2"/>
        <charset val="1"/>
      </rPr>
      <t xml:space="preserve">2170 </t>
    </r>
    <r>
      <rPr>
        <sz val="11"/>
        <rFont val="Noto Sans CJK SC"/>
        <family val="2"/>
      </rPr>
      <t>應付帳款</t>
    </r>
  </si>
  <si>
    <t>應付款項</t>
  </si>
  <si>
    <t>2170 Accounts payable</t>
  </si>
  <si>
    <r>
      <rPr>
        <sz val="11"/>
        <rFont val="Calibri"/>
        <family val="2"/>
        <charset val="1"/>
      </rPr>
      <t xml:space="preserve">2180 </t>
    </r>
    <r>
      <rPr>
        <sz val="11"/>
        <rFont val="Noto Sans CJK SC"/>
        <family val="2"/>
      </rPr>
      <t>應付帳款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關係人</t>
    </r>
  </si>
  <si>
    <t>2180 Accouts payable - related parties</t>
  </si>
  <si>
    <r>
      <rPr>
        <sz val="11"/>
        <rFont val="Calibri"/>
        <family val="2"/>
        <charset val="1"/>
      </rPr>
      <t xml:space="preserve">2200 </t>
    </r>
    <r>
      <rPr>
        <sz val="11"/>
        <rFont val="Noto Sans CJK SC"/>
        <family val="2"/>
      </rPr>
      <t>其他應付款</t>
    </r>
  </si>
  <si>
    <t>其他流動負債</t>
  </si>
  <si>
    <t>2200 Other payable</t>
  </si>
  <si>
    <r>
      <rPr>
        <sz val="11"/>
        <color rgb="FF7030A0"/>
        <rFont val="Calibri"/>
        <family val="2"/>
        <charset val="1"/>
      </rPr>
      <t xml:space="preserve">2214 </t>
    </r>
    <r>
      <rPr>
        <sz val="11"/>
        <color rgb="FF7030A0"/>
        <rFont val="Noto Sans CJK SC"/>
        <family val="2"/>
      </rPr>
      <t>銷項</t>
    </r>
    <r>
      <rPr>
        <sz val="11"/>
        <color rgb="FF7030A0"/>
        <rFont val="Calibri"/>
        <family val="2"/>
        <charset val="1"/>
      </rPr>
      <t xml:space="preserve">-1264 </t>
    </r>
    <r>
      <rPr>
        <sz val="11"/>
        <color rgb="FF7030A0"/>
        <rFont val="Noto Sans CJK SC"/>
        <family val="2"/>
      </rPr>
      <t>進項</t>
    </r>
  </si>
  <si>
    <t>2220 Other payable - related parties</t>
  </si>
  <si>
    <r>
      <rPr>
        <sz val="11"/>
        <rFont val="Calibri"/>
        <family val="2"/>
        <charset val="1"/>
      </rPr>
      <t xml:space="preserve">2250 </t>
    </r>
    <r>
      <rPr>
        <sz val="11"/>
        <rFont val="Noto Sans CJK SC"/>
        <family val="2"/>
      </rPr>
      <t>負債準備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 xml:space="preserve">流動 </t>
    </r>
  </si>
  <si>
    <t>2250 Current provision</t>
  </si>
  <si>
    <r>
      <rPr>
        <sz val="11"/>
        <color theme="1" tint="0.3498947111423078"/>
        <rFont val="Noto Sans CJK SC"/>
        <family val="2"/>
      </rPr>
      <t>應付帳款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保固修繕估列款</t>
    </r>
  </si>
  <si>
    <t>保固準備</t>
  </si>
  <si>
    <r>
      <rPr>
        <sz val="11"/>
        <color theme="1" tint="0.3498947111423078"/>
        <rFont val="Noto Sans CJK SC"/>
        <family val="2"/>
      </rPr>
      <t>負債準備</t>
    </r>
    <r>
      <rPr>
        <sz val="11"/>
        <color theme="1" tint="0.3498947111423078"/>
        <rFont val="Calibri"/>
        <family val="2"/>
        <charset val="1"/>
      </rPr>
      <t>-</t>
    </r>
    <r>
      <rPr>
        <sz val="11"/>
        <color theme="1" tint="0.3498947111423078"/>
        <rFont val="Noto Sans CJK SC"/>
        <family val="2"/>
      </rPr>
      <t>在建損失</t>
    </r>
  </si>
  <si>
    <t>NA</t>
  </si>
  <si>
    <r>
      <rPr>
        <sz val="11"/>
        <rFont val="Calibri"/>
        <family val="2"/>
        <charset val="1"/>
      </rPr>
      <t xml:space="preserve">2280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流動</t>
    </r>
  </si>
  <si>
    <t>2280 Lease liabilities - current (IFRS 16)</t>
  </si>
  <si>
    <r>
      <rPr>
        <sz val="11"/>
        <rFont val="Calibri"/>
        <family val="2"/>
        <charset val="1"/>
      </rPr>
      <t xml:space="preserve">2310 </t>
    </r>
    <r>
      <rPr>
        <sz val="11"/>
        <rFont val="Noto Sans CJK SC"/>
        <family val="2"/>
      </rPr>
      <t>預收款項</t>
    </r>
  </si>
  <si>
    <t>2310 Advance receipts</t>
  </si>
  <si>
    <r>
      <rPr>
        <sz val="11"/>
        <rFont val="Calibri"/>
        <family val="2"/>
        <charset val="1"/>
      </rPr>
      <t xml:space="preserve">2399 </t>
    </r>
    <r>
      <rPr>
        <sz val="11"/>
        <rFont val="Noto Sans CJK SC"/>
        <family val="2"/>
      </rPr>
      <t>其他流動負債</t>
    </r>
  </si>
  <si>
    <t>2399 Other current liabilities</t>
  </si>
  <si>
    <t>TO &amp; BIM - Trading 2</t>
  </si>
  <si>
    <t>流動負債小計</t>
  </si>
  <si>
    <t>Subtotal Current liabilities</t>
  </si>
  <si>
    <r>
      <rPr>
        <b/>
        <u/>
        <sz val="14"/>
        <rFont val="Noto Sans CJK SC"/>
        <family val="2"/>
      </rPr>
      <t>非流動負債</t>
    </r>
    <r>
      <rPr>
        <b/>
        <u/>
        <sz val="14"/>
        <rFont val="Calibri"/>
        <family val="2"/>
        <charset val="1"/>
      </rPr>
      <t>:</t>
    </r>
  </si>
  <si>
    <t>Non-current liabilities:</t>
  </si>
  <si>
    <r>
      <rPr>
        <sz val="11"/>
        <rFont val="Calibri"/>
        <family val="2"/>
        <charset val="1"/>
      </rPr>
      <t xml:space="preserve">2540 </t>
    </r>
    <r>
      <rPr>
        <sz val="11"/>
        <rFont val="Noto Sans CJK SC"/>
        <family val="2"/>
      </rPr>
      <t>長期借款</t>
    </r>
  </si>
  <si>
    <t>2540 Long-term borrowings</t>
  </si>
  <si>
    <r>
      <rPr>
        <sz val="11"/>
        <rFont val="Calibri"/>
        <family val="2"/>
        <charset val="1"/>
      </rPr>
      <t xml:space="preserve">2580 </t>
    </r>
    <r>
      <rPr>
        <sz val="11"/>
        <rFont val="Noto Sans CJK SC"/>
        <family val="2"/>
      </rPr>
      <t>租賃負債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</si>
  <si>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2580 Lease liabilities - non current (IFRS 16)</t>
  </si>
  <si>
    <r>
      <rPr>
        <sz val="11"/>
        <rFont val="Calibri"/>
        <family val="2"/>
        <charset val="1"/>
      </rPr>
      <t xml:space="preserve">2570 </t>
    </r>
    <r>
      <rPr>
        <sz val="11"/>
        <rFont val="Noto Sans CJK SC"/>
        <family val="2"/>
      </rPr>
      <t>遞延所得稅負債</t>
    </r>
  </si>
  <si>
    <t>2570 Deferred tax liabilities</t>
  </si>
  <si>
    <r>
      <rPr>
        <sz val="11"/>
        <rFont val="Calibri"/>
        <family val="2"/>
        <charset val="1"/>
      </rPr>
      <t xml:space="preserve">2640 </t>
    </r>
    <r>
      <rPr>
        <sz val="11"/>
        <rFont val="Noto Sans CJK SC"/>
        <family val="2"/>
      </rPr>
      <t>淨確定福利負債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非流動</t>
    </r>
  </si>
  <si>
    <t>2640 Net defined benefit liabilities-non current</t>
  </si>
  <si>
    <r>
      <rPr>
        <sz val="11"/>
        <rFont val="Calibri"/>
        <family val="2"/>
        <charset val="1"/>
      </rPr>
      <t xml:space="preserve">2645 </t>
    </r>
    <r>
      <rPr>
        <sz val="11"/>
        <rFont val="Noto Sans CJK SC"/>
        <family val="2"/>
      </rPr>
      <t>存入保證金</t>
    </r>
  </si>
  <si>
    <t xml:space="preserve">2645 Guarantee deposits received </t>
  </si>
  <si>
    <r>
      <rPr>
        <sz val="11"/>
        <rFont val="Calibri"/>
        <family val="2"/>
        <charset val="1"/>
      </rPr>
      <t xml:space="preserve">2650 </t>
    </r>
    <r>
      <rPr>
        <sz val="11"/>
        <rFont val="Noto Sans CJK SC"/>
        <family val="2"/>
      </rPr>
      <t>採用權益法之投資貸餘</t>
    </r>
  </si>
  <si>
    <t>2650 Credit bal of investment accounted for using equity method</t>
  </si>
  <si>
    <t>非流動負債小計</t>
  </si>
  <si>
    <t>Subtotal Non-Current liabilities</t>
  </si>
  <si>
    <t>負債合計</t>
  </si>
  <si>
    <t>TOTAL LIABILITIES</t>
  </si>
  <si>
    <r>
      <rPr>
        <b/>
        <u/>
        <sz val="14"/>
        <rFont val="Noto Sans CJK SC"/>
        <family val="2"/>
      </rPr>
      <t>股    本</t>
    </r>
    <r>
      <rPr>
        <b/>
        <u/>
        <sz val="14"/>
        <rFont val="Calibri"/>
        <family val="2"/>
        <charset val="1"/>
      </rPr>
      <t>:</t>
    </r>
  </si>
  <si>
    <t>Share Capital:</t>
  </si>
  <si>
    <r>
      <rPr>
        <sz val="11"/>
        <rFont val="Calibri"/>
        <family val="2"/>
        <charset val="1"/>
      </rPr>
      <t xml:space="preserve">3110 </t>
    </r>
    <r>
      <rPr>
        <sz val="11"/>
        <rFont val="Noto Sans CJK SC"/>
        <family val="2"/>
      </rPr>
      <t>普通股股本</t>
    </r>
  </si>
  <si>
    <t>3110 Ordinary (Common) Shares</t>
  </si>
  <si>
    <r>
      <rPr>
        <b/>
        <u/>
        <sz val="14"/>
        <rFont val="Noto Sans CJK SC"/>
        <family val="2"/>
      </rPr>
      <t>資本公積</t>
    </r>
    <r>
      <rPr>
        <b/>
        <u/>
        <sz val="14"/>
        <rFont val="Calibri"/>
        <family val="2"/>
        <charset val="1"/>
      </rPr>
      <t>:</t>
    </r>
  </si>
  <si>
    <t>Capital surplus:</t>
  </si>
  <si>
    <r>
      <rPr>
        <sz val="11"/>
        <rFont val="Calibri"/>
        <family val="2"/>
        <charset val="1"/>
      </rPr>
      <t xml:space="preserve">3211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普通股股票溢價</t>
    </r>
  </si>
  <si>
    <t>3211 Capital surplus - ordinary share premium</t>
  </si>
  <si>
    <r>
      <rPr>
        <sz val="11"/>
        <rFont val="Calibri"/>
        <family val="2"/>
        <charset val="1"/>
      </rPr>
      <t xml:space="preserve">3220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庫藏股票交易</t>
    </r>
  </si>
  <si>
    <t>3220 Capital surplus - treasury stock</t>
  </si>
  <si>
    <r>
      <rPr>
        <sz val="11"/>
        <rFont val="Calibri"/>
        <family val="2"/>
        <charset val="1"/>
      </rPr>
      <t xml:space="preserve">3260 </t>
    </r>
    <r>
      <rPr>
        <sz val="11"/>
        <rFont val="Noto Sans CJK SC"/>
        <family val="2"/>
      </rPr>
      <t>資本公積</t>
    </r>
    <r>
      <rPr>
        <sz val="11"/>
        <rFont val="Calibri"/>
        <family val="2"/>
        <charset val="1"/>
      </rPr>
      <t>-</t>
    </r>
    <r>
      <rPr>
        <sz val="11"/>
        <rFont val="Noto Sans CJK SC"/>
        <family val="2"/>
      </rPr>
      <t>採權益法投資認列之子公司變動數</t>
    </r>
  </si>
  <si>
    <t>3260 Capital surplus - Investment accounted for using equity method</t>
  </si>
  <si>
    <r>
      <rPr>
        <sz val="11"/>
        <rFont val="Calibri"/>
        <family val="2"/>
        <charset val="1"/>
      </rPr>
      <t xml:space="preserve">3310 </t>
    </r>
    <r>
      <rPr>
        <sz val="11"/>
        <rFont val="Noto Sans CJK SC"/>
        <family val="2"/>
      </rPr>
      <t>法定盈餘公積</t>
    </r>
  </si>
  <si>
    <t>3310 Legal reserve</t>
  </si>
  <si>
    <r>
      <rPr>
        <sz val="11"/>
        <rFont val="Calibri"/>
        <family val="2"/>
        <charset val="1"/>
      </rPr>
      <t xml:space="preserve">3320 </t>
    </r>
    <r>
      <rPr>
        <sz val="11"/>
        <rFont val="Noto Sans CJK SC"/>
        <family val="2"/>
      </rPr>
      <t>特別盈餘公積</t>
    </r>
  </si>
  <si>
    <t>3320 Special reserve</t>
  </si>
  <si>
    <r>
      <rPr>
        <sz val="11"/>
        <rFont val="Calibri"/>
        <family val="2"/>
        <charset val="1"/>
      </rPr>
      <t xml:space="preserve">3351 </t>
    </r>
    <r>
      <rPr>
        <sz val="11"/>
        <rFont val="Noto Sans CJK SC"/>
        <family val="2"/>
      </rPr>
      <t>累積盈虧</t>
    </r>
  </si>
  <si>
    <t>3351 Cumulated profit and losses</t>
  </si>
  <si>
    <r>
      <rPr>
        <sz val="11"/>
        <rFont val="Calibri"/>
        <family val="2"/>
        <charset val="1"/>
      </rPr>
      <t xml:space="preserve">3353 </t>
    </r>
    <r>
      <rPr>
        <sz val="11"/>
        <rFont val="Noto Sans CJK SC"/>
        <family val="2"/>
      </rPr>
      <t>本期損益</t>
    </r>
  </si>
  <si>
    <t>3353 Current P&amp;L</t>
  </si>
  <si>
    <r>
      <rPr>
        <sz val="11"/>
        <rFont val="Calibri"/>
        <family val="2"/>
        <charset val="1"/>
      </rPr>
      <t xml:space="preserve">3359 </t>
    </r>
    <r>
      <rPr>
        <sz val="11"/>
        <rFont val="Noto Sans CJK SC"/>
        <family val="2"/>
      </rPr>
      <t>虛擬盈餘結算</t>
    </r>
    <r>
      <rPr>
        <sz val="11"/>
        <rFont val="Calibri"/>
        <family val="2"/>
        <charset val="1"/>
      </rPr>
      <t>-TW office</t>
    </r>
  </si>
  <si>
    <t xml:space="preserve">3359 Internal Account-TO earnings distribution </t>
  </si>
  <si>
    <r>
      <rPr>
        <b/>
        <u/>
        <sz val="14"/>
        <rFont val="Noto Sans CJK SC"/>
        <family val="2"/>
      </rPr>
      <t>其他權益</t>
    </r>
    <r>
      <rPr>
        <b/>
        <u/>
        <sz val="14"/>
        <rFont val="Calibri"/>
        <family val="2"/>
        <charset val="1"/>
      </rPr>
      <t>:</t>
    </r>
  </si>
  <si>
    <t>Other Equity:</t>
  </si>
  <si>
    <r>
      <rPr>
        <sz val="11"/>
        <rFont val="Calibri"/>
        <family val="2"/>
        <charset val="1"/>
      </rPr>
      <t xml:space="preserve">3410 </t>
    </r>
    <r>
      <rPr>
        <sz val="11"/>
        <rFont val="Noto Sans CJK SC"/>
        <family val="2"/>
      </rPr>
      <t>國外營運機構財報換算之兌換差額</t>
    </r>
  </si>
  <si>
    <t>3410 Exchange difference on translation of foreign FS</t>
  </si>
  <si>
    <r>
      <rPr>
        <sz val="11"/>
        <rFont val="Calibri"/>
        <family val="2"/>
        <charset val="1"/>
      </rPr>
      <t xml:space="preserve">3420 </t>
    </r>
    <r>
      <rPr>
        <sz val="11"/>
        <rFont val="Noto Sans CJK SC"/>
        <family val="2"/>
      </rPr>
      <t>透過</t>
    </r>
    <r>
      <rPr>
        <sz val="11"/>
        <rFont val="Calibri"/>
        <family val="2"/>
        <charset val="1"/>
      </rPr>
      <t>OCI</t>
    </r>
    <r>
      <rPr>
        <sz val="11"/>
        <rFont val="Noto Sans CJK SC"/>
        <family val="2"/>
      </rPr>
      <t>按</t>
    </r>
    <r>
      <rPr>
        <sz val="11"/>
        <rFont val="Calibri"/>
        <family val="2"/>
        <charset val="1"/>
      </rPr>
      <t>FV</t>
    </r>
    <r>
      <rPr>
        <sz val="11"/>
        <rFont val="Noto Sans CJK SC"/>
        <family val="2"/>
      </rPr>
      <t>衡量之金融資產未實現損益</t>
    </r>
  </si>
  <si>
    <t xml:space="preserve">3420 Unrealized gains (loss) on financial assets at FV thro.OCI </t>
  </si>
  <si>
    <r>
      <rPr>
        <sz val="11"/>
        <rFont val="Calibri"/>
        <family val="2"/>
        <charset val="1"/>
      </rPr>
      <t xml:space="preserve">3450 </t>
    </r>
    <r>
      <rPr>
        <sz val="11"/>
        <rFont val="Noto Sans CJK SC"/>
        <family val="2"/>
      </rPr>
      <t>避險工具之損益</t>
    </r>
  </si>
  <si>
    <t xml:space="preserve">3450 Gains(loss) on effective portion of hedge instrument </t>
  </si>
  <si>
    <t>權益合計</t>
  </si>
  <si>
    <t>TOTAL EQUITIES</t>
  </si>
  <si>
    <t>負債及權益</t>
  </si>
  <si>
    <t>LIABILITIES &amp; EQUITIES</t>
  </si>
  <si>
    <t>Balance Check</t>
  </si>
  <si>
    <r>
      <rPr>
        <b/>
        <sz val="12"/>
        <rFont val="Calibri"/>
        <family val="2"/>
        <charset val="1"/>
      </rPr>
      <t>2026</t>
    </r>
    <r>
      <rPr>
        <b/>
        <sz val="12"/>
        <rFont val="Noto Sans CJK SC"/>
        <family val="2"/>
      </rPr>
      <t xml:space="preserve">年       </t>
    </r>
  </si>
  <si>
    <r>
      <rPr>
        <sz val="12"/>
        <color theme="1"/>
        <rFont val="Noto Sans CJK SC"/>
        <family val="2"/>
      </rPr>
      <t>公式詳註解</t>
    </r>
    <r>
      <rPr>
        <sz val="12"/>
        <color theme="1"/>
        <rFont val="Calibri"/>
        <family val="2"/>
        <charset val="1"/>
      </rPr>
      <t>,</t>
    </r>
    <r>
      <rPr>
        <sz val="12"/>
        <color theme="1"/>
        <rFont val="Noto Sans CJK SC"/>
        <family val="2"/>
      </rPr>
      <t>其他年度以此類推</t>
    </r>
  </si>
  <si>
    <r>
      <rPr>
        <sz val="12"/>
        <color theme="1"/>
        <rFont val="Calibri"/>
        <family val="2"/>
        <charset val="1"/>
      </rPr>
      <t>Year 2026 (</t>
    </r>
    <r>
      <rPr>
        <sz val="12"/>
        <color theme="1"/>
        <rFont val="Noto Sans CJK SC"/>
        <family val="2"/>
      </rPr>
      <t>內部使用</t>
    </r>
    <r>
      <rPr>
        <sz val="12"/>
        <color theme="1"/>
        <rFont val="Microsoft JhengHei"/>
        <family val="2"/>
        <charset val="1"/>
      </rPr>
      <t>)</t>
    </r>
  </si>
  <si>
    <t>WIP - IPC</t>
  </si>
  <si>
    <t>公式不同</t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</si>
  <si>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2025/8</t>
    </r>
  </si>
  <si>
    <r>
      <rPr>
        <sz val="12"/>
        <color rgb="FF0070C0"/>
        <rFont val="Noto Sans CJK SC"/>
        <family val="2"/>
      </rPr>
      <t>累計</t>
    </r>
    <r>
      <rPr>
        <sz val="12"/>
        <color rgb="FF0070C0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</si>
  <si>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</si>
  <si>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</si>
  <si>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2026/3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</si>
  <si>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2026/4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</si>
  <si>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2026/5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</si>
  <si>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2026/6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</si>
  <si>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2026/7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</si>
  <si>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2026/8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</si>
  <si>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2026/9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</si>
  <si>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2026/10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</si>
  <si>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2026/11</t>
    </r>
  </si>
  <si>
    <r>
      <rPr>
        <sz val="12"/>
        <color rgb="FF0070C0"/>
        <rFont val="Noto Sans CJK SC"/>
        <family val="2"/>
      </rPr>
      <t>累計</t>
    </r>
    <r>
      <rPr>
        <sz val="12"/>
        <color rgb="FF0070C0"/>
        <rFont val="Calibri"/>
        <family val="2"/>
        <charset val="1"/>
      </rPr>
      <t>2026/12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</si>
  <si>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2027/12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</si>
  <si>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2028/12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</si>
  <si>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</si>
  <si>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"/>
      </rPr>
      <t>2030/12</t>
    </r>
  </si>
  <si>
    <t>2024/9 - 2024/12</t>
  </si>
  <si>
    <t>Year 2025</t>
  </si>
  <si>
    <r>
      <rPr>
        <sz val="12"/>
        <color theme="1"/>
        <rFont val="Noto Sans CJK SC"/>
        <family val="2"/>
      </rPr>
      <t>應收建造變動數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</si>
  <si>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r>
      <rPr>
        <sz val="12"/>
        <color theme="1"/>
        <rFont val="Noto Sans CJK SC"/>
        <family val="2"/>
      </rPr>
      <t>應付建造變動數</t>
    </r>
    <r>
      <rPr>
        <sz val="12"/>
        <color theme="1"/>
        <rFont val="Microsoft JhengHei"/>
        <family val="2"/>
        <charset val="1"/>
      </rPr>
      <t>(</t>
    </r>
    <r>
      <rPr>
        <sz val="12"/>
        <color theme="1"/>
        <rFont val="Noto Sans CJK SC"/>
        <family val="2"/>
      </rPr>
      <t>正數增加</t>
    </r>
    <r>
      <rPr>
        <sz val="12"/>
        <color theme="1"/>
        <rFont val="Microsoft JhengHei"/>
        <family val="2"/>
        <charset val="1"/>
      </rPr>
      <t>,</t>
    </r>
    <r>
      <rPr>
        <sz val="12"/>
        <color theme="1"/>
        <rFont val="Noto Sans CJK SC"/>
        <family val="2"/>
      </rPr>
      <t>負數減少</t>
    </r>
    <r>
      <rPr>
        <sz val="12"/>
        <color theme="1"/>
        <rFont val="Microsoft JhengHei"/>
        <family val="2"/>
        <charset val="1"/>
      </rPr>
      <t>)</t>
    </r>
  </si>
  <si>
    <t>1240+1247</t>
  </si>
  <si>
    <t>2264+22641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</si>
  <si>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</si>
  <si>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Calibri"/>
        <family val="2"/>
        <charset val="1"/>
      </rPr>
      <t>22642</t>
    </r>
    <r>
      <rPr>
        <sz val="12"/>
        <color theme="1"/>
        <rFont val="Noto Sans CJK SC"/>
        <family val="2"/>
      </rPr>
      <t>業主預付款</t>
    </r>
  </si>
  <si>
    <t>合約資產</t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</si>
  <si>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</si>
  <si>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theme="1"/>
        <rFont val="Noto Sans CJK SC"/>
        <family val="2"/>
      </rPr>
      <t>應收</t>
    </r>
    <r>
      <rPr>
        <sz val="12"/>
        <color theme="1"/>
        <rFont val="微軟正黑體"/>
        <family val="2"/>
        <charset val="136"/>
      </rPr>
      <t>(</t>
    </r>
    <r>
      <rPr>
        <sz val="12"/>
        <color theme="1"/>
        <rFont val="Noto Sans CJK SC"/>
        <family val="2"/>
      </rPr>
      <t>付</t>
    </r>
    <r>
      <rPr>
        <sz val="12"/>
        <color theme="1"/>
        <rFont val="微軟正黑體"/>
        <family val="2"/>
        <charset val="136"/>
      </rPr>
      <t>)</t>
    </r>
    <r>
      <rPr>
        <sz val="12"/>
        <color theme="1"/>
        <rFont val="Noto Sans CJK SC"/>
        <family val="2"/>
      </rPr>
      <t>建造</t>
    </r>
  </si>
  <si>
    <r>
      <rPr>
        <sz val="12"/>
        <color rgb="FF0070C0"/>
        <rFont val="Noto Sans CJK SC"/>
        <family val="2"/>
      </rPr>
      <t>應收</t>
    </r>
    <r>
      <rPr>
        <sz val="12"/>
        <color rgb="FF0070C0"/>
        <rFont val="Calibri"/>
        <family val="2"/>
        <charset val="1"/>
      </rPr>
      <t>(</t>
    </r>
    <r>
      <rPr>
        <sz val="12"/>
        <color rgb="FF0070C0"/>
        <rFont val="Noto Sans CJK SC"/>
        <family val="2"/>
      </rPr>
      <t>付</t>
    </r>
    <r>
      <rPr>
        <sz val="12"/>
        <color rgb="FF0070C0"/>
        <rFont val="Calibri"/>
        <family val="2"/>
        <charset val="1"/>
      </rPr>
      <t>)</t>
    </r>
    <r>
      <rPr>
        <sz val="12"/>
        <color rgb="FF0070C0"/>
        <rFont val="Noto Sans CJK SC"/>
        <family val="2"/>
      </rPr>
      <t>建造</t>
    </r>
  </si>
  <si>
    <t>應收建造</t>
  </si>
  <si>
    <t>應付建造</t>
  </si>
  <si>
    <t>情況一</t>
  </si>
  <si>
    <t>情況二</t>
  </si>
  <si>
    <t>情況三</t>
  </si>
  <si>
    <t>情況四</t>
  </si>
  <si>
    <t>Total</t>
  </si>
  <si>
    <t>工程代碼</t>
  </si>
  <si>
    <t>工   程   名   稱</t>
  </si>
  <si>
    <t xml:space="preserve">Revenue  </t>
  </si>
  <si>
    <t xml:space="preserve">IPC from Client </t>
  </si>
  <si>
    <t>Under(Over) Bill</t>
  </si>
  <si>
    <t>Adv. Payment</t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</si>
  <si>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合約負債</t>
    </r>
    <r>
      <rPr>
        <sz val="12"/>
        <color theme="1"/>
        <rFont val="Calibri"/>
        <family val="2"/>
        <charset val="1"/>
      </rPr>
      <t>)</t>
    </r>
  </si>
  <si>
    <t>Under Bill</t>
  </si>
  <si>
    <t>Over Bill</t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</si>
  <si>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年年底皆應收</t>
    </r>
  </si>
  <si>
    <t>由應收轉應付</t>
  </si>
  <si>
    <t>由應付轉應收</t>
  </si>
  <si>
    <r>
      <rPr>
        <sz val="12"/>
        <color theme="1"/>
        <rFont val="Noto Sans CJK SC"/>
        <family val="2"/>
      </rPr>
      <t>上年應收，本年</t>
    </r>
    <r>
      <rPr>
        <sz val="12"/>
        <color theme="1"/>
        <rFont val="Microsoft JhengHei"/>
        <family val="2"/>
        <charset val="1"/>
      </rPr>
      <t>0</t>
    </r>
  </si>
  <si>
    <r>
      <rPr>
        <sz val="12"/>
        <color theme="1"/>
        <rFont val="Calibri"/>
        <family val="2"/>
        <charset val="1"/>
      </rPr>
      <t>2</t>
    </r>
    <r>
      <rPr>
        <sz val="12"/>
        <color theme="1"/>
        <rFont val="Noto Sans CJK SC"/>
        <family val="2"/>
      </rPr>
      <t>年年底皆應付</t>
    </r>
  </si>
  <si>
    <r>
      <rPr>
        <sz val="12"/>
        <color theme="1"/>
        <rFont val="Noto Sans CJK SC"/>
        <family val="2"/>
      </rPr>
      <t>上年</t>
    </r>
    <r>
      <rPr>
        <sz val="12"/>
        <color theme="1"/>
        <rFont val="Microsoft JhengHei"/>
        <family val="2"/>
        <charset val="1"/>
      </rPr>
      <t>0</t>
    </r>
    <r>
      <rPr>
        <sz val="12"/>
        <color theme="1"/>
        <rFont val="Noto Sans CJK SC"/>
        <family val="2"/>
      </rPr>
      <t>，本年應付</t>
    </r>
  </si>
  <si>
    <t>C/4120P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</si>
  <si>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含未來損失</t>
    </r>
    <r>
      <rPr>
        <sz val="12"/>
        <rFont val="Calibri"/>
        <family val="2"/>
        <charset val="1"/>
      </rPr>
      <t>)</t>
    </r>
  </si>
  <si>
    <t>C/4130P</t>
  </si>
  <si>
    <r>
      <rPr>
        <sz val="12"/>
        <rFont val="Calibri"/>
        <family val="2"/>
        <charset val="1"/>
      </rPr>
      <t>CM01</t>
    </r>
    <r>
      <rPr>
        <sz val="12"/>
        <rFont val="Noto Sans CJK SC"/>
        <family val="2"/>
      </rPr>
      <t>機場捷運</t>
    </r>
  </si>
  <si>
    <t>C/4140N</t>
  </si>
  <si>
    <r>
      <rPr>
        <sz val="12"/>
        <rFont val="Calibri"/>
        <family val="2"/>
        <charset val="1"/>
      </rPr>
      <t>CQ842</t>
    </r>
    <r>
      <rPr>
        <sz val="12"/>
        <rFont val="Noto Sans CJK SC"/>
        <family val="2"/>
      </rPr>
      <t>萬大線</t>
    </r>
  </si>
  <si>
    <t>C/4160H</t>
  </si>
  <si>
    <r>
      <rPr>
        <sz val="12"/>
        <rFont val="Calibri"/>
        <family val="2"/>
        <charset val="1"/>
      </rPr>
      <t>CQ850A</t>
    </r>
    <r>
      <rPr>
        <sz val="12"/>
        <rFont val="Noto Sans CJK SC"/>
        <family val="2"/>
      </rPr>
      <t>標萬大線</t>
    </r>
  </si>
  <si>
    <t>C/4160J</t>
  </si>
  <si>
    <r>
      <rPr>
        <sz val="12"/>
        <rFont val="Calibri"/>
        <family val="2"/>
        <charset val="1"/>
      </rPr>
      <t>CQ840</t>
    </r>
    <r>
      <rPr>
        <sz val="12"/>
        <rFont val="Noto Sans CJK SC"/>
        <family val="2"/>
      </rPr>
      <t>標萬大線</t>
    </r>
  </si>
  <si>
    <t>C/4170A</t>
  </si>
  <si>
    <r>
      <rPr>
        <sz val="12"/>
        <rFont val="Calibri"/>
        <family val="2"/>
        <charset val="1"/>
      </rPr>
      <t>C214</t>
    </r>
    <r>
      <rPr>
        <sz val="12"/>
        <rFont val="Noto Sans CJK SC"/>
        <family val="2"/>
      </rPr>
      <t>標台南鐵路</t>
    </r>
  </si>
  <si>
    <t>C/4170G</t>
  </si>
  <si>
    <r>
      <rPr>
        <sz val="12"/>
        <rFont val="Calibri"/>
        <family val="2"/>
        <charset val="1"/>
      </rPr>
      <t>C211</t>
    </r>
    <r>
      <rPr>
        <sz val="12"/>
        <rFont val="Noto Sans CJK SC"/>
        <family val="2"/>
      </rPr>
      <t>標台南鐵路</t>
    </r>
  </si>
  <si>
    <t>C/4180E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</si>
  <si>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GC01</t>
    </r>
  </si>
  <si>
    <t>C/4190E</t>
  </si>
  <si>
    <r>
      <rPr>
        <sz val="12"/>
        <rFont val="Noto Sans CJK SC"/>
        <family val="2"/>
      </rPr>
      <t>桃園捷運綠線</t>
    </r>
    <r>
      <rPr>
        <sz val="12"/>
        <rFont val="Calibri"/>
        <family val="2"/>
        <charset val="1"/>
      </rPr>
      <t>GC03</t>
    </r>
  </si>
  <si>
    <t>C/4200F</t>
  </si>
  <si>
    <t>C003</t>
  </si>
  <si>
    <t>C/4210F</t>
  </si>
  <si>
    <t xml:space="preserve">C006 </t>
  </si>
  <si>
    <t>C/4210L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</si>
  <si>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</t>
    </r>
  </si>
  <si>
    <t>C/4220C</t>
  </si>
  <si>
    <r>
      <rPr>
        <sz val="12"/>
        <rFont val="Calibri"/>
        <family val="2"/>
        <charset val="1"/>
      </rPr>
      <t>N-WH</t>
    </r>
    <r>
      <rPr>
        <sz val="12"/>
        <rFont val="Noto Sans CJK SC"/>
        <family val="2"/>
      </rPr>
      <t>過港隧道</t>
    </r>
  </si>
  <si>
    <t>C/4230B</t>
  </si>
  <si>
    <r>
      <rPr>
        <sz val="12"/>
        <rFont val="Calibri"/>
        <family val="2"/>
        <charset val="1"/>
      </rPr>
      <t>CF670A</t>
    </r>
    <r>
      <rPr>
        <sz val="12"/>
        <rFont val="Noto Sans CJK SC"/>
        <family val="2"/>
      </rPr>
      <t>南環段</t>
    </r>
  </si>
  <si>
    <t>C/4240C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</si>
  <si>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</t>
    </r>
  </si>
  <si>
    <t>C/4250A</t>
  </si>
  <si>
    <r>
      <rPr>
        <sz val="12"/>
        <rFont val="Calibri"/>
        <family val="2"/>
        <charset val="1"/>
      </rPr>
      <t>CF690B</t>
    </r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(JV/CEC51%)</t>
    </r>
  </si>
  <si>
    <t>C/4250B</t>
  </si>
  <si>
    <r>
      <rPr>
        <sz val="12"/>
        <rFont val="Calibri"/>
        <family val="2"/>
        <charset val="1"/>
      </rPr>
      <t>CF670</t>
    </r>
    <r>
      <rPr>
        <sz val="12"/>
        <rFont val="Noto Sans CJK SC"/>
        <family val="2"/>
      </rPr>
      <t>南環段</t>
    </r>
  </si>
  <si>
    <t>C/49990_26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</si>
  <si>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-2025</t>
    </r>
    <r>
      <rPr>
        <sz val="12"/>
        <rFont val="Noto Sans CJK SC"/>
        <family val="2"/>
      </rPr>
      <t>年</t>
    </r>
  </si>
  <si>
    <t>C/49991_26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</si>
  <si>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-2026</t>
    </r>
    <r>
      <rPr>
        <sz val="12"/>
        <rFont val="Noto Sans CJK SC"/>
        <family val="2"/>
      </rPr>
      <t>年</t>
    </r>
  </si>
  <si>
    <t xml:space="preserve">C/49992_26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</si>
  <si>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-2027</t>
    </r>
    <r>
      <rPr>
        <sz val="12"/>
        <rFont val="Noto Sans CJK SC"/>
        <family val="2"/>
      </rPr>
      <t>年</t>
    </r>
  </si>
  <si>
    <t xml:space="preserve">C/49993_26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</si>
  <si>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-2028</t>
    </r>
    <r>
      <rPr>
        <sz val="12"/>
        <rFont val="Noto Sans CJK SC"/>
        <family val="2"/>
      </rPr>
      <t>年</t>
    </r>
  </si>
  <si>
    <t xml:space="preserve">C/49994_26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</si>
  <si>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-2029</t>
    </r>
    <r>
      <rPr>
        <sz val="12"/>
        <rFont val="Noto Sans CJK SC"/>
        <family val="2"/>
      </rPr>
      <t>年</t>
    </r>
  </si>
  <si>
    <t xml:space="preserve">C/49995_26 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</si>
  <si>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-2030</t>
    </r>
    <r>
      <rPr>
        <sz val="12"/>
        <rFont val="Noto Sans CJK SC"/>
        <family val="2"/>
      </rPr>
      <t>年</t>
    </r>
  </si>
  <si>
    <t>C/1100K</t>
  </si>
  <si>
    <t>南京琢豐</t>
  </si>
  <si>
    <t>C/1110O</t>
  </si>
  <si>
    <t>忠孝耑序</t>
  </si>
  <si>
    <t>C/1110P</t>
  </si>
  <si>
    <t>天津都更</t>
  </si>
  <si>
    <t>C/1110Q</t>
  </si>
  <si>
    <t>信義文昌</t>
  </si>
  <si>
    <t>C/1170B</t>
  </si>
  <si>
    <t>台中大坑</t>
  </si>
  <si>
    <t>C/1170C</t>
  </si>
  <si>
    <r>
      <rPr>
        <sz val="12"/>
        <rFont val="Noto Sans CJK SC"/>
        <family val="2"/>
      </rPr>
      <t>台中惠國</t>
    </r>
    <r>
      <rPr>
        <sz val="12"/>
        <rFont val="Calibri"/>
        <family val="2"/>
        <charset val="1"/>
      </rPr>
      <t>101</t>
    </r>
  </si>
  <si>
    <t>C/1170J</t>
  </si>
  <si>
    <t>新店央北</t>
  </si>
  <si>
    <t>C/1180B</t>
  </si>
  <si>
    <t>士林德行東路</t>
  </si>
  <si>
    <t>C/1190D</t>
  </si>
  <si>
    <t>新店耑美</t>
  </si>
  <si>
    <t>C/1190G</t>
  </si>
  <si>
    <t>南京馥敦</t>
  </si>
  <si>
    <t>C/1220A</t>
  </si>
  <si>
    <t>台中洲際</t>
  </si>
  <si>
    <t>C/1220D</t>
  </si>
  <si>
    <r>
      <rPr>
        <sz val="12"/>
        <rFont val="Noto Sans CJK SC"/>
        <family val="2"/>
      </rPr>
      <t>板橋衡沐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四維</t>
    </r>
    <r>
      <rPr>
        <sz val="12"/>
        <rFont val="Calibri"/>
        <family val="2"/>
        <charset val="1"/>
      </rPr>
      <t>)</t>
    </r>
  </si>
  <si>
    <t>C/1220E</t>
  </si>
  <si>
    <t>板橋新雅</t>
  </si>
  <si>
    <t>C/1220F</t>
  </si>
  <si>
    <t>大直金泰</t>
  </si>
  <si>
    <t>C/1230A</t>
  </si>
  <si>
    <r>
      <rPr>
        <sz val="12"/>
        <rFont val="Noto Sans CJK SC"/>
        <family val="2"/>
      </rPr>
      <t>信義</t>
    </r>
    <r>
      <rPr>
        <sz val="12"/>
        <rFont val="Calibri"/>
        <family val="2"/>
        <charset val="1"/>
      </rPr>
      <t>B7</t>
    </r>
    <r>
      <rPr>
        <sz val="12"/>
        <rFont val="Noto Sans CJK SC"/>
        <family val="2"/>
      </rPr>
      <t>修繕</t>
    </r>
  </si>
  <si>
    <t>C/1230C</t>
  </si>
  <si>
    <t>南港衡岄</t>
  </si>
  <si>
    <t>C/1240Q</t>
  </si>
  <si>
    <t>琢青修繕</t>
  </si>
  <si>
    <t>C/2110E</t>
  </si>
  <si>
    <t>宏和板橋</t>
  </si>
  <si>
    <t>C/2170L</t>
  </si>
  <si>
    <r>
      <rPr>
        <sz val="12"/>
        <rFont val="Noto Sans CJK SC"/>
        <family val="2"/>
      </rPr>
      <t>碩河信義</t>
    </r>
    <r>
      <rPr>
        <sz val="12"/>
        <rFont val="Calibri"/>
        <family val="2"/>
        <charset val="1"/>
      </rPr>
      <t>A7(</t>
    </r>
    <r>
      <rPr>
        <sz val="12"/>
        <rFont val="Noto Sans CJK SC"/>
        <family val="2"/>
      </rPr>
      <t>主體</t>
    </r>
    <r>
      <rPr>
        <sz val="12"/>
        <rFont val="Calibri"/>
        <family val="2"/>
        <charset val="1"/>
      </rPr>
      <t>)</t>
    </r>
  </si>
  <si>
    <t>C/2190A</t>
  </si>
  <si>
    <t>璞真勤美之森</t>
  </si>
  <si>
    <t>C/2200G</t>
  </si>
  <si>
    <t>銅鑼科學園區</t>
  </si>
  <si>
    <t>C/2210H</t>
  </si>
  <si>
    <t>民生鋼構除鏽</t>
  </si>
  <si>
    <t>C/2210I</t>
  </si>
  <si>
    <t>漢神洲際</t>
  </si>
  <si>
    <t>C/2230J</t>
  </si>
  <si>
    <t>捷運劍潭</t>
  </si>
  <si>
    <t>C/2240K</t>
  </si>
  <si>
    <t>璞真南港</t>
  </si>
  <si>
    <t>C/3140G</t>
  </si>
  <si>
    <r>
      <rPr>
        <sz val="12"/>
        <rFont val="Noto Sans CJK SC"/>
        <family val="2"/>
      </rPr>
      <t>森大摩天</t>
    </r>
    <r>
      <rPr>
        <sz val="12"/>
        <rFont val="Calibri"/>
        <family val="2"/>
        <charset val="1"/>
      </rPr>
      <t>41</t>
    </r>
  </si>
  <si>
    <t>C/3140I</t>
  </si>
  <si>
    <t>昕彤觀瀾</t>
  </si>
  <si>
    <t>C/3170H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</si>
  <si>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E</t>
    </r>
    <r>
      <rPr>
        <sz val="12"/>
        <rFont val="Noto Sans CJK SC"/>
        <family val="2"/>
      </rPr>
      <t>標</t>
    </r>
  </si>
  <si>
    <t>C/3170I</t>
  </si>
  <si>
    <t>璞真土城</t>
  </si>
  <si>
    <t>C/3190C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</si>
  <si>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(JV CEC55%)</t>
    </r>
  </si>
  <si>
    <t>C/3190F</t>
  </si>
  <si>
    <t>廣宇晴朗二期</t>
  </si>
  <si>
    <t>C/3190H</t>
  </si>
  <si>
    <r>
      <rPr>
        <sz val="12"/>
        <color theme="1"/>
        <rFont val="Noto Sans CJK SC"/>
        <family val="2"/>
      </rPr>
      <t>合銘新店</t>
    </r>
    <r>
      <rPr>
        <sz val="12"/>
        <color theme="1"/>
        <rFont val="Calibri"/>
        <family val="2"/>
        <charset val="1"/>
      </rPr>
      <t>(V CEC 51%)</t>
    </r>
  </si>
  <si>
    <t>C/3190I</t>
  </si>
  <si>
    <r>
      <rPr>
        <sz val="12"/>
        <color theme="1"/>
        <rFont val="Noto Sans CJK SC"/>
        <family val="2"/>
      </rPr>
      <t>汎陸高雄</t>
    </r>
    <r>
      <rPr>
        <sz val="12"/>
        <color theme="1"/>
        <rFont val="Calibri"/>
        <family val="2"/>
        <charset val="1"/>
      </rPr>
      <t>(JV CEC 49%)</t>
    </r>
  </si>
  <si>
    <t>C/3200A</t>
  </si>
  <si>
    <t>竹風竹北</t>
  </si>
  <si>
    <t>C/3200D</t>
  </si>
  <si>
    <t>竹風八德</t>
  </si>
  <si>
    <t>C/3200E</t>
  </si>
  <si>
    <t>富邦醴仁</t>
  </si>
  <si>
    <t>C/3200H</t>
  </si>
  <si>
    <t>聖得福最大直</t>
  </si>
  <si>
    <t>C/3200I</t>
  </si>
  <si>
    <t>萬企北投</t>
  </si>
  <si>
    <t>C/3210A</t>
  </si>
  <si>
    <t>富邦藝樹</t>
  </si>
  <si>
    <t>C/3210D</t>
  </si>
  <si>
    <t xml:space="preserve">京捷画世代 </t>
  </si>
  <si>
    <t>C/3210G</t>
  </si>
  <si>
    <t>富邦藝庭</t>
  </si>
  <si>
    <t>C/3210K</t>
  </si>
  <si>
    <t>勝聯台南西門大院</t>
  </si>
  <si>
    <t>C/3210M</t>
  </si>
  <si>
    <t>柏鴻北士科</t>
  </si>
  <si>
    <t>C/3220B</t>
  </si>
  <si>
    <t>慶城福華</t>
  </si>
  <si>
    <t>C/3220G</t>
  </si>
  <si>
    <t>國揚吉麟</t>
  </si>
  <si>
    <t>C/3220H</t>
  </si>
  <si>
    <r>
      <rPr>
        <sz val="12"/>
        <color theme="1"/>
        <rFont val="Noto Sans CJK SC"/>
        <family val="2"/>
      </rPr>
      <t>國賓台北</t>
    </r>
    <r>
      <rPr>
        <sz val="12"/>
        <color theme="1"/>
        <rFont val="Calibri"/>
        <family val="2"/>
        <charset val="1"/>
      </rPr>
      <t>(JV/CEC45%)</t>
    </r>
  </si>
  <si>
    <t>C/3240D</t>
  </si>
  <si>
    <t>南港國際一</t>
  </si>
  <si>
    <t>C/3240E</t>
  </si>
  <si>
    <t>新美齊仁平</t>
  </si>
  <si>
    <t>C/3240I</t>
  </si>
  <si>
    <t>璞真誠美宇見</t>
  </si>
  <si>
    <t>C/3240P</t>
  </si>
  <si>
    <t>南機社宅二</t>
  </si>
  <si>
    <t>C/3240R</t>
  </si>
  <si>
    <t>築源南港</t>
  </si>
  <si>
    <t>C/3170H_01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</si>
  <si>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機電拆分沖銷</t>
    </r>
  </si>
  <si>
    <t>C/3170H_02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</si>
  <si>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機電損益差額</t>
    </r>
  </si>
  <si>
    <t>C/39990_26</t>
  </si>
  <si>
    <t>C/39991_26</t>
  </si>
  <si>
    <t>C/39992_26</t>
  </si>
  <si>
    <t>C/39993_26</t>
  </si>
  <si>
    <t>C/39994_26</t>
  </si>
  <si>
    <t>C/39995_26</t>
  </si>
  <si>
    <t>C/317HH</t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</si>
  <si>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</si>
  <si>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C/8180D</t>
  </si>
  <si>
    <r>
      <rPr>
        <sz val="12"/>
        <rFont val="Noto Sans CJK SC"/>
        <family val="2"/>
      </rPr>
      <t>遠揚</t>
    </r>
    <r>
      <rPr>
        <sz val="12"/>
        <rFont val="Calibri"/>
        <family val="2"/>
        <charset val="1"/>
      </rPr>
      <t>T-Park</t>
    </r>
  </si>
  <si>
    <t>C/8190C</t>
  </si>
  <si>
    <r>
      <rPr>
        <sz val="12"/>
        <rFont val="Noto Sans CJK SC"/>
        <family val="2"/>
      </rPr>
      <t>南港公宅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</si>
  <si>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C/8210B</t>
  </si>
  <si>
    <r>
      <rPr>
        <sz val="12"/>
        <rFont val="Noto Sans CJK SC"/>
        <family val="2"/>
      </rPr>
      <t>宏築信義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</si>
  <si>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t>C/8210D</t>
  </si>
  <si>
    <t>京捷画世代機電</t>
  </si>
  <si>
    <t>C/8210L</t>
  </si>
  <si>
    <t>CF680C_F624D</t>
  </si>
  <si>
    <t>C/8220J</t>
  </si>
  <si>
    <t>華固學府機電</t>
  </si>
  <si>
    <t>C/8230B</t>
  </si>
  <si>
    <r>
      <rPr>
        <sz val="12"/>
        <rFont val="Calibri"/>
        <family val="2"/>
        <charset val="1"/>
      </rPr>
      <t>CF670A_CF624H</t>
    </r>
    <r>
      <rPr>
        <sz val="12"/>
        <rFont val="Noto Sans CJK SC"/>
        <family val="2"/>
      </rPr>
      <t>水環標</t>
    </r>
  </si>
  <si>
    <t>C/8230J</t>
  </si>
  <si>
    <t>捷運劍潭機電專案</t>
  </si>
  <si>
    <t>C/8240A</t>
  </si>
  <si>
    <t>華固上文林機電</t>
  </si>
  <si>
    <t>C/8240B</t>
  </si>
  <si>
    <t>華固中央置地機電</t>
  </si>
  <si>
    <t>C/8240C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</si>
  <si>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標桃園鐵路機電</t>
    </r>
  </si>
  <si>
    <t>C/8250P</t>
  </si>
  <si>
    <t>南機社宅二機電</t>
  </si>
  <si>
    <t>C/89990_26</t>
  </si>
  <si>
    <t>C/89991_26</t>
  </si>
  <si>
    <t>C/89992_26</t>
  </si>
  <si>
    <t>C/89993_26</t>
  </si>
  <si>
    <t>C/89994_26</t>
  </si>
  <si>
    <t>C/89995_26</t>
  </si>
  <si>
    <t>C/TO_Adj.</t>
  </si>
  <si>
    <r>
      <rPr>
        <sz val="12"/>
        <rFont val="Calibri"/>
        <family val="2"/>
        <charset val="1"/>
      </rPr>
      <t>TO</t>
    </r>
    <r>
      <rPr>
        <sz val="12"/>
        <rFont val="Noto Sans CJK SC"/>
        <family val="2"/>
      </rPr>
      <t>調整</t>
    </r>
  </si>
  <si>
    <t>C/419ZE_EL</t>
  </si>
  <si>
    <r>
      <rPr>
        <sz val="12"/>
        <rFont val="Calibri"/>
        <family val="2"/>
        <charset val="1"/>
      </rPr>
      <t>GC03 _4.5% GP</t>
    </r>
    <r>
      <rPr>
        <sz val="12"/>
        <rFont val="Noto Sans CJK SC"/>
        <family val="2"/>
      </rPr>
      <t>差額</t>
    </r>
  </si>
  <si>
    <t>C/8210L_EL</t>
  </si>
  <si>
    <r>
      <rPr>
        <sz val="12"/>
        <rFont val="Noto Sans CJK SC"/>
        <family val="2"/>
      </rPr>
      <t>北環段</t>
    </r>
    <r>
      <rPr>
        <sz val="12"/>
        <rFont val="Calibri"/>
        <family val="2"/>
        <charset val="1"/>
      </rPr>
      <t>CF680C-</t>
    </r>
    <r>
      <rPr>
        <sz val="12"/>
        <rFont val="Noto Sans CJK SC"/>
        <family val="2"/>
      </rPr>
      <t>土木</t>
    </r>
    <r>
      <rPr>
        <sz val="12"/>
        <rFont val="Calibri"/>
        <family val="2"/>
        <charset val="1"/>
      </rPr>
      <t>+</t>
    </r>
    <r>
      <rPr>
        <sz val="12"/>
        <rFont val="Noto Sans CJK SC"/>
        <family val="2"/>
      </rPr>
      <t>機電</t>
    </r>
  </si>
  <si>
    <t>C/8210D_EL</t>
  </si>
  <si>
    <t>京捷画世代拆分差額</t>
  </si>
  <si>
    <t>C/8230B_EL</t>
  </si>
  <si>
    <t>C/8230J_EL</t>
  </si>
  <si>
    <t>捷運劍潭拆分差額</t>
  </si>
  <si>
    <t>C/8240C_EL</t>
  </si>
  <si>
    <r>
      <rPr>
        <sz val="12"/>
        <rFont val="Calibri"/>
        <family val="2"/>
        <charset val="1"/>
      </rPr>
      <t>CJ17</t>
    </r>
    <r>
      <rPr>
        <sz val="12"/>
        <rFont val="Noto Sans CJK SC"/>
        <family val="2"/>
      </rPr>
      <t>拆分差額</t>
    </r>
  </si>
  <si>
    <t>C/8250P_EL</t>
  </si>
  <si>
    <t>在建工程合計</t>
  </si>
  <si>
    <t>累計至每年年底</t>
  </si>
  <si>
    <t>差異較大專案</t>
  </si>
  <si>
    <r>
      <rPr>
        <sz val="12"/>
        <rFont val="Noto Sans CJK SC"/>
        <family val="2"/>
      </rPr>
      <t xml:space="preserve">應收建造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合約資產</t>
    </r>
  </si>
  <si>
    <r>
      <rPr>
        <sz val="12"/>
        <color theme="1"/>
        <rFont val="Noto Sans CJK SC"/>
        <family val="2"/>
      </rPr>
      <t>由</t>
    </r>
    <r>
      <rPr>
        <sz val="12"/>
        <color theme="1"/>
        <rFont val="Calibri"/>
        <family val="2"/>
        <charset val="1"/>
      </rPr>
      <t>Uderbill</t>
    </r>
    <r>
      <rPr>
        <sz val="12"/>
        <color theme="1"/>
        <rFont val="Noto Sans CJK SC"/>
        <family val="2"/>
      </rPr>
      <t>轉</t>
    </r>
    <r>
      <rPr>
        <sz val="12"/>
        <color theme="1"/>
        <rFont val="Calibri"/>
        <family val="2"/>
        <charset val="1"/>
      </rPr>
      <t>Overbill</t>
    </r>
  </si>
  <si>
    <r>
      <rPr>
        <sz val="12"/>
        <rFont val="Noto Sans CJK SC"/>
        <family val="2"/>
      </rPr>
      <t xml:space="preserve">應付建造 </t>
    </r>
    <r>
      <rPr>
        <sz val="12"/>
        <rFont val="Calibri"/>
        <family val="2"/>
        <charset val="1"/>
      </rPr>
      <t xml:space="preserve">/ </t>
    </r>
    <r>
      <rPr>
        <sz val="12"/>
        <rFont val="Noto Sans CJK SC"/>
        <family val="2"/>
      </rPr>
      <t>合約負債</t>
    </r>
  </si>
  <si>
    <t>Monthly Yearly</t>
  </si>
  <si>
    <t>2025/9-2025/12</t>
  </si>
  <si>
    <r>
      <rPr>
        <sz val="12"/>
        <color theme="0" tint="-0.499984740745262"/>
        <rFont val="Noto Sans CJK SC"/>
        <family val="2"/>
      </rPr>
      <t>勞務收入不包括於</t>
    </r>
    <r>
      <rPr>
        <sz val="12"/>
        <color theme="0" tint="-0.499984740745262"/>
        <rFont val="Calibri"/>
        <family val="2"/>
        <charset val="1"/>
      </rPr>
      <t>WIP</t>
    </r>
  </si>
  <si>
    <t>C/1230D</t>
  </si>
  <si>
    <t>大直金泰拆除</t>
  </si>
  <si>
    <t>C/2230I</t>
  </si>
  <si>
    <t>Vantage DC</t>
  </si>
  <si>
    <t>C/8120Q</t>
  </si>
  <si>
    <t>南展擴建</t>
  </si>
  <si>
    <t>2025/09-2025/12</t>
  </si>
  <si>
    <t>2026/1</t>
  </si>
  <si>
    <t>2026/2</t>
  </si>
  <si>
    <t>2026/3</t>
  </si>
  <si>
    <t>2026/4</t>
  </si>
  <si>
    <t>2026/5</t>
  </si>
  <si>
    <t>2026/6</t>
  </si>
  <si>
    <t>2026/7</t>
  </si>
  <si>
    <t>2026/8</t>
  </si>
  <si>
    <t>2026/9</t>
  </si>
  <si>
    <t>2026/10</t>
  </si>
  <si>
    <t>2026/11</t>
  </si>
  <si>
    <t>2026/12</t>
  </si>
  <si>
    <r>
      <rPr>
        <sz val="12"/>
        <rFont val="Noto Sans CJK SC"/>
        <family val="2"/>
      </rPr>
      <t>合銘新店</t>
    </r>
    <r>
      <rPr>
        <sz val="12"/>
        <rFont val="Calibri"/>
        <family val="2"/>
        <charset val="1"/>
      </rPr>
      <t>(V CEC 51%)</t>
    </r>
  </si>
  <si>
    <r>
      <rPr>
        <sz val="12"/>
        <rFont val="Noto Sans CJK SC"/>
        <family val="2"/>
      </rPr>
      <t>汎陸高雄</t>
    </r>
    <r>
      <rPr>
        <sz val="12"/>
        <rFont val="Calibri"/>
        <family val="2"/>
        <charset val="1"/>
      </rPr>
      <t>(JV CEC 49%)</t>
    </r>
  </si>
  <si>
    <t>富邦懷生</t>
  </si>
  <si>
    <r>
      <rPr>
        <sz val="12"/>
        <rFont val="Noto Sans CJK SC"/>
        <family val="2"/>
      </rPr>
      <t>國賓台北</t>
    </r>
    <r>
      <rPr>
        <sz val="12"/>
        <rFont val="Calibri"/>
        <family val="2"/>
        <charset val="1"/>
      </rPr>
      <t>(JV/CEC45%)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</si>
  <si>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</si>
  <si>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r>
      <rPr>
        <sz val="12"/>
        <rFont val="Noto Sans CJK SC"/>
        <family val="2"/>
      </rPr>
      <t>廣慈公宅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</si>
  <si>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>CF624D</t>
  </si>
  <si>
    <t xml:space="preserve">Budget </t>
  </si>
  <si>
    <r>
      <rPr>
        <b/>
        <sz val="12"/>
        <color theme="1"/>
        <rFont val="Noto Sans CJK SC"/>
        <family val="2"/>
      </rPr>
      <t>應收</t>
    </r>
    <r>
      <rPr>
        <b/>
        <sz val="12"/>
        <color theme="1"/>
        <rFont val="Calibri"/>
        <family val="2"/>
        <charset val="1"/>
      </rPr>
      <t>under/(</t>
    </r>
    <r>
      <rPr>
        <b/>
        <sz val="12"/>
        <color theme="1"/>
        <rFont val="Noto Sans CJK SC"/>
        <family val="2"/>
      </rPr>
      <t>應付</t>
    </r>
    <r>
      <rPr>
        <b/>
        <sz val="12"/>
        <color theme="1"/>
        <rFont val="Calibri"/>
        <family val="2"/>
        <charset val="1"/>
      </rPr>
      <t xml:space="preserve">over) </t>
    </r>
    <r>
      <rPr>
        <b/>
        <sz val="12"/>
        <color theme="1"/>
        <rFont val="Noto Sans CJK SC"/>
        <family val="2"/>
      </rPr>
      <t xml:space="preserve">建造合約 </t>
    </r>
    <r>
      <rPr>
        <b/>
        <sz val="12"/>
        <color theme="1"/>
        <rFont val="Calibri"/>
        <family val="2"/>
        <charset val="1"/>
      </rPr>
      <t>billing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</si>
  <si>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2025/12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</si>
  <si>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</si>
  <si>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</si>
  <si>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2026/3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</si>
  <si>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2026/4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</si>
  <si>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2026/5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</si>
  <si>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2026/6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</si>
  <si>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2026/7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</si>
  <si>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2026/8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</si>
  <si>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2026/9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</si>
  <si>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2026/10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</si>
  <si>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2026/11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</si>
  <si>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2026/12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</si>
  <si>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2027/12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</si>
  <si>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2028/12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</si>
  <si>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2029/12</t>
    </r>
  </si>
  <si>
    <r>
      <rPr>
        <sz val="12"/>
        <color theme="1"/>
        <rFont val="Noto Sans CJK SC"/>
        <family val="2"/>
      </rPr>
      <t>累計至</t>
    </r>
    <r>
      <rPr>
        <sz val="12"/>
        <color theme="1"/>
        <rFont val="Calibri"/>
        <family val="2"/>
        <charset val="1"/>
      </rPr>
      <t>2030/12</t>
    </r>
  </si>
  <si>
    <t>C/3110F</t>
  </si>
  <si>
    <t>板橋源邸</t>
  </si>
  <si>
    <t>C/3150N</t>
  </si>
  <si>
    <t>國揚忠孝大院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</si>
  <si>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</si>
  <si>
    <r>
      <rPr>
        <b/>
        <sz val="12"/>
        <rFont val="Noto Sans CJK SC"/>
        <family val="2"/>
      </rPr>
      <t>應收</t>
    </r>
    <r>
      <rPr>
        <b/>
        <sz val="12"/>
        <rFont val="Calibri"/>
        <family val="2"/>
        <charset val="1"/>
      </rPr>
      <t>/</t>
    </r>
    <r>
      <rPr>
        <b/>
        <sz val="12"/>
        <rFont val="Noto Sans CJK SC"/>
        <family val="2"/>
      </rPr>
      <t>應付建造合約合計</t>
    </r>
  </si>
  <si>
    <t>累計</t>
  </si>
  <si>
    <t>每月</t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</si>
  <si>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應收建造合約款</t>
    </r>
  </si>
  <si>
    <r>
      <rPr>
        <sz val="12"/>
        <rFont val="Calibri"/>
        <family val="2"/>
        <charset val="1"/>
      </rPr>
      <t xml:space="preserve">1190 </t>
    </r>
    <r>
      <rPr>
        <sz val="12"/>
        <rFont val="Noto Sans CJK SC"/>
        <family val="2"/>
      </rPr>
      <t>應付建造合約款</t>
    </r>
  </si>
  <si>
    <t>變動主要專案</t>
  </si>
  <si>
    <t>Underbiil -&gt; Overbill</t>
  </si>
  <si>
    <t>GC03</t>
  </si>
  <si>
    <t>670A</t>
  </si>
  <si>
    <r>
      <rPr>
        <sz val="12"/>
        <rFont val="Calibri"/>
        <family val="2"/>
        <charset val="1"/>
      </rPr>
      <t>Unnderbill</t>
    </r>
    <r>
      <rPr>
        <sz val="12"/>
        <rFont val="Noto Sans CJK SC"/>
        <family val="2"/>
      </rPr>
      <t>減少</t>
    </r>
  </si>
  <si>
    <t>N-WH</t>
  </si>
  <si>
    <r>
      <rPr>
        <sz val="12"/>
        <rFont val="Calibri"/>
        <family val="2"/>
        <charset val="1"/>
      </rPr>
      <t>Unnderbill</t>
    </r>
    <r>
      <rPr>
        <sz val="12"/>
        <rFont val="Noto Sans CJK SC"/>
        <family val="2"/>
      </rPr>
      <t>增加</t>
    </r>
  </si>
  <si>
    <t>A7</t>
  </si>
  <si>
    <r>
      <rPr>
        <sz val="12"/>
        <rFont val="Calibri"/>
        <family val="2"/>
        <charset val="1"/>
      </rPr>
      <t xml:space="preserve">1240 X </t>
    </r>
    <r>
      <rPr>
        <sz val="12"/>
        <rFont val="Noto Sans CJK SC"/>
        <family val="2"/>
      </rPr>
      <t>在建工程</t>
    </r>
    <r>
      <rPr>
        <sz val="12"/>
        <rFont val="Calibri"/>
        <family val="2"/>
        <charset val="1"/>
      </rPr>
      <t>_</t>
    </r>
    <r>
      <rPr>
        <sz val="12"/>
        <rFont val="Noto Sans CJK SC"/>
        <family val="2"/>
      </rPr>
      <t>成本</t>
    </r>
  </si>
  <si>
    <r>
      <rPr>
        <sz val="12"/>
        <rFont val="Calibri"/>
        <family val="2"/>
        <charset val="1"/>
      </rPr>
      <t xml:space="preserve">1247X </t>
    </r>
    <r>
      <rPr>
        <sz val="12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</si>
  <si>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其他預收工程款</t>
    </r>
  </si>
  <si>
    <r>
      <rPr>
        <sz val="12"/>
        <rFont val="Calibri"/>
        <family val="2"/>
        <charset val="1"/>
      </rPr>
      <t xml:space="preserve">2264X 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業主預付款</t>
    </r>
  </si>
  <si>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)</t>
    </r>
  </si>
  <si>
    <r>
      <rPr>
        <sz val="12"/>
        <rFont val="Calibri"/>
        <family val="2"/>
        <charset val="1"/>
      </rPr>
      <t xml:space="preserve">1140 </t>
    </r>
    <r>
      <rPr>
        <sz val="12"/>
        <rFont val="Noto Sans CJK SC"/>
        <family val="2"/>
      </rPr>
      <t>合約資產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工程合約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淨額</t>
    </r>
  </si>
  <si>
    <r>
      <rPr>
        <sz val="12"/>
        <rFont val="Calibri"/>
        <family val="2"/>
        <charset val="1"/>
      </rPr>
      <t xml:space="preserve">2130 </t>
    </r>
    <r>
      <rPr>
        <sz val="12"/>
        <rFont val="Noto Sans CJK SC"/>
        <family val="2"/>
      </rPr>
      <t>合約負債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工程合約 </t>
    </r>
    <r>
      <rPr>
        <sz val="12"/>
        <rFont val="Calibri"/>
        <family val="2"/>
        <charset val="1"/>
      </rPr>
      <t>- net</t>
    </r>
  </si>
  <si>
    <r>
      <rPr>
        <b/>
        <sz val="12"/>
        <color rgb="FFC00000"/>
        <rFont val="Calibri"/>
        <family val="2"/>
        <charset val="1"/>
      </rPr>
      <t>Budget - BY</t>
    </r>
    <r>
      <rPr>
        <b/>
        <sz val="12"/>
        <color rgb="FFC00000"/>
        <rFont val="Noto Sans CJK SC"/>
        <family val="2"/>
      </rPr>
      <t>月</t>
    </r>
  </si>
  <si>
    <r>
      <rPr>
        <sz val="12"/>
        <rFont val="Noto Sans CJK SC"/>
        <family val="2"/>
      </rPr>
      <t>估</t>
    </r>
    <r>
      <rPr>
        <sz val="12"/>
        <rFont val="Calibri"/>
        <family val="2"/>
        <charset val="1"/>
      </rPr>
      <t>09-12</t>
    </r>
    <r>
      <rPr>
        <sz val="12"/>
        <rFont val="Noto Sans CJK SC"/>
        <family val="2"/>
      </rPr>
      <t>月分錄</t>
    </r>
  </si>
  <si>
    <r>
      <rPr>
        <sz val="12"/>
        <rFont val="Noto Sans CJK SC"/>
        <family val="2"/>
      </rPr>
      <t>累計</t>
    </r>
    <r>
      <rPr>
        <sz val="12"/>
        <rFont val="Calibri"/>
        <family val="3"/>
        <charset val="136"/>
      </rPr>
      <t>2026/8</t>
    </r>
  </si>
  <si>
    <t>2026/09 ~ 2026/12</t>
  </si>
  <si>
    <r>
      <rPr>
        <sz val="12"/>
        <color theme="1"/>
        <rFont val="Noto Sans CJK SC"/>
        <family val="2"/>
      </rPr>
      <t>累計</t>
    </r>
    <r>
      <rPr>
        <sz val="12"/>
        <color theme="1"/>
        <rFont val="Calibri"/>
        <family val="2"/>
        <charset val="136"/>
      </rPr>
      <t>2026/12</t>
    </r>
  </si>
  <si>
    <t>2027/1</t>
  </si>
  <si>
    <t>2027/2</t>
  </si>
  <si>
    <t>2027/3</t>
  </si>
  <si>
    <t>2027/4</t>
  </si>
  <si>
    <t>2027/5</t>
  </si>
  <si>
    <t>2027/6</t>
  </si>
  <si>
    <t>2027/7</t>
  </si>
  <si>
    <t>2027/8</t>
  </si>
  <si>
    <t>2027/9</t>
  </si>
  <si>
    <t>2027/10</t>
  </si>
  <si>
    <t>2027/11</t>
  </si>
  <si>
    <t>2027/12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</si>
  <si>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2027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</si>
  <si>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2028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</si>
  <si>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2029</t>
    </r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</si>
  <si>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2030</t>
    </r>
  </si>
  <si>
    <t>Year 2031</t>
  </si>
  <si>
    <r>
      <rPr>
        <sz val="12"/>
        <color theme="1"/>
        <rFont val="Noto Sans CJK SC"/>
        <family val="2"/>
      </rPr>
      <t xml:space="preserve">累計 </t>
    </r>
    <r>
      <rPr>
        <sz val="12"/>
        <color theme="1"/>
        <rFont val="Calibri"/>
        <family val="2"/>
        <charset val="1"/>
      </rPr>
      <t>Year 2031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</si>
  <si>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</t>
    </r>
    <r>
      <rPr>
        <sz val="12"/>
        <color rgb="FFC00000"/>
        <rFont val="Calibri"/>
        <family val="2"/>
        <charset val="1"/>
      </rPr>
      <t>-</t>
    </r>
    <r>
      <rPr>
        <sz val="12"/>
        <color rgb="FFC00000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</si>
  <si>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r>
      <rPr>
        <sz val="12"/>
        <color theme="1"/>
        <rFont val="Calibri"/>
        <family val="2"/>
        <charset val="1"/>
      </rPr>
      <t>(+</t>
    </r>
    <r>
      <rPr>
        <sz val="12"/>
        <color theme="1"/>
        <rFont val="Noto Sans CJK SC"/>
        <family val="2"/>
      </rPr>
      <t>借</t>
    </r>
    <r>
      <rPr>
        <sz val="12"/>
        <color theme="1"/>
        <rFont val="Calibri"/>
        <family val="2"/>
        <charset val="1"/>
      </rPr>
      <t>/-</t>
    </r>
    <r>
      <rPr>
        <sz val="12"/>
        <color theme="1"/>
        <rFont val="Noto Sans CJK SC"/>
        <family val="2"/>
      </rPr>
      <t>貸</t>
    </r>
    <r>
      <rPr>
        <sz val="12"/>
        <color theme="1"/>
        <rFont val="Calibri"/>
        <family val="2"/>
        <charset val="1"/>
      </rPr>
      <t>)</t>
    </r>
  </si>
  <si>
    <t>在建工程</t>
  </si>
  <si>
    <r>
      <rPr>
        <sz val="12"/>
        <color theme="1"/>
        <rFont val="Noto Sans CJK SC"/>
        <family val="2"/>
      </rPr>
      <t>在建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損</t>
    </r>
    <r>
      <rPr>
        <sz val="12"/>
        <color theme="1"/>
        <rFont val="Calibri"/>
        <family val="2"/>
        <charset val="1"/>
      </rPr>
      <t>)</t>
    </r>
    <r>
      <rPr>
        <sz val="12"/>
        <color theme="1"/>
        <rFont val="Noto Sans CJK SC"/>
        <family val="2"/>
      </rPr>
      <t>益</t>
    </r>
  </si>
  <si>
    <r>
      <rPr>
        <sz val="12"/>
        <color theme="1"/>
        <rFont val="Noto Sans CJK SC"/>
        <family val="2"/>
      </rPr>
      <t xml:space="preserve"> </t>
    </r>
    <r>
      <rPr>
        <sz val="12"/>
        <color rgb="FFC00000"/>
        <rFont val="Noto Sans CJK SC"/>
        <family val="2"/>
      </rPr>
      <t>負債準備</t>
    </r>
  </si>
  <si>
    <r>
      <rPr>
        <sz val="12"/>
        <color theme="1"/>
        <rFont val="Noto Sans CJK SC"/>
        <family val="2"/>
      </rPr>
      <t>營業收入</t>
    </r>
    <r>
      <rPr>
        <sz val="12"/>
        <color theme="1"/>
        <rFont val="Calibri"/>
        <family val="2"/>
        <charset val="1"/>
      </rPr>
      <t>Total</t>
    </r>
  </si>
  <si>
    <t xml:space="preserve"> 負債準備</t>
  </si>
  <si>
    <t>C/92103</t>
  </si>
  <si>
    <t>CQ840 BIM</t>
  </si>
  <si>
    <t>C/92202</t>
  </si>
  <si>
    <t>CF680C BIM</t>
  </si>
  <si>
    <t>C/92203</t>
  </si>
  <si>
    <r>
      <rPr>
        <sz val="12"/>
        <rFont val="Calibri"/>
        <family val="2"/>
        <charset val="1"/>
      </rPr>
      <t>N</t>
    </r>
    <r>
      <rPr>
        <sz val="12"/>
        <rFont val="Noto Sans CJK SC"/>
        <family val="2"/>
      </rPr>
      <t>－</t>
    </r>
    <r>
      <rPr>
        <sz val="12"/>
        <rFont val="Calibri"/>
        <family val="2"/>
        <charset val="1"/>
      </rPr>
      <t>WH BIM</t>
    </r>
  </si>
  <si>
    <t>C/92204</t>
  </si>
  <si>
    <t>國揚吉林機電</t>
  </si>
  <si>
    <t>C/92301</t>
  </si>
  <si>
    <r>
      <rPr>
        <sz val="12"/>
        <rFont val="Calibri"/>
        <family val="2"/>
        <charset val="1"/>
      </rPr>
      <t xml:space="preserve">CF670A BIM </t>
    </r>
    <r>
      <rPr>
        <sz val="12"/>
        <rFont val="Noto Sans CJK SC"/>
        <family val="2"/>
      </rPr>
      <t>土木機電</t>
    </r>
  </si>
  <si>
    <t xml:space="preserve"> </t>
  </si>
  <si>
    <t>C/92302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</si>
  <si>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</si>
  <si>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C/92303</t>
  </si>
  <si>
    <t>C/92304</t>
  </si>
  <si>
    <r>
      <rPr>
        <sz val="12"/>
        <rFont val="Noto Sans CJK SC"/>
        <family val="2"/>
      </rPr>
      <t>捷運劍潭站</t>
    </r>
    <r>
      <rPr>
        <sz val="12"/>
        <rFont val="Calibri"/>
        <family val="2"/>
        <charset val="1"/>
      </rPr>
      <t>TOD</t>
    </r>
    <r>
      <rPr>
        <sz val="12"/>
        <rFont val="Noto Sans CJK SC"/>
        <family val="2"/>
      </rPr>
      <t>統包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機電</t>
    </r>
  </si>
  <si>
    <t>C/92401</t>
  </si>
  <si>
    <r>
      <rPr>
        <sz val="12"/>
        <rFont val="Calibri"/>
        <family val="2"/>
        <charset val="1"/>
      </rPr>
      <t xml:space="preserve">CJ17 </t>
    </r>
    <r>
      <rPr>
        <sz val="12"/>
        <rFont val="Noto Sans CJK SC"/>
        <family val="2"/>
      </rPr>
      <t>土木機電</t>
    </r>
  </si>
  <si>
    <t>C/92501</t>
  </si>
  <si>
    <r>
      <rPr>
        <sz val="12"/>
        <rFont val="Calibri"/>
        <family val="2"/>
        <charset val="1"/>
      </rPr>
      <t>CF670 BIM</t>
    </r>
    <r>
      <rPr>
        <sz val="12"/>
        <rFont val="Noto Sans CJK SC"/>
        <family val="2"/>
      </rPr>
      <t>土木機電</t>
    </r>
  </si>
  <si>
    <t>C/92502</t>
  </si>
  <si>
    <t>C/92503</t>
  </si>
  <si>
    <t>C/92504</t>
  </si>
  <si>
    <t>C/92601</t>
  </si>
  <si>
    <t>C/92602</t>
  </si>
  <si>
    <t>C/92603</t>
  </si>
  <si>
    <t>中華郵政信維機電</t>
  </si>
  <si>
    <t>C/99992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</si>
  <si>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</si>
  <si>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C/99992-1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</si>
  <si>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外案收入</t>
    </r>
    <r>
      <rPr>
        <sz val="12"/>
        <rFont val="Calibri"/>
        <family val="2"/>
        <charset val="1"/>
      </rPr>
      <t>)</t>
    </r>
  </si>
  <si>
    <t>C/99993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</si>
  <si>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</si>
  <si>
    <t>C/99992_L</t>
  </si>
  <si>
    <t>C/91001_26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</si>
  <si>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</si>
  <si>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C/91000_27</t>
  </si>
  <si>
    <t>C/91001_27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</si>
  <si>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</si>
  <si>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C/91002_27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</si>
  <si>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</si>
  <si>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C/91003_27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</si>
  <si>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</si>
  <si>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C/91004_27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</si>
  <si>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</si>
  <si>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C/91005_27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</si>
  <si>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土木機電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</si>
  <si>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t>C/9210F</t>
  </si>
  <si>
    <t>C/9210G</t>
  </si>
  <si>
    <r>
      <rPr>
        <sz val="12"/>
        <rFont val="Noto Sans CJK SC"/>
        <family val="2"/>
      </rPr>
      <t>富邦忠孝懷生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</si>
  <si>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C/9220E</t>
  </si>
  <si>
    <r>
      <rPr>
        <sz val="12"/>
        <rFont val="Noto Sans CJK SC"/>
        <family val="2"/>
      </rPr>
      <t xml:space="preserve">柏鴻北士科 </t>
    </r>
    <r>
      <rPr>
        <sz val="12"/>
        <rFont val="Calibri"/>
        <family val="2"/>
        <charset val="1"/>
      </rPr>
      <t>C/9100A-22A</t>
    </r>
  </si>
  <si>
    <t>C/9230A</t>
  </si>
  <si>
    <t>C/9230B</t>
  </si>
  <si>
    <r>
      <rPr>
        <sz val="12"/>
        <rFont val="Noto Sans CJK SC"/>
        <family val="2"/>
      </rPr>
      <t>北捷劍潭</t>
    </r>
    <r>
      <rPr>
        <sz val="12"/>
        <rFont val="Calibri"/>
        <family val="2"/>
        <charset val="1"/>
      </rPr>
      <t>TOD</t>
    </r>
  </si>
  <si>
    <t>C/9230C</t>
  </si>
  <si>
    <r>
      <rPr>
        <sz val="12"/>
        <rFont val="Noto Sans CJK SC"/>
        <family val="2"/>
      </rPr>
      <t>慶城福華</t>
    </r>
    <r>
      <rPr>
        <sz val="12"/>
        <rFont val="Calibri"/>
        <family val="2"/>
        <charset val="1"/>
      </rPr>
      <t>-23</t>
    </r>
    <r>
      <rPr>
        <sz val="12"/>
        <rFont val="Noto Sans CJK SC"/>
        <family val="2"/>
      </rPr>
      <t>年</t>
    </r>
  </si>
  <si>
    <t>C/9240A</t>
  </si>
  <si>
    <t>C/9240B</t>
  </si>
  <si>
    <r>
      <rPr>
        <sz val="12"/>
        <rFont val="Noto Sans CJK SC"/>
        <family val="2"/>
      </rPr>
      <t>台中洲際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</si>
  <si>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C/9240C</t>
  </si>
  <si>
    <r>
      <rPr>
        <sz val="12"/>
        <rFont val="Noto Sans CJK SC"/>
        <family val="2"/>
      </rPr>
      <t>大直金泰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</si>
  <si>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C/9240D</t>
  </si>
  <si>
    <r>
      <rPr>
        <sz val="12"/>
        <rFont val="Noto Sans CJK SC"/>
        <family val="2"/>
      </rPr>
      <t>板橋新雅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</si>
  <si>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C/9240E</t>
  </si>
  <si>
    <r>
      <rPr>
        <sz val="12"/>
        <rFont val="Noto Sans CJK SC"/>
        <family val="2"/>
      </rPr>
      <t>板橋四維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 xml:space="preserve">建築 </t>
    </r>
  </si>
  <si>
    <t>C/9240F</t>
  </si>
  <si>
    <t>台中新美齊</t>
  </si>
  <si>
    <t>C/9240G</t>
  </si>
  <si>
    <t>晨禎片片山閑</t>
  </si>
  <si>
    <t>C/9250A</t>
  </si>
  <si>
    <r>
      <rPr>
        <sz val="12"/>
        <rFont val="Noto Sans CJK SC"/>
        <family val="2"/>
      </rPr>
      <t>南機二區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服務</t>
    </r>
  </si>
  <si>
    <t>C/9250B</t>
  </si>
  <si>
    <t>璞真南港總部</t>
  </si>
  <si>
    <t>C/9250C</t>
  </si>
  <si>
    <t>C/9250D</t>
  </si>
  <si>
    <t>南港三重</t>
  </si>
  <si>
    <t>C/9260A</t>
  </si>
  <si>
    <t>台中楓溪</t>
  </si>
  <si>
    <t>C/9260B</t>
  </si>
  <si>
    <t>樺輝永鑄</t>
  </si>
  <si>
    <t>C/9260C</t>
  </si>
  <si>
    <t>中華郵政信維</t>
  </si>
  <si>
    <t>C/9260D</t>
  </si>
  <si>
    <t>大安復興</t>
  </si>
  <si>
    <t>C/9999B</t>
  </si>
  <si>
    <r>
      <rPr>
        <sz val="12"/>
        <rFont val="Noto Sans CJK SC"/>
        <family val="2"/>
      </rPr>
      <t>雜項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</si>
  <si>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C/9999D</t>
  </si>
  <si>
    <r>
      <rPr>
        <sz val="12"/>
        <rFont val="Noto Sans CJK SC"/>
        <family val="2"/>
      </rPr>
      <t>備標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</si>
  <si>
    <t>C/9999B_L</t>
  </si>
  <si>
    <t>C/9100B_26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</si>
  <si>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-26</t>
    </r>
    <r>
      <rPr>
        <sz val="12"/>
        <rFont val="Noto Sans CJK SC"/>
        <family val="2"/>
      </rPr>
      <t>年</t>
    </r>
  </si>
  <si>
    <t>C/9100A_27</t>
  </si>
  <si>
    <t>C/9100B_27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</si>
  <si>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-27</t>
    </r>
    <r>
      <rPr>
        <sz val="12"/>
        <rFont val="Noto Sans CJK SC"/>
        <family val="2"/>
      </rPr>
      <t>年</t>
    </r>
  </si>
  <si>
    <t>C/9100C_27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</si>
  <si>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-28</t>
    </r>
    <r>
      <rPr>
        <sz val="12"/>
        <rFont val="Noto Sans CJK SC"/>
        <family val="2"/>
      </rPr>
      <t>年</t>
    </r>
  </si>
  <si>
    <t>C/9100D_27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</si>
  <si>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-29</t>
    </r>
    <r>
      <rPr>
        <sz val="12"/>
        <rFont val="Noto Sans CJK SC"/>
        <family val="2"/>
      </rPr>
      <t>年</t>
    </r>
  </si>
  <si>
    <t>C/9100E_27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</si>
  <si>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-30</t>
    </r>
    <r>
      <rPr>
        <sz val="12"/>
        <rFont val="Noto Sans CJK SC"/>
        <family val="2"/>
      </rPr>
      <t>年</t>
    </r>
  </si>
  <si>
    <t>C/9100F_27</t>
  </si>
  <si>
    <r>
      <rPr>
        <sz val="12"/>
        <rFont val="Noto Sans CJK SC"/>
        <family val="2"/>
      </rPr>
      <t>新取得</t>
    </r>
    <r>
      <rPr>
        <sz val="12"/>
        <rFont val="Calibri"/>
        <family val="2"/>
        <charset val="1"/>
      </rPr>
      <t>BIM</t>
    </r>
    <r>
      <rPr>
        <sz val="12"/>
        <rFont val="Noto Sans CJK SC"/>
        <family val="2"/>
      </rPr>
      <t>建築</t>
    </r>
    <r>
      <rPr>
        <sz val="12"/>
        <rFont val="Calibri"/>
        <family val="2"/>
        <charset val="1"/>
      </rPr>
      <t>-31</t>
    </r>
    <r>
      <rPr>
        <sz val="12"/>
        <rFont val="Noto Sans CJK SC"/>
        <family val="2"/>
      </rPr>
      <t>年</t>
    </r>
  </si>
  <si>
    <r>
      <rPr>
        <sz val="12"/>
        <rFont val="Noto Sans CJK SC"/>
        <family val="2"/>
      </rPr>
      <t>僅為調節用</t>
    </r>
    <r>
      <rPr>
        <sz val="12"/>
        <rFont val="Calibri"/>
        <family val="2"/>
        <charset val="1"/>
      </rPr>
      <t>:</t>
    </r>
  </si>
  <si>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Noto Sans CJK SC"/>
        <family val="2"/>
      </rPr>
      <t>雜項工程不累計</t>
    </r>
    <r>
      <rPr>
        <sz val="12"/>
        <color theme="1"/>
        <rFont val="Calibri"/>
        <family val="2"/>
        <charset val="1"/>
      </rPr>
      <t>)</t>
    </r>
  </si>
  <si>
    <r>
      <rPr>
        <b/>
        <sz val="12"/>
        <rFont val="Calibri"/>
        <family val="2"/>
        <charset val="1"/>
      </rPr>
      <t>100%</t>
    </r>
    <r>
      <rPr>
        <b/>
        <sz val="12"/>
        <rFont val="Noto Sans CJK SC"/>
        <family val="2"/>
      </rPr>
      <t>完工</t>
    </r>
  </si>
  <si>
    <t>Total GP</t>
  </si>
  <si>
    <r>
      <rPr>
        <sz val="12"/>
        <color theme="1"/>
        <rFont val="Calibri"/>
        <family val="2"/>
        <charset val="1"/>
      </rPr>
      <t xml:space="preserve">CK570+CJ930 </t>
    </r>
    <r>
      <rPr>
        <sz val="12"/>
        <color theme="1"/>
        <rFont val="Noto Sans CJK SC"/>
        <family val="2"/>
      </rPr>
      <t>準備金ˋ</t>
    </r>
  </si>
  <si>
    <r>
      <rPr>
        <sz val="12"/>
        <rFont val="Calibri"/>
        <family val="2"/>
        <charset val="1"/>
      </rPr>
      <t>BS</t>
    </r>
    <r>
      <rPr>
        <sz val="12"/>
        <rFont val="Noto Sans CJK SC"/>
        <family val="2"/>
      </rPr>
      <t>項目</t>
    </r>
  </si>
  <si>
    <t>工程分錄</t>
  </si>
  <si>
    <t>Dr</t>
  </si>
  <si>
    <t>Cr</t>
  </si>
  <si>
    <r>
      <rPr>
        <sz val="12"/>
        <color rgb="FF0000FF"/>
        <rFont val="Calibri"/>
        <family val="2"/>
        <charset val="1"/>
      </rPr>
      <t xml:space="preserve">2214 </t>
    </r>
    <r>
      <rPr>
        <sz val="12"/>
        <color rgb="FF0000FF"/>
        <rFont val="Noto Sans CJK SC"/>
        <family val="2"/>
      </rPr>
      <t>銷項</t>
    </r>
    <r>
      <rPr>
        <sz val="12"/>
        <color rgb="FF0000FF"/>
        <rFont val="Calibri"/>
        <family val="2"/>
        <charset val="1"/>
      </rPr>
      <t xml:space="preserve">-1264 </t>
    </r>
    <r>
      <rPr>
        <sz val="12"/>
        <color rgb="FF0000FF"/>
        <rFont val="Noto Sans CJK SC"/>
        <family val="2"/>
      </rPr>
      <t>進項</t>
    </r>
  </si>
  <si>
    <t>應收帳款</t>
  </si>
  <si>
    <r>
      <rPr>
        <sz val="12"/>
        <color theme="1"/>
        <rFont val="Calibri"/>
        <family val="2"/>
        <charset val="1"/>
      </rPr>
      <t xml:space="preserve">1141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應收工程保留款</t>
    </r>
  </si>
  <si>
    <r>
      <rPr>
        <sz val="12"/>
        <rFont val="Calibri"/>
        <family val="2"/>
        <charset val="1"/>
      </rPr>
      <t xml:space="preserve">3353 </t>
    </r>
    <r>
      <rPr>
        <sz val="12"/>
        <rFont val="Noto Sans CJK SC"/>
        <family val="2"/>
      </rPr>
      <t>本期損益</t>
    </r>
  </si>
  <si>
    <t>工程成本</t>
  </si>
  <si>
    <t>在建損益</t>
  </si>
  <si>
    <t>工程收入</t>
  </si>
  <si>
    <t>負債準備</t>
  </si>
  <si>
    <r>
      <rPr>
        <sz val="12"/>
        <color theme="1"/>
        <rFont val="Calibri"/>
        <family val="2"/>
        <charset val="1"/>
      </rPr>
      <t xml:space="preserve">2200 </t>
    </r>
    <r>
      <rPr>
        <sz val="12"/>
        <color theme="1"/>
        <rFont val="Noto Sans CJK SC"/>
        <family val="2"/>
      </rPr>
      <t>其他應付款</t>
    </r>
  </si>
  <si>
    <r>
      <rPr>
        <sz val="12"/>
        <color theme="1"/>
        <rFont val="Calibri"/>
        <family val="2"/>
        <charset val="1"/>
      </rPr>
      <t xml:space="preserve">1142 </t>
    </r>
    <r>
      <rPr>
        <sz val="12"/>
        <color theme="1"/>
        <rFont val="Noto Sans CJK SC"/>
        <family val="2"/>
      </rPr>
      <t>合約資產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應收完工估列款</t>
    </r>
  </si>
  <si>
    <r>
      <rPr>
        <b/>
        <sz val="12"/>
        <color rgb="FF0033CC"/>
        <rFont val="Calibri"/>
        <family val="2"/>
        <charset val="1"/>
      </rPr>
      <t xml:space="preserve">2214 </t>
    </r>
    <r>
      <rPr>
        <b/>
        <sz val="12"/>
        <color rgb="FF0033CC"/>
        <rFont val="Noto Sans CJK SC"/>
        <family val="2"/>
      </rPr>
      <t>銷項</t>
    </r>
    <r>
      <rPr>
        <b/>
        <sz val="12"/>
        <color rgb="FF0033CC"/>
        <rFont val="Calibri"/>
        <family val="2"/>
        <charset val="1"/>
      </rPr>
      <t xml:space="preserve">-1264 </t>
    </r>
    <r>
      <rPr>
        <b/>
        <sz val="12"/>
        <color rgb="FF0033CC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</si>
  <si>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</si>
  <si>
    <t xml:space="preserve">                                                </t>
  </si>
  <si>
    <r>
      <rPr>
        <sz val="12"/>
        <color rgb="FF0000FF"/>
        <rFont val="Calibri"/>
        <family val="2"/>
        <charset val="1"/>
      </rPr>
      <t>Check</t>
    </r>
    <r>
      <rPr>
        <sz val="12"/>
        <color rgb="FF0000FF"/>
        <rFont val="Noto Sans CJK SC"/>
        <family val="2"/>
      </rPr>
      <t>彙總</t>
    </r>
  </si>
  <si>
    <t>分錄一 在建工程</t>
  </si>
  <si>
    <r>
      <rPr>
        <sz val="12"/>
        <color theme="9" tint="-0.249977111117893"/>
        <rFont val="Calibri"/>
        <family val="2"/>
        <charset val="1"/>
      </rPr>
      <t xml:space="preserve">1141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應收工程保留款</t>
    </r>
  </si>
  <si>
    <r>
      <rPr>
        <sz val="12"/>
        <color theme="1"/>
        <rFont val="Calibri"/>
        <family val="2"/>
        <charset val="1"/>
      </rPr>
      <t xml:space="preserve">1200 </t>
    </r>
    <r>
      <rPr>
        <sz val="12"/>
        <color theme="1"/>
        <rFont val="Noto Sans CJK SC"/>
        <family val="2"/>
      </rPr>
      <t>其他應收款</t>
    </r>
  </si>
  <si>
    <r>
      <rPr>
        <sz val="12"/>
        <rFont val="Calibri"/>
        <family val="2"/>
        <charset val="1"/>
      </rPr>
      <t xml:space="preserve">2170 </t>
    </r>
    <r>
      <rPr>
        <sz val="12"/>
        <rFont val="Noto Sans CJK SC"/>
        <family val="2"/>
      </rPr>
      <t>應付帳款</t>
    </r>
  </si>
  <si>
    <r>
      <rPr>
        <sz val="12"/>
        <rFont val="Calibri"/>
        <family val="2"/>
        <charset val="1"/>
      </rPr>
      <t xml:space="preserve">2310 </t>
    </r>
    <r>
      <rPr>
        <sz val="12"/>
        <rFont val="Noto Sans CJK SC"/>
        <family val="2"/>
      </rPr>
      <t>預收款項</t>
    </r>
  </si>
  <si>
    <r>
      <rPr>
        <sz val="12"/>
        <rFont val="Noto Sans CJK SC"/>
        <family val="2"/>
      </rPr>
      <t>應付帳款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保固修繕估列款</t>
    </r>
  </si>
  <si>
    <r>
      <rPr>
        <sz val="12"/>
        <color theme="1"/>
        <rFont val="Calibri"/>
        <family val="2"/>
        <charset val="1"/>
      </rPr>
      <t xml:space="preserve">2399 </t>
    </r>
    <r>
      <rPr>
        <sz val="12"/>
        <color theme="1"/>
        <rFont val="Noto Sans CJK SC"/>
        <family val="2"/>
      </rPr>
      <t>其他流動負債</t>
    </r>
  </si>
  <si>
    <t>分錄二 預收工程款</t>
  </si>
  <si>
    <r>
      <rPr>
        <b/>
        <sz val="12"/>
        <color rgb="FFC00000"/>
        <rFont val="Noto Sans CJK SC"/>
        <family val="2"/>
      </rPr>
      <t xml:space="preserve">分錄一 </t>
    </r>
    <r>
      <rPr>
        <b/>
        <sz val="12"/>
        <color rgb="FFC00000"/>
        <rFont val="細明體"/>
        <family val="3"/>
        <charset val="136"/>
      </rPr>
      <t xml:space="preserve">+ </t>
    </r>
    <r>
      <rPr>
        <b/>
        <sz val="12"/>
        <color rgb="FFC00000"/>
        <rFont val="Noto Sans CJK SC"/>
        <family val="2"/>
      </rPr>
      <t>分錄二 入</t>
    </r>
    <r>
      <rPr>
        <b/>
        <sz val="12"/>
        <color rgb="FFC00000"/>
        <rFont val="細明體"/>
        <family val="3"/>
        <charset val="136"/>
      </rPr>
      <t>BS</t>
    </r>
  </si>
  <si>
    <r>
      <rPr>
        <sz val="12"/>
        <color theme="9" tint="-0.249977111117893"/>
        <rFont val="Calibri"/>
        <family val="2"/>
        <charset val="1"/>
      </rPr>
      <t xml:space="preserve">1142 </t>
    </r>
    <r>
      <rPr>
        <sz val="12"/>
        <color theme="9" tint="-0.249977111117893"/>
        <rFont val="Noto Sans CJK SC"/>
        <family val="2"/>
      </rPr>
      <t>合約資產</t>
    </r>
    <r>
      <rPr>
        <sz val="12"/>
        <color theme="9" tint="-0.249977111117893"/>
        <rFont val="Calibri"/>
        <family val="2"/>
        <charset val="1"/>
      </rPr>
      <t>-</t>
    </r>
    <r>
      <rPr>
        <sz val="12"/>
        <color theme="9" tint="-0.249977111117893"/>
        <rFont val="Noto Sans CJK SC"/>
        <family val="2"/>
      </rPr>
      <t>應收完工估列款</t>
    </r>
  </si>
  <si>
    <r>
      <rPr>
        <sz val="12"/>
        <rFont val="Calibri"/>
        <family val="2"/>
        <charset val="1"/>
      </rPr>
      <t xml:space="preserve">1200 </t>
    </r>
    <r>
      <rPr>
        <sz val="12"/>
        <rFont val="Noto Sans CJK SC"/>
        <family val="2"/>
      </rPr>
      <t>其他應收款</t>
    </r>
  </si>
  <si>
    <r>
      <rPr>
        <sz val="12"/>
        <color rgb="FF0000FF"/>
        <rFont val="Calibri"/>
        <family val="2"/>
        <charset val="1"/>
      </rPr>
      <t xml:space="preserve">1240 X </t>
    </r>
    <r>
      <rPr>
        <sz val="12"/>
        <color rgb="FF0000FF"/>
        <rFont val="Noto Sans CJK SC"/>
        <family val="2"/>
      </rPr>
      <t>在建工程</t>
    </r>
    <r>
      <rPr>
        <sz val="12"/>
        <color rgb="FF0000FF"/>
        <rFont val="Calibri"/>
        <family val="2"/>
        <charset val="1"/>
      </rPr>
      <t>_</t>
    </r>
    <r>
      <rPr>
        <sz val="12"/>
        <color rgb="FF0000FF"/>
        <rFont val="Noto Sans CJK SC"/>
        <family val="2"/>
      </rPr>
      <t>成本</t>
    </r>
  </si>
  <si>
    <r>
      <rPr>
        <sz val="12"/>
        <color rgb="FF0000FF"/>
        <rFont val="Calibri"/>
        <family val="2"/>
        <charset val="1"/>
      </rPr>
      <t xml:space="preserve">1247X </t>
    </r>
    <r>
      <rPr>
        <sz val="12"/>
        <color rgb="FF0000FF"/>
        <rFont val="Noto Sans CJK SC"/>
        <family val="2"/>
      </rPr>
      <t>在建損益</t>
    </r>
  </si>
  <si>
    <r>
      <rPr>
        <sz val="12"/>
        <rFont val="Calibri"/>
        <family val="2"/>
        <charset val="1"/>
      </rPr>
      <t xml:space="preserve">2214 </t>
    </r>
    <r>
      <rPr>
        <sz val="12"/>
        <rFont val="Noto Sans CJK SC"/>
        <family val="2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Noto Sans CJK SC"/>
        <family val="2"/>
      </rPr>
      <t>進項</t>
    </r>
  </si>
  <si>
    <r>
      <rPr>
        <sz val="12"/>
        <rFont val="Calibri"/>
        <family val="2"/>
        <charset val="1"/>
      </rPr>
      <t xml:space="preserve">2250 </t>
    </r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 xml:space="preserve">流動 </t>
    </r>
  </si>
  <si>
    <r>
      <rPr>
        <sz val="12"/>
        <color rgb="FF0000FF"/>
        <rFont val="Calibri"/>
        <family val="2"/>
        <charset val="1"/>
      </rPr>
      <t xml:space="preserve">2264 </t>
    </r>
    <r>
      <rPr>
        <sz val="12"/>
        <color rgb="FF0000FF"/>
        <rFont val="Noto Sans CJK SC"/>
        <family val="2"/>
      </rPr>
      <t>預收工程款</t>
    </r>
  </si>
  <si>
    <r>
      <rPr>
        <sz val="12"/>
        <color rgb="FF0000FF"/>
        <rFont val="Calibri"/>
        <family val="2"/>
        <charset val="1"/>
      </rPr>
      <t xml:space="preserve">22641 </t>
    </r>
    <r>
      <rPr>
        <sz val="12"/>
        <color rgb="FF0000FF"/>
        <rFont val="Noto Sans CJK SC"/>
        <family val="2"/>
      </rPr>
      <t>預收工程保留款</t>
    </r>
  </si>
  <si>
    <t>預收工程款</t>
  </si>
  <si>
    <t>預收工程</t>
  </si>
  <si>
    <t>C/2170D</t>
  </si>
  <si>
    <t>裕隆城商業區雜項工程</t>
  </si>
  <si>
    <t>台灣事業處合計</t>
  </si>
  <si>
    <r>
      <rPr>
        <sz val="12"/>
        <color theme="0" tint="-0.499984740745262"/>
        <rFont val="Calibri"/>
        <family val="2"/>
        <charset val="1"/>
      </rPr>
      <t>CHECK</t>
    </r>
    <r>
      <rPr>
        <sz val="12"/>
        <color theme="0" tint="-0.499984740745262"/>
        <rFont val="Noto Sans CJK SC"/>
        <family val="2"/>
      </rPr>
      <t>公式</t>
    </r>
  </si>
  <si>
    <r>
      <rPr>
        <b/>
        <sz val="12"/>
        <rFont val="Noto Sans CJK SC"/>
        <family val="2"/>
      </rPr>
      <t xml:space="preserve">分錄二 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於分錄一</t>
    </r>
    <r>
      <rPr>
        <b/>
        <sz val="12"/>
        <rFont val="Calibri"/>
        <family val="2"/>
        <charset val="1"/>
      </rPr>
      <t>"BS A0 1240"</t>
    </r>
    <r>
      <rPr>
        <b/>
        <sz val="12"/>
        <rFont val="Noto Sans CJK SC"/>
        <family val="2"/>
      </rPr>
      <t>彙整到</t>
    </r>
    <r>
      <rPr>
        <b/>
        <sz val="12"/>
        <rFont val="Calibri"/>
        <family val="2"/>
        <charset val="1"/>
      </rPr>
      <t>BS)</t>
    </r>
  </si>
  <si>
    <r>
      <rPr>
        <sz val="12"/>
        <color theme="1"/>
        <rFont val="Noto Sans CJK SC"/>
        <family val="2"/>
      </rPr>
      <t>入</t>
    </r>
    <r>
      <rPr>
        <sz val="12"/>
        <color theme="1"/>
        <rFont val="Calibri"/>
        <family val="2"/>
        <charset val="1"/>
      </rPr>
      <t>BS</t>
    </r>
  </si>
  <si>
    <r>
      <rPr>
        <b/>
        <sz val="12"/>
        <rFont val="Calibri"/>
        <family val="2"/>
        <charset val="1"/>
      </rPr>
      <t xml:space="preserve">2214 </t>
    </r>
    <r>
      <rPr>
        <b/>
        <sz val="12"/>
        <rFont val="Noto Sans CJK SC"/>
        <family val="2"/>
      </rPr>
      <t>銷項</t>
    </r>
    <r>
      <rPr>
        <b/>
        <sz val="12"/>
        <rFont val="Calibri"/>
        <family val="2"/>
        <charset val="1"/>
      </rPr>
      <t xml:space="preserve">-1264 </t>
    </r>
    <r>
      <rPr>
        <b/>
        <sz val="12"/>
        <rFont val="Noto Sans CJK SC"/>
        <family val="2"/>
      </rPr>
      <t>進項</t>
    </r>
  </si>
  <si>
    <t>C/4080L</t>
  </si>
  <si>
    <r>
      <rPr>
        <sz val="12"/>
        <rFont val="Calibri"/>
        <family val="2"/>
        <charset val="1"/>
      </rPr>
      <t>CK570J</t>
    </r>
    <r>
      <rPr>
        <sz val="12"/>
        <rFont val="Noto Sans CJK SC"/>
        <family val="2"/>
      </rPr>
      <t>捷運新莊線</t>
    </r>
  </si>
  <si>
    <t>C/4130A</t>
  </si>
  <si>
    <r>
      <rPr>
        <sz val="12"/>
        <rFont val="Calibri"/>
        <family val="2"/>
        <charset val="1"/>
      </rPr>
      <t>CJ930</t>
    </r>
    <r>
      <rPr>
        <sz val="12"/>
        <rFont val="Noto Sans CJK SC"/>
        <family val="2"/>
      </rPr>
      <t>台中捷運</t>
    </r>
  </si>
  <si>
    <t>C/2170F</t>
  </si>
  <si>
    <r>
      <rPr>
        <sz val="12"/>
        <rFont val="Noto Sans CJK SC"/>
        <family val="2"/>
      </rPr>
      <t>富邦</t>
    </r>
    <r>
      <rPr>
        <sz val="12"/>
        <rFont val="Calibri"/>
        <family val="2"/>
        <charset val="1"/>
      </rPr>
      <t>A25</t>
    </r>
    <r>
      <rPr>
        <sz val="12"/>
        <rFont val="Noto Sans CJK SC"/>
        <family val="2"/>
      </rPr>
      <t>基礎工程</t>
    </r>
    <r>
      <rPr>
        <sz val="12"/>
        <rFont val="Calibri"/>
        <family val="2"/>
        <charset val="1"/>
      </rPr>
      <t>(JV CEC/49%)</t>
    </r>
  </si>
  <si>
    <t>C/3130E</t>
  </si>
  <si>
    <t>C/3160B</t>
  </si>
  <si>
    <t>開晟勝開大地</t>
  </si>
  <si>
    <t>C/3160I</t>
  </si>
  <si>
    <t>國揚南方莊園</t>
  </si>
  <si>
    <t>C/316II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</si>
  <si>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</si>
  <si>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 xml:space="preserve">年       </t>
    </r>
  </si>
  <si>
    <t>2020.10.12</t>
  </si>
  <si>
    <t>公式不一樣</t>
  </si>
  <si>
    <r>
      <rPr>
        <b/>
        <sz val="12"/>
        <rFont val="Noto Sans CJK SC"/>
        <family val="2"/>
      </rPr>
      <t xml:space="preserve">合 約 總 價
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不含稅</t>
    </r>
    <r>
      <rPr>
        <b/>
        <sz val="12"/>
        <rFont val="Calibri"/>
        <family val="2"/>
        <charset val="1"/>
      </rPr>
      <t>)</t>
    </r>
  </si>
  <si>
    <t>預計
完工總成本</t>
  </si>
  <si>
    <t>預計
工程毛利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</si>
  <si>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</si>
  <si>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t>當年至上月止累計</t>
  </si>
  <si>
    <r>
      <rPr>
        <b/>
        <sz val="12"/>
        <rFont val="Noto Sans CJK SC"/>
        <family val="2"/>
      </rPr>
      <t>累計
完工</t>
    </r>
    <r>
      <rPr>
        <b/>
        <sz val="12"/>
        <rFont val="Calibri"/>
        <family val="2"/>
        <charset val="1"/>
      </rPr>
      <t>%</t>
    </r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</si>
  <si>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年度</t>
    </r>
  </si>
  <si>
    <t>本年</t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</si>
  <si>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年本月累計</t>
    </r>
  </si>
  <si>
    <t>物調收入</t>
  </si>
  <si>
    <r>
      <rPr>
        <b/>
        <sz val="12"/>
        <rFont val="Noto Sans CJK SC"/>
        <family val="2"/>
      </rPr>
      <t>成本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-)/</t>
    </r>
    <r>
      <rPr>
        <b/>
        <sz val="12"/>
        <rFont val="Noto Sans CJK SC"/>
        <family val="2"/>
      </rPr>
      <t>負債準備</t>
    </r>
    <r>
      <rPr>
        <b/>
        <sz val="12"/>
        <rFont val="Calibri"/>
        <family val="2"/>
        <charset val="1"/>
      </rPr>
      <t>(</t>
    </r>
    <r>
      <rPr>
        <b/>
        <sz val="12"/>
        <rFont val="Noto Sans CJK SC"/>
        <family val="2"/>
      </rPr>
      <t>貸</t>
    </r>
    <r>
      <rPr>
        <b/>
        <sz val="12"/>
        <rFont val="Calibri"/>
        <family val="2"/>
        <charset val="1"/>
      </rPr>
      <t>+/</t>
    </r>
    <r>
      <rPr>
        <b/>
        <sz val="12"/>
        <rFont val="Noto Sans CJK SC"/>
        <family val="2"/>
      </rPr>
      <t>借</t>
    </r>
    <r>
      <rPr>
        <b/>
        <sz val="12"/>
        <rFont val="Calibri"/>
        <family val="2"/>
        <charset val="1"/>
      </rPr>
      <t>-)</t>
    </r>
  </si>
  <si>
    <t>CHECK</t>
  </si>
  <si>
    <t xml:space="preserve">Code </t>
  </si>
  <si>
    <t>Project Name</t>
  </si>
  <si>
    <t>Contract Value</t>
  </si>
  <si>
    <t>Estimated Cost</t>
  </si>
  <si>
    <t>Margin</t>
  </si>
  <si>
    <t>Margin
%</t>
  </si>
  <si>
    <t>New Work for Year 2021(NTD 1,000)</t>
  </si>
  <si>
    <t>Current Year Budget Changes 
(NTD 1,000)</t>
  </si>
  <si>
    <t>Year 2022 (1000NTD)</t>
  </si>
  <si>
    <t>Year to Date  (1000NTD)</t>
  </si>
  <si>
    <t>Cumulative to Date</t>
  </si>
  <si>
    <t>2022 BACKLOG</t>
  </si>
  <si>
    <t>工程毛利</t>
  </si>
  <si>
    <t>本月</t>
  </si>
  <si>
    <t>上年度</t>
  </si>
  <si>
    <r>
      <rPr>
        <b/>
        <sz val="12"/>
        <rFont val="Calibri"/>
        <family val="2"/>
        <charset val="1"/>
      </rPr>
      <t>2021</t>
    </r>
    <r>
      <rPr>
        <b/>
        <sz val="12"/>
        <rFont val="Noto Sans CJK SC"/>
        <family val="2"/>
      </rPr>
      <t>年</t>
    </r>
  </si>
  <si>
    <t>收入</t>
  </si>
  <si>
    <t>成本</t>
  </si>
  <si>
    <t>毛利</t>
  </si>
  <si>
    <r>
      <rPr>
        <b/>
        <sz val="12"/>
        <rFont val="Noto Sans CJK SC"/>
        <family val="2"/>
      </rPr>
      <t>實際</t>
    </r>
    <r>
      <rPr>
        <b/>
        <sz val="12"/>
        <rFont val="Calibri"/>
        <family val="2"/>
        <charset val="1"/>
      </rPr>
      <t>&gt;</t>
    </r>
    <r>
      <rPr>
        <b/>
        <sz val="12"/>
        <rFont val="Noto Sans CJK SC"/>
        <family val="2"/>
      </rPr>
      <t xml:space="preserve">預計 </t>
    </r>
    <r>
      <rPr>
        <b/>
        <sz val="12"/>
        <rFont val="Calibri"/>
        <family val="2"/>
        <charset val="1"/>
      </rPr>
      <t>X</t>
    </r>
  </si>
  <si>
    <t>虧損</t>
  </si>
  <si>
    <t xml:space="preserve">Revenue </t>
  </si>
  <si>
    <t xml:space="preserve">Cost </t>
  </si>
  <si>
    <t xml:space="preserve">Profit </t>
  </si>
  <si>
    <t>POC %</t>
  </si>
  <si>
    <t>Revenue</t>
  </si>
  <si>
    <t>Cost</t>
  </si>
  <si>
    <t>C1</t>
  </si>
  <si>
    <r>
      <rPr>
        <sz val="12"/>
        <rFont val="Calibri"/>
        <family val="2"/>
        <charset val="1"/>
      </rPr>
      <t>Metro</t>
    </r>
    <r>
      <rPr>
        <sz val="12"/>
        <rFont val="Noto Sans CJK SC"/>
        <family val="2"/>
      </rPr>
      <t>捷運</t>
    </r>
  </si>
  <si>
    <t>CK570J Taipei MRT Depot</t>
  </si>
  <si>
    <r>
      <rPr>
        <sz val="12"/>
        <rFont val="Noto Sans CJK SC"/>
        <family val="2"/>
      </rPr>
      <t>大安洞道</t>
    </r>
    <r>
      <rPr>
        <sz val="12"/>
        <rFont val="Calibri"/>
        <family val="2"/>
        <charset val="1"/>
      </rPr>
      <t>(CEC45%)</t>
    </r>
  </si>
  <si>
    <r>
      <rPr>
        <sz val="12"/>
        <rFont val="Calibri"/>
        <family val="2"/>
        <charset val="1"/>
      </rPr>
      <t xml:space="preserve">Civil    </t>
    </r>
    <r>
      <rPr>
        <sz val="12"/>
        <rFont val="Noto Sans CJK SC"/>
        <family val="2"/>
      </rPr>
      <t>其他</t>
    </r>
  </si>
  <si>
    <t>DaAn Shield Tunnel_JV</t>
  </si>
  <si>
    <t>C/4120S</t>
  </si>
  <si>
    <r>
      <rPr>
        <sz val="12"/>
        <rFont val="Calibri"/>
        <family val="2"/>
        <charset val="1"/>
      </rPr>
      <t>CJ910</t>
    </r>
    <r>
      <rPr>
        <sz val="12"/>
        <rFont val="Noto Sans CJK SC"/>
        <family val="2"/>
      </rPr>
      <t>北屯機廠</t>
    </r>
  </si>
  <si>
    <t>CJ910 Taichung MRT Depot</t>
  </si>
  <si>
    <t>CJ930 Taichung MRT Green Line</t>
  </si>
  <si>
    <t>CM01 Airport MRT</t>
  </si>
  <si>
    <t>C4</t>
  </si>
  <si>
    <r>
      <rPr>
        <sz val="12"/>
        <rFont val="Calibri"/>
        <family val="2"/>
        <charset val="1"/>
      </rPr>
      <t>Tunnel</t>
    </r>
    <r>
      <rPr>
        <sz val="12"/>
        <rFont val="Noto Sans CJK SC"/>
        <family val="2"/>
      </rPr>
      <t>隧道</t>
    </r>
  </si>
  <si>
    <t>CQ842 Taipei MRT Wanda Line</t>
  </si>
  <si>
    <t>CQ850A MRT</t>
  </si>
  <si>
    <t>C2</t>
  </si>
  <si>
    <t>CQ840 Taipei MRT</t>
  </si>
  <si>
    <t>C3</t>
  </si>
  <si>
    <t>C214 Tainan Railway Underground</t>
  </si>
  <si>
    <t>C211 Tainan Railway Underground</t>
  </si>
  <si>
    <t>GC01 Taoyuan MRT</t>
  </si>
  <si>
    <t>GC03Taoyuan MRT</t>
  </si>
  <si>
    <t>C/4190L</t>
  </si>
  <si>
    <t>蘆竹機廠進出廠線噪音改善工程</t>
  </si>
  <si>
    <t>Noise and Vibration control of Luju Depot</t>
  </si>
  <si>
    <t>C/4190M</t>
  </si>
  <si>
    <t>IJXX13</t>
  </si>
  <si>
    <r>
      <rPr>
        <sz val="12"/>
        <rFont val="Calibri"/>
        <family val="2"/>
        <charset val="1"/>
      </rPr>
      <t>C003</t>
    </r>
    <r>
      <rPr>
        <sz val="12"/>
        <rFont val="Noto Sans CJK SC"/>
        <family val="2"/>
      </rPr>
      <t>標</t>
    </r>
  </si>
  <si>
    <t>C/49999-21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</si>
  <si>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-2021</t>
    </r>
    <r>
      <rPr>
        <sz val="12"/>
        <rFont val="Noto Sans CJK SC"/>
        <family val="2"/>
      </rPr>
      <t>年</t>
    </r>
  </si>
  <si>
    <t>New Works- 2021</t>
  </si>
  <si>
    <t>C/49999-22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</si>
  <si>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-2022</t>
    </r>
    <r>
      <rPr>
        <sz val="12"/>
        <rFont val="Noto Sans CJK SC"/>
        <family val="2"/>
      </rPr>
      <t>年</t>
    </r>
  </si>
  <si>
    <t>New Works- 2022</t>
  </si>
  <si>
    <t>C/49999-23</t>
  </si>
  <si>
    <r>
      <rPr>
        <sz val="12"/>
        <rFont val="Noto Sans CJK SC"/>
        <family val="2"/>
      </rPr>
      <t>新取得工程</t>
    </r>
    <r>
      <rPr>
        <sz val="12"/>
        <rFont val="Calibri"/>
        <family val="2"/>
        <charset val="1"/>
      </rPr>
      <t>-2023</t>
    </r>
    <r>
      <rPr>
        <sz val="12"/>
        <rFont val="Noto Sans CJK SC"/>
        <family val="2"/>
      </rPr>
      <t>年</t>
    </r>
  </si>
  <si>
    <t>New Works- 2023</t>
  </si>
  <si>
    <t>C/Z9997-L</t>
  </si>
  <si>
    <r>
      <rPr>
        <sz val="12"/>
        <rFont val="Noto Sans CJK SC"/>
        <family val="2"/>
      </rPr>
      <t>負債準備</t>
    </r>
    <r>
      <rPr>
        <sz val="12"/>
        <rFont val="微軟正黑體"/>
        <family val="2"/>
        <charset val="136"/>
      </rPr>
      <t>-</t>
    </r>
    <r>
      <rPr>
        <sz val="12"/>
        <rFont val="Noto Sans CJK SC"/>
        <family val="2"/>
      </rPr>
      <t>土木</t>
    </r>
  </si>
  <si>
    <t>na</t>
  </si>
  <si>
    <t>C/Z9997-1</t>
  </si>
  <si>
    <t>雜項工程</t>
  </si>
  <si>
    <t xml:space="preserve">Other Misc.-Civil </t>
  </si>
  <si>
    <t>土木工程合計</t>
  </si>
  <si>
    <t>Sub-Total - Civil</t>
  </si>
  <si>
    <t>C/2150L</t>
  </si>
  <si>
    <r>
      <rPr>
        <sz val="12"/>
        <rFont val="Noto Sans CJK SC"/>
        <family val="2"/>
      </rPr>
      <t>福美酒店</t>
    </r>
    <r>
      <rPr>
        <sz val="12"/>
        <rFont val="Calibri"/>
        <family val="2"/>
        <charset val="1"/>
      </rPr>
      <t>(</t>
    </r>
    <r>
      <rPr>
        <sz val="12"/>
        <rFont val="Noto Sans CJK SC"/>
        <family val="2"/>
      </rPr>
      <t>停工</t>
    </r>
    <r>
      <rPr>
        <sz val="12"/>
        <rFont val="Calibri"/>
        <family val="2"/>
        <charset val="1"/>
      </rPr>
      <t>)</t>
    </r>
  </si>
  <si>
    <t>FuMe Hotel</t>
  </si>
  <si>
    <t>Yulon business area misc. works</t>
  </si>
  <si>
    <t>Fubon A25 Foundation_JV</t>
  </si>
  <si>
    <t>C/2170K</t>
  </si>
  <si>
    <t>亞德客三期工程</t>
  </si>
  <si>
    <t>ACU AirTAC III</t>
  </si>
  <si>
    <t>Grand River Xinyi A7 (Structure)</t>
  </si>
  <si>
    <t>PuJen CMP Forest</t>
  </si>
  <si>
    <t>Huayi Amidakuji Buliding</t>
  </si>
  <si>
    <t>大佳敦皇</t>
  </si>
  <si>
    <t>Da-Jia Tun-Huang</t>
  </si>
  <si>
    <t>C/3140B</t>
  </si>
  <si>
    <t>源堃大孝</t>
  </si>
  <si>
    <t>Yuankun Daxiao</t>
  </si>
  <si>
    <t>Sun Da Skyscraper41</t>
  </si>
  <si>
    <t>XinTong Sanchong</t>
  </si>
  <si>
    <t>C/3150M</t>
  </si>
  <si>
    <t>尚志大同莊園</t>
  </si>
  <si>
    <t>X</t>
  </si>
  <si>
    <t>Sanchih Tucheng</t>
  </si>
  <si>
    <t>Kuoyang Zhongxiao</t>
  </si>
  <si>
    <t>Keishen Shenkai Tate</t>
  </si>
  <si>
    <t>Kuoyang South Manor</t>
  </si>
  <si>
    <t>C/3160K</t>
  </si>
  <si>
    <t>富邦新市政</t>
  </si>
  <si>
    <t>Fubon Tower 41</t>
  </si>
  <si>
    <t>Guangci Social Housing Turn-key</t>
  </si>
  <si>
    <t>璞真仰睦</t>
  </si>
  <si>
    <t>PuJen Tucheng</t>
  </si>
  <si>
    <t>C/3180C</t>
  </si>
  <si>
    <t>泰民石牌</t>
  </si>
  <si>
    <t>Taiming Peitou building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</si>
  <si>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 xml:space="preserve">_JV(55%) </t>
    </r>
  </si>
  <si>
    <t>Nankang Depot Social Housing Project</t>
  </si>
  <si>
    <r>
      <rPr>
        <sz val="12"/>
        <rFont val="Noto Sans CJK SC"/>
        <family val="2"/>
      </rPr>
      <t>廣宇晴朗</t>
    </r>
    <r>
      <rPr>
        <sz val="12"/>
        <rFont val="Calibri"/>
        <family val="2"/>
        <charset val="1"/>
      </rPr>
      <t>II</t>
    </r>
  </si>
  <si>
    <t>Grande Arcade Qinglang II</t>
  </si>
  <si>
    <t>Heming Xindia_JV</t>
  </si>
  <si>
    <t xml:space="preserve">Fanlu Kaohsiung </t>
  </si>
  <si>
    <t>B01</t>
  </si>
  <si>
    <t>竹風青埔</t>
  </si>
  <si>
    <t>Grand River Xinyi A7 ( Demolition)</t>
  </si>
  <si>
    <t>True Full Land Zhubei</t>
  </si>
  <si>
    <t xml:space="preserve">Truefull Bade </t>
  </si>
  <si>
    <t xml:space="preserve"> Fubon Liren</t>
  </si>
  <si>
    <t>C/39999-21</t>
  </si>
  <si>
    <t>C/39999-22</t>
  </si>
  <si>
    <t>C/39999-23</t>
  </si>
  <si>
    <t>C/3160I_01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</si>
  <si>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機電拆分沖銷</t>
    </r>
  </si>
  <si>
    <t>Kuoyang South Manor_Elimination</t>
  </si>
  <si>
    <t>C/3160I_02</t>
  </si>
  <si>
    <r>
      <rPr>
        <sz val="12"/>
        <rFont val="Noto Sans CJK SC"/>
        <family val="2"/>
      </rPr>
      <t>南方莊園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機電損益差額</t>
    </r>
  </si>
  <si>
    <t xml:space="preserve">Guangci Social Housing-Elimination </t>
  </si>
  <si>
    <t>C/Z9999-L</t>
  </si>
  <si>
    <r>
      <rPr>
        <sz val="12"/>
        <rFont val="Noto Sans CJK SC"/>
        <family val="2"/>
      </rPr>
      <t>負債準備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建築</t>
    </r>
  </si>
  <si>
    <t>C/Z9999-1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</si>
  <si>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調整</t>
    </r>
  </si>
  <si>
    <t>Other Misc.- Building</t>
  </si>
  <si>
    <t>建築工程合計</t>
  </si>
  <si>
    <t>CDC Nanjing Songjian</t>
  </si>
  <si>
    <t xml:space="preserve">Tianjin St. Urban renewal </t>
  </si>
  <si>
    <t>Taichung Huiguo 101</t>
  </si>
  <si>
    <t xml:space="preserve">Xindian Yangbei </t>
  </si>
  <si>
    <t>Dexing E. Rd Project</t>
  </si>
  <si>
    <t>Fullerton Nanjing</t>
  </si>
  <si>
    <t>C/Z9999-2</t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</si>
  <si>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-CDC</t>
    </r>
  </si>
  <si>
    <t>Other Misc.-Building -CDC</t>
  </si>
  <si>
    <t>自建工程合計</t>
  </si>
  <si>
    <t>Building Total</t>
  </si>
  <si>
    <t>Kuoyang South Manor-M&amp;E</t>
  </si>
  <si>
    <t>Guangci Social Housing-M&amp;E</t>
  </si>
  <si>
    <t>Nat'l Convention &amp; Exhibition Center M&amp;E</t>
  </si>
  <si>
    <t>C/8160E</t>
  </si>
  <si>
    <t>禾群故宮天下</t>
  </si>
  <si>
    <t>Hechun Palace M&amp;E Project</t>
  </si>
  <si>
    <t>C/8170E</t>
  </si>
  <si>
    <t>華邦竹北辦公大樓</t>
  </si>
  <si>
    <t>Winbond Jhubei office building</t>
  </si>
  <si>
    <t>Far Easter T-Park</t>
  </si>
  <si>
    <r>
      <rPr>
        <sz val="12"/>
        <rFont val="Noto Sans CJK SC"/>
        <family val="2"/>
      </rPr>
      <t>南港機廠公宅</t>
    </r>
    <r>
      <rPr>
        <sz val="12"/>
        <rFont val="Calibri"/>
        <family val="2"/>
        <charset val="1"/>
      </rPr>
      <t>-M&amp;E</t>
    </r>
  </si>
  <si>
    <t>Nankang Depot Social Housing -M&amp;E</t>
  </si>
  <si>
    <t>C/89999-21</t>
  </si>
  <si>
    <t>C/89999-22</t>
  </si>
  <si>
    <t>C/89999-23</t>
  </si>
  <si>
    <t>C/Z9995-1</t>
  </si>
  <si>
    <t>Other Misc.-M&amp;E</t>
  </si>
  <si>
    <t>機電工程合計</t>
  </si>
  <si>
    <t>M&amp;E Total</t>
  </si>
  <si>
    <t>C/Z0001</t>
  </si>
  <si>
    <t>楊梅倉庫</t>
  </si>
  <si>
    <t>Yang  May Warehouse</t>
  </si>
  <si>
    <r>
      <rPr>
        <b/>
        <sz val="12"/>
        <rFont val="Noto Sans CJK SC"/>
        <family val="2"/>
      </rPr>
      <t>內部專案承攬</t>
    </r>
    <r>
      <rPr>
        <b/>
        <sz val="12"/>
        <rFont val="細明體"/>
        <family val="3"/>
        <charset val="136"/>
      </rPr>
      <t>-</t>
    </r>
    <r>
      <rPr>
        <b/>
        <sz val="12"/>
        <rFont val="Noto Sans CJK SC"/>
        <family val="2"/>
      </rPr>
      <t>合併損益計算底稿</t>
    </r>
  </si>
  <si>
    <t>C/3160I-T</t>
  </si>
  <si>
    <r>
      <rPr>
        <sz val="12"/>
        <color theme="1"/>
        <rFont val="Noto Sans CJK SC"/>
        <family val="2"/>
      </rPr>
      <t>國揚南方莊園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</si>
  <si>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t>C/3170H-T</t>
  </si>
  <si>
    <r>
      <rPr>
        <sz val="12"/>
        <color theme="1"/>
        <rFont val="Noto Sans CJK SC"/>
        <family val="2"/>
      </rPr>
      <t>廣慈公宅</t>
    </r>
    <r>
      <rPr>
        <sz val="12"/>
        <color theme="1"/>
        <rFont val="Calibri"/>
        <family val="2"/>
        <charset val="1"/>
      </rPr>
      <t>E</t>
    </r>
    <r>
      <rPr>
        <sz val="12"/>
        <color theme="1"/>
        <rFont val="Noto Sans CJK SC"/>
        <family val="2"/>
      </rPr>
      <t>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Noto Sans CJK SC"/>
        <family val="2"/>
      </rPr>
      <t>建築</t>
    </r>
    <r>
      <rPr>
        <sz val="12"/>
        <color theme="1"/>
        <rFont val="Calibri"/>
        <family val="2"/>
        <charset val="1"/>
      </rPr>
      <t>+</t>
    </r>
    <r>
      <rPr>
        <sz val="12"/>
        <color theme="1"/>
        <rFont val="Noto Sans CJK SC"/>
        <family val="2"/>
      </rPr>
      <t>機電</t>
    </r>
  </si>
  <si>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 xml:space="preserve">年       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</si>
  <si>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  <r>
      <rPr>
        <b/>
        <sz val="12"/>
        <rFont val="Calibri"/>
        <family val="2"/>
        <charset val="1"/>
      </rPr>
      <t>12</t>
    </r>
    <r>
      <rPr>
        <b/>
        <sz val="12"/>
        <rFont val="Noto Sans CJK SC"/>
        <family val="2"/>
      </rPr>
      <t>月累計</t>
    </r>
    <r>
      <rPr>
        <b/>
        <sz val="12"/>
        <rFont val="Calibri"/>
        <family val="2"/>
        <charset val="1"/>
      </rPr>
      <t>_FCST</t>
    </r>
  </si>
  <si>
    <r>
      <rPr>
        <b/>
        <sz val="12"/>
        <rFont val="Noto Sans CJK SC"/>
        <family val="2"/>
      </rPr>
      <t>至</t>
    </r>
    <r>
      <rPr>
        <b/>
        <sz val="12"/>
        <rFont val="Calibri"/>
        <family val="2"/>
        <charset val="1"/>
      </rPr>
      <t>2023</t>
    </r>
    <r>
      <rPr>
        <b/>
        <sz val="12"/>
        <rFont val="Noto Sans CJK SC"/>
        <family val="2"/>
      </rPr>
      <t>年本月累計</t>
    </r>
  </si>
  <si>
    <t>Year 2023 (1000NTD)</t>
  </si>
  <si>
    <t>2023 BACKLOG</t>
  </si>
  <si>
    <r>
      <rPr>
        <b/>
        <sz val="12"/>
        <rFont val="Calibri"/>
        <family val="2"/>
        <charset val="1"/>
      </rPr>
      <t>2022</t>
    </r>
    <r>
      <rPr>
        <b/>
        <sz val="12"/>
        <rFont val="Noto Sans CJK SC"/>
        <family val="2"/>
      </rPr>
      <t>年</t>
    </r>
  </si>
  <si>
    <r>
      <rPr>
        <sz val="12"/>
        <rFont val="Noto Sans CJK SC"/>
        <family val="2"/>
      </rPr>
      <t>雜項工程</t>
    </r>
    <r>
      <rPr>
        <sz val="12"/>
        <rFont val="Calibri"/>
        <family val="2"/>
        <charset val="1"/>
      </rPr>
      <t>-</t>
    </r>
    <r>
      <rPr>
        <sz val="12"/>
        <rFont val="Noto Sans CJK SC"/>
        <family val="2"/>
      </rPr>
      <t>其他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</si>
  <si>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大同</t>
    </r>
  </si>
  <si>
    <r>
      <rPr>
        <sz val="12"/>
        <rFont val="Calibri"/>
        <family val="2"/>
        <charset val="1"/>
      </rPr>
      <t xml:space="preserve">adj </t>
    </r>
    <r>
      <rPr>
        <sz val="12"/>
        <rFont val="Noto Sans CJK SC"/>
        <family val="2"/>
      </rPr>
      <t>拆分</t>
    </r>
  </si>
  <si>
    <r>
      <t>BIM,</t>
    </r>
    <r>
      <rPr>
        <b/>
        <sz val="14"/>
        <rFont val="微軟正黑體"/>
        <family val="2"/>
        <charset val="136"/>
      </rPr>
      <t>收入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成本</t>
    </r>
    <r>
      <rPr>
        <b/>
        <sz val="14"/>
        <rFont val="Calibri"/>
        <family val="2"/>
      </rPr>
      <t>,</t>
    </r>
    <r>
      <rPr>
        <b/>
        <sz val="14"/>
        <rFont val="微軟正黑體"/>
        <family val="2"/>
        <charset val="136"/>
      </rPr>
      <t>毛利表</t>
    </r>
    <r>
      <rPr>
        <b/>
        <sz val="14"/>
        <rFont val="Calibri"/>
        <family val="2"/>
      </rPr>
      <t xml:space="preserve"> ( T-Code ZFI107 )</t>
    </r>
    <phoneticPr fontId="104" type="noConversion"/>
  </si>
  <si>
    <t>Unit: NTD</t>
    <phoneticPr fontId="108" type="noConversion"/>
  </si>
  <si>
    <t>2026/8</t>
    <phoneticPr fontId="108" type="noConversion"/>
  </si>
  <si>
    <t>每月代公式(資料來源:前一月收入成本表)</t>
    <phoneticPr fontId="108" type="noConversion"/>
  </si>
  <si>
    <t>代公式(資料來源:當月轉出SAP-ZFI107)</t>
    <phoneticPr fontId="108" type="noConversion"/>
  </si>
  <si>
    <t>等於K~M欄(當年累計至上月)+O~Q欄(本月)，但會跟SAP勾稽</t>
    <phoneticPr fontId="108" type="noConversion"/>
  </si>
  <si>
    <t>跟SAP勾稽當年實際數</t>
    <phoneticPr fontId="108" type="noConversion"/>
  </si>
  <si>
    <t>實際數已超過合約，調整C-D欄使backlog為0</t>
    <phoneticPr fontId="108" type="noConversion"/>
  </si>
  <si>
    <t>2025.12.31</t>
    <phoneticPr fontId="104" type="noConversion"/>
  </si>
  <si>
    <t xml:space="preserve">NTD </t>
    <phoneticPr fontId="104" type="noConversion"/>
  </si>
  <si>
    <t>2026.01.22已更新</t>
    <phoneticPr fontId="108" type="noConversion"/>
  </si>
  <si>
    <r>
      <rPr>
        <b/>
        <sz val="12"/>
        <rFont val="微軟正黑體"/>
        <family val="2"/>
        <charset val="136"/>
      </rPr>
      <t>工程代碼</t>
    </r>
    <phoneticPr fontId="104" type="noConversion"/>
  </si>
  <si>
    <r>
      <rPr>
        <b/>
        <sz val="12"/>
        <rFont val="微軟正黑體"/>
        <family val="2"/>
        <charset val="136"/>
      </rPr>
      <t>工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程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名</t>
    </r>
    <r>
      <rPr>
        <b/>
        <sz val="12"/>
        <rFont val="Calibri"/>
        <family val="2"/>
      </rPr>
      <t xml:space="preserve">   </t>
    </r>
    <r>
      <rPr>
        <b/>
        <sz val="12"/>
        <rFont val="微軟正黑體"/>
        <family val="2"/>
        <charset val="136"/>
      </rPr>
      <t>稱</t>
    </r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</si>
  <si>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4" type="noConversion"/>
  </si>
  <si>
    <r>
      <rPr>
        <sz val="14"/>
        <color rgb="FFFF0000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4" type="noConversion"/>
  </si>
  <si>
    <t>預計毛利</t>
    <phoneticPr fontId="104" type="noConversion"/>
  </si>
  <si>
    <t>GP%</t>
    <phoneticPr fontId="108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</si>
  <si>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個月累計</t>
    </r>
    <phoneticPr fontId="104" type="noConversion"/>
  </si>
  <si>
    <r>
      <rPr>
        <b/>
        <sz val="12"/>
        <rFont val="微軟正黑體"/>
        <family val="2"/>
        <charset val="136"/>
      </rPr>
      <t>當年至上月止累計</t>
    </r>
    <phoneticPr fontId="104" type="noConversion"/>
  </si>
  <si>
    <t>Type</t>
    <phoneticPr fontId="108" type="noConversion"/>
  </si>
  <si>
    <r>
      <rPr>
        <b/>
        <sz val="12"/>
        <rFont val="微軟正黑體"/>
        <family val="2"/>
        <charset val="136"/>
      </rPr>
      <t>本月</t>
    </r>
    <r>
      <rPr>
        <b/>
        <sz val="24"/>
        <rFont val="Calibri"/>
        <family val="2"/>
      </rPr>
      <t/>
    </r>
    <phoneticPr fontId="104" type="noConversion"/>
  </si>
  <si>
    <r>
      <rPr>
        <b/>
        <sz val="12"/>
        <rFont val="微軟正黑體"/>
        <family val="2"/>
        <charset val="136"/>
      </rPr>
      <t>本年</t>
    </r>
    <phoneticPr fontId="104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</si>
  <si>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2026</t>
    </r>
    <r>
      <rPr>
        <b/>
        <sz val="12"/>
        <rFont val="微軟正黑體"/>
        <family val="2"/>
        <charset val="136"/>
      </rPr>
      <t>年本月累計</t>
    </r>
    <phoneticPr fontId="104" type="noConversion"/>
  </si>
  <si>
    <t>是否</t>
    <phoneticPr fontId="108" type="noConversion"/>
  </si>
  <si>
    <t xml:space="preserve">Code </t>
    <phoneticPr fontId="104" type="noConversion"/>
  </si>
  <si>
    <t>Project Name</t>
    <phoneticPr fontId="104" type="noConversion"/>
  </si>
  <si>
    <r>
      <t>Contract Value</t>
    </r>
    <r>
      <rPr>
        <sz val="16"/>
        <rFont val="標楷體"/>
        <family val="4"/>
        <charset val="136"/>
      </rPr>
      <t/>
    </r>
    <phoneticPr fontId="104" type="noConversion"/>
  </si>
  <si>
    <r>
      <t>Estimated Cost</t>
    </r>
    <r>
      <rPr>
        <sz val="16"/>
        <rFont val="標楷體"/>
        <family val="4"/>
        <charset val="136"/>
      </rPr>
      <t/>
    </r>
    <phoneticPr fontId="104" type="noConversion"/>
  </si>
  <si>
    <t>Margin</t>
    <phoneticPr fontId="104" type="noConversion"/>
  </si>
  <si>
    <t>Margin
%</t>
    <phoneticPr fontId="104" type="noConversion"/>
  </si>
  <si>
    <t>New Work</t>
    <phoneticPr fontId="104" type="noConversion"/>
  </si>
  <si>
    <t xml:space="preserve">Current Year Budget Changes </t>
    <phoneticPr fontId="104" type="noConversion"/>
  </si>
  <si>
    <t xml:space="preserve">Current Month </t>
    <phoneticPr fontId="104" type="noConversion"/>
  </si>
  <si>
    <t xml:space="preserve">Year to Date </t>
    <phoneticPr fontId="104" type="noConversion"/>
  </si>
  <si>
    <t>Cumulative to Date</t>
    <phoneticPr fontId="104" type="noConversion"/>
  </si>
  <si>
    <t>2026 BACKLOG</t>
    <phoneticPr fontId="104" type="noConversion"/>
  </si>
  <si>
    <t>Contract Value</t>
    <phoneticPr fontId="104" type="noConversion"/>
  </si>
  <si>
    <t>Estimated Cost</t>
    <phoneticPr fontId="104" type="noConversion"/>
  </si>
  <si>
    <t>Cumulative to 2025.12.31</t>
    <phoneticPr fontId="104" type="noConversion"/>
  </si>
  <si>
    <t>2025.12.31 BACKLOG</t>
    <phoneticPr fontId="104" type="noConversion"/>
  </si>
  <si>
    <r>
      <rPr>
        <b/>
        <sz val="12"/>
        <rFont val="微軟正黑體"/>
        <family val="2"/>
        <charset val="136"/>
      </rPr>
      <t>工程收入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</si>
  <si>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</si>
  <si>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</si>
  <si>
    <t>有合約金額</t>
    <phoneticPr fontId="108" type="noConversion"/>
  </si>
  <si>
    <t xml:space="preserve">Revenue </t>
    <phoneticPr fontId="104" type="noConversion"/>
  </si>
  <si>
    <t xml:space="preserve">Cost </t>
    <phoneticPr fontId="104" type="noConversion"/>
  </si>
  <si>
    <t xml:space="preserve">Profit </t>
    <phoneticPr fontId="104" type="noConversion"/>
  </si>
  <si>
    <t>Revenue</t>
    <phoneticPr fontId="104" type="noConversion"/>
  </si>
  <si>
    <t>Cost</t>
    <phoneticPr fontId="104" type="noConversion"/>
  </si>
  <si>
    <t>C/92103</t>
    <phoneticPr fontId="108" type="noConversion"/>
  </si>
  <si>
    <t>CQ840 BIM</t>
    <phoneticPr fontId="108" type="noConversion"/>
  </si>
  <si>
    <r>
      <rPr>
        <sz val="12"/>
        <rFont val="微軟正黑體"/>
        <family val="2"/>
        <charset val="136"/>
      </rPr>
      <t>內部</t>
    </r>
    <phoneticPr fontId="108" type="noConversion"/>
  </si>
  <si>
    <t xml:space="preserve">CQ840 </t>
  </si>
  <si>
    <t>CF680C BIM</t>
    <phoneticPr fontId="108" type="noConversion"/>
  </si>
  <si>
    <t xml:space="preserve">CF680C </t>
  </si>
  <si>
    <t>C/92203</t>
    <phoneticPr fontId="108" type="noConversion"/>
  </si>
  <si>
    <r>
      <t>N</t>
    </r>
    <r>
      <rPr>
        <sz val="12"/>
        <rFont val="細明體"/>
        <family val="3"/>
        <charset val="136"/>
      </rPr>
      <t>－</t>
    </r>
    <r>
      <rPr>
        <sz val="12"/>
        <rFont val="Calibri"/>
        <family val="2"/>
      </rPr>
      <t>WH BIM</t>
    </r>
    <phoneticPr fontId="108" type="noConversion"/>
  </si>
  <si>
    <t>內部</t>
  </si>
  <si>
    <t xml:space="preserve">N-WH </t>
  </si>
  <si>
    <t>N－WH BIM</t>
  </si>
  <si>
    <t>C/92204</t>
    <phoneticPr fontId="108" type="noConversion"/>
  </si>
  <si>
    <t>國揚吉林機電</t>
    <phoneticPr fontId="108" type="noConversion"/>
  </si>
  <si>
    <t xml:space="preserve">Kuo Yang Jilin MEP </t>
  </si>
  <si>
    <t>C/92301</t>
    <phoneticPr fontId="108" type="noConversion"/>
  </si>
  <si>
    <t>CF670A BIM 土木機電</t>
    <phoneticPr fontId="108" type="noConversion"/>
  </si>
  <si>
    <t xml:space="preserve">CF670A </t>
  </si>
  <si>
    <t>CF670A BIM 土木機電</t>
  </si>
  <si>
    <t>C/92302</t>
    <phoneticPr fontId="108" type="noConversion"/>
  </si>
  <si>
    <r>
      <rPr>
        <sz val="12"/>
        <rFont val="細明體"/>
        <family val="3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8" type="noConversion"/>
  </si>
  <si>
    <t>Fubon Zhongxiao Huaisheng MEP</t>
  </si>
  <si>
    <t>富邦忠孝懷生BIM機電</t>
  </si>
  <si>
    <t>C/92303</t>
    <phoneticPr fontId="108" type="noConversion"/>
  </si>
  <si>
    <t>信義兒福BIM機電</t>
    <phoneticPr fontId="108" type="noConversion"/>
  </si>
  <si>
    <r>
      <rPr>
        <sz val="12"/>
        <color rgb="FF00B050"/>
        <rFont val="微軟正黑體"/>
        <family val="2"/>
        <charset val="136"/>
      </rPr>
      <t>外部</t>
    </r>
    <phoneticPr fontId="108" type="noConversion"/>
  </si>
  <si>
    <t>XinYi Child Welfare Center MEP</t>
  </si>
  <si>
    <t>外部</t>
    <phoneticPr fontId="108" type="noConversion"/>
  </si>
  <si>
    <t>信義兒福BIM機電</t>
  </si>
  <si>
    <t>C/92304</t>
    <phoneticPr fontId="108" type="noConversion"/>
  </si>
  <si>
    <r>
      <rPr>
        <sz val="12"/>
        <rFont val="細明體"/>
        <family val="3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細明體"/>
        <family val="3"/>
        <charset val="136"/>
      </rPr>
      <t>統包</t>
    </r>
    <r>
      <rPr>
        <sz val="12"/>
        <rFont val="Calibri"/>
        <family val="2"/>
      </rPr>
      <t>BIM</t>
    </r>
    <r>
      <rPr>
        <sz val="12"/>
        <rFont val="細明體"/>
        <family val="3"/>
        <charset val="136"/>
      </rPr>
      <t>機電</t>
    </r>
    <phoneticPr fontId="108" type="noConversion"/>
  </si>
  <si>
    <t xml:space="preserve">Jiatan TOD MEP </t>
  </si>
  <si>
    <t>捷運劍潭站TOD統包BIM機電</t>
  </si>
  <si>
    <t>C/92401</t>
    <phoneticPr fontId="108" type="noConversion"/>
  </si>
  <si>
    <t>CJ17 土木機電</t>
    <phoneticPr fontId="108" type="noConversion"/>
  </si>
  <si>
    <t xml:space="preserve">CJ17 </t>
  </si>
  <si>
    <t>CJ17 土木機電</t>
  </si>
  <si>
    <t>C/92501</t>
    <phoneticPr fontId="108" type="noConversion"/>
  </si>
  <si>
    <t>CF670 BIM土木機電</t>
    <phoneticPr fontId="108" type="noConversion"/>
  </si>
  <si>
    <t>CF670 BIM Service</t>
    <phoneticPr fontId="108" type="noConversion"/>
  </si>
  <si>
    <t>CF670 BIM土木機電</t>
  </si>
  <si>
    <t>C/92502</t>
    <phoneticPr fontId="108" type="noConversion"/>
  </si>
  <si>
    <r>
      <t>擎邦-</t>
    </r>
    <r>
      <rPr>
        <sz val="12"/>
        <color rgb="FF00B050"/>
        <rFont val="細明體"/>
        <family val="3"/>
        <charset val="136"/>
      </rPr>
      <t>聯發科機電</t>
    </r>
    <phoneticPr fontId="108" type="noConversion"/>
  </si>
  <si>
    <t>KPEC-MediaTek</t>
    <phoneticPr fontId="108" type="noConversion"/>
  </si>
  <si>
    <t>擎邦-聯發科機電</t>
  </si>
  <si>
    <t>C/92503</t>
    <phoneticPr fontId="108" type="noConversion"/>
  </si>
  <si>
    <t>CF690B BIM土木</t>
    <phoneticPr fontId="108" type="noConversion"/>
  </si>
  <si>
    <t>CF690B BIM Service-Civil</t>
    <phoneticPr fontId="108" type="noConversion"/>
  </si>
  <si>
    <t>CF690B BIM土木</t>
  </si>
  <si>
    <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</si>
  <si>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t>Yuanrung Hosptial MEP BIM Service</t>
  </si>
  <si>
    <t>擎邦-員榮總醫院BIM</t>
  </si>
  <si>
    <t>C/92601</t>
    <phoneticPr fontId="108" type="noConversion"/>
  </si>
  <si>
    <t xml:space="preserve">KPEC-MediaTek Tongluo Factory </t>
    <phoneticPr fontId="108" type="noConversion"/>
  </si>
  <si>
    <t>C/92602</t>
    <phoneticPr fontId="108" type="noConversion"/>
  </si>
  <si>
    <t xml:space="preserve">KPEC-CF624F MEP </t>
    <phoneticPr fontId="108" type="noConversion"/>
  </si>
  <si>
    <t>C/92603</t>
    <phoneticPr fontId="108" type="noConversion"/>
  </si>
  <si>
    <t>中華郵政信維機電</t>
    <phoneticPr fontId="108" type="noConversion"/>
  </si>
  <si>
    <r>
      <rPr>
        <sz val="12"/>
        <color rgb="FF0000FF"/>
        <rFont val="微軟正黑體"/>
        <family val="2"/>
        <charset val="136"/>
      </rPr>
      <t>內部</t>
    </r>
    <phoneticPr fontId="108" type="noConversion"/>
  </si>
  <si>
    <t>Chunghwa Post Taipei Xinwei Project MEP</t>
    <phoneticPr fontId="108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</si>
  <si>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8" type="noConversion"/>
  </si>
  <si>
    <r>
      <rPr>
        <sz val="12"/>
        <color rgb="FFC00000"/>
        <rFont val="微軟正黑體"/>
        <family val="2"/>
        <charset val="136"/>
      </rPr>
      <t>內</t>
    </r>
    <r>
      <rPr>
        <sz val="12"/>
        <color rgb="FFC00000"/>
        <rFont val="Microsoft JhengHei"/>
        <family val="2"/>
        <charset val="136"/>
      </rPr>
      <t>無</t>
    </r>
    <phoneticPr fontId="108" type="noConversion"/>
  </si>
  <si>
    <t>Others</t>
  </si>
  <si>
    <t>雜項BIM土木機電</t>
  </si>
  <si>
    <t>C/99992-1</t>
    <phoneticPr fontId="108" type="noConversion"/>
  </si>
  <si>
    <t>雜項BIM土木機電(外案收入)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</si>
  <si>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phoneticPr fontId="108" type="noConversion"/>
  </si>
  <si>
    <t>備標</t>
  </si>
  <si>
    <t>Bid BIM</t>
  </si>
  <si>
    <t>備標BIM土木機電</t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</si>
  <si>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  <phoneticPr fontId="104" type="noConversion"/>
  </si>
  <si>
    <t>na</t>
    <phoneticPr fontId="108" type="noConversion"/>
  </si>
  <si>
    <t>Sub-Total - Civil</t>
    <phoneticPr fontId="104" type="noConversion"/>
  </si>
  <si>
    <t>C/9210F</t>
    <phoneticPr fontId="108" type="noConversion"/>
  </si>
  <si>
    <r>
      <rPr>
        <sz val="12"/>
        <color rgb="FF00B050"/>
        <rFont val="微軟正黑體"/>
        <family val="2"/>
        <charset val="136"/>
      </rPr>
      <t>南港機廠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含天橋工程追加</t>
    </r>
    <r>
      <rPr>
        <sz val="12"/>
        <color rgb="FF00B050"/>
        <rFont val="Calibri"/>
        <family val="2"/>
      </rPr>
      <t>)</t>
    </r>
    <phoneticPr fontId="108" type="noConversion"/>
  </si>
  <si>
    <t>Nangang Depot</t>
  </si>
  <si>
    <t>南港機廠BIM建築(含天橋工程追加)</t>
  </si>
  <si>
    <t>富邦忠孝懷生BIM建築</t>
    <phoneticPr fontId="108" type="noConversion"/>
  </si>
  <si>
    <t xml:space="preserve">Fubon Huaisheng </t>
  </si>
  <si>
    <t>富邦忠孝懷生BIM建築</t>
  </si>
  <si>
    <t>C/9220E</t>
    <phoneticPr fontId="108" type="noConversion"/>
  </si>
  <si>
    <t>柏鴻北士科BIM建築</t>
    <phoneticPr fontId="108" type="noConversion"/>
  </si>
  <si>
    <t xml:space="preserve">Bai Hong Beiske </t>
  </si>
  <si>
    <t>柏鴻北士科BIM建築</t>
  </si>
  <si>
    <t>C/9230A</t>
    <phoneticPr fontId="108" type="noConversion"/>
  </si>
  <si>
    <t>信義兒福BIM建築</t>
    <phoneticPr fontId="108" type="noConversion"/>
  </si>
  <si>
    <t xml:space="preserve">XinYi Child Welfare Center </t>
  </si>
  <si>
    <t>信義兒福BIM建築</t>
  </si>
  <si>
    <t>C/9230B</t>
    <phoneticPr fontId="108" type="noConversion"/>
  </si>
  <si>
    <t>捷運劍潭站TOD案BIM建築</t>
    <phoneticPr fontId="108" type="noConversion"/>
  </si>
  <si>
    <t xml:space="preserve">Jiatan TOD </t>
  </si>
  <si>
    <t>捷運劍潭站TOD案BIM建築</t>
  </si>
  <si>
    <t>C/9230C</t>
    <phoneticPr fontId="108" type="noConversion"/>
  </si>
  <si>
    <t>慶城福華BIM建築</t>
    <phoneticPr fontId="108" type="noConversion"/>
  </si>
  <si>
    <t xml:space="preserve">Qingcheng Howard  </t>
  </si>
  <si>
    <t>慶城福華BIM建築</t>
  </si>
  <si>
    <t>C/9240A</t>
    <phoneticPr fontId="108" type="noConversion"/>
  </si>
  <si>
    <t>南港國際一BIM建築</t>
    <phoneticPr fontId="108" type="noConversion"/>
  </si>
  <si>
    <t xml:space="preserve">Nangang railroad yard Urban Renewal (Unit 1 ) </t>
  </si>
  <si>
    <t>南港國際一BIM建築</t>
  </si>
  <si>
    <t>C/9240B</t>
    <phoneticPr fontId="108" type="noConversion"/>
  </si>
  <si>
    <t>台中洲際BIM建築</t>
    <phoneticPr fontId="108" type="noConversion"/>
  </si>
  <si>
    <t xml:space="preserve">Taichung Chouchi  </t>
  </si>
  <si>
    <t>台中洲際BIM建築</t>
  </si>
  <si>
    <t>C/9240C</t>
    <phoneticPr fontId="108" type="noConversion"/>
  </si>
  <si>
    <t>大直金泰BIM建築</t>
    <phoneticPr fontId="108" type="noConversion"/>
  </si>
  <si>
    <t xml:space="preserve">Dazhi Chintai  </t>
  </si>
  <si>
    <t>大直金泰BIM建築</t>
  </si>
  <si>
    <t>C/9240D</t>
    <phoneticPr fontId="108" type="noConversion"/>
  </si>
  <si>
    <t>板橋新雅BIM建築</t>
    <phoneticPr fontId="108" type="noConversion"/>
  </si>
  <si>
    <t xml:space="preserve">Banqiao Hsinya  </t>
  </si>
  <si>
    <t>板橋新雅BIM建築</t>
  </si>
  <si>
    <t>C/9240E</t>
    <phoneticPr fontId="108" type="noConversion"/>
  </si>
  <si>
    <t>板橋四維BIM建築</t>
    <phoneticPr fontId="108" type="noConversion"/>
  </si>
  <si>
    <t xml:space="preserve">Banqiao Siwei  </t>
  </si>
  <si>
    <t>板橋四維BIM建築</t>
  </si>
  <si>
    <t>C/9240F</t>
    <phoneticPr fontId="108" type="noConversion"/>
  </si>
  <si>
    <r>
      <t>新美齊台中建築BIM</t>
    </r>
    <r>
      <rPr>
        <sz val="12"/>
        <color theme="1"/>
        <rFont val="細明體"/>
        <family val="3"/>
        <charset val="136"/>
      </rPr>
      <t>服務</t>
    </r>
    <phoneticPr fontId="108" type="noConversion"/>
  </si>
  <si>
    <t xml:space="preserve">JEAN Taichung Residential </t>
  </si>
  <si>
    <t>新美齊台中建築BIM服務</t>
  </si>
  <si>
    <t>C/9240G</t>
    <phoneticPr fontId="108" type="noConversion"/>
  </si>
  <si>
    <t>晨禎片片山閑建築BIM服務</t>
    <phoneticPr fontId="108" type="noConversion"/>
  </si>
  <si>
    <t xml:space="preserve">TrueDream </t>
  </si>
  <si>
    <t>晨禎片片山閑建築BIM服務</t>
  </si>
  <si>
    <t>C/9250A</t>
    <phoneticPr fontId="108" type="noConversion"/>
  </si>
  <si>
    <r>
      <rPr>
        <sz val="12"/>
        <color theme="1"/>
        <rFont val="細明體"/>
        <family val="3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3"/>
        <charset val="136"/>
      </rPr>
      <t>服務</t>
    </r>
    <phoneticPr fontId="108" type="noConversion"/>
  </si>
  <si>
    <t>Nankang Depot Social Housing 2</t>
  </si>
  <si>
    <t>南機二區BIM服務</t>
  </si>
  <si>
    <t>C/9250B</t>
    <phoneticPr fontId="108" type="noConversion"/>
  </si>
  <si>
    <t>璞真南港總部</t>
    <phoneticPr fontId="108" type="noConversion"/>
  </si>
  <si>
    <t>PuJen Nankang</t>
  </si>
  <si>
    <t>C/9250C</t>
    <phoneticPr fontId="108" type="noConversion"/>
  </si>
  <si>
    <t>築源南港</t>
    <phoneticPr fontId="108" type="noConversion"/>
  </si>
  <si>
    <t>JuYuan Nankang</t>
    <phoneticPr fontId="108" type="noConversion"/>
  </si>
  <si>
    <t>C/9250D</t>
    <phoneticPr fontId="108" type="noConversion"/>
  </si>
  <si>
    <t>南港三重</t>
    <phoneticPr fontId="108" type="noConversion"/>
  </si>
  <si>
    <t>Nangang Sanchong</t>
  </si>
  <si>
    <t>C/9260A</t>
    <phoneticPr fontId="108" type="noConversion"/>
  </si>
  <si>
    <t>台中楓溪</t>
    <phoneticPr fontId="108" type="noConversion"/>
  </si>
  <si>
    <t>CDC Taichung Fengxi</t>
  </si>
  <si>
    <t>C/9260B</t>
    <phoneticPr fontId="108" type="noConversion"/>
  </si>
  <si>
    <t>樺輝永鑄</t>
    <phoneticPr fontId="108" type="noConversion"/>
  </si>
  <si>
    <t>Huahui The Bay</t>
  </si>
  <si>
    <t>C/9260C</t>
    <phoneticPr fontId="108" type="noConversion"/>
  </si>
  <si>
    <t>中華郵政信維</t>
    <phoneticPr fontId="108" type="noConversion"/>
  </si>
  <si>
    <t>Chunghwa Post Taipei Xinwei</t>
  </si>
  <si>
    <t>C/9260D</t>
    <phoneticPr fontId="108" type="noConversion"/>
  </si>
  <si>
    <t>大安復興</t>
    <phoneticPr fontId="108" type="noConversion"/>
  </si>
  <si>
    <t>CDC Daan Fuxing BIM Service Project</t>
    <phoneticPr fontId="108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</si>
  <si>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phoneticPr fontId="108" type="noConversion"/>
  </si>
  <si>
    <r>
      <rPr>
        <sz val="12"/>
        <color theme="1"/>
        <rFont val="微軟正黑體"/>
        <family val="2"/>
        <charset val="136"/>
      </rPr>
      <t>內</t>
    </r>
    <r>
      <rPr>
        <sz val="12"/>
        <color theme="1"/>
        <rFont val="Microsoft JhengHei"/>
        <family val="2"/>
        <charset val="136"/>
      </rPr>
      <t>無</t>
    </r>
    <phoneticPr fontId="108" type="noConversion"/>
  </si>
  <si>
    <t>雜項BIM建築</t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</si>
  <si>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08" type="noConversion"/>
  </si>
  <si>
    <t>備標BIM建築</t>
  </si>
  <si>
    <r>
      <rPr>
        <b/>
        <sz val="12"/>
        <rFont val="微軟正黑體"/>
        <family val="2"/>
        <charset val="136"/>
      </rPr>
      <t>建築合計</t>
    </r>
    <phoneticPr fontId="104" type="noConversion"/>
  </si>
  <si>
    <t>Sub-Total - Building</t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</si>
  <si>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8" type="noConversion"/>
  </si>
  <si>
    <t>Total</t>
    <phoneticPr fontId="108" type="noConversion"/>
  </si>
  <si>
    <r>
      <t>沖銷後毛利</t>
    </r>
    <r>
      <rPr>
        <b/>
        <sz val="14"/>
        <color rgb="FF0000FF"/>
        <rFont val="微軟正黑體"/>
        <family val="2"/>
        <charset val="136"/>
      </rPr>
      <t xml:space="preserve"> (以下皆為公式,需check=0)</t>
    </r>
    <phoneticPr fontId="108" type="noConversion"/>
  </si>
  <si>
    <r>
      <t>S</t>
    </r>
    <r>
      <rPr>
        <sz val="12"/>
        <rFont val="Calibri"/>
        <family val="2"/>
      </rPr>
      <t>Check</t>
    </r>
    <r>
      <rPr>
        <sz val="12"/>
        <rFont val="細明體"/>
        <family val="3"/>
        <charset val="136"/>
      </rPr>
      <t>公式</t>
    </r>
    <r>
      <rPr>
        <sz val="12"/>
        <rFont val="Calibri"/>
        <family val="2"/>
      </rPr>
      <t xml:space="preserve"> (</t>
    </r>
    <r>
      <rPr>
        <sz val="12"/>
        <rFont val="細明體"/>
        <family val="3"/>
        <charset val="136"/>
      </rPr>
      <t>沖銷成本</t>
    </r>
    <r>
      <rPr>
        <sz val="12"/>
        <rFont val="Calibri"/>
        <family val="2"/>
      </rPr>
      <t>=</t>
    </r>
    <r>
      <rPr>
        <sz val="12"/>
        <rFont val="細明體"/>
        <family val="3"/>
        <charset val="136"/>
      </rPr>
      <t>合約</t>
    </r>
    <r>
      <rPr>
        <sz val="12"/>
        <rFont val="Calibri"/>
        <family val="2"/>
      </rPr>
      <t>*-1)</t>
    </r>
    <phoneticPr fontId="108" type="noConversion"/>
  </si>
  <si>
    <t>合約</t>
    <phoneticPr fontId="108" type="noConversion"/>
  </si>
  <si>
    <t>2025 BACKLOG</t>
    <phoneticPr fontId="104" type="noConversion"/>
  </si>
  <si>
    <t>C/BIM</t>
  </si>
  <si>
    <t>BIM_有合約</t>
  </si>
  <si>
    <t>Yes</t>
  </si>
  <si>
    <t>C/BIM_0</t>
  </si>
  <si>
    <t>BIM_無合約</t>
  </si>
  <si>
    <t>no</t>
  </si>
  <si>
    <t>BIM</t>
  </si>
  <si>
    <t>BIM合計</t>
  </si>
  <si>
    <t>有合約(內+外)</t>
    <phoneticPr fontId="108" type="noConversion"/>
  </si>
  <si>
    <t>C/BIM_E1</t>
  </si>
  <si>
    <t>BIM_沖銷(內部/專案成本)</t>
  </si>
  <si>
    <t>C/BIM_E2</t>
  </si>
  <si>
    <t>BIM_沖銷(內部/管理費用)</t>
  </si>
  <si>
    <t>C/BIM_E3</t>
  </si>
  <si>
    <t>BIM_沖銷(內部/雜項無合約)</t>
  </si>
  <si>
    <t>內無</t>
  </si>
  <si>
    <t>BIM_雜項調整</t>
  </si>
  <si>
    <t>BIM_ELIA</t>
  </si>
  <si>
    <r>
      <t>BIM</t>
    </r>
    <r>
      <rPr>
        <sz val="12"/>
        <rFont val="細明體"/>
        <family val="3"/>
        <charset val="136"/>
      </rPr>
      <t>沖銷</t>
    </r>
    <phoneticPr fontId="108" type="noConversion"/>
  </si>
  <si>
    <t>BIM沖銷</t>
  </si>
  <si>
    <r>
      <t>BIM</t>
    </r>
    <r>
      <rPr>
        <b/>
        <sz val="12"/>
        <rFont val="細明體"/>
        <family val="3"/>
        <charset val="136"/>
      </rPr>
      <t>沖銷後合計</t>
    </r>
    <phoneticPr fontId="108" type="noConversion"/>
  </si>
  <si>
    <t>BIM沖銷後合計</t>
  </si>
  <si>
    <t>Check</t>
    <phoneticPr fontId="108" type="noConversion"/>
  </si>
  <si>
    <t>New Work</t>
  </si>
  <si>
    <t>1-上月</t>
  </si>
  <si>
    <r>
      <rPr>
        <b/>
        <sz val="14"/>
        <rFont val="微軟正黑體"/>
        <family val="2"/>
        <charset val="136"/>
      </rPr>
      <t>要連結上個月的</t>
    </r>
    <r>
      <rPr>
        <b/>
        <sz val="14"/>
        <rFont val="Calibri"/>
        <family val="2"/>
      </rPr>
      <t>1-</t>
    </r>
    <r>
      <rPr>
        <b/>
        <sz val="14"/>
        <rFont val="微軟正黑體"/>
        <family val="2"/>
        <charset val="136"/>
      </rPr>
      <t>本年</t>
    </r>
    <phoneticPr fontId="108" type="noConversion"/>
  </si>
  <si>
    <t>Civil &amp; MEP</t>
  </si>
  <si>
    <t>Building</t>
  </si>
  <si>
    <t>1-本年</t>
  </si>
  <si>
    <t>C/BIM-E</t>
  </si>
  <si>
    <t>BIM-Eliminate</t>
  </si>
  <si>
    <t>C/BIM-E 1</t>
  </si>
  <si>
    <r>
      <t>BIM-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-H68</t>
    </r>
    <phoneticPr fontId="108" type="noConversion"/>
  </si>
  <si>
    <t>C/BIM-E 2</t>
  </si>
  <si>
    <r>
      <t>BIM</t>
    </r>
    <r>
      <rPr>
        <b/>
        <sz val="12"/>
        <rFont val="細明體"/>
        <family val="3"/>
        <charset val="136"/>
      </rPr>
      <t>無合約調整</t>
    </r>
    <r>
      <rPr>
        <b/>
        <sz val="12"/>
        <rFont val="Calibri"/>
        <family val="2"/>
      </rPr>
      <t>-H37BIM</t>
    </r>
    <phoneticPr fontId="108" type="noConversion"/>
  </si>
  <si>
    <t>沖銷合計</t>
    <phoneticPr fontId="108" type="noConversion"/>
  </si>
  <si>
    <r>
      <t>BIM</t>
    </r>
    <r>
      <rPr>
        <b/>
        <sz val="12"/>
        <rFont val="微軟正黑體"/>
        <family val="2"/>
        <charset val="136"/>
      </rPr>
      <t>沖銷後合計</t>
    </r>
    <phoneticPr fontId="108" type="noConversion"/>
  </si>
  <si>
    <t>Total After Eliminate</t>
    <phoneticPr fontId="108" type="noConversion"/>
  </si>
  <si>
    <t>No</t>
  </si>
  <si>
    <t>至2025年12個月累計</t>
  </si>
  <si>
    <t>至2026年本月累計</t>
  </si>
  <si>
    <t>Cumulative to 2025.12.31</t>
  </si>
  <si>
    <t>2025.12.31 BACKLOG</t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</si>
  <si>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</t>
    </r>
    <r>
      <rPr>
        <sz val="12"/>
        <color rgb="FF00B050"/>
        <rFont val="Microsoft JhengHei"/>
        <family val="3"/>
      </rPr>
      <t>銅鑼</t>
    </r>
    <phoneticPr fontId="108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</si>
  <si>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Calibri"/>
        <family val="3"/>
      </rPr>
      <t>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3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3"/>
      </rPr>
      <t>)</t>
    </r>
    <phoneticPr fontId="108" type="noConversion"/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</si>
  <si>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Microsoft JhengHei"/>
        <family val="2"/>
      </rPr>
      <t>外案收入</t>
    </r>
    <r>
      <rPr>
        <sz val="12"/>
        <color rgb="FF00B050"/>
        <rFont val="Calibri"/>
        <family val="2"/>
      </rPr>
      <t>)</t>
    </r>
    <phoneticPr fontId="108" type="noConversion"/>
  </si>
  <si>
    <t>BIM,收入,成本,毛利表 ( T-Code ZFI107 )</t>
  </si>
  <si>
    <t>46</t>
  </si>
  <si>
    <t>2026/1-12
Budget 預算</t>
  </si>
  <si>
    <t>2026/1-12
FCST 預測</t>
  </si>
  <si>
    <t>預測收入</t>
  </si>
  <si>
    <t>預算收入</t>
  </si>
  <si>
    <t>過港隧道BIM</t>
  </si>
  <si>
    <t>國揚吉麟機電</t>
  </si>
  <si>
    <t>CF670A BIM土木機電</t>
  </si>
  <si>
    <t>外部</t>
  </si>
  <si>
    <t>BIM</t>
    <phoneticPr fontId="104" type="noConversion"/>
  </si>
  <si>
    <t>擎邦-聯發科銅鑼</t>
  </si>
  <si>
    <t>擎邦-CF624F機電</t>
  </si>
  <si>
    <t>C/92603</t>
    <phoneticPr fontId="145" type="noConversion"/>
  </si>
  <si>
    <t>雜項BIM土木機電(外案)</t>
  </si>
  <si>
    <t>C/91001_26</t>
    <phoneticPr fontId="108" type="noConversion"/>
  </si>
  <si>
    <t>Revenue_Civil &amp; MEP</t>
  </si>
  <si>
    <t>南港機廠BIM建築</t>
  </si>
  <si>
    <t>柏鴻北士科 C/9100A-22A</t>
  </si>
  <si>
    <t>北捷劍潭TOD</t>
  </si>
  <si>
    <t>慶城福華-23年</t>
  </si>
  <si>
    <t xml:space="preserve">台中洲際BIM建築 </t>
  </si>
  <si>
    <t xml:space="preserve">大直金泰BIM建築 </t>
  </si>
  <si>
    <t xml:space="preserve">板橋新雅BIM建築 </t>
  </si>
  <si>
    <t xml:space="preserve">板橋四維BIM建築 </t>
  </si>
  <si>
    <t>C/9260A</t>
    <phoneticPr fontId="145" type="noConversion"/>
  </si>
  <si>
    <t>C/9260B</t>
    <phoneticPr fontId="145" type="noConversion"/>
  </si>
  <si>
    <t>C/9260C</t>
    <phoneticPr fontId="145" type="noConversion"/>
  </si>
  <si>
    <t>C/9260D</t>
    <phoneticPr fontId="145" type="noConversion"/>
  </si>
  <si>
    <t>新取得BIM建築-26年</t>
  </si>
  <si>
    <t>新取得BIM建築-27年</t>
  </si>
  <si>
    <t>新取得BIM建築-28年</t>
  </si>
  <si>
    <t>新取得BIM建築-29年</t>
  </si>
  <si>
    <t>新取得BIM建築-30年</t>
  </si>
  <si>
    <t>新取得BIM建築-31年</t>
  </si>
  <si>
    <t>Revenue_Building</t>
  </si>
  <si>
    <t>Total</t>
    <phoneticPr fontId="104" type="noConversion"/>
  </si>
  <si>
    <t>累計至2026/12</t>
  </si>
  <si>
    <t>雜項BIM土木機電(外案)</t>
    <phoneticPr fontId="108" type="noConversion"/>
  </si>
  <si>
    <t/>
  </si>
  <si>
    <r>
      <rPr>
        <b/>
        <sz val="12"/>
        <rFont val="微軟正黑體"/>
        <family val="2"/>
        <charset val="136"/>
      </rPr>
      <t>預估分年分月彙總表</t>
    </r>
    <r>
      <rPr>
        <b/>
        <sz val="12"/>
        <rFont val="Calibri"/>
        <family val="2"/>
      </rPr>
      <t>-2026</t>
    </r>
    <r>
      <rPr>
        <b/>
        <sz val="12"/>
        <rFont val="微軟正黑體"/>
        <family val="2"/>
        <charset val="136"/>
      </rPr>
      <t>年預測</t>
    </r>
    <r>
      <rPr>
        <b/>
        <sz val="12"/>
        <rFont val="Calibri"/>
        <family val="2"/>
      </rPr>
      <t>&amp;2027</t>
    </r>
    <r>
      <rPr>
        <b/>
        <sz val="12"/>
        <rFont val="微軟正黑體"/>
        <family val="2"/>
        <charset val="136"/>
      </rPr>
      <t>年預</t>
    </r>
    <r>
      <rPr>
        <b/>
        <sz val="12"/>
        <rFont val="Microsoft JhengHei"/>
        <family val="2"/>
      </rPr>
      <t>算</t>
    </r>
    <phoneticPr fontId="104" type="noConversion"/>
  </si>
  <si>
    <t>45</t>
    <phoneticPr fontId="108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</si>
  <si>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  <phoneticPr fontId="104" type="noConversion"/>
  </si>
  <si>
    <r>
      <rPr>
        <sz val="12"/>
        <color theme="1"/>
        <rFont val="微軟正黑體"/>
        <family val="2"/>
        <charset val="136"/>
      </rPr>
      <t>會計年度：</t>
    </r>
    <phoneticPr fontId="108" type="noConversion"/>
  </si>
  <si>
    <r>
      <t>DE</t>
    </r>
    <r>
      <rPr>
        <b/>
        <sz val="12"/>
        <color rgb="FFFF0000"/>
        <rFont val="微軟正黑體"/>
        <family val="2"/>
        <charset val="136"/>
      </rPr>
      <t>欄為公式
無須更新</t>
    </r>
    <phoneticPr fontId="108" type="noConversion"/>
  </si>
  <si>
    <r>
      <rPr>
        <sz val="12"/>
        <color theme="1"/>
        <rFont val="微軟正黑體"/>
        <family val="2"/>
        <charset val="136"/>
      </rPr>
      <t>結算年月：</t>
    </r>
    <phoneticPr fontId="108" type="noConversion"/>
  </si>
  <si>
    <t>預算</t>
    <phoneticPr fontId="104" type="noConversion"/>
  </si>
  <si>
    <r>
      <rPr>
        <b/>
        <sz val="12"/>
        <rFont val="微軟正黑體"/>
        <family val="2"/>
        <charset val="136"/>
      </rPr>
      <t>預估分月收入</t>
    </r>
    <phoneticPr fontId="104" type="noConversion"/>
  </si>
  <si>
    <t>除備標/雜項外其餘代收入成本表</t>
    <phoneticPr fontId="104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</si>
  <si>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8" type="noConversion"/>
  </si>
  <si>
    <r>
      <t>2027</t>
    </r>
    <r>
      <rPr>
        <b/>
        <sz val="12"/>
        <rFont val="Microsoft JhengHei"/>
        <family val="2"/>
        <charset val="136"/>
      </rPr>
      <t>預算</t>
    </r>
    <phoneticPr fontId="104" type="noConversion"/>
  </si>
  <si>
    <t>Reference</t>
    <phoneticPr fontId="108" type="noConversion"/>
  </si>
  <si>
    <r>
      <rPr>
        <b/>
        <sz val="12"/>
        <rFont val="微軟正黑體"/>
        <family val="2"/>
        <charset val="136"/>
      </rPr>
      <t>工程
代碼</t>
    </r>
    <phoneticPr fontId="104" type="noConversion"/>
  </si>
  <si>
    <r>
      <rPr>
        <b/>
        <sz val="12"/>
        <rFont val="微軟正黑體"/>
        <family val="2"/>
        <charset val="136"/>
      </rPr>
      <t>工程名稱</t>
    </r>
    <phoneticPr fontId="104" type="noConversion"/>
  </si>
  <si>
    <r>
      <rPr>
        <b/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4" type="noConversion"/>
  </si>
  <si>
    <r>
      <rPr>
        <b/>
        <sz val="12"/>
        <rFont val="微軟正黑體"/>
        <family val="2"/>
        <charset val="136"/>
      </rPr>
      <t>預計
完工總成本</t>
    </r>
    <phoneticPr fontId="104" type="noConversion"/>
  </si>
  <si>
    <r>
      <rPr>
        <b/>
        <sz val="12"/>
        <rFont val="微軟正黑體"/>
        <family val="2"/>
        <charset val="136"/>
      </rPr>
      <t>預計毛利</t>
    </r>
    <phoneticPr fontId="104" type="noConversion"/>
  </si>
  <si>
    <t>累計至2025/12         實際收入</t>
  </si>
  <si>
    <t>2027/1-12
Bud 預算</t>
    <phoneticPr fontId="108" type="noConversion"/>
  </si>
  <si>
    <t>累計至2027/12</t>
  </si>
  <si>
    <r>
      <rPr>
        <b/>
        <sz val="12"/>
        <rFont val="微軟正黑體"/>
        <family val="2"/>
        <charset val="136"/>
      </rPr>
      <t>工作承攬</t>
    </r>
    <phoneticPr fontId="104" type="noConversion"/>
  </si>
  <si>
    <r>
      <t>2032</t>
    </r>
    <r>
      <rPr>
        <b/>
        <sz val="12"/>
        <rFont val="微軟正黑體"/>
        <family val="2"/>
        <charset val="136"/>
      </rPr>
      <t>以後</t>
    </r>
    <phoneticPr fontId="108" type="noConversion"/>
  </si>
  <si>
    <r>
      <t>1-7</t>
    </r>
    <r>
      <rPr>
        <b/>
        <sz val="12"/>
        <color theme="1"/>
        <rFont val="微軟正黑體"/>
        <family val="2"/>
        <charset val="136"/>
      </rPr>
      <t>月</t>
    </r>
    <phoneticPr fontId="108" type="noConversion"/>
  </si>
  <si>
    <r>
      <t>8-12</t>
    </r>
    <r>
      <rPr>
        <b/>
        <sz val="12"/>
        <color theme="1"/>
        <rFont val="微軟正黑體"/>
        <family val="2"/>
        <charset val="136"/>
      </rPr>
      <t>月</t>
    </r>
    <phoneticPr fontId="108" type="noConversion"/>
  </si>
  <si>
    <r>
      <rPr>
        <b/>
        <sz val="12"/>
        <rFont val="微軟正黑體"/>
        <family val="2"/>
        <charset val="136"/>
      </rPr>
      <t>勞務收入</t>
    </r>
    <phoneticPr fontId="145" type="noConversion"/>
  </si>
  <si>
    <r>
      <rPr>
        <b/>
        <sz val="12"/>
        <color theme="1"/>
        <rFont val="微軟正黑體"/>
        <family val="2"/>
        <charset val="136"/>
      </rPr>
      <t>實際收入</t>
    </r>
    <phoneticPr fontId="108" type="noConversion"/>
  </si>
  <si>
    <r>
      <rPr>
        <b/>
        <sz val="12"/>
        <color rgb="FF0000FF"/>
        <rFont val="微軟正黑體"/>
        <family val="2"/>
        <charset val="136"/>
      </rPr>
      <t>實際收入</t>
    </r>
    <phoneticPr fontId="108" type="noConversion"/>
  </si>
  <si>
    <r>
      <rPr>
        <b/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</si>
  <si>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8" type="noConversion"/>
  </si>
  <si>
    <r>
      <rPr>
        <b/>
        <sz val="12"/>
        <color theme="1"/>
        <rFont val="微軟正黑體"/>
        <family val="2"/>
        <charset val="136"/>
      </rPr>
      <t>全案預測收入</t>
    </r>
    <phoneticPr fontId="104" type="noConversion"/>
  </si>
  <si>
    <t>check</t>
    <phoneticPr fontId="108" type="noConversion"/>
  </si>
  <si>
    <t>Year 2026</t>
    <phoneticPr fontId="108" type="noConversion"/>
  </si>
  <si>
    <r>
      <rPr>
        <sz val="12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</si>
  <si>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過港隧道</t>
    </r>
    <r>
      <rPr>
        <sz val="12"/>
        <rFont val="Calibri"/>
        <family val="2"/>
      </rPr>
      <t>BIM</t>
    </r>
  </si>
  <si>
    <r>
      <rPr>
        <sz val="12"/>
        <rFont val="微軟正黑體"/>
        <family val="2"/>
        <charset val="136"/>
      </rPr>
      <t>國揚吉麟機電</t>
    </r>
  </si>
  <si>
    <r>
      <t>CF670A 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</si>
  <si>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</si>
  <si>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</si>
  <si>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</si>
  <si>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統包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機電</t>
    </r>
  </si>
  <si>
    <r>
      <t xml:space="preserve">CJ17 </t>
    </r>
    <r>
      <rPr>
        <sz val="12"/>
        <rFont val="微軟正黑體"/>
        <family val="2"/>
        <charset val="136"/>
      </rPr>
      <t>土木機電</t>
    </r>
  </si>
  <si>
    <r>
      <t>CF670 BIM</t>
    </r>
    <r>
      <rPr>
        <sz val="12"/>
        <color theme="1"/>
        <rFont val="微軟正黑體"/>
        <family val="2"/>
        <charset val="136"/>
      </rPr>
      <t>土木機電</t>
    </r>
    <phoneticPr fontId="108" type="noConversion"/>
  </si>
  <si>
    <r>
      <rPr>
        <sz val="12"/>
        <color theme="1"/>
        <rFont val="微軟正黑體"/>
        <family val="2"/>
        <charset val="136"/>
      </rPr>
      <t>內部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</si>
  <si>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  <phoneticPr fontId="108" type="noConversion"/>
  </si>
  <si>
    <r>
      <t>CF690B BIM</t>
    </r>
    <r>
      <rPr>
        <sz val="12"/>
        <color theme="1"/>
        <rFont val="微軟正黑體"/>
        <family val="2"/>
        <charset val="136"/>
      </rPr>
      <t>土木</t>
    </r>
  </si>
  <si>
    <t>C/92504</t>
    <phoneticPr fontId="108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</si>
  <si>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</si>
  <si>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00FF"/>
        <rFont val="微軟正黑體"/>
        <family val="2"/>
        <charset val="136"/>
      </rPr>
      <t>內部</t>
    </r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</si>
  <si>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</si>
  <si>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  <phoneticPr fontId="108" type="noConversion"/>
  </si>
  <si>
    <r>
      <rPr>
        <sz val="12"/>
        <rFont val="微軟正黑體"/>
        <family val="2"/>
        <charset val="136"/>
      </rPr>
      <t>備標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</si>
  <si>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</si>
  <si>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-26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</si>
  <si>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-27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</si>
  <si>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-28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</si>
  <si>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-29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</si>
  <si>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-30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</si>
  <si>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-31</t>
    </r>
    <r>
      <rPr>
        <sz val="12"/>
        <rFont val="微軟正黑體"/>
        <family val="2"/>
        <charset val="136"/>
      </rPr>
      <t>年</t>
    </r>
    <phoneticPr fontId="108" type="noConversion"/>
  </si>
  <si>
    <r>
      <rPr>
        <b/>
        <sz val="12"/>
        <color rgb="FF00B050"/>
        <rFont val="微軟正黑體"/>
        <family val="2"/>
        <charset val="136"/>
      </rP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</si>
  <si>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</si>
  <si>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 xml:space="preserve"> C/9100A-22A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</si>
  <si>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</si>
  <si>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北捷劍潭</t>
    </r>
    <r>
      <rPr>
        <sz val="12"/>
        <rFont val="Calibri"/>
        <family val="2"/>
      </rPr>
      <t>TOD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</si>
  <si>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</si>
  <si>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rPr>
        <sz val="12"/>
        <rFont val="微軟正黑體"/>
        <family val="2"/>
        <charset val="136"/>
      </rPr>
      <t>南港國際一</t>
    </r>
  </si>
  <si>
    <r>
      <rPr>
        <sz val="12"/>
        <rFont val="微軟正黑體"/>
        <family val="2"/>
        <charset val="136"/>
      </rP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</si>
  <si>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</si>
  <si>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</si>
  <si>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板橋四維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  <r>
      <rPr>
        <sz val="12"/>
        <color theme="1"/>
        <rFont val="Calibri"/>
        <family val="2"/>
      </rPr>
      <t xml:space="preserve"> </t>
    </r>
  </si>
  <si>
    <r>
      <rPr>
        <sz val="12"/>
        <color theme="1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</si>
  <si>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</t>
    </r>
  </si>
  <si>
    <r>
      <rPr>
        <sz val="12"/>
        <color rgb="FF00B050"/>
        <rFont val="微軟正黑體"/>
        <family val="2"/>
        <charset val="136"/>
      </rPr>
      <t>內部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</si>
  <si>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</si>
  <si>
    <r>
      <rPr>
        <sz val="12"/>
        <color theme="1"/>
        <rFont val="微軟正黑體"/>
        <family val="2"/>
        <charset val="136"/>
      </rPr>
      <t>璞真南港總部</t>
    </r>
  </si>
  <si>
    <r>
      <rPr>
        <sz val="12"/>
        <color theme="1"/>
        <rFont val="微軟正黑體"/>
        <family val="2"/>
        <charset val="136"/>
      </rPr>
      <t>築源南港</t>
    </r>
    <phoneticPr fontId="108" type="noConversion"/>
  </si>
  <si>
    <r>
      <rPr>
        <sz val="12"/>
        <color theme="1"/>
        <rFont val="微軟正黑體"/>
        <family val="2"/>
        <charset val="136"/>
      </rPr>
      <t>南港三重</t>
    </r>
    <phoneticPr fontId="108" type="noConversion"/>
  </si>
  <si>
    <r>
      <rPr>
        <sz val="12"/>
        <color rgb="FF0000FF"/>
        <rFont val="微軟正黑體"/>
        <family val="2"/>
        <charset val="136"/>
      </rPr>
      <t>台中楓溪</t>
    </r>
    <phoneticPr fontId="108" type="noConversion"/>
  </si>
  <si>
    <r>
      <rPr>
        <sz val="12"/>
        <color rgb="FF0000FF"/>
        <rFont val="微軟正黑體"/>
        <family val="2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</si>
  <si>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</si>
  <si>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備標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</si>
  <si>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t>C/9100B_26</t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</si>
  <si>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</si>
  <si>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收入合計</t>
    </r>
    <r>
      <rPr>
        <b/>
        <sz val="12"/>
        <rFont val="Calibri"/>
        <family val="2"/>
      </rPr>
      <t>(WBS</t>
    </r>
    <r>
      <rPr>
        <b/>
        <sz val="12"/>
        <rFont val="微軟正黑體"/>
        <family val="2"/>
        <charset val="136"/>
      </rPr>
      <t>分項</t>
    </r>
    <r>
      <rPr>
        <b/>
        <sz val="12"/>
        <rFont val="Calibri"/>
        <family val="2"/>
      </rPr>
      <t>)</t>
    </r>
    <phoneticPr fontId="104" type="noConversion"/>
  </si>
  <si>
    <t>WBS</t>
  </si>
  <si>
    <r>
      <t>WBS</t>
    </r>
    <r>
      <rPr>
        <b/>
        <sz val="12"/>
        <rFont val="微軟正黑體"/>
        <family val="2"/>
        <charset val="136"/>
      </rPr>
      <t>名稱</t>
    </r>
  </si>
  <si>
    <t>.02.01</t>
  </si>
  <si>
    <r>
      <rPr>
        <sz val="12"/>
        <rFont val="微軟正黑體"/>
        <family val="2"/>
        <charset val="136"/>
      </rPr>
      <t>人月收入</t>
    </r>
    <phoneticPr fontId="145" type="noConversion"/>
  </si>
  <si>
    <t>.02.02</t>
    <phoneticPr fontId="108" type="noConversion"/>
  </si>
  <si>
    <r>
      <rPr>
        <sz val="12"/>
        <rFont val="微軟正黑體"/>
        <family val="2"/>
        <charset val="136"/>
      </rPr>
      <t>代購收入</t>
    </r>
    <phoneticPr fontId="108" type="noConversion"/>
  </si>
  <si>
    <t>.02.04</t>
  </si>
  <si>
    <r>
      <rPr>
        <sz val="12"/>
        <rFont val="微軟正黑體"/>
        <family val="2"/>
        <charset val="136"/>
      </rPr>
      <t>雲端租賃收入</t>
    </r>
    <phoneticPr fontId="108" type="noConversion"/>
  </si>
  <si>
    <t>.02.05</t>
  </si>
  <si>
    <r>
      <rPr>
        <sz val="12"/>
        <rFont val="微軟正黑體"/>
        <family val="2"/>
        <charset val="136"/>
      </rPr>
      <t>委外收入</t>
    </r>
  </si>
  <si>
    <t>.02.06</t>
    <phoneticPr fontId="108" type="noConversion"/>
  </si>
  <si>
    <r>
      <rPr>
        <sz val="12"/>
        <rFont val="微軟正黑體"/>
        <family val="2"/>
        <charset val="136"/>
      </rPr>
      <t>其他勞務收入</t>
    </r>
    <phoneticPr fontId="108" type="noConversion"/>
  </si>
  <si>
    <t>Check = 0</t>
    <phoneticPr fontId="145" type="noConversion"/>
  </si>
  <si>
    <r>
      <t>Rev_BIMC01</t>
    </r>
    <r>
      <rPr>
        <b/>
        <sz val="12"/>
        <rFont val="微軟正黑體"/>
        <family val="2"/>
        <charset val="136"/>
      </rPr>
      <t>土木機電</t>
    </r>
    <phoneticPr fontId="145" type="noConversion"/>
  </si>
  <si>
    <r>
      <rPr>
        <b/>
        <sz val="12"/>
        <rFont val="微軟正黑體"/>
        <family val="2"/>
        <charset val="136"/>
      </rPr>
      <t>收入</t>
    </r>
    <r>
      <rPr>
        <b/>
        <sz val="12"/>
        <rFont val="Calibri"/>
        <family val="2"/>
      </rPr>
      <t>Break Down</t>
    </r>
    <phoneticPr fontId="145" type="noConversion"/>
  </si>
  <si>
    <r>
      <t>2026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</si>
  <si>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t>2031</t>
    </r>
    <r>
      <rPr>
        <b/>
        <sz val="12"/>
        <rFont val="微軟正黑體"/>
        <family val="2"/>
        <charset val="136"/>
      </rPr>
      <t>以後</t>
    </r>
    <phoneticPr fontId="108" type="noConversion"/>
  </si>
  <si>
    <r>
      <rPr>
        <sz val="12"/>
        <rFont val="微軟正黑體"/>
        <family val="2"/>
        <charset val="136"/>
      </rPr>
      <t>人月收入</t>
    </r>
  </si>
  <si>
    <t>.02.02</t>
  </si>
  <si>
    <r>
      <rPr>
        <sz val="12"/>
        <rFont val="微軟正黑體"/>
        <family val="2"/>
        <charset val="136"/>
      </rPr>
      <t>代購收入</t>
    </r>
    <r>
      <rPr>
        <sz val="12"/>
        <rFont val="Calibri"/>
        <family val="2"/>
      </rPr>
      <t>-CJ17</t>
    </r>
  </si>
  <si>
    <t>.02.04</t>
    <phoneticPr fontId="108" type="noConversion"/>
  </si>
  <si>
    <r>
      <rPr>
        <sz val="12"/>
        <rFont val="微軟正黑體"/>
        <family val="2"/>
        <charset val="136"/>
      </rPr>
      <t>雲端收入</t>
    </r>
    <phoneticPr fontId="108" type="noConversion"/>
  </si>
  <si>
    <r>
      <rPr>
        <sz val="12"/>
        <rFont val="微軟正黑體"/>
        <family val="2"/>
        <charset val="136"/>
      </rPr>
      <t>委外收入</t>
    </r>
    <phoneticPr fontId="108" type="noConversion"/>
  </si>
  <si>
    <t>.02.06</t>
  </si>
  <si>
    <r>
      <rPr>
        <sz val="12"/>
        <rFont val="微軟正黑體"/>
        <family val="2"/>
        <charset val="136"/>
      </rPr>
      <t>其他勞務收入</t>
    </r>
  </si>
  <si>
    <r>
      <t>Rev_BIMB01</t>
    </r>
    <r>
      <rPr>
        <b/>
        <sz val="12"/>
        <rFont val="微軟正黑體"/>
        <family val="2"/>
        <charset val="136"/>
      </rPr>
      <t>建築</t>
    </r>
    <phoneticPr fontId="145" type="noConversion"/>
  </si>
  <si>
    <r>
      <rPr>
        <sz val="12"/>
        <color theme="1"/>
        <rFont val="微軟正黑體"/>
        <family val="2"/>
        <charset val="136"/>
      </rPr>
      <t>實際收入</t>
    </r>
    <phoneticPr fontId="108" type="noConversion"/>
  </si>
  <si>
    <r>
      <rPr>
        <sz val="12"/>
        <color rgb="FF0000FF"/>
        <rFont val="微軟正黑體"/>
        <family val="2"/>
        <charset val="136"/>
      </rPr>
      <t>實際收入</t>
    </r>
    <phoneticPr fontId="108" type="noConversion"/>
  </si>
  <si>
    <r>
      <rPr>
        <sz val="12"/>
        <color theme="1"/>
        <rFont val="微軟正黑體"/>
        <family val="2"/>
        <charset val="136"/>
      </rPr>
      <t>預測收入</t>
    </r>
    <phoneticPr fontId="108" type="noConversion"/>
  </si>
  <si>
    <r>
      <rPr>
        <b/>
        <sz val="12"/>
        <color theme="1"/>
        <rFont val="微軟正黑體"/>
        <family val="2"/>
        <charset val="136"/>
      </rPr>
      <t>預測收入</t>
    </r>
  </si>
  <si>
    <r>
      <rPr>
        <sz val="12"/>
        <rFont val="微軟正黑體"/>
        <family val="2"/>
        <charset val="136"/>
      </rPr>
      <t>雲端費用</t>
    </r>
  </si>
  <si>
    <t>.02.05</t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</si>
  <si>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  <phoneticPr fontId="14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</si>
  <si>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  <phoneticPr fontId="145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</si>
  <si>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  <phoneticPr fontId="145" type="noConversion"/>
  </si>
  <si>
    <t>.02.06</t>
    <phoneticPr fontId="145" type="noConversion"/>
  </si>
  <si>
    <r>
      <rPr>
        <sz val="12"/>
        <rFont val="微軟正黑體"/>
        <family val="2"/>
        <charset val="136"/>
      </rPr>
      <t>其他勞務收入</t>
    </r>
    <phoneticPr fontId="145" type="noConversion"/>
  </si>
  <si>
    <r>
      <t>BIMC01</t>
    </r>
    <r>
      <rPr>
        <sz val="12"/>
        <color rgb="FFFF0000"/>
        <rFont val="微軟正黑體"/>
        <family val="2"/>
        <charset val="136"/>
      </rPr>
      <t>土木</t>
    </r>
    <r>
      <rPr>
        <sz val="12"/>
        <color rgb="FFFF0000"/>
        <rFont val="Calibri"/>
        <family val="2"/>
      </rPr>
      <t>by</t>
    </r>
    <r>
      <rPr>
        <sz val="12"/>
        <color rgb="FFFF0000"/>
        <rFont val="微軟正黑體"/>
        <family val="2"/>
        <charset val="136"/>
      </rPr>
      <t>專案</t>
    </r>
    <phoneticPr fontId="108" type="noConversion"/>
  </si>
  <si>
    <t>.02.01</t>
    <phoneticPr fontId="108" type="noConversion"/>
  </si>
  <si>
    <r>
      <rPr>
        <b/>
        <sz val="12"/>
        <color theme="1"/>
        <rFont val="微軟正黑體"/>
        <family val="2"/>
        <charset val="136"/>
      </rPr>
      <t>勞務收入</t>
    </r>
    <phoneticPr fontId="108" type="noConversion"/>
  </si>
  <si>
    <t>2027預算</t>
    <phoneticPr fontId="104" type="noConversion"/>
  </si>
  <si>
    <r>
      <rPr>
        <b/>
        <sz val="12"/>
        <rFont val="微軟正黑體"/>
        <family val="2"/>
        <charset val="136"/>
      </rPr>
      <t>預測
完工總成本</t>
    </r>
  </si>
  <si>
    <r>
      <rPr>
        <sz val="12"/>
        <rFont val="微軟正黑體"/>
        <family val="2"/>
        <charset val="136"/>
      </rPr>
      <t>預測收入</t>
    </r>
  </si>
  <si>
    <r>
      <rPr>
        <b/>
        <sz val="12"/>
        <rFont val="微軟正黑體"/>
        <family val="2"/>
        <charset val="136"/>
      </rPr>
      <t>全案預測收入</t>
    </r>
    <phoneticPr fontId="104" type="noConversion"/>
  </si>
  <si>
    <r>
      <t>CF670 BIM</t>
    </r>
    <r>
      <rPr>
        <sz val="12"/>
        <color rgb="FF0000FF"/>
        <rFont val="微軟正黑體"/>
        <family val="2"/>
        <charset val="136"/>
      </rPr>
      <t>土木機電</t>
    </r>
  </si>
  <si>
    <r>
      <rPr>
        <b/>
        <sz val="12"/>
        <color rgb="FF00B050"/>
        <rFont val="微軟正黑體"/>
        <family val="2"/>
        <charset val="136"/>
      </rPr>
      <t>擎邦</t>
    </r>
    <r>
      <rPr>
        <b/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聯發科機電</t>
    </r>
  </si>
  <si>
    <r>
      <t>CF690B BIM</t>
    </r>
    <r>
      <rPr>
        <sz val="12"/>
        <color rgb="FF0000FF"/>
        <rFont val="微軟正黑體"/>
        <family val="2"/>
        <charset val="136"/>
      </rPr>
      <t>土木</t>
    </r>
  </si>
  <si>
    <r>
      <rPr>
        <sz val="12"/>
        <color rgb="FF00B050"/>
        <rFont val="微軟正黑體"/>
        <family val="2"/>
        <charset val="136"/>
      </rPr>
      <t>雜項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土木機電</t>
    </r>
    <r>
      <rPr>
        <sz val="12"/>
        <color rgb="FF00B050"/>
        <rFont val="Calibri"/>
        <family val="2"/>
      </rPr>
      <t>(</t>
    </r>
    <r>
      <rPr>
        <sz val="12"/>
        <color rgb="FF00B050"/>
        <rFont val="微軟正黑體"/>
        <family val="2"/>
        <charset val="136"/>
      </rPr>
      <t>外案</t>
    </r>
    <r>
      <rPr>
        <sz val="12"/>
        <color rgb="FF00B050"/>
        <rFont val="Calibri"/>
        <family val="2"/>
      </rPr>
      <t>)</t>
    </r>
  </si>
  <si>
    <r>
      <rPr>
        <b/>
        <sz val="12"/>
        <color theme="1"/>
        <rFont val="微軟正黑體"/>
        <family val="2"/>
        <charset val="136"/>
      </rPr>
      <t>代購收入</t>
    </r>
    <phoneticPr fontId="108" type="noConversion"/>
  </si>
  <si>
    <r>
      <rPr>
        <b/>
        <sz val="12"/>
        <color theme="1"/>
        <rFont val="微軟正黑體"/>
        <family val="2"/>
        <charset val="136"/>
      </rPr>
      <t>租賃收入</t>
    </r>
    <phoneticPr fontId="108" type="noConversion"/>
  </si>
  <si>
    <t>租賃收入-CF680C</t>
  </si>
  <si>
    <t>租賃收入-CF670A</t>
  </si>
  <si>
    <t>租賃收入-CJ17</t>
  </si>
  <si>
    <t>租賃收入-CF670</t>
  </si>
  <si>
    <t>租賃收入-CF690B BIM土木</t>
  </si>
  <si>
    <r>
      <rPr>
        <b/>
        <sz val="12"/>
        <color theme="1"/>
        <rFont val="微軟正黑體"/>
        <family val="2"/>
        <charset val="136"/>
      </rPr>
      <t>委外收入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</si>
  <si>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-CF680C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</si>
  <si>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過港隧道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</si>
  <si>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-CF670A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</si>
  <si>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  <phoneticPr fontId="108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</si>
  <si>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-CF670</t>
    </r>
    <phoneticPr fontId="108" type="noConversion"/>
  </si>
  <si>
    <r>
      <rPr>
        <b/>
        <sz val="12"/>
        <color theme="1"/>
        <rFont val="微軟正黑體"/>
        <family val="2"/>
        <charset val="136"/>
      </rPr>
      <t>其他勞務收入</t>
    </r>
    <phoneticPr fontId="108" type="noConversion"/>
  </si>
  <si>
    <r>
      <rPr>
        <b/>
        <sz val="12"/>
        <rFont val="微軟正黑體"/>
        <family val="2"/>
        <charset val="136"/>
      </rPr>
      <t>工作承攬</t>
    </r>
  </si>
  <si>
    <r>
      <rPr>
        <b/>
        <sz val="12"/>
        <color rgb="FF00B050"/>
        <rFont val="微軟正黑體"/>
        <family val="2"/>
        <charset val="136"/>
      </rP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機電</t>
    </r>
    <phoneticPr fontId="108" type="noConversion"/>
  </si>
  <si>
    <t>.02.07</t>
  </si>
  <si>
    <t>.02.08</t>
  </si>
  <si>
    <t>.02.09</t>
  </si>
  <si>
    <t>.02.10</t>
  </si>
  <si>
    <t>.02.11</t>
  </si>
  <si>
    <t>.02.12</t>
  </si>
  <si>
    <r>
      <rPr>
        <b/>
        <sz val="12"/>
        <color rgb="FFFF0000"/>
        <rFont val="微軟正黑體"/>
        <family val="2"/>
        <charset val="136"/>
      </rPr>
      <t>貼上月收入底稿</t>
    </r>
    <phoneticPr fontId="108" type="noConversion"/>
  </si>
  <si>
    <r>
      <rPr>
        <b/>
        <sz val="12"/>
        <color rgb="FFFF0000"/>
        <rFont val="微軟正黑體"/>
        <family val="2"/>
        <charset val="136"/>
      </rPr>
      <t>月份</t>
    </r>
    <r>
      <rPr>
        <b/>
        <sz val="12"/>
        <color rgb="FFFF0000"/>
        <rFont val="Calibri"/>
        <family val="2"/>
      </rPr>
      <t>:202607</t>
    </r>
    <phoneticPr fontId="108" type="noConversion"/>
  </si>
  <si>
    <r>
      <rPr>
        <sz val="12"/>
        <color theme="1"/>
        <rFont val="微軟正黑體"/>
        <family val="2"/>
        <charset val="136"/>
      </rPr>
      <t>前後月收入差異</t>
    </r>
    <phoneticPr fontId="108" type="noConversion"/>
  </si>
  <si>
    <t>新取得BIM土木機電-26年</t>
  </si>
  <si>
    <t xml:space="preserve"> </t>
    <phoneticPr fontId="108" type="noConversion"/>
  </si>
  <si>
    <t>147</t>
    <phoneticPr fontId="145" type="noConversion"/>
  </si>
  <si>
    <t>149</t>
    <phoneticPr fontId="108" type="noConversion"/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</si>
  <si>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</si>
  <si>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</si>
  <si>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</si>
  <si>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</si>
  <si>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</si>
  <si>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</si>
  <si>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</si>
  <si>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</si>
  <si>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</si>
  <si>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</si>
  <si>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</si>
  <si>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</si>
  <si>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</si>
  <si>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</si>
  <si>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</si>
  <si>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</si>
  <si>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</si>
  <si>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</si>
  <si>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</si>
  <si>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</si>
  <si>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</si>
  <si>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</si>
  <si>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</si>
  <si>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</si>
  <si>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</si>
  <si>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</si>
  <si>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</si>
  <si>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</si>
  <si>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</si>
  <si>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</si>
  <si>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</si>
  <si>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</si>
  <si>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</si>
  <si>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</si>
  <si>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</si>
  <si>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</si>
  <si>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</si>
  <si>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</si>
  <si>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</si>
  <si>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</si>
  <si>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</si>
  <si>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</si>
  <si>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</si>
  <si>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</si>
  <si>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</si>
  <si>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</si>
  <si>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</si>
  <si>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</si>
  <si>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</si>
  <si>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</si>
  <si>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</si>
  <si>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</si>
  <si>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</si>
  <si>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</si>
  <si>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</si>
  <si>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</si>
  <si>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</si>
  <si>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</si>
  <si>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</si>
  <si>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2026/8/31</t>
    <phoneticPr fontId="145" type="noConversion"/>
  </si>
  <si>
    <t>TYPE</t>
    <phoneticPr fontId="145" type="noConversion"/>
  </si>
  <si>
    <t>TPYE1</t>
    <phoneticPr fontId="104" type="noConversion"/>
  </si>
  <si>
    <t>TPYE2</t>
    <phoneticPr fontId="104" type="noConversion"/>
  </si>
  <si>
    <t>TPYE3</t>
  </si>
  <si>
    <t>Variance</t>
    <phoneticPr fontId="108" type="noConversion"/>
  </si>
  <si>
    <t>2026  Backlog</t>
    <phoneticPr fontId="104" type="noConversion"/>
  </si>
  <si>
    <t>2023/1 Budget</t>
  </si>
  <si>
    <t>2027/1 Budget</t>
  </si>
  <si>
    <t>2027/1-1 Budget</t>
  </si>
  <si>
    <t>POC %</t>
    <phoneticPr fontId="108" type="noConversion"/>
  </si>
  <si>
    <t>2027/2 Budget</t>
  </si>
  <si>
    <t>2027/1-2 Budget</t>
  </si>
  <si>
    <t>2027/3 Budget</t>
  </si>
  <si>
    <t>2027/1-3 Budget</t>
  </si>
  <si>
    <t>2027/4 Budget</t>
  </si>
  <si>
    <t>2027/1-4 Budget</t>
  </si>
  <si>
    <t>2027/5 Budget</t>
  </si>
  <si>
    <t>'2027/1-5 Budget</t>
  </si>
  <si>
    <t>2027/6 Budget</t>
  </si>
  <si>
    <t>2027/1-6 Budget</t>
  </si>
  <si>
    <t>2027/7 Budget</t>
  </si>
  <si>
    <t>2027/1-7  Budget</t>
  </si>
  <si>
    <t>2027/8  Budget</t>
  </si>
  <si>
    <t>2027/1-8  Budget</t>
  </si>
  <si>
    <t>2027/9  Budget</t>
  </si>
  <si>
    <t>2027/1-9  Budget</t>
  </si>
  <si>
    <t>2027/10 Budget</t>
  </si>
  <si>
    <t>2027/1-10  Budget</t>
  </si>
  <si>
    <t>2027/11  Budget</t>
  </si>
  <si>
    <t>2027/1-11  Budget</t>
  </si>
  <si>
    <t>2027/12 Budget</t>
  </si>
  <si>
    <t>2027 Budget</t>
  </si>
  <si>
    <t>2027 Backlog</t>
  </si>
  <si>
    <t>2028  FCST</t>
    <phoneticPr fontId="145" type="noConversion"/>
  </si>
  <si>
    <t>2028 Backlog</t>
    <phoneticPr fontId="104" type="noConversion"/>
  </si>
  <si>
    <t>2029  FCST</t>
    <phoneticPr fontId="108" type="noConversion"/>
  </si>
  <si>
    <t>2029 Backlog</t>
    <phoneticPr fontId="108" type="noConversion"/>
  </si>
  <si>
    <t>2030  FCST</t>
    <phoneticPr fontId="108" type="noConversion"/>
  </si>
  <si>
    <t>2030 Backlog</t>
    <phoneticPr fontId="108" type="noConversion"/>
  </si>
  <si>
    <t>2031  FCST</t>
    <phoneticPr fontId="108" type="noConversion"/>
  </si>
  <si>
    <t>2031 Backlog</t>
    <phoneticPr fontId="108" type="noConversion"/>
  </si>
  <si>
    <t>2032  FCST</t>
    <phoneticPr fontId="108" type="noConversion"/>
  </si>
  <si>
    <t>2032 Backlog</t>
    <phoneticPr fontId="108" type="noConversion"/>
  </si>
  <si>
    <t>Code</t>
  </si>
  <si>
    <t>GP %</t>
    <phoneticPr fontId="145" type="noConversion"/>
  </si>
  <si>
    <t>CV</t>
    <phoneticPr fontId="145" type="noConversion"/>
  </si>
  <si>
    <t>GP%</t>
    <phoneticPr fontId="104" type="noConversion"/>
  </si>
  <si>
    <t>Contract Vaule</t>
    <phoneticPr fontId="104" type="noConversion"/>
  </si>
  <si>
    <t>Estunated Cost</t>
    <phoneticPr fontId="104" type="noConversion"/>
  </si>
  <si>
    <t>C/92202</t>
    <phoneticPr fontId="108" type="noConversion"/>
  </si>
  <si>
    <t>NW26_C01</t>
    <phoneticPr fontId="108" type="noConversion"/>
  </si>
  <si>
    <t>BIM-N</t>
    <phoneticPr fontId="104" type="noConversion"/>
  </si>
  <si>
    <t xml:space="preserve">na </t>
  </si>
  <si>
    <t>C/91001_24</t>
  </si>
  <si>
    <t>BIM24</t>
    <phoneticPr fontId="104" type="noConversion"/>
  </si>
  <si>
    <t>C/9210B</t>
  </si>
  <si>
    <t>C/9220D</t>
  </si>
  <si>
    <t>C/9240F</t>
    <phoneticPr fontId="145" type="noConversion"/>
  </si>
  <si>
    <t>C/9250A</t>
    <phoneticPr fontId="145" type="noConversion"/>
  </si>
  <si>
    <t>C/9250B</t>
    <phoneticPr fontId="145" type="noConversion"/>
  </si>
  <si>
    <t>C/9250C</t>
    <phoneticPr fontId="145" type="noConversion"/>
  </si>
  <si>
    <t>C/9250D</t>
    <phoneticPr fontId="145" type="noConversion"/>
  </si>
  <si>
    <t>NW26_B01</t>
    <phoneticPr fontId="108" type="noConversion"/>
  </si>
  <si>
    <r>
      <rPr>
        <sz val="12"/>
        <color rgb="FF0000FF"/>
        <rFont val="細明體"/>
        <family val="3"/>
        <charset val="136"/>
      </rPr>
      <t>樺輝永鑄</t>
    </r>
  </si>
  <si>
    <t>C/BIM</t>
    <phoneticPr fontId="104" type="noConversion"/>
  </si>
  <si>
    <t>C/BIM_E1</t>
    <phoneticPr fontId="104" type="noConversion"/>
  </si>
  <si>
    <t>C/BIM_E2</t>
    <phoneticPr fontId="104" type="noConversion"/>
  </si>
  <si>
    <t xml:space="preserve">na </t>
    <phoneticPr fontId="108" type="noConversion"/>
  </si>
  <si>
    <t>C/BIM_E</t>
    <phoneticPr fontId="104" type="noConversion"/>
  </si>
  <si>
    <t>A1 BIM Check</t>
    <phoneticPr fontId="145" type="noConversion"/>
  </si>
  <si>
    <t>2026/09 ~ 2026/12</t>
    <phoneticPr fontId="145" type="noConversion"/>
  </si>
  <si>
    <t>2028/1-12</t>
    <phoneticPr fontId="108" type="noConversion"/>
  </si>
  <si>
    <t>2029/1-12</t>
    <phoneticPr fontId="108" type="noConversion"/>
  </si>
  <si>
    <t>2030/1-12</t>
    <phoneticPr fontId="108" type="noConversion"/>
  </si>
  <si>
    <t>2031/1-12</t>
    <phoneticPr fontId="108" type="noConversion"/>
  </si>
  <si>
    <t>2032/1-12</t>
    <phoneticPr fontId="108" type="noConversion"/>
  </si>
  <si>
    <t>TBU</t>
    <phoneticPr fontId="145" type="noConversion"/>
  </si>
  <si>
    <t>Dr</t>
    <phoneticPr fontId="108" type="noConversion"/>
  </si>
  <si>
    <t>Cr</t>
    <phoneticPr fontId="108" type="noConversion"/>
  </si>
  <si>
    <t>63670100</t>
    <phoneticPr fontId="145" type="noConversion"/>
  </si>
  <si>
    <t>12872012</t>
    <phoneticPr fontId="145" type="noConversion"/>
  </si>
  <si>
    <t>BIM</t>
    <phoneticPr fontId="145" type="noConversion"/>
  </si>
  <si>
    <t>1471公司内部往來-TO&amp;BIM</t>
    <phoneticPr fontId="145" type="noConversion"/>
  </si>
  <si>
    <t>3353 本期損益</t>
  </si>
  <si>
    <t>46110050</t>
    <phoneticPr fontId="145" type="noConversion"/>
  </si>
  <si>
    <t>勞務收入-內部計價</t>
  </si>
  <si>
    <t xml:space="preserve"> </t>
    <phoneticPr fontId="145" type="noConversion"/>
  </si>
  <si>
    <t>ELIA</t>
    <phoneticPr fontId="145" type="noConversion"/>
  </si>
  <si>
    <t>55110095</t>
    <phoneticPr fontId="145" type="noConversion"/>
  </si>
  <si>
    <t>1170 應收帳款淨額</t>
  </si>
  <si>
    <t>CHECK</t>
    <phoneticPr fontId="145" type="noConversion"/>
  </si>
  <si>
    <t>46110000</t>
    <phoneticPr fontId="145" type="noConversion"/>
  </si>
  <si>
    <t>2214 銷項-1264 進項</t>
  </si>
  <si>
    <t>22140000</t>
    <phoneticPr fontId="145" type="noConversion"/>
  </si>
  <si>
    <t>62370030</t>
    <phoneticPr fontId="145" type="noConversion"/>
  </si>
  <si>
    <t>62370099</t>
    <phoneticPr fontId="145" type="noConversion"/>
  </si>
  <si>
    <t>5511XXXX</t>
    <phoneticPr fontId="145" type="noConversion"/>
  </si>
  <si>
    <t>62XXXXXX</t>
    <phoneticPr fontId="145" type="noConversion"/>
  </si>
  <si>
    <t>12640000</t>
    <phoneticPr fontId="145" type="noConversion"/>
  </si>
  <si>
    <t>2170 應付帳款</t>
  </si>
  <si>
    <t>2170XXXX</t>
    <phoneticPr fontId="145" type="noConversion"/>
  </si>
  <si>
    <t>4611XXXX</t>
    <phoneticPr fontId="145" type="noConversion"/>
  </si>
  <si>
    <t>2025 9-12</t>
    <phoneticPr fontId="104" type="noConversion"/>
  </si>
  <si>
    <r>
      <t xml:space="preserve">2200 </t>
    </r>
    <r>
      <rPr>
        <sz val="12"/>
        <rFont val="微軟正黑體"/>
        <family val="2"/>
        <charset val="136"/>
      </rPr>
      <t>其他應付款</t>
    </r>
  </si>
  <si>
    <t>2025/09 ~ 2025/12</t>
    <phoneticPr fontId="145" type="noConversion"/>
  </si>
  <si>
    <r>
      <t xml:space="preserve">1410 </t>
    </r>
    <r>
      <rPr>
        <sz val="12"/>
        <color theme="1"/>
        <rFont val="微軟正黑體"/>
        <family val="2"/>
        <charset val="136"/>
      </rPr>
      <t>預付款項</t>
    </r>
  </si>
  <si>
    <t>3</t>
    <phoneticPr fontId="108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</si>
  <si>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</si>
  <si>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</si>
  <si>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</si>
  <si>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</si>
  <si>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</si>
  <si>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</si>
  <si>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</si>
  <si>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</si>
  <si>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</si>
  <si>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</si>
  <si>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</si>
  <si>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</si>
  <si>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</si>
  <si>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</si>
  <si>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</si>
  <si>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</si>
  <si>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</si>
  <si>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</si>
  <si>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</si>
  <si>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</si>
  <si>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</si>
  <si>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</si>
  <si>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</si>
  <si>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</si>
  <si>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</si>
  <si>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</si>
  <si>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</si>
  <si>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</si>
  <si>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</si>
  <si>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</si>
  <si>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</si>
  <si>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</si>
  <si>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</si>
  <si>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</si>
  <si>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</si>
  <si>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</si>
  <si>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</si>
  <si>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</si>
  <si>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</si>
  <si>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</si>
  <si>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</si>
  <si>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</si>
  <si>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</si>
  <si>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</si>
  <si>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</si>
  <si>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</si>
  <si>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</si>
  <si>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</si>
  <si>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</si>
  <si>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</si>
  <si>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</si>
  <si>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</si>
  <si>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</si>
  <si>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2027預算</t>
  </si>
  <si>
    <t>Backlog</t>
    <phoneticPr fontId="104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</si>
  <si>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</si>
  <si>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</si>
  <si>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</si>
  <si>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</si>
  <si>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</si>
  <si>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</si>
  <si>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</si>
  <si>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</si>
  <si>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</si>
  <si>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</si>
  <si>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</si>
  <si>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TYPE</t>
    <phoneticPr fontId="104" type="noConversion"/>
  </si>
  <si>
    <r>
      <rPr>
        <sz val="12"/>
        <rFont val="微軟正黑體"/>
        <family val="2"/>
        <charset val="136"/>
      </rPr>
      <t>收入</t>
    </r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</si>
  <si>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微軟正黑體"/>
        <family val="2"/>
        <charset val="136"/>
      </rPr>
      <t>員榮總醫院</t>
    </r>
    <r>
      <rPr>
        <sz val="12"/>
        <color rgb="FF00B050"/>
        <rFont val="Calibri"/>
        <family val="2"/>
      </rPr>
      <t>BIM</t>
    </r>
    <phoneticPr fontId="104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</si>
  <si>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  <phoneticPr fontId="108" type="noConversion"/>
  </si>
  <si>
    <t>BIM26</t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</si>
  <si>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-26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</si>
  <si>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-27</t>
    </r>
    <r>
      <rPr>
        <sz val="12"/>
        <color theme="0" tint="-0.34998626667073579"/>
        <rFont val="微軟正黑體"/>
        <family val="2"/>
        <charset val="136"/>
      </rPr>
      <t>年</t>
    </r>
  </si>
  <si>
    <t>BIM27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</si>
  <si>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-28</t>
    </r>
    <r>
      <rPr>
        <sz val="12"/>
        <color theme="0" tint="-0.34998626667073579"/>
        <rFont val="微軟正黑體"/>
        <family val="2"/>
        <charset val="136"/>
      </rPr>
      <t>年</t>
    </r>
  </si>
  <si>
    <t>BIM28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</si>
  <si>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-29</t>
    </r>
    <r>
      <rPr>
        <sz val="12"/>
        <color theme="0" tint="-0.34998626667073579"/>
        <rFont val="微軟正黑體"/>
        <family val="2"/>
        <charset val="136"/>
      </rPr>
      <t>年</t>
    </r>
  </si>
  <si>
    <t>BIM29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</si>
  <si>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-30</t>
    </r>
    <r>
      <rPr>
        <sz val="12"/>
        <color theme="0" tint="-0.34998626667073579"/>
        <rFont val="微軟正黑體"/>
        <family val="2"/>
        <charset val="136"/>
      </rPr>
      <t>年</t>
    </r>
    <phoneticPr fontId="108" type="noConversion"/>
  </si>
  <si>
    <t>BIM30</t>
  </si>
  <si>
    <r>
      <rPr>
        <sz val="12"/>
        <color theme="0" tint="-0.34998626667073579"/>
        <rFont val="微軟正黑體"/>
        <family val="2"/>
        <charset val="136"/>
      </rPr>
      <t>新取得</t>
    </r>
    <r>
      <rPr>
        <sz val="12"/>
        <color theme="0" tint="-0.34998626667073579"/>
        <rFont val="Calibri"/>
        <family val="2"/>
      </rPr>
      <t>BIM</t>
    </r>
    <r>
      <rPr>
        <sz val="12"/>
        <color theme="0" tint="-0.34998626667073579"/>
        <rFont val="微軟正黑體"/>
        <family val="2"/>
        <charset val="136"/>
      </rPr>
      <t>土木機電</t>
    </r>
    <r>
      <rPr>
        <sz val="12"/>
        <color theme="0" tint="-0.34998626667073579"/>
        <rFont val="Calibri"/>
        <family val="2"/>
      </rPr>
      <t>-31</t>
    </r>
    <r>
      <rPr>
        <sz val="12"/>
        <color theme="0" tint="-0.34998626667073579"/>
        <rFont val="微軟正黑體"/>
        <family val="2"/>
        <charset val="136"/>
      </rPr>
      <t>年</t>
    </r>
    <phoneticPr fontId="108" type="noConversion"/>
  </si>
  <si>
    <t>BIM31</t>
  </si>
  <si>
    <t>V</t>
    <phoneticPr fontId="104" type="noConversion"/>
  </si>
  <si>
    <t>C/BIM_A</t>
    <phoneticPr fontId="104" type="noConversion"/>
  </si>
  <si>
    <t>C/BIM-A</t>
  </si>
  <si>
    <t>Backlog</t>
  </si>
  <si>
    <t>Cost_Civil &amp; MEP</t>
    <phoneticPr fontId="108" type="noConversion"/>
  </si>
  <si>
    <t>Cost_Building</t>
    <phoneticPr fontId="108" type="noConversion"/>
  </si>
  <si>
    <r>
      <rPr>
        <sz val="12"/>
        <rFont val="微軟正黑體"/>
        <family val="2"/>
        <charset val="136"/>
      </rPr>
      <t>合約總價</t>
    </r>
    <r>
      <rPr>
        <sz val="10"/>
        <color indexed="8"/>
        <rFont val="Arial Narrow"/>
        <family val="2"/>
      </rPr>
      <t/>
    </r>
    <phoneticPr fontId="104" type="noConversion"/>
  </si>
  <si>
    <r>
      <rPr>
        <sz val="12"/>
        <rFont val="微軟正黑體"/>
        <family val="2"/>
        <charset val="136"/>
      </rPr>
      <t>預計
完工總成本</t>
    </r>
    <phoneticPr fontId="104" type="noConversion"/>
  </si>
  <si>
    <r>
      <rPr>
        <sz val="12"/>
        <rFont val="微軟正黑體"/>
        <family val="2"/>
        <charset val="136"/>
      </rPr>
      <t>預計毛利</t>
    </r>
    <phoneticPr fontId="104" type="noConversion"/>
  </si>
  <si>
    <r>
      <rPr>
        <sz val="12"/>
        <rFont val="微軟正黑體"/>
        <family val="2"/>
        <charset val="136"/>
      </rPr>
      <t>工作承攬</t>
    </r>
    <phoneticPr fontId="104" type="noConversion"/>
  </si>
  <si>
    <r>
      <rPr>
        <sz val="12"/>
        <rFont val="微軟正黑體"/>
        <family val="2"/>
        <charset val="136"/>
      </rPr>
      <t>預測毛利</t>
    </r>
    <phoneticPr fontId="108" type="noConversion"/>
  </si>
  <si>
    <r>
      <rPr>
        <sz val="12"/>
        <rFont val="微軟正黑體"/>
        <family val="2"/>
        <charset val="136"/>
      </rPr>
      <t>預測毛利</t>
    </r>
    <phoneticPr fontId="104" type="noConversion"/>
  </si>
  <si>
    <t>BIM26</t>
    <phoneticPr fontId="104" type="noConversion"/>
  </si>
  <si>
    <t>Profit_Civil &amp; MEP</t>
    <phoneticPr fontId="108" type="noConversion"/>
  </si>
  <si>
    <t>Profit_Building</t>
    <phoneticPr fontId="108" type="noConversion"/>
  </si>
  <si>
    <t>2029</t>
    <phoneticPr fontId="104" type="noConversion"/>
  </si>
  <si>
    <t>2030</t>
    <phoneticPr fontId="104" type="noConversion"/>
  </si>
  <si>
    <t>2031</t>
    <phoneticPr fontId="104" type="noConversion"/>
  </si>
  <si>
    <t>Overhead_No R&amp;D</t>
  </si>
  <si>
    <t>a</t>
    <phoneticPr fontId="104" type="noConversion"/>
  </si>
  <si>
    <t>b = c1 + c2 + d</t>
    <phoneticPr fontId="104" type="noConversion"/>
  </si>
  <si>
    <t>Staff expense</t>
  </si>
  <si>
    <t>c1</t>
    <phoneticPr fontId="104" type="noConversion"/>
  </si>
  <si>
    <t>IT     expense</t>
  </si>
  <si>
    <t>d</t>
    <phoneticPr fontId="104" type="noConversion"/>
  </si>
  <si>
    <t>c2</t>
    <phoneticPr fontId="104" type="noConversion"/>
  </si>
  <si>
    <t>Net Overheads_No R&amp;D</t>
  </si>
  <si>
    <t>e = a + b</t>
    <phoneticPr fontId="104" type="noConversion"/>
  </si>
  <si>
    <t>Investment in R&amp;D (Staff expense)</t>
  </si>
  <si>
    <t>f</t>
    <phoneticPr fontId="104" type="noConversion"/>
  </si>
  <si>
    <t>Investment in R&amp;D (allocated)</t>
  </si>
  <si>
    <t>g</t>
    <phoneticPr fontId="104" type="noConversion"/>
  </si>
  <si>
    <t>Investment in R&amp;D (Others)</t>
  </si>
  <si>
    <t xml:space="preserve">h </t>
    <phoneticPr fontId="104" type="noConversion"/>
  </si>
  <si>
    <t>Project-Allocated R&amp;D</t>
  </si>
  <si>
    <t>i</t>
    <phoneticPr fontId="104" type="noConversion"/>
  </si>
  <si>
    <t>1F Office Expenses</t>
    <phoneticPr fontId="104" type="noConversion"/>
  </si>
  <si>
    <t>j</t>
    <phoneticPr fontId="104" type="noConversion"/>
  </si>
  <si>
    <t>K</t>
    <phoneticPr fontId="104" type="noConversion"/>
  </si>
  <si>
    <t>BU Overhead</t>
    <phoneticPr fontId="104" type="noConversion"/>
  </si>
  <si>
    <t>K= e+ f +g+h+i+j+k</t>
    <phoneticPr fontId="104" type="noConversion"/>
  </si>
  <si>
    <t>Interest income</t>
  </si>
  <si>
    <t>Interest expense</t>
  </si>
  <si>
    <t>IFRS 16</t>
    <phoneticPr fontId="104" type="noConversion"/>
  </si>
  <si>
    <t>Non-operating Income(Loss)</t>
  </si>
  <si>
    <t>Operating Profit before tax</t>
    <phoneticPr fontId="104" type="noConversion"/>
  </si>
  <si>
    <t>Net Profit before tax</t>
  </si>
  <si>
    <t>New Order</t>
    <phoneticPr fontId="104" type="noConversion"/>
  </si>
  <si>
    <t>BIM Budget_New Order</t>
    <phoneticPr fontId="104" type="noConversion"/>
  </si>
  <si>
    <t>na</t>
    <phoneticPr fontId="104" type="noConversion"/>
  </si>
  <si>
    <t>BIM Forecast_New Order</t>
    <phoneticPr fontId="104" type="noConversion"/>
  </si>
  <si>
    <t>check</t>
    <phoneticPr fontId="104" type="noConversion"/>
  </si>
  <si>
    <t>BIM Last Forecast_New Order</t>
    <phoneticPr fontId="104" type="noConversion"/>
  </si>
  <si>
    <t>BIM Budget_New Order_EL</t>
    <phoneticPr fontId="104" type="noConversion"/>
  </si>
  <si>
    <t>BIM Forecast_New Order_EL</t>
    <phoneticPr fontId="104" type="noConversion"/>
  </si>
  <si>
    <t>BIM Last Forecast_New Order_EL</t>
    <phoneticPr fontId="104" type="noConversion"/>
  </si>
  <si>
    <t>C/BIM_A</t>
  </si>
  <si>
    <t>BIM28</t>
    <phoneticPr fontId="145" type="noConversion"/>
  </si>
  <si>
    <t>C/BIM26</t>
  </si>
  <si>
    <t>C/BIM27</t>
  </si>
  <si>
    <t>C/BIM28</t>
  </si>
  <si>
    <t>C/BIM29</t>
  </si>
  <si>
    <t>C/BIM30</t>
  </si>
  <si>
    <t>C/BIM31</t>
  </si>
  <si>
    <t>Net Overheads_No R&amp;D</t>
    <phoneticPr fontId="104" type="noConversion"/>
  </si>
  <si>
    <t xml:space="preserve">Investment in R&amp;D </t>
    <phoneticPr fontId="104" type="noConversion"/>
  </si>
  <si>
    <t>Investment in R&amp;D (Other)</t>
    <phoneticPr fontId="104" type="noConversion"/>
  </si>
  <si>
    <t>1F Office Expenses</t>
  </si>
  <si>
    <t>1月</t>
  </si>
  <si>
    <t>C01</t>
    <phoneticPr fontId="104" type="noConversion"/>
  </si>
  <si>
    <t>B01</t>
    <phoneticPr fontId="104" type="noConversion"/>
  </si>
  <si>
    <t>1-8月</t>
  </si>
  <si>
    <t>2032以後</t>
  </si>
  <si>
    <t>2027/1-12
Budget 預算</t>
  </si>
  <si>
    <t>實際</t>
  </si>
  <si>
    <t>預測</t>
  </si>
  <si>
    <t>02分月預算Backlog</t>
  </si>
  <si>
    <t>2026年預測收入</t>
  </si>
  <si>
    <t>2026年預測成本</t>
  </si>
  <si>
    <t>2026年預測毛利</t>
  </si>
  <si>
    <t>累計至
2025/12</t>
  </si>
  <si>
    <r>
      <rPr>
        <sz val="12"/>
        <color rgb="FF9900CC"/>
        <rFont val="微軟正黑體"/>
        <family val="2"/>
        <charset val="136"/>
      </rPr>
      <t>備標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土木機電</t>
    </r>
  </si>
  <si>
    <t>C/9100E_27</t>
    <phoneticPr fontId="108" type="noConversion"/>
  </si>
  <si>
    <t>C/9100F_27</t>
    <phoneticPr fontId="108" type="noConversion"/>
  </si>
  <si>
    <r>
      <t>2026</t>
    </r>
    <r>
      <rPr>
        <b/>
        <sz val="14"/>
        <rFont val="Microsoft JhengHei"/>
        <family val="2"/>
      </rPr>
      <t>年</t>
    </r>
    <phoneticPr fontId="108" type="noConversion"/>
  </si>
  <si>
    <r>
      <t xml:space="preserve">BIM </t>
    </r>
    <r>
      <rPr>
        <b/>
        <sz val="14"/>
        <rFont val="Microsoft JhengHei"/>
        <family val="2"/>
      </rPr>
      <t>完工百分比認列收入</t>
    </r>
    <phoneticPr fontId="104" type="noConversion"/>
  </si>
  <si>
    <t>公式不同</t>
    <phoneticPr fontId="108" type="noConversion"/>
  </si>
  <si>
    <r>
      <rPr>
        <sz val="14"/>
        <rFont val="微軟正黑體"/>
        <family val="2"/>
        <charset val="136"/>
      </rPr>
      <t>預算</t>
    </r>
    <r>
      <rPr>
        <b/>
        <sz val="12"/>
        <rFont val="微軟正黑體"/>
        <family val="2"/>
        <charset val="136"/>
      </rPr>
      <t xml:space="preserve">
完工總成本</t>
    </r>
    <phoneticPr fontId="104" type="noConversion"/>
  </si>
  <si>
    <r>
      <rPr>
        <b/>
        <sz val="12"/>
        <rFont val="微軟正黑體"/>
        <family val="2"/>
        <charset val="136"/>
      </rPr>
      <t>預計
工程毛利</t>
    </r>
    <phoneticPr fontId="104" type="noConversion"/>
  </si>
  <si>
    <r>
      <rPr>
        <b/>
        <sz val="12"/>
        <rFont val="微軟正黑體"/>
        <family val="2"/>
        <charset val="136"/>
      </rPr>
      <t>至</t>
    </r>
    <r>
      <rPr>
        <b/>
        <sz val="12"/>
        <rFont val="Calibri"/>
        <family val="2"/>
      </rPr>
      <t>2025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12</t>
    </r>
    <r>
      <rPr>
        <b/>
        <sz val="12"/>
        <rFont val="微軟正黑體"/>
        <family val="2"/>
        <charset val="136"/>
      </rPr>
      <t>月累計</t>
    </r>
    <phoneticPr fontId="104" type="noConversion"/>
  </si>
  <si>
    <t>當年至上月止累計</t>
    <phoneticPr fontId="104" type="noConversion"/>
  </si>
  <si>
    <r>
      <rPr>
        <b/>
        <sz val="12"/>
        <color theme="1"/>
        <rFont val="微軟正黑體"/>
        <family val="2"/>
        <charset val="136"/>
      </rPr>
      <t>累計
完工</t>
    </r>
    <r>
      <rPr>
        <b/>
        <sz val="12"/>
        <color theme="1"/>
        <rFont val="Calibri"/>
        <family val="2"/>
      </rPr>
      <t>%</t>
    </r>
    <phoneticPr fontId="104" type="noConversion"/>
  </si>
  <si>
    <r>
      <rPr>
        <b/>
        <sz val="12"/>
        <rFont val="微軟正黑體"/>
        <family val="2"/>
        <charset val="136"/>
      </rPr>
      <t>成本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+/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-)/</t>
    </r>
    <r>
      <rPr>
        <b/>
        <sz val="12"/>
        <rFont val="微軟正黑體"/>
        <family val="2"/>
        <charset val="136"/>
      </rPr>
      <t>負債準備</t>
    </r>
    <r>
      <rPr>
        <b/>
        <sz val="12"/>
        <rFont val="Calibri"/>
        <family val="2"/>
      </rPr>
      <t>(+</t>
    </r>
    <r>
      <rPr>
        <b/>
        <sz val="12"/>
        <rFont val="微軟正黑體"/>
        <family val="2"/>
        <charset val="136"/>
      </rPr>
      <t>貸</t>
    </r>
    <r>
      <rPr>
        <b/>
        <sz val="12"/>
        <rFont val="Calibri"/>
        <family val="2"/>
      </rPr>
      <t>/ -</t>
    </r>
    <r>
      <rPr>
        <b/>
        <sz val="12"/>
        <rFont val="微軟正黑體"/>
        <family val="2"/>
        <charset val="136"/>
      </rPr>
      <t>借</t>
    </r>
    <r>
      <rPr>
        <b/>
        <sz val="12"/>
        <rFont val="Calibri"/>
        <family val="2"/>
      </rPr>
      <t>)</t>
    </r>
    <phoneticPr fontId="104" type="noConversion"/>
  </si>
  <si>
    <t>內部
外部</t>
    <phoneticPr fontId="104" type="noConversion"/>
  </si>
  <si>
    <t>CHECK</t>
    <phoneticPr fontId="104" type="noConversion"/>
  </si>
  <si>
    <t xml:space="preserve">New Work </t>
    <phoneticPr fontId="104" type="noConversion"/>
  </si>
  <si>
    <r>
      <t>Cumulative to Date (</t>
    </r>
    <r>
      <rPr>
        <b/>
        <sz val="12"/>
        <rFont val="微軟正黑體"/>
        <family val="2"/>
        <charset val="136"/>
      </rPr>
      <t>含未來損失</t>
    </r>
    <r>
      <rPr>
        <b/>
        <sz val="12"/>
        <rFont val="Calibri"/>
        <family val="2"/>
      </rPr>
      <t>)</t>
    </r>
    <phoneticPr fontId="104" type="noConversion"/>
  </si>
  <si>
    <t>N-Backlog</t>
    <phoneticPr fontId="108" type="noConversion"/>
  </si>
  <si>
    <t>Remaining</t>
    <phoneticPr fontId="108" type="noConversion"/>
  </si>
  <si>
    <r>
      <rPr>
        <b/>
        <sz val="12"/>
        <rFont val="微軟正黑體"/>
        <family val="2"/>
        <charset val="136"/>
      </rPr>
      <t>本月</t>
    </r>
    <phoneticPr fontId="104" type="noConversion"/>
  </si>
  <si>
    <r>
      <rPr>
        <b/>
        <sz val="12"/>
        <rFont val="微軟正黑體"/>
        <family val="2"/>
        <charset val="136"/>
      </rPr>
      <t>本年</t>
    </r>
  </si>
  <si>
    <r>
      <rPr>
        <b/>
        <sz val="12"/>
        <rFont val="微軟正黑體"/>
        <family val="2"/>
        <charset val="136"/>
      </rPr>
      <t>預計</t>
    </r>
    <phoneticPr fontId="104" type="noConversion"/>
  </si>
  <si>
    <r>
      <rPr>
        <b/>
        <sz val="12"/>
        <rFont val="微軟正黑體"/>
        <family val="2"/>
        <charset val="136"/>
      </rPr>
      <t>上年度</t>
    </r>
    <phoneticPr fontId="104" type="noConversion"/>
  </si>
  <si>
    <r>
      <rPr>
        <b/>
        <sz val="12"/>
        <rFont val="微軟正黑體"/>
        <family val="2"/>
        <charset val="136"/>
      </rPr>
      <t>累計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</si>
  <si>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收入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</si>
  <si>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成本</t>
    </r>
    <phoneticPr fontId="104" type="noConversion"/>
  </si>
  <si>
    <r>
      <rPr>
        <b/>
        <u val="singleAccounting"/>
        <sz val="12"/>
        <rFont val="微軟正黑體"/>
        <family val="2"/>
        <charset val="136"/>
      </rPr>
      <t>毛利</t>
    </r>
    <phoneticPr fontId="104" type="noConversion"/>
  </si>
  <si>
    <r>
      <rPr>
        <b/>
        <sz val="12"/>
        <rFont val="微軟正黑體"/>
        <family val="2"/>
        <charset val="136"/>
      </rPr>
      <t>實際</t>
    </r>
    <r>
      <rPr>
        <b/>
        <sz val="12"/>
        <rFont val="Calibri"/>
        <family val="2"/>
      </rPr>
      <t>&gt;</t>
    </r>
    <r>
      <rPr>
        <b/>
        <sz val="12"/>
        <rFont val="微軟正黑體"/>
        <family val="2"/>
        <charset val="136"/>
      </rPr>
      <t>預計</t>
    </r>
    <r>
      <rPr>
        <b/>
        <sz val="12"/>
        <rFont val="Calibri"/>
        <family val="2"/>
      </rPr>
      <t xml:space="preserve"> X</t>
    </r>
    <phoneticPr fontId="104" type="noConversion"/>
  </si>
  <si>
    <r>
      <rPr>
        <b/>
        <u/>
        <sz val="12"/>
        <rFont val="微軟正黑體"/>
        <family val="2"/>
        <charset val="136"/>
      </rPr>
      <t>虧損</t>
    </r>
    <phoneticPr fontId="104" type="noConversion"/>
  </si>
  <si>
    <t>POC %</t>
    <phoneticPr fontId="104" type="noConversion"/>
  </si>
  <si>
    <r>
      <rPr>
        <sz val="12"/>
        <rFont val="微軟正黑體"/>
        <family val="2"/>
        <charset val="136"/>
      </rPr>
      <t>公式不同</t>
    </r>
    <r>
      <rPr>
        <sz val="12"/>
        <rFont val="Calibri"/>
        <family val="2"/>
      </rPr>
      <t xml:space="preserve"> </t>
    </r>
    <phoneticPr fontId="104" type="noConversion"/>
  </si>
  <si>
    <t xml:space="preserve"> POC %</t>
    <phoneticPr fontId="104" type="noConversion"/>
  </si>
  <si>
    <t>CF670 BIM Service</t>
  </si>
  <si>
    <t>KPEC-MediaTek</t>
  </si>
  <si>
    <t>CF690B BIM Service-Civil</t>
  </si>
  <si>
    <t xml:space="preserve">KPEC-MediaTek Tongluo Factory </t>
  </si>
  <si>
    <t xml:space="preserve">KPEC-CF624F MEP </t>
  </si>
  <si>
    <t>Chunghwa Post Taipei Xinwei Project MEP</t>
  </si>
  <si>
    <t>NB</t>
    <phoneticPr fontId="108" type="noConversion"/>
  </si>
  <si>
    <t>C/99992_L</t>
    <phoneticPr fontId="108" type="noConversion"/>
  </si>
  <si>
    <t>負債準備-土木機電</t>
    <phoneticPr fontId="104" type="noConversion"/>
  </si>
  <si>
    <t>新取得BIM土木機電-27年</t>
  </si>
  <si>
    <t>新取得BIM土木機電-28年</t>
  </si>
  <si>
    <t>新取得BIM土木機電-29年</t>
  </si>
  <si>
    <t>新取得BIM土木機電-30年</t>
  </si>
  <si>
    <t>新取得BIM土木機電-31年</t>
  </si>
  <si>
    <r>
      <t>南港機廠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</si>
  <si>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富邦忠孝懷生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</si>
  <si>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t>柏鴻北士科</t>
    </r>
    <r>
      <rPr>
        <sz val="12"/>
        <rFont val="Calibri"/>
        <family val="2"/>
      </rPr>
      <t xml:space="preserve"> C/9100A-22A</t>
    </r>
  </si>
  <si>
    <r>
      <t>信義兒福</t>
    </r>
    <r>
      <rPr>
        <b/>
        <sz val="12"/>
        <color rgb="FF00B050"/>
        <rFont val="Calibri"/>
        <family val="2"/>
      </rPr>
      <t>BIM</t>
    </r>
    <r>
      <rPr>
        <b/>
        <sz val="12"/>
        <color rgb="FF00B050"/>
        <rFont val="微軟正黑體"/>
        <family val="2"/>
        <charset val="136"/>
      </rPr>
      <t>建築</t>
    </r>
  </si>
  <si>
    <r>
      <t>北捷劍潭</t>
    </r>
    <r>
      <rPr>
        <sz val="12"/>
        <rFont val="Calibri"/>
        <family val="2"/>
      </rPr>
      <t>TOD</t>
    </r>
  </si>
  <si>
    <r>
      <t>慶城福華</t>
    </r>
    <r>
      <rPr>
        <sz val="12"/>
        <rFont val="Calibri"/>
        <family val="2"/>
      </rPr>
      <t>-23</t>
    </r>
    <r>
      <rPr>
        <sz val="12"/>
        <rFont val="微軟正黑體"/>
        <family val="2"/>
        <charset val="136"/>
      </rPr>
      <t>年</t>
    </r>
  </si>
  <si>
    <r>
      <t>台中洲際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</si>
  <si>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大直金泰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</si>
  <si>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板橋新雅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</si>
  <si>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</si>
  <si>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</si>
  <si>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t>JuYuan Nankang</t>
  </si>
  <si>
    <t>CDC Daan Fuxing BIM Service Project</t>
  </si>
  <si>
    <t>C/9999B_L</t>
    <phoneticPr fontId="108" type="noConversion"/>
  </si>
  <si>
    <t>負債準備-建築</t>
    <phoneticPr fontId="104" type="noConversion"/>
  </si>
  <si>
    <t>C/9100F_27</t>
    <phoneticPr fontId="104" type="noConversion"/>
  </si>
  <si>
    <r>
      <t>Check 202612(</t>
    </r>
    <r>
      <rPr>
        <sz val="12"/>
        <rFont val="Microsoft JhengHei"/>
        <family val="2"/>
      </rPr>
      <t>完比)</t>
    </r>
    <phoneticPr fontId="108" type="noConversion"/>
  </si>
  <si>
    <r>
      <t>Check 202612(</t>
    </r>
    <r>
      <rPr>
        <sz val="12"/>
        <color theme="1"/>
        <rFont val="Microsoft JhengHei"/>
        <family val="2"/>
      </rPr>
      <t>完比)</t>
    </r>
    <phoneticPr fontId="108" type="noConversion"/>
  </si>
  <si>
    <t>開帳分錄</t>
    <phoneticPr fontId="108" type="noConversion"/>
  </si>
  <si>
    <t>~2026/8</t>
    <phoneticPr fontId="108" type="noConversion"/>
  </si>
  <si>
    <t>2026/9</t>
    <phoneticPr fontId="108" type="noConversion"/>
  </si>
  <si>
    <t>2026/10</t>
    <phoneticPr fontId="108" type="noConversion"/>
  </si>
  <si>
    <t>2026/11</t>
    <phoneticPr fontId="108" type="noConversion"/>
  </si>
  <si>
    <t>2026/12</t>
    <phoneticPr fontId="108" type="noConversion"/>
  </si>
  <si>
    <t>2026/12(完比法調整)</t>
    <phoneticPr fontId="108" type="noConversion"/>
  </si>
  <si>
    <t>~2026/12</t>
    <phoneticPr fontId="108" type="noConversion"/>
  </si>
  <si>
    <r>
      <t xml:space="preserve">3353 </t>
    </r>
    <r>
      <rPr>
        <sz val="14"/>
        <rFont val="微軟正黑體"/>
        <family val="2"/>
        <charset val="136"/>
      </rPr>
      <t>本期損益</t>
    </r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</si>
  <si>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請款轉預收</t>
    </r>
    <phoneticPr fontId="108" type="noConversion"/>
  </si>
  <si>
    <r>
      <rPr>
        <sz val="14"/>
        <rFont val="微軟正黑體"/>
        <family val="2"/>
        <charset val="136"/>
      </rPr>
      <t>勞務收入</t>
    </r>
  </si>
  <si>
    <t>要再拆分內外部</t>
    <phoneticPr fontId="108" type="noConversion"/>
  </si>
  <si>
    <t>內部</t>
    <phoneticPr fontId="108" type="noConversion"/>
  </si>
  <si>
    <t>2264 預收工程款</t>
  </si>
  <si>
    <t>22640000</t>
    <phoneticPr fontId="108" type="noConversion"/>
  </si>
  <si>
    <r>
      <rPr>
        <sz val="14"/>
        <rFont val="微軟正黑體"/>
        <family val="2"/>
        <charset val="136"/>
      </rPr>
      <t>預收工程款</t>
    </r>
    <phoneticPr fontId="108" type="noConversion"/>
  </si>
  <si>
    <t>56110000</t>
    <phoneticPr fontId="145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</si>
  <si>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成本轉在建</t>
    </r>
    <phoneticPr fontId="108" type="noConversion"/>
  </si>
  <si>
    <r>
      <rPr>
        <sz val="14"/>
        <rFont val="微軟正黑體"/>
        <family val="2"/>
        <charset val="136"/>
      </rPr>
      <t>勞務成本</t>
    </r>
    <phoneticPr fontId="108" type="noConversion"/>
  </si>
  <si>
    <t>1240 X 在建工程_成本</t>
  </si>
  <si>
    <t>12400000</t>
    <phoneticPr fontId="108" type="noConversion"/>
  </si>
  <si>
    <r>
      <rPr>
        <sz val="14"/>
        <rFont val="微軟正黑體"/>
        <family val="2"/>
        <charset val="136"/>
      </rPr>
      <t>在建工程</t>
    </r>
    <phoneticPr fontId="108" type="noConversion"/>
  </si>
  <si>
    <t>55110006</t>
    <phoneticPr fontId="108" type="noConversion"/>
  </si>
  <si>
    <t>2560負債準備</t>
  </si>
  <si>
    <t>25600020</t>
    <phoneticPr fontId="108" type="noConversion"/>
  </si>
  <si>
    <t>負債準備-在建損失</t>
    <phoneticPr fontId="108" type="noConversion"/>
  </si>
  <si>
    <r>
      <rPr>
        <sz val="14"/>
        <rFont val="微軟正黑體"/>
        <family val="2"/>
        <charset val="136"/>
      </rPr>
      <t>至</t>
    </r>
    <r>
      <rPr>
        <sz val="14"/>
        <rFont val="Calibri"/>
        <family val="2"/>
      </rPr>
      <t>2026.12.31</t>
    </r>
    <r>
      <rPr>
        <sz val="14"/>
        <rFont val="微軟正黑體"/>
        <family val="2"/>
        <charset val="136"/>
      </rPr>
      <t>以完比認列</t>
    </r>
    <phoneticPr fontId="108" type="noConversion"/>
  </si>
  <si>
    <t>46110000</t>
    <phoneticPr fontId="108" type="noConversion"/>
  </si>
  <si>
    <t>46110050</t>
    <phoneticPr fontId="108" type="noConversion"/>
  </si>
  <si>
    <t>1247X 在建損益</t>
  </si>
  <si>
    <t>12470000</t>
    <phoneticPr fontId="108" type="noConversion"/>
  </si>
  <si>
    <t>在建損益</t>
    <phoneticPr fontId="108" type="noConversion"/>
  </si>
  <si>
    <t>還有開帳的沖銷分錄要做</t>
    <phoneticPr fontId="108" type="noConversion"/>
  </si>
  <si>
    <t>12470000</t>
  </si>
  <si>
    <t>22640000</t>
  </si>
  <si>
    <r>
      <t>BS</t>
    </r>
    <r>
      <rPr>
        <sz val="14"/>
        <rFont val="微軟正黑體"/>
        <family val="2"/>
        <charset val="136"/>
      </rPr>
      <t>項目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只放</t>
    </r>
    <r>
      <rPr>
        <sz val="14"/>
        <rFont val="Calibri"/>
        <family val="2"/>
      </rPr>
      <t>BIM)</t>
    </r>
    <phoneticPr fontId="104" type="noConversion"/>
  </si>
  <si>
    <r>
      <t>1.</t>
    </r>
    <r>
      <rPr>
        <b/>
        <sz val="14"/>
        <color theme="1"/>
        <rFont val="微軟正黑體"/>
        <family val="2"/>
        <charset val="136"/>
      </rPr>
      <t>內部專案計價</t>
    </r>
    <phoneticPr fontId="108" type="noConversion"/>
  </si>
  <si>
    <r>
      <rPr>
        <sz val="14"/>
        <rFont val="微軟正黑體"/>
        <family val="2"/>
        <charset val="136"/>
      </rPr>
      <t>工程工務所費用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其他費用</t>
    </r>
  </si>
  <si>
    <r>
      <rPr>
        <sz val="14"/>
        <rFont val="微軟正黑體"/>
        <family val="2"/>
        <charset val="136"/>
      </rPr>
      <t>公司內部往來</t>
    </r>
    <r>
      <rPr>
        <sz val="14"/>
        <rFont val="Calibri"/>
        <family val="2"/>
      </rPr>
      <t>-TO &amp; BIM</t>
    </r>
  </si>
  <si>
    <r>
      <t xml:space="preserve">1170 </t>
    </r>
    <r>
      <rPr>
        <sz val="14"/>
        <rFont val="微軟正黑體"/>
        <family val="2"/>
        <charset val="136"/>
      </rPr>
      <t>應收帳款淨額</t>
    </r>
  </si>
  <si>
    <r>
      <rPr>
        <sz val="14"/>
        <rFont val="微軟正黑體"/>
        <family val="2"/>
        <charset val="136"/>
      </rPr>
      <t>勞務收入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內部計價</t>
    </r>
  </si>
  <si>
    <t>46110050_EL</t>
    <phoneticPr fontId="145" type="noConversion"/>
  </si>
  <si>
    <t>55110095_EL</t>
    <phoneticPr fontId="145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</si>
  <si>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</si>
  <si>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t>2.</t>
    </r>
    <r>
      <rPr>
        <b/>
        <sz val="14"/>
        <color theme="1"/>
        <rFont val="微軟正黑體"/>
        <family val="2"/>
        <charset val="136"/>
      </rPr>
      <t>外部專案計價</t>
    </r>
    <phoneticPr fontId="108" type="noConversion"/>
  </si>
  <si>
    <r>
      <rPr>
        <sz val="14"/>
        <rFont val="微軟正黑體"/>
        <family val="2"/>
        <charset val="136"/>
      </rPr>
      <t>應收帳款</t>
    </r>
    <phoneticPr fontId="145" type="noConversion"/>
  </si>
  <si>
    <r>
      <rPr>
        <sz val="14"/>
        <color rgb="FF00B050"/>
        <rFont val="微軟正黑體"/>
        <family val="2"/>
        <charset val="136"/>
      </rPr>
      <t>外部</t>
    </r>
  </si>
  <si>
    <r>
      <rPr>
        <sz val="14"/>
        <rFont val="微軟正黑體"/>
        <family val="2"/>
        <charset val="136"/>
      </rPr>
      <t>勞務收入</t>
    </r>
    <phoneticPr fontId="145" type="noConversion"/>
  </si>
  <si>
    <r>
      <t xml:space="preserve">2214 </t>
    </r>
    <r>
      <rPr>
        <sz val="14"/>
        <rFont val="微軟正黑體"/>
        <family val="2"/>
        <charset val="136"/>
      </rPr>
      <t>銷項</t>
    </r>
    <r>
      <rPr>
        <sz val="14"/>
        <rFont val="Calibri"/>
        <family val="2"/>
      </rPr>
      <t xml:space="preserve">-1264 </t>
    </r>
    <r>
      <rPr>
        <sz val="14"/>
        <rFont val="微軟正黑體"/>
        <family val="2"/>
        <charset val="136"/>
      </rPr>
      <t>進項</t>
    </r>
  </si>
  <si>
    <r>
      <rPr>
        <sz val="14"/>
        <rFont val="微軟正黑體"/>
        <family val="2"/>
        <charset val="136"/>
      </rPr>
      <t>銷項稅額</t>
    </r>
  </si>
  <si>
    <r>
      <t>3.</t>
    </r>
    <r>
      <rPr>
        <b/>
        <sz val="14"/>
        <color theme="1"/>
        <rFont val="微軟正黑體"/>
        <family val="2"/>
        <charset val="136"/>
      </rPr>
      <t>備標專案計價</t>
    </r>
    <phoneticPr fontId="108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</si>
  <si>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</si>
  <si>
    <r>
      <rPr>
        <sz val="14"/>
        <color rgb="FF7030A0"/>
        <rFont val="微軟正黑體"/>
        <family val="2"/>
        <charset val="136"/>
      </rPr>
      <t>備標</t>
    </r>
    <phoneticPr fontId="145" type="noConversion"/>
  </si>
  <si>
    <t>62370099_EL</t>
    <phoneticPr fontId="145" type="noConversion"/>
  </si>
  <si>
    <r>
      <rPr>
        <sz val="14"/>
        <rFont val="微軟正黑體"/>
        <family val="2"/>
        <charset val="136"/>
      </rPr>
      <t>勞務費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收回投標費</t>
    </r>
  </si>
  <si>
    <r>
      <t>4.</t>
    </r>
    <r>
      <rPr>
        <b/>
        <sz val="14"/>
        <color theme="1"/>
        <rFont val="微軟正黑體"/>
        <family val="2"/>
        <charset val="136"/>
      </rPr>
      <t>人事</t>
    </r>
    <r>
      <rPr>
        <b/>
        <sz val="14"/>
        <color theme="1"/>
        <rFont val="Calibri"/>
        <family val="2"/>
      </rPr>
      <t>&amp;</t>
    </r>
    <r>
      <rPr>
        <b/>
        <sz val="14"/>
        <color theme="1"/>
        <rFont val="微軟正黑體"/>
        <family val="2"/>
        <charset val="136"/>
      </rPr>
      <t>電腦軟體分攤</t>
    </r>
    <phoneticPr fontId="108" type="noConversion"/>
  </si>
  <si>
    <r>
      <rPr>
        <sz val="14"/>
        <rFont val="微軟正黑體"/>
        <family val="2"/>
        <charset val="136"/>
      </rPr>
      <t>問</t>
    </r>
    <r>
      <rPr>
        <sz val="14"/>
        <rFont val="Calibri"/>
        <family val="2"/>
      </rPr>
      <t>25</t>
    </r>
    <r>
      <rPr>
        <sz val="14"/>
        <rFont val="微軟正黑體"/>
        <family val="2"/>
        <charset val="136"/>
      </rPr>
      <t>解決後</t>
    </r>
    <r>
      <rPr>
        <sz val="14"/>
        <rFont val="Calibri"/>
        <family val="2"/>
      </rPr>
      <t xml:space="preserve">, </t>
    </r>
    <r>
      <rPr>
        <sz val="14"/>
        <rFont val="微軟正黑體"/>
        <family val="2"/>
        <charset val="136"/>
      </rPr>
      <t>黃色部分在修改同</t>
    </r>
    <r>
      <rPr>
        <sz val="14"/>
        <rFont val="Calibri"/>
        <family val="2"/>
      </rPr>
      <t>11</t>
    </r>
    <r>
      <rPr>
        <sz val="14"/>
        <rFont val="微軟正黑體"/>
        <family val="2"/>
        <charset val="136"/>
      </rPr>
      <t>月</t>
    </r>
    <phoneticPr fontId="108" type="noConversion"/>
  </si>
  <si>
    <r>
      <rPr>
        <sz val="14"/>
        <rFont val="微軟正黑體"/>
        <family val="2"/>
        <charset val="136"/>
      </rPr>
      <t>承攬工程成本</t>
    </r>
    <phoneticPr fontId="145" type="noConversion"/>
  </si>
  <si>
    <r>
      <rPr>
        <sz val="14"/>
        <rFont val="微軟正黑體"/>
        <family val="2"/>
        <charset val="136"/>
      </rPr>
      <t>人事</t>
    </r>
    <r>
      <rPr>
        <sz val="14"/>
        <rFont val="Calibri"/>
        <family val="2"/>
      </rPr>
      <t>/</t>
    </r>
    <r>
      <rPr>
        <sz val="14"/>
        <rFont val="微軟正黑體"/>
        <family val="2"/>
        <charset val="136"/>
      </rPr>
      <t>電腦</t>
    </r>
    <phoneticPr fontId="145" type="noConversion"/>
  </si>
  <si>
    <r>
      <rPr>
        <sz val="14"/>
        <rFont val="微軟正黑體"/>
        <family val="2"/>
        <charset val="136"/>
      </rPr>
      <t>雲端租賃</t>
    </r>
    <phoneticPr fontId="145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</si>
  <si>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  <phoneticPr fontId="145" type="noConversion"/>
  </si>
  <si>
    <r>
      <rPr>
        <sz val="14"/>
        <rFont val="微軟正黑體"/>
        <family val="2"/>
        <charset val="136"/>
      </rPr>
      <t>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分攤</t>
    </r>
    <phoneticPr fontId="145" type="noConversion"/>
  </si>
  <si>
    <r>
      <rPr>
        <sz val="14"/>
        <rFont val="微軟正黑體"/>
        <family val="2"/>
        <charset val="136"/>
      </rPr>
      <t>代購成本</t>
    </r>
    <phoneticPr fontId="145" type="noConversion"/>
  </si>
  <si>
    <r>
      <rPr>
        <sz val="14"/>
        <rFont val="微軟正黑體"/>
        <family val="2"/>
        <charset val="136"/>
      </rPr>
      <t>承攬工程成本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其他</t>
    </r>
    <phoneticPr fontId="145" type="noConversion"/>
  </si>
  <si>
    <r>
      <rPr>
        <sz val="14"/>
        <rFont val="微軟正黑體"/>
        <family val="2"/>
        <charset val="136"/>
      </rPr>
      <t>委外成本</t>
    </r>
    <phoneticPr fontId="145" type="noConversion"/>
  </si>
  <si>
    <r>
      <rPr>
        <sz val="14"/>
        <rFont val="微軟正黑體"/>
        <family val="2"/>
        <charset val="136"/>
      </rPr>
      <t>財務成本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印花</t>
    </r>
    <phoneticPr fontId="104" type="noConversion"/>
  </si>
  <si>
    <r>
      <rPr>
        <sz val="14"/>
        <rFont val="微軟正黑體"/>
        <family val="2"/>
        <charset val="136"/>
      </rPr>
      <t>進項稅額</t>
    </r>
    <phoneticPr fontId="145" type="noConversion"/>
  </si>
  <si>
    <r>
      <t xml:space="preserve">2170 </t>
    </r>
    <r>
      <rPr>
        <sz val="14"/>
        <rFont val="微軟正黑體"/>
        <family val="2"/>
        <charset val="136"/>
      </rPr>
      <t>應付帳款</t>
    </r>
  </si>
  <si>
    <r>
      <rPr>
        <sz val="14"/>
        <rFont val="微軟正黑體"/>
        <family val="2"/>
        <charset val="136"/>
      </rPr>
      <t>應付帳款</t>
    </r>
    <phoneticPr fontId="145" type="noConversion"/>
  </si>
  <si>
    <t>62XXXXXX_EL</t>
    <phoneticPr fontId="145" type="noConversion"/>
  </si>
  <si>
    <r>
      <rPr>
        <sz val="14"/>
        <color rgb="FF0000FF"/>
        <rFont val="微軟正黑體"/>
        <family val="2"/>
        <charset val="136"/>
      </rPr>
      <t>備標</t>
    </r>
    <phoneticPr fontId="145" type="noConversion"/>
  </si>
  <si>
    <t>5511XXXX_EL</t>
    <phoneticPr fontId="145" type="noConversion"/>
  </si>
  <si>
    <r>
      <rPr>
        <sz val="14"/>
        <rFont val="微軟正黑體"/>
        <family val="2"/>
        <charset val="136"/>
      </rPr>
      <t>收入</t>
    </r>
    <phoneticPr fontId="145" type="noConversion"/>
  </si>
  <si>
    <r>
      <rPr>
        <sz val="14"/>
        <rFont val="微軟正黑體"/>
        <family val="2"/>
        <charset val="136"/>
      </rPr>
      <t>成本</t>
    </r>
    <phoneticPr fontId="145" type="noConversion"/>
  </si>
  <si>
    <r>
      <rPr>
        <sz val="14"/>
        <rFont val="微軟正黑體"/>
        <family val="2"/>
        <charset val="136"/>
      </rPr>
      <t>費用</t>
    </r>
    <phoneticPr fontId="145" type="noConversion"/>
  </si>
  <si>
    <r>
      <rPr>
        <b/>
        <sz val="14"/>
        <color rgb="FFC00000"/>
        <rFont val="微軟正黑體"/>
        <family val="2"/>
        <charset val="136"/>
      </rPr>
      <t>專案分錄彙整</t>
    </r>
    <phoneticPr fontId="104" type="noConversion"/>
  </si>
  <si>
    <r>
      <t>1471</t>
    </r>
    <r>
      <rPr>
        <sz val="14"/>
        <rFont val="微軟正黑體"/>
        <family val="2"/>
        <charset val="136"/>
      </rPr>
      <t>公司内部往來</t>
    </r>
    <r>
      <rPr>
        <sz val="14"/>
        <rFont val="Calibri"/>
        <family val="2"/>
      </rPr>
      <t>-TO&amp;BIM</t>
    </r>
    <phoneticPr fontId="145" type="noConversion"/>
  </si>
  <si>
    <r>
      <rPr>
        <sz val="14"/>
        <rFont val="微軟正黑體"/>
        <family val="2"/>
        <charset val="136"/>
      </rPr>
      <t>資產合計</t>
    </r>
    <phoneticPr fontId="104" type="noConversion"/>
  </si>
  <si>
    <r>
      <t xml:space="preserve">2200 </t>
    </r>
    <r>
      <rPr>
        <sz val="14"/>
        <rFont val="微軟正黑體"/>
        <family val="2"/>
        <charset val="136"/>
      </rPr>
      <t>其他應付款</t>
    </r>
  </si>
  <si>
    <t>2560負債準備</t>
    <phoneticPr fontId="108" type="noConversion"/>
  </si>
  <si>
    <r>
      <rPr>
        <sz val="14"/>
        <rFont val="微軟正黑體"/>
        <family val="2"/>
        <charset val="136"/>
      </rPr>
      <t>負債權益合計</t>
    </r>
    <phoneticPr fontId="104" type="noConversion"/>
  </si>
  <si>
    <r>
      <t>5.</t>
    </r>
    <r>
      <rPr>
        <b/>
        <sz val="14"/>
        <color theme="1"/>
        <rFont val="微軟正黑體"/>
        <family val="2"/>
        <charset val="136"/>
      </rPr>
      <t>管理費用</t>
    </r>
    <r>
      <rPr>
        <b/>
        <sz val="14"/>
        <color theme="1"/>
        <rFont val="Calibri"/>
        <family val="2"/>
      </rPr>
      <t>-from</t>
    </r>
    <r>
      <rPr>
        <b/>
        <sz val="14"/>
        <color theme="1"/>
        <rFont val="微軟正黑體"/>
        <family val="2"/>
        <charset val="136"/>
      </rPr>
      <t>怡如</t>
    </r>
    <phoneticPr fontId="108" type="noConversion"/>
  </si>
  <si>
    <r>
      <rPr>
        <sz val="14"/>
        <rFont val="微軟正黑體"/>
        <family val="2"/>
        <charset val="136"/>
      </rPr>
      <t>管理費用</t>
    </r>
  </si>
  <si>
    <r>
      <rPr>
        <sz val="14"/>
        <rFont val="微軟正黑體"/>
        <family val="2"/>
        <charset val="136"/>
      </rPr>
      <t>進項稅額</t>
    </r>
  </si>
  <si>
    <r>
      <rPr>
        <sz val="14"/>
        <rFont val="微軟正黑體"/>
        <family val="2"/>
        <charset val="136"/>
      </rPr>
      <t>應付費用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</si>
  <si>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工程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</si>
  <si>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-IFRS(</t>
    </r>
    <r>
      <rPr>
        <sz val="14"/>
        <rFont val="微軟正黑體"/>
        <family val="2"/>
        <charset val="136"/>
      </rPr>
      <t>部門</t>
    </r>
    <r>
      <rPr>
        <sz val="14"/>
        <rFont val="Calibri"/>
        <family val="2"/>
      </rPr>
      <t>)</t>
    </r>
  </si>
  <si>
    <r>
      <t xml:space="preserve">2280 </t>
    </r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</si>
  <si>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-IFRS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</si>
  <si>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折舊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</si>
  <si>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-IFRS</t>
    </r>
  </si>
  <si>
    <r>
      <t xml:space="preserve">1670 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</si>
  <si>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運輸設備</t>
    </r>
  </si>
  <si>
    <r>
      <t xml:space="preserve">1757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</si>
  <si>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房租</t>
    </r>
  </si>
  <si>
    <r>
      <t xml:space="preserve">1658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電腦通訊設備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</si>
  <si>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電腦</t>
    </r>
  </si>
  <si>
    <r>
      <t xml:space="preserve">1673 </t>
    </r>
    <r>
      <rPr>
        <sz val="14"/>
        <rFont val="微軟正黑體"/>
        <family val="2"/>
        <charset val="136"/>
      </rPr>
      <t>累折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運輸設備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</si>
  <si>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汽車</t>
    </r>
  </si>
  <si>
    <r>
      <t xml:space="preserve">2640 </t>
    </r>
    <r>
      <rPr>
        <sz val="14"/>
        <rFont val="微軟正黑體"/>
        <family val="2"/>
        <charset val="136"/>
      </rPr>
      <t>淨確定福利負債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非流動</t>
    </r>
  </si>
  <si>
    <r>
      <rPr>
        <sz val="14"/>
        <rFont val="微軟正黑體"/>
        <family val="2"/>
        <charset val="136"/>
      </rPr>
      <t>應付退休金負債</t>
    </r>
  </si>
  <si>
    <r>
      <rPr>
        <sz val="14"/>
        <rFont val="微軟正黑體"/>
        <family val="2"/>
        <charset val="136"/>
      </rPr>
      <t>應付費用</t>
    </r>
    <r>
      <rPr>
        <sz val="14"/>
        <rFont val="Calibri"/>
        <family val="2"/>
      </rPr>
      <t>-pension</t>
    </r>
  </si>
  <si>
    <r>
      <rPr>
        <sz val="14"/>
        <rFont val="微軟正黑體"/>
        <family val="2"/>
        <charset val="136"/>
      </rPr>
      <t>管理費用</t>
    </r>
    <r>
      <rPr>
        <sz val="14"/>
        <rFont val="Calibri"/>
        <family val="2"/>
      </rPr>
      <t>-HQ</t>
    </r>
    <r>
      <rPr>
        <sz val="14"/>
        <rFont val="微軟正黑體"/>
        <family val="2"/>
        <charset val="136"/>
      </rPr>
      <t>費用分攤</t>
    </r>
  </si>
  <si>
    <r>
      <rPr>
        <sz val="14"/>
        <rFont val="微軟正黑體"/>
        <family val="2"/>
        <charset val="136"/>
      </rPr>
      <t>台灣事業處</t>
    </r>
  </si>
  <si>
    <r>
      <rPr>
        <sz val="14"/>
        <rFont val="微軟正黑體"/>
        <family val="2"/>
        <charset val="136"/>
      </rPr>
      <t>資金往來</t>
    </r>
    <r>
      <rPr>
        <sz val="14"/>
        <rFont val="Calibri"/>
        <family val="2"/>
      </rPr>
      <t>-Trading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</si>
  <si>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楊梅使用費</t>
    </r>
  </si>
  <si>
    <r>
      <rPr>
        <sz val="14"/>
        <rFont val="微軟正黑體"/>
        <family val="2"/>
        <charset val="136"/>
      </rPr>
      <t>應付帳款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</si>
  <si>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進項稅額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調整楊梅</t>
    </r>
  </si>
  <si>
    <r>
      <rPr>
        <sz val="14"/>
        <rFont val="微軟正黑體"/>
        <family val="2"/>
        <charset val="136"/>
      </rPr>
      <t>利息收入</t>
    </r>
  </si>
  <si>
    <r>
      <t xml:space="preserve">1200 </t>
    </r>
    <r>
      <rPr>
        <sz val="14"/>
        <rFont val="微軟正黑體"/>
        <family val="2"/>
        <charset val="136"/>
      </rPr>
      <t>其他應收款</t>
    </r>
  </si>
  <si>
    <r>
      <rPr>
        <sz val="14"/>
        <rFont val="微軟正黑體"/>
        <family val="2"/>
        <charset val="136"/>
      </rPr>
      <t>應收收益</t>
    </r>
  </si>
  <si>
    <r>
      <t>108/ HQ</t>
    </r>
    <r>
      <rPr>
        <sz val="14"/>
        <rFont val="微軟正黑體"/>
        <family val="2"/>
        <charset val="136"/>
      </rPr>
      <t>資金往來利息收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</si>
  <si>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營業外收入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支</t>
    </r>
    <r>
      <rPr>
        <sz val="14"/>
        <rFont val="Calibri"/>
        <family val="2"/>
      </rPr>
      <t>)</t>
    </r>
  </si>
  <si>
    <r>
      <rPr>
        <sz val="14"/>
        <rFont val="微軟正黑體"/>
        <family val="2"/>
        <charset val="136"/>
      </rPr>
      <t>所得稅</t>
    </r>
  </si>
  <si>
    <r>
      <t>6. IFRS 16 (2025</t>
    </r>
    <r>
      <rPr>
        <b/>
        <sz val="14"/>
        <color theme="1"/>
        <rFont val="微軟正黑體"/>
        <family val="2"/>
        <charset val="136"/>
      </rPr>
      <t>年請加入</t>
    </r>
    <r>
      <rPr>
        <b/>
        <sz val="14"/>
        <color theme="1"/>
        <rFont val="Calibri"/>
        <family val="2"/>
      </rPr>
      <t>)</t>
    </r>
    <phoneticPr fontId="145" type="noConversion"/>
  </si>
  <si>
    <r>
      <t>BIMB01</t>
    </r>
    <r>
      <rPr>
        <sz val="14"/>
        <rFont val="微軟正黑體"/>
        <family val="2"/>
        <charset val="136"/>
      </rPr>
      <t>台中辦公室租賃</t>
    </r>
    <phoneticPr fontId="104" type="noConversion"/>
  </si>
  <si>
    <r>
      <rPr>
        <sz val="14"/>
        <rFont val="微軟正黑體"/>
        <family val="2"/>
        <charset val="136"/>
      </rPr>
      <t>租賃負債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流動</t>
    </r>
  </si>
  <si>
    <r>
      <t xml:space="preserve">1410 </t>
    </r>
    <r>
      <rPr>
        <sz val="14"/>
        <color theme="1"/>
        <rFont val="微軟正黑體"/>
        <family val="2"/>
        <charset val="136"/>
      </rPr>
      <t>預付款項</t>
    </r>
  </si>
  <si>
    <r>
      <rPr>
        <sz val="14"/>
        <rFont val="微軟正黑體"/>
        <family val="2"/>
        <charset val="136"/>
      </rPr>
      <t>預付費用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預付租金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已</t>
    </r>
  </si>
  <si>
    <r>
      <rPr>
        <sz val="14"/>
        <rFont val="微軟正黑體"/>
        <family val="2"/>
        <charset val="136"/>
      </rPr>
      <t>程股份有限公司</t>
    </r>
  </si>
  <si>
    <r>
      <rPr>
        <sz val="14"/>
        <rFont val="微軟正黑體"/>
        <family val="2"/>
        <charset val="136"/>
      </rPr>
      <t>辦公室費用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折舊</t>
    </r>
  </si>
  <si>
    <r>
      <rPr>
        <sz val="14"/>
        <rFont val="微軟正黑體"/>
        <family val="2"/>
        <charset val="136"/>
      </rPr>
      <t>累計折舊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使用權資產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房屋及建築</t>
    </r>
  </si>
  <si>
    <r>
      <rPr>
        <sz val="14"/>
        <rFont val="微軟正黑體"/>
        <family val="2"/>
        <charset val="136"/>
      </rPr>
      <t>利息費用</t>
    </r>
    <r>
      <rPr>
        <sz val="14"/>
        <rFont val="Calibri"/>
        <family val="2"/>
      </rPr>
      <t>-</t>
    </r>
    <r>
      <rPr>
        <sz val="14"/>
        <rFont val="微軟正黑體"/>
        <family val="2"/>
        <charset val="136"/>
      </rPr>
      <t>租賃負債</t>
    </r>
  </si>
  <si>
    <t>2026年</t>
  </si>
  <si>
    <t xml:space="preserve">Year to Date </t>
  </si>
  <si>
    <t>BIM 完工百分比認列收入</t>
  </si>
  <si>
    <t>YES</t>
  </si>
  <si>
    <t>負債準備-土木機電</t>
  </si>
  <si>
    <t>負債準備-建築</t>
  </si>
  <si>
    <t>至2025年12月累計</t>
  </si>
  <si>
    <t>~2026/12</t>
  </si>
  <si>
    <t>內/外部</t>
    <phoneticPr fontId="101" type="noConversion"/>
  </si>
  <si>
    <t>內部</t>
    <phoneticPr fontId="101" type="noConversion"/>
  </si>
  <si>
    <t>外部</t>
    <phoneticPr fontId="101" type="noConversion"/>
  </si>
  <si>
    <t>負債準備</t>
    <phoneticPr fontId="101" type="noConversion"/>
  </si>
  <si>
    <t>非完工百分比計算</t>
    <phoneticPr fontId="101" type="noConversion"/>
  </si>
  <si>
    <r>
      <rPr>
        <b/>
        <sz val="12"/>
        <rFont val="Calibri"/>
        <family val="2"/>
        <charset val="1"/>
      </rPr>
      <t>BIM</t>
    </r>
    <r>
      <rPr>
        <b/>
        <sz val="12"/>
        <rFont val="Noto Sans CJK SC"/>
        <family val="2"/>
      </rPr>
      <t>合計</t>
    </r>
    <phoneticPr fontId="101" type="noConversion"/>
  </si>
  <si>
    <r>
      <rPr>
        <b/>
        <sz val="12"/>
        <rFont val="Noto Sans CJK SC"/>
        <family val="2"/>
      </rPr>
      <t>土木</t>
    </r>
    <r>
      <rPr>
        <b/>
        <sz val="12"/>
        <rFont val="Calibri"/>
        <family val="2"/>
        <charset val="1"/>
      </rPr>
      <t>&amp;</t>
    </r>
    <r>
      <rPr>
        <b/>
        <sz val="12"/>
        <rFont val="Noto Sans CJK SC"/>
        <family val="2"/>
      </rPr>
      <t>機電合計</t>
    </r>
    <phoneticPr fontId="101" type="noConversion"/>
  </si>
  <si>
    <t>建築合計</t>
    <phoneticPr fontId="101" type="noConversion"/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</si>
  <si>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機電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</si>
  <si>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聯發科機電</t>
    </r>
  </si>
  <si>
    <r>
      <t>CF690B BIM</t>
    </r>
    <r>
      <rPr>
        <sz val="12"/>
        <color rgb="FF00B050"/>
        <rFont val="Noto Sans CJK SC"/>
        <family val="2"/>
      </rPr>
      <t>土木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</si>
  <si>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員榮總醫院</t>
    </r>
    <r>
      <rPr>
        <sz val="12"/>
        <color rgb="FF00B050"/>
        <rFont val="Calibri"/>
        <family val="2"/>
        <charset val="1"/>
      </rPr>
      <t>BIM</t>
    </r>
  </si>
  <si>
    <r>
      <t>擎邦</t>
    </r>
    <r>
      <rPr>
        <sz val="12"/>
        <color rgb="FF00B050"/>
        <rFont val="Calibri"/>
        <family val="2"/>
        <charset val="1"/>
      </rPr>
      <t>-</t>
    </r>
    <r>
      <rPr>
        <sz val="12"/>
        <color rgb="FF00B050"/>
        <rFont val="Noto Sans CJK SC"/>
        <family val="2"/>
      </rPr>
      <t>聯發科銅鑼</t>
    </r>
  </si>
  <si>
    <r>
      <t>擎邦</t>
    </r>
    <r>
      <rPr>
        <sz val="12"/>
        <color rgb="FF00B050"/>
        <rFont val="Calibri"/>
        <family val="2"/>
        <charset val="1"/>
      </rPr>
      <t>-CF624F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(CF690B</t>
    </r>
    <r>
      <rPr>
        <sz val="12"/>
        <color rgb="FF00B050"/>
        <rFont val="Noto Sans CJK SC"/>
        <family val="2"/>
      </rPr>
      <t>機電</t>
    </r>
    <r>
      <rPr>
        <sz val="12"/>
        <color rgb="FF00B050"/>
        <rFont val="Calibri"/>
        <family val="2"/>
        <charset val="1"/>
      </rPr>
      <t>)</t>
    </r>
  </si>
  <si>
    <r>
      <t>南港機廠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</si>
  <si>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r>
      <t>信義兒福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建築</t>
    </r>
  </si>
  <si>
    <t>備標</t>
    <phoneticPr fontId="101" type="noConversion"/>
  </si>
  <si>
    <r>
      <t>4.</t>
    </r>
    <r>
      <rPr>
        <b/>
        <sz val="12"/>
        <color theme="1"/>
        <rFont val="微軟正黑體"/>
        <family val="2"/>
        <charset val="136"/>
      </rPr>
      <t>毛損認列負債準備</t>
    </r>
    <phoneticPr fontId="101" type="noConversion"/>
  </si>
  <si>
    <r>
      <t>2.POC</t>
    </r>
    <r>
      <rPr>
        <b/>
        <sz val="12"/>
        <color theme="1"/>
        <rFont val="微軟正黑體"/>
        <family val="2"/>
        <charset val="136"/>
      </rPr>
      <t>認列損益</t>
    </r>
    <phoneticPr fontId="101" type="noConversion"/>
  </si>
  <si>
    <t>勞務收入</t>
    <phoneticPr fontId="101" type="noConversion"/>
  </si>
  <si>
    <t>2</t>
    <phoneticPr fontId="101" type="noConversion"/>
  </si>
  <si>
    <t>3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</si>
  <si>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</si>
  <si>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</si>
  <si>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</si>
  <si>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</si>
  <si>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</si>
  <si>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</si>
  <si>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</si>
  <si>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</si>
  <si>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</si>
  <si>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</si>
  <si>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</si>
  <si>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</si>
  <si>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</si>
  <si>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</si>
  <si>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</si>
  <si>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</si>
  <si>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</si>
  <si>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</si>
  <si>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</si>
  <si>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</si>
  <si>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</si>
  <si>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</si>
  <si>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</si>
  <si>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</si>
  <si>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</si>
  <si>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</si>
  <si>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</si>
  <si>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</si>
  <si>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</si>
  <si>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</si>
  <si>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</si>
  <si>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</si>
  <si>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</si>
  <si>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</si>
  <si>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</si>
  <si>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</si>
  <si>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</si>
  <si>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</si>
  <si>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</si>
  <si>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</si>
  <si>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</si>
  <si>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</si>
  <si>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</si>
  <si>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</si>
  <si>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</si>
  <si>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Arial"/>
        <family val="2"/>
      </rPr>
      <t xml:space="preserve">       </t>
    </r>
    <phoneticPr fontId="101" type="noConversion"/>
  </si>
  <si>
    <t>累計2026/8</t>
  </si>
  <si>
    <t>累計2026/12</t>
  </si>
  <si>
    <t>累計 Year 2027</t>
  </si>
  <si>
    <t>累計 Year 2028</t>
  </si>
  <si>
    <t>累計 Year 2029</t>
  </si>
  <si>
    <t>累計 Year 2030</t>
  </si>
  <si>
    <t>累計 Year 2031</t>
  </si>
  <si>
    <r>
      <t>雜項</t>
    </r>
    <r>
      <rPr>
        <sz val="12"/>
        <color rgb="FF00B050"/>
        <rFont val="Calibri"/>
        <family val="2"/>
        <charset val="1"/>
      </rPr>
      <t>BIM</t>
    </r>
    <r>
      <rPr>
        <sz val="12"/>
        <color rgb="FF00B050"/>
        <rFont val="Noto Sans CJK SC"/>
        <family val="2"/>
      </rPr>
      <t>土木機電</t>
    </r>
    <r>
      <rPr>
        <sz val="12"/>
        <color rgb="FF00B050"/>
        <rFont val="Calibri"/>
        <family val="2"/>
        <charset val="1"/>
      </rPr>
      <t>(</t>
    </r>
    <r>
      <rPr>
        <sz val="12"/>
        <color rgb="FF00B050"/>
        <rFont val="Noto Sans CJK SC"/>
        <family val="2"/>
      </rPr>
      <t>外案收入</t>
    </r>
    <r>
      <rPr>
        <sz val="12"/>
        <color rgb="FF00B050"/>
        <rFont val="Calibri"/>
        <family val="2"/>
        <charset val="1"/>
      </rPr>
      <t>)</t>
    </r>
  </si>
  <si>
    <t>非完工百分比計算-勞務收入</t>
    <phoneticPr fontId="101" type="noConversion"/>
  </si>
  <si>
    <t>完比法合計</t>
    <phoneticPr fontId="101" type="noConversion"/>
  </si>
  <si>
    <r>
      <t>2027</t>
    </r>
    <r>
      <rPr>
        <b/>
        <sz val="12"/>
        <rFont val="微軟正黑體"/>
        <family val="2"/>
        <charset val="136"/>
      </rPr>
      <t>年</t>
    </r>
    <r>
      <rPr>
        <b/>
        <sz val="12"/>
        <rFont val="Calibri"/>
        <family val="2"/>
      </rPr>
      <t>Budget</t>
    </r>
    <phoneticPr fontId="104" type="noConversion"/>
  </si>
  <si>
    <r>
      <rPr>
        <b/>
        <sz val="12"/>
        <rFont val="微軟正黑體"/>
        <family val="2"/>
        <charset val="136"/>
      </rPr>
      <t>公式不同</t>
    </r>
    <phoneticPr fontId="145" type="noConversion"/>
  </si>
  <si>
    <r>
      <rPr>
        <sz val="12"/>
        <rFont val="微軟正黑體"/>
        <family val="2"/>
        <charset val="136"/>
      </rPr>
      <t>單位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元</t>
    </r>
    <phoneticPr fontId="104" type="noConversion"/>
  </si>
  <si>
    <r>
      <rPr>
        <sz val="12"/>
        <rFont val="微軟正黑體"/>
        <family val="2"/>
        <charset val="136"/>
      </rPr>
      <t>管報</t>
    </r>
    <r>
      <rPr>
        <sz val="12"/>
        <rFont val="Calibri"/>
        <family val="2"/>
      </rPr>
      <t>(1-8</t>
    </r>
    <r>
      <rPr>
        <sz val="12"/>
        <rFont val="微軟正黑體"/>
        <family val="2"/>
        <charset val="136"/>
      </rPr>
      <t>實際</t>
    </r>
    <r>
      <rPr>
        <sz val="12"/>
        <rFont val="Calibri"/>
        <family val="2"/>
      </rPr>
      <t>+9-12</t>
    </r>
    <r>
      <rPr>
        <sz val="12"/>
        <rFont val="微軟正黑體"/>
        <family val="2"/>
        <charset val="136"/>
      </rPr>
      <t>預測</t>
    </r>
    <r>
      <rPr>
        <sz val="12"/>
        <rFont val="Calibri"/>
        <family val="2"/>
      </rPr>
      <t>)</t>
    </r>
    <phoneticPr fontId="108" type="noConversion"/>
  </si>
  <si>
    <r>
      <rPr>
        <sz val="12"/>
        <rFont val="微軟正黑體"/>
        <family val="2"/>
        <charset val="136"/>
      </rPr>
      <t>收入成本表</t>
    </r>
    <phoneticPr fontId="108" type="noConversion"/>
  </si>
  <si>
    <r>
      <t xml:space="preserve">2026 Oct </t>
    </r>
    <r>
      <rPr>
        <b/>
        <sz val="12"/>
        <rFont val="Microsoft JhengHei"/>
        <family val="2"/>
        <charset val="136"/>
      </rPr>
      <t>預算變更</t>
    </r>
    <phoneticPr fontId="108" type="noConversion"/>
  </si>
  <si>
    <r>
      <t xml:space="preserve">2026 Aug </t>
    </r>
    <r>
      <rPr>
        <sz val="12"/>
        <rFont val="Microsoft JhengHei"/>
        <family val="2"/>
        <charset val="136"/>
      </rPr>
      <t>預算變更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</si>
  <si>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2026/12 Fcst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</si>
  <si>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</si>
  <si>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</si>
  <si>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2027/3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</si>
  <si>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2027/4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</si>
  <si>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2027/5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</si>
  <si>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2027/6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</si>
  <si>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2027/7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</si>
  <si>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2027/8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</si>
  <si>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2027/9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</si>
  <si>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2027/10 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</si>
  <si>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2027/11 Budget 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</si>
  <si>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2027/12 Budget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</si>
  <si>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2029/12 FCST</t>
    </r>
    <phoneticPr fontId="145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</si>
  <si>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2031/12 FCST</t>
    </r>
    <phoneticPr fontId="145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</si>
  <si>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2032/12 FCST</t>
    </r>
    <phoneticPr fontId="145" type="noConversion"/>
  </si>
  <si>
    <r>
      <rPr>
        <sz val="12"/>
        <color rgb="FF0000FF"/>
        <rFont val="微軟正黑體"/>
        <family val="2"/>
        <charset val="136"/>
      </rPr>
      <t>當年</t>
    </r>
    <r>
      <rPr>
        <sz val="12"/>
        <color rgb="FF0000FF"/>
        <rFont val="Calibri"/>
        <family val="2"/>
      </rPr>
      <t>NW</t>
    </r>
    <phoneticPr fontId="108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</si>
  <si>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價</t>
    </r>
    <phoneticPr fontId="108" type="noConversion"/>
  </si>
  <si>
    <r>
      <rPr>
        <b/>
        <sz val="12"/>
        <rFont val="微軟正黑體"/>
        <family val="2"/>
        <charset val="136"/>
      </rPr>
      <t>預估
完工總成本</t>
    </r>
    <phoneticPr fontId="104" type="noConversion"/>
  </si>
  <si>
    <r>
      <rPr>
        <b/>
        <sz val="12"/>
        <rFont val="微軟正黑體"/>
        <family val="2"/>
        <charset val="136"/>
      </rPr>
      <t>預計工程毛利</t>
    </r>
    <phoneticPr fontId="104" type="noConversion"/>
  </si>
  <si>
    <r>
      <rPr>
        <b/>
        <sz val="12"/>
        <rFont val="微軟正黑體"/>
        <family val="2"/>
        <charset val="136"/>
      </rPr>
      <t>毛利</t>
    </r>
    <r>
      <rPr>
        <b/>
        <sz val="12"/>
        <rFont val="Calibri"/>
        <family val="2"/>
      </rPr>
      <t>%</t>
    </r>
    <phoneticPr fontId="104" type="noConversion"/>
  </si>
  <si>
    <r>
      <rPr>
        <b/>
        <sz val="12"/>
        <rFont val="微軟正黑體"/>
        <family val="2"/>
        <charset val="136"/>
      </rPr>
      <t>合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約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>總</t>
    </r>
    <r>
      <rPr>
        <b/>
        <sz val="12"/>
        <rFont val="Calibri"/>
        <family val="2"/>
      </rPr>
      <t xml:space="preserve"> </t>
    </r>
    <r>
      <rPr>
        <b/>
        <sz val="12"/>
        <rFont val="微軟正黑體"/>
        <family val="2"/>
        <charset val="136"/>
      </rPr>
      <t xml:space="preserve">價
</t>
    </r>
    <r>
      <rPr>
        <b/>
        <sz val="12"/>
        <rFont val="Calibri"/>
        <family val="2"/>
      </rPr>
      <t>(</t>
    </r>
    <r>
      <rPr>
        <b/>
        <sz val="12"/>
        <rFont val="微軟正黑體"/>
        <family val="2"/>
        <charset val="136"/>
      </rPr>
      <t>不含稅</t>
    </r>
    <r>
      <rPr>
        <b/>
        <sz val="12"/>
        <rFont val="Calibri"/>
        <family val="2"/>
      </rPr>
      <t>)</t>
    </r>
    <phoneticPr fontId="108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</si>
  <si>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</si>
  <si>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</si>
  <si>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_</t>
    </r>
    <phoneticPr fontId="104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</si>
  <si>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</si>
  <si>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</si>
  <si>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</si>
  <si>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工程毛利</t>
    </r>
    <phoneticPr fontId="104" type="noConversion"/>
  </si>
  <si>
    <r>
      <rPr>
        <b/>
        <sz val="12"/>
        <rFont val="微軟正黑體"/>
        <family val="2"/>
        <charset val="136"/>
      </rPr>
      <t>工程毛利</t>
    </r>
    <r>
      <rPr>
        <b/>
        <sz val="12"/>
        <rFont val="Calibri"/>
        <family val="2"/>
      </rPr>
      <t>.</t>
    </r>
    <phoneticPr fontId="104" type="noConversion"/>
  </si>
  <si>
    <r>
      <rPr>
        <b/>
        <sz val="12"/>
        <rFont val="微軟正黑體"/>
        <family val="2"/>
        <charset val="136"/>
      </rPr>
      <t>工程收入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</si>
  <si>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工程成本</t>
    </r>
    <r>
      <rPr>
        <b/>
        <sz val="12"/>
        <rFont val="Calibri"/>
        <family val="2"/>
      </rPr>
      <t>.</t>
    </r>
  </si>
  <si>
    <r>
      <rPr>
        <b/>
        <sz val="12"/>
        <rFont val="微軟正黑體"/>
        <family val="2"/>
        <charset val="136"/>
      </rPr>
      <t>工程收入</t>
    </r>
  </si>
  <si>
    <r>
      <rPr>
        <b/>
        <sz val="12"/>
        <rFont val="微軟正黑體"/>
        <family val="2"/>
        <charset val="136"/>
      </rPr>
      <t>工程成本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</si>
  <si>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4" type="noConversion"/>
  </si>
  <si>
    <r>
      <rPr>
        <sz val="12"/>
        <rFont val="微軟正黑體"/>
        <family val="2"/>
        <charset val="136"/>
      </rPr>
      <t>備標</t>
    </r>
    <phoneticPr fontId="145" type="noConversion"/>
  </si>
  <si>
    <r>
      <rPr>
        <sz val="12"/>
        <rFont val="微軟正黑體"/>
        <family val="2"/>
        <charset val="136"/>
      </rPr>
      <t>國揚吉麟機電</t>
    </r>
    <phoneticPr fontId="145" type="noConversion"/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</si>
  <si>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機電</t>
    </r>
    <phoneticPr fontId="108" type="noConversion"/>
  </si>
  <si>
    <r>
      <rPr>
        <sz val="12"/>
        <color rgb="FF9900CC"/>
        <rFont val="微軟正黑體"/>
        <family val="2"/>
        <charset val="136"/>
      </rPr>
      <t>內部</t>
    </r>
  </si>
  <si>
    <r>
      <rPr>
        <sz val="12"/>
        <color rgb="FF9900CC"/>
        <rFont val="微軟正黑體"/>
        <family val="2"/>
        <charset val="136"/>
      </rPr>
      <t>備標</t>
    </r>
    <phoneticPr fontId="145" type="noConversion"/>
  </si>
  <si>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土木機電</t>
    </r>
    <r>
      <rPr>
        <sz val="12"/>
        <rFont val="Calibri"/>
        <family val="2"/>
      </rPr>
      <t>-24</t>
    </r>
    <r>
      <rPr>
        <sz val="12"/>
        <rFont val="微軟正黑體"/>
        <family val="2"/>
        <charset val="136"/>
      </rPr>
      <t>年</t>
    </r>
  </si>
  <si>
    <r>
      <rPr>
        <b/>
        <sz val="12"/>
        <rFont val="微軟正黑體"/>
        <family val="2"/>
        <charset val="136"/>
      </rPr>
      <t>土木</t>
    </r>
    <r>
      <rPr>
        <b/>
        <sz val="12"/>
        <rFont val="Calibri"/>
        <family val="2"/>
      </rPr>
      <t>&amp;</t>
    </r>
    <r>
      <rPr>
        <b/>
        <sz val="12"/>
        <rFont val="微軟正黑體"/>
        <family val="2"/>
        <charset val="136"/>
      </rPr>
      <t>機電合計</t>
    </r>
  </si>
  <si>
    <r>
      <rPr>
        <sz val="12"/>
        <rFont val="微軟正黑體"/>
        <family val="2"/>
        <charset val="136"/>
      </rPr>
      <t>碩河</t>
    </r>
    <r>
      <rPr>
        <sz val="12"/>
        <rFont val="Calibri"/>
        <family val="2"/>
      </rPr>
      <t>A7(</t>
    </r>
    <r>
      <rPr>
        <sz val="12"/>
        <rFont val="微軟正黑體"/>
        <family val="2"/>
        <charset val="136"/>
      </rPr>
      <t>施工</t>
    </r>
    <r>
      <rPr>
        <sz val="12"/>
        <rFont val="Calibri"/>
        <family val="2"/>
      </rPr>
      <t>)</t>
    </r>
  </si>
  <si>
    <r>
      <rPr>
        <sz val="12"/>
        <color rgb="FF00B050"/>
        <rFont val="微軟正黑體"/>
        <family val="2"/>
        <charset val="136"/>
      </rPr>
      <t>南港機廠</t>
    </r>
  </si>
  <si>
    <r>
      <rPr>
        <sz val="12"/>
        <rFont val="微軟正黑體"/>
        <family val="2"/>
        <charset val="136"/>
      </rPr>
      <t>富邦忠孝懷生</t>
    </r>
    <r>
      <rPr>
        <sz val="12"/>
        <rFont val="Calibri"/>
        <family val="2"/>
      </rPr>
      <t>IPD</t>
    </r>
  </si>
  <si>
    <r>
      <rPr>
        <sz val="12"/>
        <rFont val="微軟正黑體"/>
        <family val="2"/>
        <charset val="136"/>
      </rPr>
      <t>忠孝耑序</t>
    </r>
  </si>
  <si>
    <r>
      <rPr>
        <sz val="12"/>
        <rFont val="微軟正黑體"/>
        <family val="2"/>
        <charset val="136"/>
      </rPr>
      <t>柏鴻北士科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</si>
  <si>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00B050"/>
        <rFont val="微軟正黑體"/>
        <family val="2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</si>
  <si>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捷運劍潭站</t>
    </r>
    <r>
      <rPr>
        <sz val="12"/>
        <rFont val="Calibri"/>
        <family val="2"/>
      </rPr>
      <t>TOD</t>
    </r>
    <r>
      <rPr>
        <sz val="12"/>
        <rFont val="微軟正黑體"/>
        <family val="2"/>
        <charset val="136"/>
      </rPr>
      <t>案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</si>
  <si>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慶城福華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</si>
  <si>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板橋四維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r>
      <rPr>
        <sz val="12"/>
        <rFont val="Calibri"/>
        <family val="2"/>
      </rPr>
      <t xml:space="preserve"> </t>
    </r>
  </si>
  <si>
    <r>
      <rPr>
        <sz val="12"/>
        <rFont val="微軟正黑體"/>
        <family val="2"/>
        <charset val="136"/>
      </rPr>
      <t>台中新美齊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  <phoneticPr fontId="145" type="noConversion"/>
  </si>
  <si>
    <r>
      <rPr>
        <sz val="12"/>
        <color rgb="FF00B050"/>
        <rFont val="微軟正黑體"/>
        <family val="2"/>
        <charset val="136"/>
      </rPr>
      <t>晨禎片片山閑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</si>
  <si>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服務</t>
    </r>
    <phoneticPr fontId="145" type="noConversion"/>
  </si>
  <si>
    <r>
      <rPr>
        <sz val="12"/>
        <color theme="1"/>
        <rFont val="微軟正黑體"/>
        <family val="2"/>
        <charset val="136"/>
      </rPr>
      <t>璞真南港總部</t>
    </r>
    <phoneticPr fontId="145" type="noConversion"/>
  </si>
  <si>
    <r>
      <rPr>
        <sz val="12"/>
        <color theme="1"/>
        <rFont val="微軟正黑體"/>
        <family val="2"/>
        <charset val="136"/>
      </rPr>
      <t>築源南港</t>
    </r>
    <phoneticPr fontId="145" type="noConversion"/>
  </si>
  <si>
    <r>
      <rPr>
        <sz val="12"/>
        <color theme="1"/>
        <rFont val="微軟正黑體"/>
        <family val="2"/>
        <charset val="136"/>
      </rPr>
      <t>南港三重</t>
    </r>
    <phoneticPr fontId="145" type="noConversion"/>
  </si>
  <si>
    <r>
      <rPr>
        <sz val="12"/>
        <rFont val="微軟正黑體"/>
        <family val="2"/>
        <charset val="136"/>
      </rPr>
      <t>其他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</si>
  <si>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內部</t>
    </r>
  </si>
  <si>
    <r>
      <rPr>
        <sz val="12"/>
        <color rgb="FF7030A0"/>
        <rFont val="微軟正黑體"/>
        <family val="2"/>
        <charset val="136"/>
      </rPr>
      <t>備標</t>
    </r>
    <phoneticPr fontId="145" type="noConversion"/>
  </si>
  <si>
    <r>
      <rPr>
        <b/>
        <sz val="12"/>
        <rFont val="微軟正黑體"/>
        <family val="2"/>
        <charset val="136"/>
      </rPr>
      <t>建築合計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</si>
  <si>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沖銷前</t>
    </r>
    <phoneticPr fontId="104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</si>
  <si>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</si>
  <si>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內部</t>
    </r>
    <phoneticPr fontId="104" type="noConversion"/>
  </si>
  <si>
    <r>
      <t>BIM-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</si>
  <si>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雜項調整</t>
    </r>
  </si>
  <si>
    <r>
      <rPr>
        <b/>
        <sz val="12"/>
        <rFont val="微軟正黑體"/>
        <family val="2"/>
        <charset val="136"/>
      </rPr>
      <t>沖銷合計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</si>
  <si>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合計</t>
    </r>
  </si>
  <si>
    <r>
      <t>BIM</t>
    </r>
    <r>
      <rPr>
        <b/>
        <sz val="12"/>
        <rFont val="微軟正黑體"/>
        <family val="2"/>
        <charset val="136"/>
      </rPr>
      <t>合計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沖銷後</t>
    </r>
    <phoneticPr fontId="104" type="noConversion"/>
  </si>
  <si>
    <r>
      <t>BIMB01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8" type="noConversion"/>
  </si>
  <si>
    <r>
      <t>BIMC01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check</t>
    </r>
    <phoneticPr fontId="108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</si>
  <si>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Check</t>
    </r>
    <phoneticPr fontId="145" type="noConversion"/>
  </si>
  <si>
    <r>
      <rPr>
        <sz val="12"/>
        <color rgb="FF0000FF"/>
        <rFont val="微軟正黑體"/>
        <family val="2"/>
        <charset val="136"/>
      </rPr>
      <t>備標</t>
    </r>
    <r>
      <rPr>
        <sz val="12"/>
        <color rgb="FF0000FF"/>
        <rFont val="Calibri"/>
        <family val="2"/>
      </rPr>
      <t>Check</t>
    </r>
    <phoneticPr fontId="145" type="noConversion"/>
  </si>
  <si>
    <r>
      <rPr>
        <sz val="12"/>
        <color rgb="FF0000FF"/>
        <rFont val="微軟正黑體"/>
        <family val="2"/>
        <charset val="136"/>
      </rPr>
      <t>備標</t>
    </r>
    <phoneticPr fontId="145" type="noConversion"/>
  </si>
  <si>
    <r>
      <t>BS</t>
    </r>
    <r>
      <rPr>
        <sz val="12"/>
        <rFont val="微軟正黑體"/>
        <family val="2"/>
        <charset val="136"/>
      </rPr>
      <t>項目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只放</t>
    </r>
    <r>
      <rPr>
        <sz val="12"/>
        <rFont val="Calibri"/>
        <family val="2"/>
      </rPr>
      <t>BIM)</t>
    </r>
    <phoneticPr fontId="104" type="noConversion"/>
  </si>
  <si>
    <r>
      <t>1.</t>
    </r>
    <r>
      <rPr>
        <b/>
        <sz val="12"/>
        <color theme="1"/>
        <rFont val="微軟正黑體"/>
        <family val="2"/>
        <charset val="136"/>
      </rPr>
      <t>內部專案計價</t>
    </r>
    <phoneticPr fontId="108" type="noConversion"/>
  </si>
  <si>
    <r>
      <rPr>
        <sz val="12"/>
        <rFont val="微軟正黑體"/>
        <family val="2"/>
        <charset val="136"/>
      </rPr>
      <t>工程工務所費用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其他費用</t>
    </r>
  </si>
  <si>
    <r>
      <rPr>
        <sz val="12"/>
        <rFont val="微軟正黑體"/>
        <family val="2"/>
        <charset val="136"/>
      </rPr>
      <t>公司內部往來</t>
    </r>
    <r>
      <rPr>
        <sz val="12"/>
        <rFont val="Calibri"/>
        <family val="2"/>
      </rPr>
      <t>-TO &amp; BIM</t>
    </r>
  </si>
  <si>
    <r>
      <t>1471</t>
    </r>
    <r>
      <rPr>
        <sz val="12"/>
        <rFont val="微軟正黑體"/>
        <family val="2"/>
        <charset val="136"/>
      </rPr>
      <t>公司内部往來</t>
    </r>
    <r>
      <rPr>
        <sz val="12"/>
        <rFont val="Calibri"/>
        <family val="2"/>
      </rPr>
      <t>-TO&amp;BIM</t>
    </r>
    <phoneticPr fontId="145" type="noConversion"/>
  </si>
  <si>
    <r>
      <t xml:space="preserve">3353 </t>
    </r>
    <r>
      <rPr>
        <sz val="12"/>
        <rFont val="微軟正黑體"/>
        <family val="2"/>
        <charset val="136"/>
      </rPr>
      <t>本期損益</t>
    </r>
  </si>
  <si>
    <r>
      <rPr>
        <sz val="12"/>
        <rFont val="微軟正黑體"/>
        <family val="2"/>
        <charset val="136"/>
      </rPr>
      <t>勞務收入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內部計價</t>
    </r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</si>
  <si>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</si>
  <si>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t>2.</t>
    </r>
    <r>
      <rPr>
        <b/>
        <sz val="12"/>
        <color theme="1"/>
        <rFont val="微軟正黑體"/>
        <family val="2"/>
        <charset val="136"/>
      </rPr>
      <t>外部專案計價</t>
    </r>
    <phoneticPr fontId="108" type="noConversion"/>
  </si>
  <si>
    <r>
      <t xml:space="preserve">1170 </t>
    </r>
    <r>
      <rPr>
        <sz val="12"/>
        <rFont val="微軟正黑體"/>
        <family val="2"/>
        <charset val="136"/>
      </rPr>
      <t>應收帳款淨額</t>
    </r>
  </si>
  <si>
    <r>
      <rPr>
        <sz val="12"/>
        <rFont val="微軟正黑體"/>
        <family val="2"/>
        <charset val="136"/>
      </rPr>
      <t>應收帳款</t>
    </r>
    <phoneticPr fontId="145" type="noConversion"/>
  </si>
  <si>
    <r>
      <rPr>
        <sz val="12"/>
        <rFont val="微軟正黑體"/>
        <family val="2"/>
        <charset val="136"/>
      </rPr>
      <t>勞務收入</t>
    </r>
    <phoneticPr fontId="145" type="noConversion"/>
  </si>
  <si>
    <r>
      <t xml:space="preserve">2214 </t>
    </r>
    <r>
      <rPr>
        <sz val="12"/>
        <rFont val="微軟正黑體"/>
        <family val="2"/>
        <charset val="136"/>
      </rPr>
      <t>銷項</t>
    </r>
    <r>
      <rPr>
        <sz val="12"/>
        <rFont val="Calibri"/>
        <family val="2"/>
      </rPr>
      <t xml:space="preserve">-1264 </t>
    </r>
    <r>
      <rPr>
        <sz val="12"/>
        <rFont val="微軟正黑體"/>
        <family val="2"/>
        <charset val="136"/>
      </rPr>
      <t>進項</t>
    </r>
  </si>
  <si>
    <r>
      <rPr>
        <sz val="12"/>
        <rFont val="微軟正黑體"/>
        <family val="2"/>
        <charset val="136"/>
      </rPr>
      <t>銷項稅額</t>
    </r>
  </si>
  <si>
    <r>
      <t>3.</t>
    </r>
    <r>
      <rPr>
        <b/>
        <sz val="12"/>
        <color theme="1"/>
        <rFont val="微軟正黑體"/>
        <family val="2"/>
        <charset val="136"/>
      </rPr>
      <t>備標專案計價</t>
    </r>
    <phoneticPr fontId="108" type="noConversion"/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</si>
  <si>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</si>
  <si>
    <r>
      <rPr>
        <sz val="12"/>
        <rFont val="微軟正黑體"/>
        <family val="2"/>
        <charset val="136"/>
      </rPr>
      <t>勞務費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收回投標費</t>
    </r>
  </si>
  <si>
    <r>
      <t>4.</t>
    </r>
    <r>
      <rPr>
        <b/>
        <sz val="12"/>
        <color theme="1"/>
        <rFont val="微軟正黑體"/>
        <family val="2"/>
        <charset val="136"/>
      </rPr>
      <t>人事</t>
    </r>
    <r>
      <rPr>
        <b/>
        <sz val="12"/>
        <color theme="1"/>
        <rFont val="Calibri"/>
        <family val="2"/>
      </rPr>
      <t>&amp;</t>
    </r>
    <r>
      <rPr>
        <b/>
        <sz val="12"/>
        <color theme="1"/>
        <rFont val="微軟正黑體"/>
        <family val="2"/>
        <charset val="136"/>
      </rPr>
      <t>電腦軟體分攤</t>
    </r>
    <phoneticPr fontId="108" type="noConversion"/>
  </si>
  <si>
    <r>
      <rPr>
        <sz val="12"/>
        <rFont val="微軟正黑體"/>
        <family val="2"/>
        <charset val="136"/>
      </rPr>
      <t>承攬工程成本</t>
    </r>
    <phoneticPr fontId="145" type="noConversion"/>
  </si>
  <si>
    <r>
      <rPr>
        <sz val="12"/>
        <rFont val="微軟正黑體"/>
        <family val="2"/>
        <charset val="136"/>
      </rPr>
      <t>人事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電腦</t>
    </r>
    <phoneticPr fontId="145" type="noConversion"/>
  </si>
  <si>
    <r>
      <rPr>
        <sz val="12"/>
        <rFont val="微軟正黑體"/>
        <family val="2"/>
        <charset val="136"/>
      </rPr>
      <t>雲端租賃</t>
    </r>
    <phoneticPr fontId="145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</si>
  <si>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  <phoneticPr fontId="145" type="noConversion"/>
  </si>
  <si>
    <r>
      <rPr>
        <sz val="12"/>
        <rFont val="微軟正黑體"/>
        <family val="2"/>
        <charset val="136"/>
      </rPr>
      <t>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分攤</t>
    </r>
    <phoneticPr fontId="145" type="noConversion"/>
  </si>
  <si>
    <r>
      <rPr>
        <sz val="12"/>
        <rFont val="微軟正黑體"/>
        <family val="2"/>
        <charset val="136"/>
      </rPr>
      <t>承攬工程成本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其他</t>
    </r>
    <phoneticPr fontId="145" type="noConversion"/>
  </si>
  <si>
    <r>
      <rPr>
        <sz val="12"/>
        <rFont val="微軟正黑體"/>
        <family val="2"/>
        <charset val="136"/>
      </rPr>
      <t>委外成本</t>
    </r>
    <phoneticPr fontId="145" type="noConversion"/>
  </si>
  <si>
    <r>
      <rPr>
        <sz val="12"/>
        <rFont val="微軟正黑體"/>
        <family val="2"/>
        <charset val="136"/>
      </rPr>
      <t>財務成本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印花</t>
    </r>
    <phoneticPr fontId="104" type="noConversion"/>
  </si>
  <si>
    <r>
      <rPr>
        <sz val="12"/>
        <rFont val="微軟正黑體"/>
        <family val="2"/>
        <charset val="136"/>
      </rPr>
      <t>進項稅額</t>
    </r>
    <phoneticPr fontId="145" type="noConversion"/>
  </si>
  <si>
    <r>
      <t xml:space="preserve">2170 </t>
    </r>
    <r>
      <rPr>
        <sz val="12"/>
        <rFont val="微軟正黑體"/>
        <family val="2"/>
        <charset val="136"/>
      </rPr>
      <t>應付帳款</t>
    </r>
  </si>
  <si>
    <r>
      <rPr>
        <sz val="12"/>
        <rFont val="微軟正黑體"/>
        <family val="2"/>
        <charset val="136"/>
      </rPr>
      <t>應付帳款</t>
    </r>
    <phoneticPr fontId="145" type="noConversion"/>
  </si>
  <si>
    <r>
      <rPr>
        <sz val="12"/>
        <rFont val="微軟正黑體"/>
        <family val="2"/>
        <charset val="136"/>
      </rPr>
      <t>收入</t>
    </r>
    <phoneticPr fontId="145" type="noConversion"/>
  </si>
  <si>
    <r>
      <rPr>
        <sz val="12"/>
        <rFont val="微軟正黑體"/>
        <family val="2"/>
        <charset val="136"/>
      </rPr>
      <t>成本</t>
    </r>
    <phoneticPr fontId="145" type="noConversion"/>
  </si>
  <si>
    <r>
      <rPr>
        <sz val="12"/>
        <rFont val="微軟正黑體"/>
        <family val="2"/>
        <charset val="136"/>
      </rPr>
      <t>費用</t>
    </r>
    <phoneticPr fontId="145" type="noConversion"/>
  </si>
  <si>
    <r>
      <rPr>
        <sz val="12"/>
        <rFont val="細明體"/>
        <family val="3"/>
        <charset val="136"/>
      </rPr>
      <t>資產合計</t>
    </r>
    <phoneticPr fontId="104" type="noConversion"/>
  </si>
  <si>
    <r>
      <rPr>
        <sz val="12"/>
        <rFont val="細明體"/>
        <family val="3"/>
        <charset val="136"/>
      </rPr>
      <t>負債權益合計</t>
    </r>
    <phoneticPr fontId="104" type="noConversion"/>
  </si>
  <si>
    <r>
      <t>5.</t>
    </r>
    <r>
      <rPr>
        <b/>
        <sz val="12"/>
        <color theme="1"/>
        <rFont val="微軟正黑體"/>
        <family val="2"/>
        <charset val="136"/>
      </rPr>
      <t>管理費用</t>
    </r>
    <r>
      <rPr>
        <b/>
        <sz val="12"/>
        <color theme="1"/>
        <rFont val="Calibri"/>
        <family val="2"/>
      </rPr>
      <t>-from</t>
    </r>
    <r>
      <rPr>
        <b/>
        <sz val="12"/>
        <color theme="1"/>
        <rFont val="微軟正黑體"/>
        <family val="2"/>
        <charset val="136"/>
      </rPr>
      <t>怡如</t>
    </r>
    <phoneticPr fontId="108" type="noConversion"/>
  </si>
  <si>
    <r>
      <rPr>
        <sz val="12"/>
        <rFont val="微軟正黑體"/>
        <family val="2"/>
        <charset val="136"/>
      </rPr>
      <t>管理費用</t>
    </r>
  </si>
  <si>
    <r>
      <rPr>
        <sz val="12"/>
        <rFont val="微軟正黑體"/>
        <family val="2"/>
        <charset val="136"/>
      </rPr>
      <t>進項稅額</t>
    </r>
  </si>
  <si>
    <r>
      <rPr>
        <sz val="12"/>
        <rFont val="微軟正黑體"/>
        <family val="2"/>
        <charset val="136"/>
      </rPr>
      <t>應付費用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</si>
  <si>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工程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</si>
  <si>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-IFRS(</t>
    </r>
    <r>
      <rPr>
        <sz val="12"/>
        <rFont val="微軟正黑體"/>
        <family val="2"/>
        <charset val="136"/>
      </rPr>
      <t>部門</t>
    </r>
    <r>
      <rPr>
        <sz val="12"/>
        <rFont val="Calibri"/>
        <family val="2"/>
      </rPr>
      <t>)</t>
    </r>
  </si>
  <si>
    <r>
      <t xml:space="preserve">2280 </t>
    </r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</si>
  <si>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-IFRS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</si>
  <si>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</si>
  <si>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-IFRS</t>
    </r>
  </si>
  <si>
    <r>
      <t xml:space="preserve">1670 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</si>
  <si>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運輸設備</t>
    </r>
  </si>
  <si>
    <r>
      <t xml:space="preserve">1757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</si>
  <si>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房租</t>
    </r>
  </si>
  <si>
    <r>
      <t xml:space="preserve">1658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電腦通訊設備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</si>
  <si>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電腦</t>
    </r>
  </si>
  <si>
    <r>
      <t xml:space="preserve">1673 </t>
    </r>
    <r>
      <rPr>
        <sz val="12"/>
        <rFont val="微軟正黑體"/>
        <family val="2"/>
        <charset val="136"/>
      </rPr>
      <t>累折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運輸設備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</si>
  <si>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汽車</t>
    </r>
  </si>
  <si>
    <r>
      <t xml:space="preserve">2640 </t>
    </r>
    <r>
      <rPr>
        <sz val="12"/>
        <rFont val="微軟正黑體"/>
        <family val="2"/>
        <charset val="136"/>
      </rPr>
      <t>淨確定福利負債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非流動</t>
    </r>
  </si>
  <si>
    <r>
      <rPr>
        <sz val="12"/>
        <rFont val="微軟正黑體"/>
        <family val="2"/>
        <charset val="136"/>
      </rPr>
      <t>應付退休金負債</t>
    </r>
  </si>
  <si>
    <r>
      <rPr>
        <sz val="12"/>
        <rFont val="微軟正黑體"/>
        <family val="2"/>
        <charset val="136"/>
      </rPr>
      <t>應付費用</t>
    </r>
    <r>
      <rPr>
        <sz val="12"/>
        <rFont val="Calibri"/>
        <family val="2"/>
      </rPr>
      <t>-pension</t>
    </r>
  </si>
  <si>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-HQ</t>
    </r>
    <r>
      <rPr>
        <sz val="12"/>
        <rFont val="微軟正黑體"/>
        <family val="2"/>
        <charset val="136"/>
      </rPr>
      <t>費用分攤</t>
    </r>
  </si>
  <si>
    <r>
      <rPr>
        <sz val="12"/>
        <rFont val="微軟正黑體"/>
        <family val="2"/>
        <charset val="136"/>
      </rPr>
      <t>台灣事業處</t>
    </r>
  </si>
  <si>
    <r>
      <rPr>
        <sz val="12"/>
        <rFont val="微軟正黑體"/>
        <family val="2"/>
        <charset val="136"/>
      </rPr>
      <t>資金往來</t>
    </r>
    <r>
      <rPr>
        <sz val="12"/>
        <rFont val="Calibri"/>
        <family val="2"/>
      </rPr>
      <t>-Trading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</si>
  <si>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楊梅使用費</t>
    </r>
  </si>
  <si>
    <r>
      <rPr>
        <sz val="12"/>
        <rFont val="微軟正黑體"/>
        <family val="2"/>
        <charset val="136"/>
      </rPr>
      <t>應付帳款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</si>
  <si>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進項稅額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調整楊梅</t>
    </r>
  </si>
  <si>
    <r>
      <rPr>
        <sz val="12"/>
        <rFont val="微軟正黑體"/>
        <family val="2"/>
        <charset val="136"/>
      </rPr>
      <t>利息收入</t>
    </r>
  </si>
  <si>
    <r>
      <t xml:space="preserve">1200 </t>
    </r>
    <r>
      <rPr>
        <sz val="12"/>
        <rFont val="微軟正黑體"/>
        <family val="2"/>
        <charset val="136"/>
      </rPr>
      <t>其他應收款</t>
    </r>
  </si>
  <si>
    <r>
      <rPr>
        <sz val="12"/>
        <rFont val="微軟正黑體"/>
        <family val="2"/>
        <charset val="136"/>
      </rPr>
      <t>應收收益</t>
    </r>
  </si>
  <si>
    <r>
      <t>108/ HQ</t>
    </r>
    <r>
      <rPr>
        <sz val="12"/>
        <rFont val="微軟正黑體"/>
        <family val="2"/>
        <charset val="136"/>
      </rPr>
      <t>資金往來利息收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</si>
  <si>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營業外收入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支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</si>
  <si>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所得稅</t>
    </r>
  </si>
  <si>
    <r>
      <t>6. IFRS 16 (2025</t>
    </r>
    <r>
      <rPr>
        <b/>
        <sz val="12"/>
        <color theme="1"/>
        <rFont val="微軟正黑體"/>
        <family val="2"/>
        <charset val="136"/>
      </rPr>
      <t>年請加入</t>
    </r>
    <r>
      <rPr>
        <b/>
        <sz val="12"/>
        <color theme="1"/>
        <rFont val="Calibri"/>
        <family val="2"/>
      </rPr>
      <t>)</t>
    </r>
    <phoneticPr fontId="145" type="noConversion"/>
  </si>
  <si>
    <r>
      <t>BIMB01</t>
    </r>
    <r>
      <rPr>
        <sz val="12"/>
        <rFont val="微軟正黑體"/>
        <family val="2"/>
        <charset val="136"/>
      </rPr>
      <t>台中辦公室租賃</t>
    </r>
    <phoneticPr fontId="104" type="noConversion"/>
  </si>
  <si>
    <r>
      <rPr>
        <sz val="12"/>
        <rFont val="微軟正黑體"/>
        <family val="2"/>
        <charset val="136"/>
      </rPr>
      <t>租賃負債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流動</t>
    </r>
  </si>
  <si>
    <r>
      <rPr>
        <sz val="12"/>
        <rFont val="微軟正黑體"/>
        <family val="2"/>
        <charset val="136"/>
      </rPr>
      <t>預付費用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預付租金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已</t>
    </r>
  </si>
  <si>
    <r>
      <rPr>
        <sz val="12"/>
        <rFont val="微軟正黑體"/>
        <family val="2"/>
        <charset val="136"/>
      </rPr>
      <t>程股份有限公司</t>
    </r>
  </si>
  <si>
    <r>
      <rPr>
        <sz val="12"/>
        <rFont val="微軟正黑體"/>
        <family val="2"/>
        <charset val="136"/>
      </rPr>
      <t>辦公室費用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</si>
  <si>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rPr>
        <sz val="12"/>
        <rFont val="微軟正黑體"/>
        <family val="2"/>
        <charset val="136"/>
      </rPr>
      <t>累計折舊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使用權資產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房屋及建築</t>
    </r>
  </si>
  <si>
    <r>
      <rPr>
        <sz val="12"/>
        <rFont val="微軟正黑體"/>
        <family val="2"/>
        <charset val="136"/>
      </rPr>
      <t>利息費用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租賃負債</t>
    </r>
  </si>
  <si>
    <r>
      <t>2026</t>
    </r>
    <r>
      <rPr>
        <sz val="12"/>
        <color theme="1"/>
        <rFont val="微軟正黑體"/>
        <family val="2"/>
        <charset val="136"/>
      </rPr>
      <t>年預測及</t>
    </r>
    <r>
      <rPr>
        <sz val="12"/>
        <color theme="1"/>
        <rFont val="Calibri"/>
        <family val="2"/>
      </rPr>
      <t>2027</t>
    </r>
    <r>
      <rPr>
        <sz val="12"/>
        <color theme="1"/>
        <rFont val="微軟正黑體"/>
        <family val="2"/>
        <charset val="136"/>
      </rPr>
      <t>預算分年分月彙總表</t>
    </r>
    <phoneticPr fontId="104" type="noConversion"/>
  </si>
  <si>
    <r>
      <rPr>
        <sz val="12"/>
        <color theme="1"/>
        <rFont val="微軟正黑體"/>
        <family val="2"/>
        <charset val="136"/>
      </rPr>
      <t>公式不同</t>
    </r>
  </si>
  <si>
    <r>
      <rPr>
        <sz val="12"/>
        <color theme="1"/>
        <rFont val="微軟正黑體"/>
        <family val="2"/>
        <charset val="136"/>
      </rPr>
      <t>做管報沒</t>
    </r>
    <r>
      <rPr>
        <sz val="12"/>
        <color theme="1"/>
        <rFont val="Calibri"/>
        <family val="2"/>
      </rPr>
      <t>show</t>
    </r>
    <r>
      <rPr>
        <sz val="12"/>
        <color theme="1"/>
        <rFont val="微軟正黑體"/>
        <family val="2"/>
        <charset val="136"/>
      </rPr>
      <t>出，預算加上</t>
    </r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</si>
  <si>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+1</t>
    </r>
    <phoneticPr fontId="104" type="noConversion"/>
  </si>
  <si>
    <r>
      <rPr>
        <sz val="12"/>
        <color theme="1"/>
        <rFont val="微軟正黑體"/>
        <family val="2"/>
        <charset val="136"/>
      </rPr>
      <t>單位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元</t>
    </r>
  </si>
  <si>
    <r>
      <rPr>
        <sz val="12"/>
        <color theme="1"/>
        <rFont val="微軟正黑體"/>
        <family val="2"/>
        <charset val="136"/>
      </rPr>
      <t>公式不同處</t>
    </r>
    <phoneticPr fontId="104" type="noConversion"/>
  </si>
  <si>
    <r>
      <rPr>
        <sz val="12"/>
        <color rgb="FF00B050"/>
        <rFont val="微軟正黑體"/>
        <family val="2"/>
        <charset val="136"/>
      </rPr>
      <t>外部</t>
    </r>
    <r>
      <rPr>
        <sz val="12"/>
        <color rgb="FF00B050"/>
        <rFont val="Calibri"/>
        <family val="2"/>
      </rPr>
      <t>+2</t>
    </r>
    <phoneticPr fontId="104" type="noConversion"/>
  </si>
  <si>
    <r>
      <t>V</t>
    </r>
    <r>
      <rPr>
        <sz val="12"/>
        <color rgb="FFFF0000"/>
        <rFont val="微軟正黑體"/>
        <family val="2"/>
        <charset val="136"/>
      </rPr>
      <t>與核定預算相符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</si>
  <si>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</t>
    </r>
  </si>
  <si>
    <r>
      <t>2026</t>
    </r>
    <r>
      <rPr>
        <b/>
        <sz val="12"/>
        <rFont val="微軟正黑體"/>
        <family val="2"/>
        <charset val="136"/>
      </rPr>
      <t>年預測收入</t>
    </r>
    <phoneticPr fontId="104" type="noConversion"/>
  </si>
  <si>
    <r>
      <t>2027</t>
    </r>
    <r>
      <rPr>
        <b/>
        <sz val="12"/>
        <rFont val="微軟正黑體"/>
        <family val="2"/>
        <charset val="136"/>
      </rPr>
      <t>預算</t>
    </r>
  </si>
  <si>
    <r>
      <t>2032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</si>
  <si>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t>2026</t>
    </r>
    <r>
      <rPr>
        <sz val="16"/>
        <color theme="1"/>
        <rFont val="微軟正黑體"/>
        <family val="2"/>
        <charset val="136"/>
      </rPr>
      <t>年預算</t>
    </r>
    <phoneticPr fontId="104" type="noConversion"/>
  </si>
  <si>
    <r>
      <t>2026</t>
    </r>
    <r>
      <rPr>
        <sz val="16"/>
        <color theme="1"/>
        <rFont val="微軟正黑體"/>
        <family val="2"/>
        <charset val="136"/>
      </rPr>
      <t>預測與預算比較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</si>
  <si>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實際收入</t>
    </r>
    <phoneticPr fontId="104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</si>
  <si>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</si>
  <si>
    <r>
      <t xml:space="preserve">2026/1-12
FCST </t>
    </r>
    <r>
      <rPr>
        <b/>
        <sz val="12"/>
        <rFont val="微軟正黑體"/>
        <family val="2"/>
        <charset val="136"/>
      </rPr>
      <t>預測</t>
    </r>
  </si>
  <si>
    <r>
      <t>1</t>
    </r>
    <r>
      <rPr>
        <sz val="12"/>
        <color theme="1"/>
        <rFont val="微軟正黑體"/>
        <family val="2"/>
        <charset val="136"/>
      </rPr>
      <t>月</t>
    </r>
    <phoneticPr fontId="104" type="noConversion"/>
  </si>
  <si>
    <r>
      <t>2</t>
    </r>
    <r>
      <rPr>
        <sz val="12"/>
        <color theme="1"/>
        <rFont val="微軟正黑體"/>
        <family val="2"/>
        <charset val="136"/>
      </rPr>
      <t>月</t>
    </r>
  </si>
  <si>
    <r>
      <t>3</t>
    </r>
    <r>
      <rPr>
        <sz val="12"/>
        <color theme="1"/>
        <rFont val="微軟正黑體"/>
        <family val="2"/>
        <charset val="136"/>
      </rPr>
      <t>月</t>
    </r>
  </si>
  <si>
    <r>
      <t>4</t>
    </r>
    <r>
      <rPr>
        <sz val="12"/>
        <color theme="1"/>
        <rFont val="微軟正黑體"/>
        <family val="2"/>
        <charset val="136"/>
      </rPr>
      <t>月</t>
    </r>
  </si>
  <si>
    <r>
      <t>5</t>
    </r>
    <r>
      <rPr>
        <sz val="12"/>
        <color theme="1"/>
        <rFont val="微軟正黑體"/>
        <family val="2"/>
        <charset val="136"/>
      </rPr>
      <t>月</t>
    </r>
  </si>
  <si>
    <r>
      <t>6</t>
    </r>
    <r>
      <rPr>
        <sz val="12"/>
        <color theme="1"/>
        <rFont val="微軟正黑體"/>
        <family val="2"/>
        <charset val="136"/>
      </rPr>
      <t>月</t>
    </r>
  </si>
  <si>
    <r>
      <t>7</t>
    </r>
    <r>
      <rPr>
        <sz val="12"/>
        <color theme="1"/>
        <rFont val="微軟正黑體"/>
        <family val="2"/>
        <charset val="136"/>
      </rPr>
      <t>月</t>
    </r>
  </si>
  <si>
    <r>
      <t>8</t>
    </r>
    <r>
      <rPr>
        <sz val="12"/>
        <color theme="1"/>
        <rFont val="微軟正黑體"/>
        <family val="2"/>
        <charset val="136"/>
      </rPr>
      <t>月</t>
    </r>
  </si>
  <si>
    <r>
      <t>9</t>
    </r>
    <r>
      <rPr>
        <sz val="12"/>
        <color theme="1"/>
        <rFont val="微軟正黑體"/>
        <family val="2"/>
        <charset val="136"/>
      </rPr>
      <t>月</t>
    </r>
  </si>
  <si>
    <r>
      <t>10</t>
    </r>
    <r>
      <rPr>
        <sz val="12"/>
        <color theme="1"/>
        <rFont val="微軟正黑體"/>
        <family val="2"/>
        <charset val="136"/>
      </rPr>
      <t>月</t>
    </r>
  </si>
  <si>
    <r>
      <t>11</t>
    </r>
    <r>
      <rPr>
        <sz val="12"/>
        <color theme="1"/>
        <rFont val="微軟正黑體"/>
        <family val="2"/>
        <charset val="136"/>
      </rPr>
      <t>月</t>
    </r>
  </si>
  <si>
    <r>
      <t>12</t>
    </r>
    <r>
      <rPr>
        <sz val="12"/>
        <color theme="1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</si>
  <si>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  <phoneticPr fontId="104" type="noConversion"/>
  </si>
  <si>
    <r>
      <t xml:space="preserve">2027/1-12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</si>
  <si>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2027/12</t>
    </r>
    <phoneticPr fontId="104" type="noConversion"/>
  </si>
  <si>
    <r>
      <rPr>
        <b/>
        <sz val="12"/>
        <rFont val="微軟正黑體"/>
        <family val="2"/>
        <charset val="136"/>
      </rPr>
      <t>工作承攬
內部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外部</t>
    </r>
    <phoneticPr fontId="104" type="noConversion"/>
  </si>
  <si>
    <r>
      <rPr>
        <b/>
        <sz val="12"/>
        <rFont val="微軟正黑體"/>
        <family val="2"/>
        <charset val="136"/>
      </rPr>
      <t>實際收入</t>
    </r>
    <phoneticPr fontId="145" type="noConversion"/>
  </si>
  <si>
    <r>
      <rPr>
        <sz val="12"/>
        <color rgb="FF0000FF"/>
        <rFont val="微軟正黑體"/>
        <family val="2"/>
        <charset val="136"/>
      </rPr>
      <t>實際</t>
    </r>
    <phoneticPr fontId="104" type="noConversion"/>
  </si>
  <si>
    <r>
      <rPr>
        <sz val="12"/>
        <rFont val="微軟正黑體"/>
        <family val="2"/>
        <charset val="136"/>
      </rPr>
      <t>預測</t>
    </r>
    <phoneticPr fontId="104" type="noConversion"/>
  </si>
  <si>
    <r>
      <rPr>
        <sz val="12"/>
        <rFont val="微軟正黑體"/>
        <family val="2"/>
        <charset val="136"/>
      </rPr>
      <t>預算收入</t>
    </r>
  </si>
  <si>
    <r>
      <rPr>
        <b/>
        <sz val="12"/>
        <rFont val="微軟正黑體"/>
        <family val="2"/>
        <charset val="136"/>
      </rPr>
      <t>預測收入</t>
    </r>
    <phoneticPr fontId="104" type="noConversion"/>
  </si>
  <si>
    <r>
      <rPr>
        <sz val="12"/>
        <rFont val="微軟正黑體"/>
        <family val="2"/>
        <charset val="136"/>
      </rPr>
      <t>有</t>
    </r>
    <phoneticPr fontId="104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</si>
  <si>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</si>
  <si>
    <r>
      <rPr>
        <sz val="12"/>
        <color rgb="FF00B050"/>
        <rFont val="微軟正黑體"/>
        <family val="2"/>
        <charset val="136"/>
      </rPr>
      <t>有</t>
    </r>
    <phoneticPr fontId="104" type="noConversion"/>
  </si>
  <si>
    <r>
      <rPr>
        <sz val="12"/>
        <color theme="1"/>
        <rFont val="微軟正黑體"/>
        <family val="2"/>
        <charset val="136"/>
      </rPr>
      <t>有</t>
    </r>
    <phoneticPr fontId="104" type="noConversion"/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</si>
  <si>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聯發科機電</t>
    </r>
    <phoneticPr fontId="108" type="noConversion"/>
  </si>
  <si>
    <r>
      <rPr>
        <sz val="12"/>
        <color rgb="FF0000FF"/>
        <rFont val="微軟正黑體"/>
        <family val="2"/>
        <charset val="136"/>
      </rPr>
      <t>有</t>
    </r>
    <phoneticPr fontId="104" type="noConversion"/>
  </si>
  <si>
    <r>
      <rPr>
        <sz val="12"/>
        <rFont val="微軟正黑體"/>
        <family val="2"/>
        <charset val="136"/>
      </rPr>
      <t>內無</t>
    </r>
  </si>
  <si>
    <r>
      <rPr>
        <sz val="12"/>
        <rFont val="微軟正黑體"/>
        <family val="2"/>
        <charset val="136"/>
      </rPr>
      <t>無</t>
    </r>
    <phoneticPr fontId="104" type="noConversion"/>
  </si>
  <si>
    <r>
      <rPr>
        <sz val="12"/>
        <color rgb="FF00B050"/>
        <rFont val="微軟正黑體"/>
        <family val="2"/>
        <charset val="136"/>
      </rPr>
      <t>無</t>
    </r>
    <phoneticPr fontId="104" type="noConversion"/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</si>
  <si>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土木機電</t>
    </r>
  </si>
  <si>
    <r>
      <rPr>
        <sz val="12"/>
        <color rgb="FF7030A0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5" type="noConversion"/>
  </si>
  <si>
    <r>
      <t>BIM-</t>
    </r>
    <r>
      <rPr>
        <sz val="12"/>
        <color rgb="FF7030A0"/>
        <rFont val="微軟正黑體"/>
        <family val="2"/>
        <charset val="136"/>
      </rPr>
      <t>備標</t>
    </r>
    <phoneticPr fontId="104" type="noConversion"/>
  </si>
  <si>
    <r>
      <rPr>
        <sz val="12"/>
        <color rgb="FF7030A0"/>
        <rFont val="微軟正黑體"/>
        <family val="2"/>
        <charset val="136"/>
      </rPr>
      <t>無</t>
    </r>
    <phoneticPr fontId="104" type="noConversion"/>
  </si>
  <si>
    <r>
      <rPr>
        <sz val="12"/>
        <color rgb="FF0000FF"/>
        <rFont val="微軟正黑體"/>
        <family val="2"/>
        <charset val="136"/>
      </rPr>
      <t>新取得</t>
    </r>
    <r>
      <rPr>
        <sz val="12"/>
        <color rgb="FF0000FF"/>
        <rFont val="Calibri"/>
        <family val="2"/>
      </rPr>
      <t>BIM</t>
    </r>
    <r>
      <rPr>
        <sz val="12"/>
        <color rgb="FF0000FF"/>
        <rFont val="微軟正黑體"/>
        <family val="2"/>
        <charset val="136"/>
      </rPr>
      <t>土木機電</t>
    </r>
    <r>
      <rPr>
        <sz val="12"/>
        <color rgb="FF0000FF"/>
        <rFont val="Calibri"/>
        <family val="2"/>
      </rPr>
      <t>-27</t>
    </r>
    <r>
      <rPr>
        <sz val="12"/>
        <color rgb="FF0000FF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</si>
  <si>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內部</t>
    </r>
  </si>
  <si>
    <r>
      <rPr>
        <sz val="12"/>
        <color theme="0" tint="-0.34998626667073579"/>
        <rFont val="微軟正黑體"/>
        <family val="2"/>
        <charset val="136"/>
      </rPr>
      <t>有</t>
    </r>
    <phoneticPr fontId="104" type="noConversion"/>
  </si>
  <si>
    <r>
      <t>BIM-</t>
    </r>
    <r>
      <rPr>
        <sz val="12"/>
        <color rgb="FF00B050"/>
        <rFont val="微軟正黑體"/>
        <family val="2"/>
        <charset val="136"/>
      </rPr>
      <t>外部</t>
    </r>
    <phoneticPr fontId="104" type="noConversion"/>
  </si>
  <si>
    <r>
      <rPr>
        <sz val="12"/>
        <rFont val="微軟正黑體"/>
        <family val="2"/>
        <charset val="136"/>
      </rPr>
      <t>雜項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建築</t>
    </r>
  </si>
  <si>
    <r>
      <rPr>
        <sz val="12"/>
        <color rgb="FF7030A0"/>
        <rFont val="微軟正黑體"/>
        <family val="2"/>
        <charset val="136"/>
      </rPr>
      <t>備標</t>
    </r>
    <r>
      <rPr>
        <sz val="12"/>
        <color rgb="FF7030A0"/>
        <rFont val="Calibri"/>
        <family val="2"/>
      </rPr>
      <t>BIM</t>
    </r>
    <r>
      <rPr>
        <sz val="12"/>
        <color rgb="FF7030A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</si>
  <si>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調整</t>
    </r>
    <phoneticPr fontId="104" type="noConversion"/>
  </si>
  <si>
    <r>
      <t>02</t>
    </r>
    <r>
      <rPr>
        <sz val="12"/>
        <color theme="1"/>
        <rFont val="微軟正黑體"/>
        <family val="2"/>
        <charset val="136"/>
      </rPr>
      <t>分月預算</t>
    </r>
    <r>
      <rPr>
        <sz val="12"/>
        <color theme="1"/>
        <rFont val="Calibri"/>
        <family val="2"/>
      </rPr>
      <t>Backlog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</si>
  <si>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</si>
  <si>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年預測成本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</si>
  <si>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2025/12         </t>
    </r>
    <r>
      <rPr>
        <b/>
        <sz val="12"/>
        <rFont val="微軟正黑體"/>
        <family val="2"/>
        <charset val="136"/>
      </rPr>
      <t>實際成本</t>
    </r>
    <phoneticPr fontId="104" type="noConversion"/>
  </si>
  <si>
    <r>
      <t xml:space="preserve">2026/1-12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</si>
  <si>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
FCST 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</si>
  <si>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2026/12</t>
    </r>
  </si>
  <si>
    <r>
      <t>2031</t>
    </r>
    <r>
      <rPr>
        <b/>
        <sz val="12"/>
        <rFont val="微軟正黑體"/>
        <family val="2"/>
        <charset val="136"/>
      </rPr>
      <t>以後</t>
    </r>
    <phoneticPr fontId="104" type="noConversion"/>
  </si>
  <si>
    <r>
      <rPr>
        <b/>
        <sz val="12"/>
        <rFont val="微軟正黑體"/>
        <family val="2"/>
        <charset val="136"/>
      </rPr>
      <t>投入成本</t>
    </r>
    <phoneticPr fontId="145" type="noConversion"/>
  </si>
  <si>
    <r>
      <rPr>
        <b/>
        <sz val="12"/>
        <rFont val="微軟正黑體"/>
        <family val="2"/>
        <charset val="136"/>
      </rPr>
      <t>實際成本</t>
    </r>
    <phoneticPr fontId="145" type="noConversion"/>
  </si>
  <si>
    <r>
      <rPr>
        <b/>
        <sz val="12"/>
        <rFont val="微軟正黑體"/>
        <family val="2"/>
        <charset val="136"/>
      </rPr>
      <t>預測成本</t>
    </r>
    <phoneticPr fontId="108" type="noConversion"/>
  </si>
  <si>
    <r>
      <rPr>
        <sz val="12"/>
        <rFont val="微軟正黑體"/>
        <family val="2"/>
        <charset val="136"/>
      </rPr>
      <t>預算成本</t>
    </r>
  </si>
  <si>
    <r>
      <rPr>
        <b/>
        <sz val="12"/>
        <rFont val="微軟正黑體"/>
        <family val="2"/>
        <charset val="136"/>
      </rPr>
      <t>預測成本</t>
    </r>
    <phoneticPr fontId="104" type="noConversion"/>
  </si>
  <si>
    <r>
      <rPr>
        <b/>
        <sz val="12"/>
        <rFont val="微軟正黑體"/>
        <family val="2"/>
        <charset val="136"/>
      </rPr>
      <t>成本</t>
    </r>
    <phoneticPr fontId="104" type="noConversion"/>
  </si>
  <si>
    <r>
      <rPr>
        <sz val="12"/>
        <color rgb="FFFF0000"/>
        <rFont val="微軟正黑體"/>
        <family val="2"/>
        <charset val="136"/>
      </rPr>
      <t>內部</t>
    </r>
  </si>
  <si>
    <r>
      <rPr>
        <sz val="12"/>
        <color rgb="FFFF0000"/>
        <rFont val="微軟正黑體"/>
        <family val="2"/>
        <charset val="136"/>
      </rPr>
      <t>有</t>
    </r>
    <phoneticPr fontId="104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</si>
  <si>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機電</t>
    </r>
  </si>
  <si>
    <r>
      <t>CF670 BIM</t>
    </r>
    <r>
      <rPr>
        <sz val="12"/>
        <color rgb="FF0000FF"/>
        <rFont val="微軟正黑體"/>
        <family val="2"/>
        <charset val="136"/>
      </rPr>
      <t>土木機電</t>
    </r>
    <phoneticPr fontId="108" type="noConversion"/>
  </si>
  <si>
    <r>
      <rPr>
        <sz val="12"/>
        <rFont val="微軟正黑體"/>
        <family val="2"/>
        <charset val="136"/>
      </rPr>
      <t>內部</t>
    </r>
    <r>
      <rPr>
        <sz val="10"/>
        <color rgb="FF7030A0"/>
        <rFont val="Calibri"/>
        <family val="2"/>
      </rPr>
      <t/>
    </r>
    <phoneticPr fontId="145" type="noConversion"/>
  </si>
  <si>
    <r>
      <rPr>
        <sz val="12"/>
        <color theme="0" tint="-0.499984740745262"/>
        <rFont val="微軟正黑體"/>
        <family val="2"/>
        <charset val="136"/>
      </rPr>
      <t>內部</t>
    </r>
  </si>
  <si>
    <r>
      <rPr>
        <sz val="12"/>
        <color theme="0" tint="-0.499984740745262"/>
        <rFont val="微軟正黑體"/>
        <family val="2"/>
        <charset val="136"/>
      </rPr>
      <t>有</t>
    </r>
    <phoneticPr fontId="104" type="noConversion"/>
  </si>
  <si>
    <r>
      <rPr>
        <sz val="12"/>
        <color rgb="FFFF0000"/>
        <rFont val="微軟正黑體"/>
        <family val="2"/>
        <charset val="136"/>
      </rPr>
      <t>富邦忠孝懷生</t>
    </r>
    <r>
      <rPr>
        <sz val="12"/>
        <color rgb="FFFF0000"/>
        <rFont val="Calibri"/>
        <family val="2"/>
      </rPr>
      <t>BIM</t>
    </r>
    <r>
      <rPr>
        <sz val="12"/>
        <color rgb="FFFF0000"/>
        <rFont val="微軟正黑體"/>
        <family val="2"/>
        <charset val="136"/>
      </rPr>
      <t>建築</t>
    </r>
  </si>
  <si>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</si>
  <si>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慶城福華</t>
    </r>
  </si>
  <si>
    <r>
      <rPr>
        <sz val="12"/>
        <rFont val="微軟正黑體"/>
        <family val="2"/>
        <charset val="136"/>
      </rPr>
      <t>台中新美齊</t>
    </r>
  </si>
  <si>
    <r>
      <rPr>
        <sz val="12"/>
        <color rgb="FF00B050"/>
        <rFont val="微軟正黑體"/>
        <family val="2"/>
        <charset val="136"/>
      </rPr>
      <t>晨禎片片山閑建築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</si>
  <si>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南機二區</t>
    </r>
    <r>
      <rPr>
        <sz val="12"/>
        <rFont val="Calibri"/>
        <family val="2"/>
      </rPr>
      <t>BIM</t>
    </r>
    <r>
      <rPr>
        <sz val="12"/>
        <rFont val="微軟正黑體"/>
        <family val="2"/>
        <charset val="136"/>
      </rPr>
      <t>服務</t>
    </r>
  </si>
  <si>
    <r>
      <rPr>
        <sz val="12"/>
        <rFont val="微軟正黑體"/>
        <family val="2"/>
        <charset val="136"/>
      </rPr>
      <t>璞真南港總部</t>
    </r>
  </si>
  <si>
    <r>
      <rPr>
        <sz val="12"/>
        <rFont val="微軟正黑體"/>
        <family val="2"/>
        <charset val="136"/>
      </rPr>
      <t>築源南港</t>
    </r>
    <phoneticPr fontId="108" type="noConversion"/>
  </si>
  <si>
    <r>
      <rPr>
        <sz val="12"/>
        <rFont val="微軟正黑體"/>
        <family val="2"/>
        <charset val="136"/>
      </rPr>
      <t>南港三重</t>
    </r>
    <phoneticPr fontId="108" type="noConversion"/>
  </si>
  <si>
    <r>
      <rPr>
        <sz val="12"/>
        <color rgb="FF0066FF"/>
        <rFont val="細明體"/>
        <family val="3"/>
        <charset val="136"/>
      </rPr>
      <t>樺輝永鑄</t>
    </r>
  </si>
  <si>
    <r>
      <rPr>
        <sz val="12"/>
        <color theme="1"/>
        <rFont val="微軟正黑體"/>
        <family val="2"/>
        <charset val="136"/>
      </rPr>
      <t>分析毛利分月較高專案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</si>
  <si>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</si>
  <si>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年預測毛利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</si>
  <si>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</si>
  <si>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2024/12         </t>
    </r>
    <r>
      <rPr>
        <b/>
        <sz val="12"/>
        <rFont val="微軟正黑體"/>
        <family val="2"/>
        <charset val="136"/>
      </rPr>
      <t>實際毛利</t>
    </r>
  </si>
  <si>
    <r>
      <t xml:space="preserve">2026/1-12    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</si>
  <si>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    FCST </t>
    </r>
    <r>
      <rPr>
        <b/>
        <sz val="12"/>
        <rFont val="微軟正黑體"/>
        <family val="2"/>
        <charset val="136"/>
      </rPr>
      <t>預測</t>
    </r>
    <phoneticPr fontId="104" type="noConversion"/>
  </si>
  <si>
    <r>
      <rPr>
        <b/>
        <sz val="12"/>
        <rFont val="微軟正黑體"/>
        <family val="2"/>
        <charset val="136"/>
      </rPr>
      <t>預算毛利</t>
    </r>
    <phoneticPr fontId="145" type="noConversion"/>
  </si>
  <si>
    <r>
      <rPr>
        <b/>
        <sz val="12"/>
        <rFont val="微軟正黑體"/>
        <family val="2"/>
        <charset val="136"/>
      </rPr>
      <t>實際毛利</t>
    </r>
    <phoneticPr fontId="145" type="noConversion"/>
  </si>
  <si>
    <r>
      <rPr>
        <b/>
        <sz val="12"/>
        <rFont val="微軟正黑體"/>
        <family val="2"/>
        <charset val="136"/>
      </rPr>
      <t>預測毛利</t>
    </r>
    <phoneticPr fontId="145" type="noConversion"/>
  </si>
  <si>
    <r>
      <rPr>
        <b/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</si>
  <si>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預算毛利</t>
    </r>
  </si>
  <si>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外部</t>
    </r>
    <phoneticPr fontId="108" type="noConversion"/>
  </si>
  <si>
    <r>
      <rPr>
        <b/>
        <sz val="12"/>
        <rFont val="微軟正黑體"/>
        <family val="2"/>
        <charset val="136"/>
      </rPr>
      <t>毛利</t>
    </r>
  </si>
  <si>
    <t>BIM27</t>
    <phoneticPr fontId="104" type="noConversion"/>
  </si>
  <si>
    <r>
      <rPr>
        <sz val="12"/>
        <color theme="1"/>
        <rFont val="微軟正黑體"/>
        <family val="2"/>
        <charset val="136"/>
      </rPr>
      <t>富邦忠孝懷生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建築</t>
    </r>
  </si>
  <si>
    <r>
      <rPr>
        <sz val="12"/>
        <color theme="1"/>
        <rFont val="微軟正黑體"/>
        <family val="2"/>
        <charset val="136"/>
      </rPr>
      <t>柏鴻北士科</t>
    </r>
    <r>
      <rPr>
        <sz val="12"/>
        <color theme="1"/>
        <rFont val="Calibri"/>
        <family val="2"/>
      </rPr>
      <t xml:space="preserve"> C/9100A-22A</t>
    </r>
  </si>
  <si>
    <r>
      <rPr>
        <sz val="12"/>
        <color theme="1"/>
        <rFont val="微軟正黑體"/>
        <family val="2"/>
        <charset val="136"/>
      </rPr>
      <t>管理費用</t>
    </r>
    <phoneticPr fontId="104" type="noConversion"/>
  </si>
  <si>
    <r>
      <rPr>
        <b/>
        <sz val="12"/>
        <color theme="5" tint="-0.249977111117893"/>
        <rFont val="微軟正黑體"/>
        <family val="2"/>
        <charset val="136"/>
      </rPr>
      <t>管理費用</t>
    </r>
    <r>
      <rPr>
        <b/>
        <sz val="12"/>
        <color theme="5" tint="-0.249977111117893"/>
        <rFont val="Calibri"/>
        <family val="2"/>
      </rPr>
      <t>_No R&amp;D</t>
    </r>
  </si>
  <si>
    <r>
      <rPr>
        <b/>
        <sz val="12"/>
        <color theme="1"/>
        <rFont val="微軟正黑體"/>
        <family val="2"/>
        <charset val="136"/>
      </rPr>
      <t>費用分攤</t>
    </r>
  </si>
  <si>
    <r>
      <rPr>
        <b/>
        <sz val="12"/>
        <color theme="1"/>
        <rFont val="微軟正黑體"/>
        <family val="2"/>
        <charset val="136"/>
      </rPr>
      <t>費用</t>
    </r>
    <r>
      <rPr>
        <b/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</si>
  <si>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</si>
  <si>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  <phoneticPr fontId="104" type="noConversion"/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</si>
  <si>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人事</t>
    </r>
    <r>
      <rPr>
        <sz val="12"/>
        <color theme="1"/>
        <rFont val="Calibri"/>
        <family val="2"/>
      </rPr>
      <t>(RD)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</si>
  <si>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</si>
  <si>
    <r>
      <rPr>
        <b/>
        <sz val="12"/>
        <color theme="5" tint="-0.249977111117893"/>
        <rFont val="微軟正黑體"/>
        <family val="2"/>
        <charset val="136"/>
      </rPr>
      <t>人事費用</t>
    </r>
    <r>
      <rPr>
        <b/>
        <sz val="12"/>
        <color theme="5" tint="-0.249977111117893"/>
        <rFont val="Calibri"/>
        <family val="2"/>
      </rPr>
      <t>_R&amp;D</t>
    </r>
    <phoneticPr fontId="104" type="noConversion"/>
  </si>
  <si>
    <r>
      <rPr>
        <sz val="12"/>
        <rFont val="微軟正黑體"/>
        <family val="2"/>
        <charset val="136"/>
      </rPr>
      <t>人事費用</t>
    </r>
    <r>
      <rPr>
        <sz val="12"/>
        <rFont val="Calibri"/>
        <family val="2"/>
      </rPr>
      <t>_R&amp;D</t>
    </r>
    <r>
      <rPr>
        <sz val="12"/>
        <rFont val="微軟正黑體"/>
        <family val="2"/>
        <charset val="136"/>
      </rPr>
      <t>受分攤</t>
    </r>
    <phoneticPr fontId="104" type="noConversion"/>
  </si>
  <si>
    <r>
      <rPr>
        <b/>
        <sz val="12"/>
        <color theme="5" tint="-0.249977111117893"/>
        <rFont val="微軟正黑體"/>
        <family val="2"/>
        <charset val="136"/>
      </rPr>
      <t>非人事費用</t>
    </r>
    <r>
      <rPr>
        <b/>
        <sz val="12"/>
        <color theme="5" tint="-0.249977111117893"/>
        <rFont val="Calibri"/>
        <family val="2"/>
      </rPr>
      <t>_R&amp;D</t>
    </r>
    <phoneticPr fontId="104" type="noConversion"/>
  </si>
  <si>
    <r>
      <rPr>
        <sz val="12"/>
        <rFont val="微軟正黑體"/>
        <family val="2"/>
        <charset val="136"/>
      </rPr>
      <t>專案分攤</t>
    </r>
    <r>
      <rPr>
        <sz val="12"/>
        <rFont val="Calibri"/>
        <family val="2"/>
      </rPr>
      <t>R&amp;D</t>
    </r>
    <r>
      <rPr>
        <sz val="12"/>
        <rFont val="微軟正黑體"/>
        <family val="2"/>
        <charset val="136"/>
      </rPr>
      <t>費用</t>
    </r>
  </si>
  <si>
    <r>
      <t>1F</t>
    </r>
    <r>
      <rPr>
        <b/>
        <sz val="12"/>
        <color theme="5" tint="-0.249977111117893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</si>
  <si>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  <phoneticPr fontId="104" type="noConversion"/>
  </si>
  <si>
    <r>
      <t>1F</t>
    </r>
    <r>
      <rPr>
        <sz val="12"/>
        <color theme="5" tint="-0.249977111117893"/>
        <rFont val="微軟正黑體"/>
        <family val="2"/>
        <charset val="136"/>
      </rPr>
      <t>辦公室費用</t>
    </r>
    <r>
      <rPr>
        <sz val="12"/>
        <color theme="5" tint="-0.249977111117893"/>
        <rFont val="Calibri"/>
        <family val="2"/>
      </rPr>
      <t>(</t>
    </r>
    <r>
      <rPr>
        <sz val="12"/>
        <color theme="5" tint="-0.249977111117893"/>
        <rFont val="微軟正黑體"/>
        <family val="2"/>
        <charset val="136"/>
      </rPr>
      <t>分攤至</t>
    </r>
    <r>
      <rPr>
        <sz val="12"/>
        <color theme="5" tint="-0.249977111117893"/>
        <rFont val="Calibri"/>
        <family val="2"/>
      </rPr>
      <t>HSB)</t>
    </r>
    <phoneticPr fontId="104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</si>
  <si>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</si>
  <si>
    <r>
      <rPr>
        <sz val="12"/>
        <color theme="1"/>
        <rFont val="微軟正黑體"/>
        <family val="2"/>
        <charset val="136"/>
      </rPr>
      <t>業外</t>
    </r>
    <phoneticPr fontId="104" type="noConversion"/>
  </si>
  <si>
    <r>
      <rPr>
        <sz val="12"/>
        <color theme="1"/>
        <rFont val="微軟正黑體"/>
        <family val="2"/>
        <charset val="136"/>
      </rPr>
      <t>利息收入</t>
    </r>
  </si>
  <si>
    <r>
      <rPr>
        <sz val="12"/>
        <color rgb="FF0070C0"/>
        <rFont val="微軟正黑體"/>
        <family val="2"/>
        <charset val="136"/>
      </rPr>
      <t>資料來源</t>
    </r>
    <r>
      <rPr>
        <sz val="12"/>
        <color rgb="FF0070C0"/>
        <rFont val="Calibri"/>
        <family val="2"/>
      </rPr>
      <t>Cash Flow</t>
    </r>
    <phoneticPr fontId="104" type="noConversion"/>
  </si>
  <si>
    <r>
      <rPr>
        <sz val="12"/>
        <color theme="1"/>
        <rFont val="微軟正黑體"/>
        <family val="2"/>
        <charset val="136"/>
      </rPr>
      <t>利息費用</t>
    </r>
  </si>
  <si>
    <r>
      <rPr>
        <sz val="12"/>
        <color theme="1"/>
        <rFont val="微軟正黑體"/>
        <family val="2"/>
        <charset val="136"/>
      </rPr>
      <t>業外收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支</t>
    </r>
    <r>
      <rPr>
        <sz val="12"/>
        <color theme="1"/>
        <rFont val="Calibri"/>
        <family val="2"/>
      </rPr>
      <t>)</t>
    </r>
  </si>
  <si>
    <r>
      <rPr>
        <sz val="12"/>
        <color theme="1"/>
        <rFont val="微軟正黑體"/>
        <family val="2"/>
        <charset val="136"/>
      </rPr>
      <t>稅前營業淨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  <phoneticPr fontId="104" type="noConversion"/>
  </si>
  <si>
    <r>
      <t>R&amp;D</t>
    </r>
    <r>
      <rPr>
        <sz val="12"/>
        <color rgb="FF0070C0"/>
        <rFont val="微軟正黑體"/>
        <family val="2"/>
        <charset val="136"/>
      </rPr>
      <t>前</t>
    </r>
    <phoneticPr fontId="104" type="noConversion"/>
  </si>
  <si>
    <r>
      <rPr>
        <sz val="12"/>
        <color theme="1"/>
        <rFont val="微軟正黑體"/>
        <family val="2"/>
        <charset val="136"/>
      </rPr>
      <t>稅前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損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益</t>
    </r>
  </si>
  <si>
    <r>
      <t>BIM</t>
    </r>
    <r>
      <rPr>
        <sz val="12"/>
        <color rgb="FFFF0000"/>
        <rFont val="Calibri"/>
        <family val="2"/>
      </rPr>
      <t xml:space="preserve"> Budge</t>
    </r>
    <r>
      <rPr>
        <sz val="12"/>
        <color theme="1"/>
        <rFont val="Calibri"/>
        <family val="2"/>
      </rPr>
      <t>t_New Order</t>
    </r>
    <phoneticPr fontId="104" type="noConversion"/>
  </si>
  <si>
    <r>
      <t xml:space="preserve">BIM </t>
    </r>
    <r>
      <rPr>
        <sz val="12"/>
        <color rgb="FFFF0000"/>
        <rFont val="Calibri"/>
        <family val="2"/>
      </rPr>
      <t>Forecast</t>
    </r>
    <r>
      <rPr>
        <sz val="12"/>
        <color theme="1"/>
        <rFont val="Calibri"/>
        <family val="2"/>
      </rPr>
      <t>_New Order</t>
    </r>
    <phoneticPr fontId="104" type="noConversion"/>
  </si>
  <si>
    <r>
      <t>BIM</t>
    </r>
    <r>
      <rPr>
        <sz val="12"/>
        <color rgb="FFFF0000"/>
        <rFont val="Calibri"/>
        <family val="2"/>
      </rPr>
      <t xml:space="preserve"> Last Forecast</t>
    </r>
    <r>
      <rPr>
        <sz val="12"/>
        <color theme="1"/>
        <rFont val="Calibri"/>
        <family val="2"/>
      </rPr>
      <t>_New Order</t>
    </r>
    <phoneticPr fontId="104" type="noConversion"/>
  </si>
  <si>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"</t>
    </r>
    <r>
      <rPr>
        <sz val="12"/>
        <color theme="1"/>
        <rFont val="微軟正黑體"/>
        <family val="2"/>
        <charset val="136"/>
      </rPr>
      <t>內部</t>
    </r>
    <r>
      <rPr>
        <sz val="12"/>
        <color theme="1"/>
        <rFont val="Calibri"/>
        <family val="2"/>
      </rPr>
      <t>"New Order</t>
    </r>
    <phoneticPr fontId="104" type="noConversion"/>
  </si>
  <si>
    <r>
      <t>BIM Budget_New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</si>
  <si>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>BIM Forecast_New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</si>
  <si>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>BIM Last Forecast_New Order_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</si>
  <si>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0"/>
        <rFont val="微軟正黑體"/>
        <family val="2"/>
        <charset val="136"/>
      </rPr>
      <t>以下為</t>
    </r>
    <r>
      <rPr>
        <sz val="12"/>
        <color theme="0"/>
        <rFont val="Calibri"/>
        <family val="2"/>
      </rPr>
      <t>TO</t>
    </r>
    <r>
      <rPr>
        <sz val="12"/>
        <color theme="0"/>
        <rFont val="微軟正黑體"/>
        <family val="2"/>
        <charset val="136"/>
      </rPr>
      <t>沖銷後的金額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</si>
  <si>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勞務收入沖銷後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</si>
  <si>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phoneticPr fontId="104" type="noConversion"/>
  </si>
  <si>
    <r>
      <rPr>
        <b/>
        <sz val="12"/>
        <rFont val="微軟正黑體"/>
        <family val="2"/>
        <charset val="136"/>
      </rPr>
      <t xml:space="preserve">累計至
</t>
    </r>
    <r>
      <rPr>
        <b/>
        <sz val="12"/>
        <rFont val="Calibri"/>
        <family val="2"/>
      </rPr>
      <t>2025/12</t>
    </r>
    <phoneticPr fontId="104" type="noConversion"/>
  </si>
  <si>
    <r>
      <t xml:space="preserve">2026/1-12 
Budget </t>
    </r>
    <r>
      <rPr>
        <b/>
        <sz val="12"/>
        <rFont val="微軟正黑體"/>
        <family val="2"/>
        <charset val="136"/>
      </rPr>
      <t>預算</t>
    </r>
    <phoneticPr fontId="104" type="noConversion"/>
  </si>
  <si>
    <r>
      <t xml:space="preserve">2026/1-12
Forecast </t>
    </r>
    <r>
      <rPr>
        <b/>
        <sz val="12"/>
        <rFont val="微軟正黑體"/>
        <family val="2"/>
        <charset val="136"/>
      </rPr>
      <t>預算</t>
    </r>
  </si>
  <si>
    <r>
      <rPr>
        <b/>
        <sz val="12"/>
        <rFont val="微軟正黑體"/>
        <family val="2"/>
        <charset val="136"/>
      </rPr>
      <t>實際收入</t>
    </r>
  </si>
  <si>
    <r>
      <rPr>
        <b/>
        <sz val="12"/>
        <rFont val="微軟正黑體"/>
        <family val="2"/>
        <charset val="136"/>
      </rPr>
      <t>投入收入</t>
    </r>
  </si>
  <si>
    <r>
      <rPr>
        <sz val="12"/>
        <rFont val="微軟正黑體"/>
        <family val="2"/>
        <charset val="136"/>
      </rPr>
      <t>沖銷後勞務收入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</si>
  <si>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sz val="12"/>
        <rFont val="微軟正黑體"/>
        <family val="2"/>
        <charset val="136"/>
      </rPr>
      <t>合計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含備標取得</t>
    </r>
    <r>
      <rPr>
        <sz val="12"/>
        <rFont val="Calibri"/>
        <family val="2"/>
      </rPr>
      <t>)</t>
    </r>
  </si>
  <si>
    <r>
      <t>BIM (non-</t>
    </r>
    <r>
      <rPr>
        <sz val="12"/>
        <rFont val="微軟正黑體"/>
        <family val="2"/>
        <charset val="136"/>
      </rPr>
      <t>新取得</t>
    </r>
    <r>
      <rPr>
        <sz val="12"/>
        <rFont val="Calibri"/>
        <family val="2"/>
      </rPr>
      <t>)</t>
    </r>
    <phoneticPr fontId="104" type="noConversion"/>
  </si>
  <si>
    <r>
      <t>(</t>
    </r>
    <r>
      <rPr>
        <sz val="12"/>
        <color theme="1"/>
        <rFont val="微軟正黑體"/>
        <family val="2"/>
        <charset val="136"/>
      </rPr>
      <t>有合約</t>
    </r>
    <r>
      <rPr>
        <sz val="12"/>
        <color theme="1"/>
        <rFont val="Calibri"/>
        <family val="2"/>
      </rPr>
      <t>)</t>
    </r>
    <phoneticPr fontId="104" type="noConversion"/>
  </si>
  <si>
    <r>
      <t>BIM(</t>
    </r>
    <r>
      <rPr>
        <sz val="12"/>
        <rFont val="微軟正黑體"/>
        <family val="2"/>
        <charset val="136"/>
      </rPr>
      <t>無合約</t>
    </r>
    <r>
      <rPr>
        <sz val="12"/>
        <rFont val="Calibri"/>
        <family val="2"/>
      </rPr>
      <t>)</t>
    </r>
  </si>
  <si>
    <r>
      <rPr>
        <sz val="12"/>
        <rFont val="微軟正黑體"/>
        <family val="2"/>
        <charset val="136"/>
      </rPr>
      <t>調整</t>
    </r>
  </si>
  <si>
    <r>
      <rPr>
        <sz val="12"/>
        <color theme="1"/>
        <rFont val="微軟正黑體"/>
        <family val="2"/>
        <charset val="136"/>
      </rPr>
      <t>新取得工程</t>
    </r>
    <r>
      <rPr>
        <sz val="12"/>
        <color theme="1"/>
        <rFont val="Calibri"/>
        <family val="2"/>
      </rPr>
      <t>-2026</t>
    </r>
    <r>
      <rPr>
        <sz val="12"/>
        <color theme="1"/>
        <rFont val="微軟正黑體"/>
        <family val="2"/>
        <charset val="136"/>
      </rPr>
      <t>年</t>
    </r>
    <phoneticPr fontId="145" type="noConversion"/>
  </si>
  <si>
    <r>
      <rPr>
        <sz val="12"/>
        <rFont val="微軟正黑體"/>
        <family val="2"/>
        <charset val="136"/>
      </rPr>
      <t>新取得工程</t>
    </r>
    <r>
      <rPr>
        <sz val="12"/>
        <rFont val="Calibri"/>
        <family val="2"/>
      </rPr>
      <t>-2027</t>
    </r>
    <r>
      <rPr>
        <sz val="12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</si>
  <si>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-2028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</si>
  <si>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-2029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</si>
  <si>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-2030</t>
    </r>
    <r>
      <rPr>
        <sz val="12"/>
        <color theme="0" tint="-0.34998626667073579"/>
        <rFont val="微軟正黑體"/>
        <family val="2"/>
        <charset val="136"/>
      </rPr>
      <t>年</t>
    </r>
  </si>
  <si>
    <r>
      <rPr>
        <sz val="12"/>
        <color theme="0" tint="-0.34998626667073579"/>
        <rFont val="微軟正黑體"/>
        <family val="2"/>
        <charset val="136"/>
      </rPr>
      <t>新取得工程</t>
    </r>
    <r>
      <rPr>
        <sz val="12"/>
        <color theme="0" tint="-0.34998626667073579"/>
        <rFont val="Calibri"/>
        <family val="2"/>
      </rPr>
      <t>-2031</t>
    </r>
    <r>
      <rPr>
        <sz val="12"/>
        <color theme="0" tint="-0.34998626667073579"/>
        <rFont val="微軟正黑體"/>
        <family val="2"/>
        <charset val="136"/>
      </rPr>
      <t>年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</si>
  <si>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專案成本</t>
    </r>
    <r>
      <rPr>
        <sz val="12"/>
        <rFont val="Calibri"/>
        <family val="2"/>
      </rPr>
      <t>)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</si>
  <si>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管理費用</t>
    </r>
    <r>
      <rPr>
        <sz val="12"/>
        <rFont val="Calibri"/>
        <family val="2"/>
      </rPr>
      <t>)</t>
    </r>
  </si>
  <si>
    <r>
      <t>BIM-</t>
    </r>
    <r>
      <rPr>
        <sz val="12"/>
        <color rgb="FF7030A0"/>
        <rFont val="微軟正黑體"/>
        <family val="2"/>
        <charset val="136"/>
      </rPr>
      <t>備標</t>
    </r>
  </si>
  <si>
    <r>
      <t>BIM_</t>
    </r>
    <r>
      <rPr>
        <sz val="12"/>
        <rFont val="微軟正黑體"/>
        <family val="2"/>
        <charset val="136"/>
      </rPr>
      <t>沖銷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內部</t>
    </r>
    <r>
      <rPr>
        <sz val="12"/>
        <rFont val="Calibri"/>
        <family val="2"/>
      </rPr>
      <t>/</t>
    </r>
    <r>
      <rPr>
        <sz val="12"/>
        <rFont val="微軟正黑體"/>
        <family val="2"/>
        <charset val="136"/>
      </rPr>
      <t>雜項無合約</t>
    </r>
    <r>
      <rPr>
        <sz val="12"/>
        <rFont val="Calibri"/>
        <family val="2"/>
      </rPr>
      <t>)</t>
    </r>
  </si>
  <si>
    <r>
      <rPr>
        <sz val="12"/>
        <color rgb="FF7030A0"/>
        <rFont val="微軟正黑體"/>
        <family val="2"/>
        <charset val="136"/>
      </rPr>
      <t>內無</t>
    </r>
    <phoneticPr fontId="104" type="noConversion"/>
  </si>
  <si>
    <r>
      <t>BIM-</t>
    </r>
    <r>
      <rPr>
        <sz val="12"/>
        <color theme="1"/>
        <rFont val="微軟正黑體"/>
        <family val="2"/>
        <charset val="136"/>
      </rPr>
      <t>沖銷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專案成本</t>
    </r>
    <r>
      <rPr>
        <sz val="12"/>
        <color theme="1"/>
        <rFont val="Calibri"/>
        <family val="2"/>
      </rPr>
      <t>)</t>
    </r>
  </si>
  <si>
    <r>
      <t>BIM-</t>
    </r>
    <r>
      <rPr>
        <sz val="12"/>
        <color theme="0" tint="-0.34998626667073579"/>
        <rFont val="微軟正黑體"/>
        <family val="2"/>
        <charset val="136"/>
      </rPr>
      <t>沖銷</t>
    </r>
    <r>
      <rPr>
        <sz val="12"/>
        <color theme="0" tint="-0.34998626667073579"/>
        <rFont val="Calibri"/>
        <family val="2"/>
      </rPr>
      <t>(</t>
    </r>
    <r>
      <rPr>
        <sz val="12"/>
        <color theme="0" tint="-0.34998626667073579"/>
        <rFont val="微軟正黑體"/>
        <family val="2"/>
        <charset val="136"/>
      </rPr>
      <t>專案成本</t>
    </r>
    <r>
      <rPr>
        <sz val="12"/>
        <color theme="0" tint="-0.34998626667073579"/>
        <rFont val="Calibri"/>
        <family val="2"/>
      </rPr>
      <t>)</t>
    </r>
  </si>
  <si>
    <t>BIM31</t>
    <phoneticPr fontId="104" type="noConversion"/>
  </si>
  <si>
    <r>
      <rPr>
        <b/>
        <sz val="12"/>
        <rFont val="微軟正黑體"/>
        <family val="2"/>
        <charset val="136"/>
      </rPr>
      <t>勞務收入</t>
    </r>
  </si>
  <si>
    <r>
      <rPr>
        <sz val="12"/>
        <color rgb="FF7030A0"/>
        <rFont val="微軟正黑體"/>
        <family val="2"/>
        <charset val="136"/>
      </rPr>
      <t>備標沖銷</t>
    </r>
    <r>
      <rPr>
        <sz val="12"/>
        <color rgb="FF7030A0"/>
        <rFont val="Calibri"/>
        <family val="2"/>
      </rPr>
      <t>Check</t>
    </r>
    <phoneticPr fontId="145" type="noConversion"/>
  </si>
  <si>
    <r>
      <rPr>
        <sz val="12"/>
        <color theme="1"/>
        <rFont val="微軟正黑體"/>
        <family val="2"/>
        <charset val="136"/>
      </rPr>
      <t>分月預算</t>
    </r>
    <phoneticPr fontId="104" type="noConversion"/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</si>
  <si>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勞務成本沖銷後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</si>
  <si>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>2025/12</t>
    </r>
  </si>
  <si>
    <r>
      <rPr>
        <b/>
        <sz val="12"/>
        <rFont val="微軟正黑體"/>
        <family val="2"/>
        <charset val="136"/>
      </rPr>
      <t>實際成本</t>
    </r>
  </si>
  <si>
    <r>
      <rPr>
        <b/>
        <sz val="12"/>
        <rFont val="微軟正黑體"/>
        <family val="2"/>
        <charset val="136"/>
      </rPr>
      <t>投入成本</t>
    </r>
  </si>
  <si>
    <r>
      <rPr>
        <b/>
        <sz val="12"/>
        <rFont val="微軟正黑體"/>
        <family val="2"/>
        <charset val="136"/>
      </rPr>
      <t>勞務成本</t>
    </r>
  </si>
  <si>
    <r>
      <rPr>
        <b/>
        <sz val="12"/>
        <rFont val="微軟正黑體"/>
        <family val="2"/>
        <charset val="136"/>
      </rPr>
      <t>預測成本</t>
    </r>
  </si>
  <si>
    <r>
      <rPr>
        <sz val="12"/>
        <rFont val="微軟正黑體"/>
        <family val="2"/>
        <charset val="136"/>
      </rPr>
      <t>成本</t>
    </r>
    <phoneticPr fontId="104" type="noConversion"/>
  </si>
  <si>
    <r>
      <rPr>
        <sz val="12"/>
        <rFont val="微軟正黑體"/>
        <family val="2"/>
        <charset val="136"/>
      </rPr>
      <t>沖銷後勞務成本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</si>
  <si>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BIM</t>
    </r>
    <r>
      <rPr>
        <b/>
        <sz val="12"/>
        <rFont val="微軟正黑體"/>
        <family val="2"/>
        <charset val="136"/>
      </rPr>
      <t>工程</t>
    </r>
    <r>
      <rPr>
        <b/>
        <sz val="12"/>
        <rFont val="Calibri"/>
        <family val="2"/>
      </rPr>
      <t>-</t>
    </r>
    <r>
      <rPr>
        <b/>
        <sz val="12"/>
        <rFont val="微軟正黑體"/>
        <family val="2"/>
        <charset val="136"/>
      </rPr>
      <t>勞務毛利沖銷後</t>
    </r>
  </si>
  <si>
    <r>
      <rPr>
        <b/>
        <sz val="12"/>
        <rFont val="微軟正黑體"/>
        <family val="2"/>
        <charset val="136"/>
      </rPr>
      <t>預計
完工總毛利</t>
    </r>
  </si>
  <si>
    <r>
      <t xml:space="preserve">2027/1-12
Forecast </t>
    </r>
    <r>
      <rPr>
        <b/>
        <sz val="12"/>
        <rFont val="微軟正黑體"/>
        <family val="2"/>
        <charset val="136"/>
      </rPr>
      <t>預算</t>
    </r>
  </si>
  <si>
    <r>
      <t>2030</t>
    </r>
    <r>
      <rPr>
        <b/>
        <sz val="12"/>
        <rFont val="微軟正黑體"/>
        <family val="2"/>
        <charset val="136"/>
      </rPr>
      <t>年</t>
    </r>
    <phoneticPr fontId="104" type="noConversion"/>
  </si>
  <si>
    <r>
      <t>2031</t>
    </r>
    <r>
      <rPr>
        <b/>
        <sz val="12"/>
        <rFont val="微軟正黑體"/>
        <family val="2"/>
        <charset val="136"/>
      </rPr>
      <t>年</t>
    </r>
    <phoneticPr fontId="104" type="noConversion"/>
  </si>
  <si>
    <r>
      <rPr>
        <b/>
        <sz val="12"/>
        <rFont val="微軟正黑體"/>
        <family val="2"/>
        <charset val="136"/>
      </rPr>
      <t>實際毛利</t>
    </r>
  </si>
  <si>
    <r>
      <rPr>
        <b/>
        <sz val="12"/>
        <rFont val="微軟正黑體"/>
        <family val="2"/>
        <charset val="136"/>
      </rPr>
      <t>投入毛利</t>
    </r>
  </si>
  <si>
    <r>
      <rPr>
        <b/>
        <sz val="12"/>
        <rFont val="微軟正黑體"/>
        <family val="2"/>
        <charset val="136"/>
      </rPr>
      <t>勞務毛利</t>
    </r>
  </si>
  <si>
    <r>
      <rPr>
        <b/>
        <sz val="12"/>
        <rFont val="微軟正黑體"/>
        <family val="2"/>
        <charset val="136"/>
      </rPr>
      <t>預測毛利</t>
    </r>
  </si>
  <si>
    <r>
      <rPr>
        <sz val="12"/>
        <rFont val="微軟正黑體"/>
        <family val="2"/>
        <charset val="136"/>
      </rPr>
      <t>毛利</t>
    </r>
  </si>
  <si>
    <r>
      <rPr>
        <sz val="12"/>
        <rFont val="微軟正黑體"/>
        <family val="2"/>
        <charset val="136"/>
      </rPr>
      <t>沖銷後勞務毛利</t>
    </r>
    <r>
      <rPr>
        <sz val="12"/>
        <rFont val="Calibri"/>
        <family val="2"/>
      </rPr>
      <t>&amp;</t>
    </r>
    <r>
      <rPr>
        <sz val="12"/>
        <rFont val="微軟正黑體"/>
        <family val="2"/>
        <charset val="136"/>
      </rPr>
      <t>管理費用</t>
    </r>
  </si>
  <si>
    <r>
      <t>02</t>
    </r>
    <r>
      <rPr>
        <sz val="12"/>
        <color theme="1"/>
        <rFont val="微軟正黑體"/>
        <family val="2"/>
        <charset val="136"/>
      </rPr>
      <t>分月預測</t>
    </r>
  </si>
  <si>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</si>
  <si>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_No R&amp;D</t>
    </r>
  </si>
  <si>
    <r>
      <rPr>
        <sz val="12"/>
        <color theme="1"/>
        <rFont val="微軟正黑體"/>
        <family val="2"/>
        <charset val="136"/>
      </rPr>
      <t>費用分攤</t>
    </r>
  </si>
  <si>
    <r>
      <rPr>
        <sz val="12"/>
        <color theme="1"/>
        <rFont val="微軟正黑體"/>
        <family val="2"/>
        <charset val="136"/>
      </rPr>
      <t>費用</t>
    </r>
    <r>
      <rPr>
        <sz val="12"/>
        <color theme="1"/>
        <rFont val="Calibri"/>
        <family val="2"/>
      </rPr>
      <t>outcharge</t>
    </r>
  </si>
  <si>
    <r>
      <rPr>
        <sz val="12"/>
        <color theme="1"/>
        <rFont val="微軟正黑體"/>
        <family val="2"/>
        <charset val="136"/>
      </rPr>
      <t>分攤費用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電腦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專案</t>
    </r>
    <r>
      <rPr>
        <sz val="12"/>
        <color theme="1"/>
        <rFont val="Calibri"/>
        <family val="2"/>
      </rPr>
      <t>)</t>
    </r>
  </si>
  <si>
    <r>
      <t>OHs</t>
    </r>
    <r>
      <rPr>
        <sz val="12"/>
        <color theme="1"/>
        <rFont val="微軟正黑體"/>
        <family val="2"/>
        <charset val="136"/>
      </rPr>
      <t>淨額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前</t>
    </r>
    <phoneticPr fontId="104" type="noConversion"/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</si>
  <si>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</si>
  <si>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人事費用</t>
    </r>
    <r>
      <rPr>
        <sz val="12"/>
        <color theme="1"/>
        <rFont val="Calibri"/>
        <family val="2"/>
      </rPr>
      <t>_R&amp;D</t>
    </r>
    <r>
      <rPr>
        <sz val="12"/>
        <color theme="1"/>
        <rFont val="微軟正黑體"/>
        <family val="2"/>
        <charset val="136"/>
      </rPr>
      <t>受分攤</t>
    </r>
    <phoneticPr fontId="104" type="noConversion"/>
  </si>
  <si>
    <r>
      <rPr>
        <sz val="12"/>
        <color theme="1"/>
        <rFont val="微軟正黑體"/>
        <family val="2"/>
        <charset val="136"/>
      </rPr>
      <t>非人事費用</t>
    </r>
    <r>
      <rPr>
        <sz val="12"/>
        <color theme="1"/>
        <rFont val="Calibri"/>
        <family val="2"/>
      </rPr>
      <t>_R&amp;D</t>
    </r>
  </si>
  <si>
    <r>
      <rPr>
        <sz val="12"/>
        <color theme="1"/>
        <rFont val="微軟正黑體"/>
        <family val="2"/>
        <charset val="136"/>
      </rPr>
      <t>專案分攤</t>
    </r>
    <r>
      <rPr>
        <sz val="12"/>
        <color theme="1"/>
        <rFont val="Calibri"/>
        <family val="2"/>
      </rPr>
      <t>R&amp;D</t>
    </r>
  </si>
  <si>
    <r>
      <t>1F</t>
    </r>
    <r>
      <rPr>
        <sz val="12"/>
        <color theme="1"/>
        <rFont val="微軟正黑體"/>
        <family val="2"/>
        <charset val="136"/>
      </rPr>
      <t>辦公室費用</t>
    </r>
  </si>
  <si>
    <r>
      <t>1F Office Expenses 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</si>
  <si>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1F</t>
    </r>
    <r>
      <rPr>
        <sz val="12"/>
        <color theme="1"/>
        <rFont val="微軟正黑體"/>
        <family val="2"/>
        <charset val="136"/>
      </rPr>
      <t>辦公室費用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分攤至</t>
    </r>
    <r>
      <rPr>
        <sz val="12"/>
        <color theme="1"/>
        <rFont val="Calibri"/>
        <family val="2"/>
      </rPr>
      <t>HSB)</t>
    </r>
  </si>
  <si>
    <r>
      <t>BU Overhead_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</si>
  <si>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t xml:space="preserve">BU </t>
    </r>
    <r>
      <rPr>
        <sz val="12"/>
        <color theme="1"/>
        <rFont val="微軟正黑體"/>
        <family val="2"/>
        <charset val="136"/>
      </rPr>
      <t>管理費用</t>
    </r>
    <r>
      <rPr>
        <sz val="12"/>
        <color theme="1"/>
        <rFont val="Calibri"/>
        <family val="2"/>
      </rPr>
      <t>_</t>
    </r>
    <r>
      <rPr>
        <sz val="12"/>
        <color theme="1"/>
        <rFont val="微軟正黑體"/>
        <family val="2"/>
        <charset val="136"/>
      </rPr>
      <t>沖銷後</t>
    </r>
    <phoneticPr fontId="104" type="noConversion"/>
  </si>
  <si>
    <r>
      <rPr>
        <sz val="12"/>
        <color theme="0"/>
        <rFont val="微軟正黑體"/>
        <family val="2"/>
        <charset val="136"/>
      </rPr>
      <t>委外收入及支出</t>
    </r>
    <phoneticPr fontId="104" type="noConversion"/>
  </si>
  <si>
    <r>
      <t>2026</t>
    </r>
    <r>
      <rPr>
        <b/>
        <sz val="12"/>
        <rFont val="微軟正黑體"/>
        <family val="2"/>
        <charset val="136"/>
      </rPr>
      <t>年委外收入</t>
    </r>
    <r>
      <rPr>
        <b/>
        <sz val="12"/>
        <rFont val="Calibri"/>
        <family val="2"/>
      </rPr>
      <t>/</t>
    </r>
    <r>
      <rPr>
        <b/>
        <sz val="12"/>
        <rFont val="微軟正黑體"/>
        <family val="2"/>
        <charset val="136"/>
      </rPr>
      <t>成本</t>
    </r>
    <phoneticPr fontId="104" type="noConversion"/>
  </si>
  <si>
    <r>
      <t>1</t>
    </r>
    <r>
      <rPr>
        <b/>
        <sz val="12"/>
        <rFont val="微軟正黑體"/>
        <family val="2"/>
        <charset val="136"/>
      </rPr>
      <t>月</t>
    </r>
  </si>
  <si>
    <r>
      <t>2</t>
    </r>
    <r>
      <rPr>
        <b/>
        <sz val="12"/>
        <rFont val="微軟正黑體"/>
        <family val="2"/>
        <charset val="136"/>
      </rPr>
      <t>月</t>
    </r>
  </si>
  <si>
    <r>
      <t>3</t>
    </r>
    <r>
      <rPr>
        <b/>
        <sz val="12"/>
        <rFont val="微軟正黑體"/>
        <family val="2"/>
        <charset val="136"/>
      </rPr>
      <t>月</t>
    </r>
  </si>
  <si>
    <r>
      <t>4</t>
    </r>
    <r>
      <rPr>
        <b/>
        <sz val="12"/>
        <rFont val="微軟正黑體"/>
        <family val="2"/>
        <charset val="136"/>
      </rPr>
      <t>月</t>
    </r>
  </si>
  <si>
    <r>
      <t>5</t>
    </r>
    <r>
      <rPr>
        <b/>
        <sz val="12"/>
        <rFont val="微軟正黑體"/>
        <family val="2"/>
        <charset val="136"/>
      </rPr>
      <t>月</t>
    </r>
  </si>
  <si>
    <r>
      <t>6</t>
    </r>
    <r>
      <rPr>
        <b/>
        <sz val="12"/>
        <rFont val="微軟正黑體"/>
        <family val="2"/>
        <charset val="136"/>
      </rPr>
      <t>月</t>
    </r>
  </si>
  <si>
    <r>
      <t>7</t>
    </r>
    <r>
      <rPr>
        <b/>
        <sz val="12"/>
        <rFont val="微軟正黑體"/>
        <family val="2"/>
        <charset val="136"/>
      </rPr>
      <t>月</t>
    </r>
  </si>
  <si>
    <r>
      <t>8</t>
    </r>
    <r>
      <rPr>
        <b/>
        <sz val="12"/>
        <rFont val="微軟正黑體"/>
        <family val="2"/>
        <charset val="136"/>
      </rPr>
      <t>月</t>
    </r>
  </si>
  <si>
    <r>
      <t>9</t>
    </r>
    <r>
      <rPr>
        <b/>
        <sz val="12"/>
        <rFont val="微軟正黑體"/>
        <family val="2"/>
        <charset val="136"/>
      </rPr>
      <t>月</t>
    </r>
  </si>
  <si>
    <r>
      <t>10</t>
    </r>
    <r>
      <rPr>
        <b/>
        <sz val="12"/>
        <rFont val="微軟正黑體"/>
        <family val="2"/>
        <charset val="136"/>
      </rPr>
      <t>月</t>
    </r>
  </si>
  <si>
    <r>
      <t>11</t>
    </r>
    <r>
      <rPr>
        <b/>
        <sz val="12"/>
        <rFont val="微軟正黑體"/>
        <family val="2"/>
        <charset val="136"/>
      </rPr>
      <t>月</t>
    </r>
  </si>
  <si>
    <r>
      <t>12</t>
    </r>
    <r>
      <rPr>
        <b/>
        <sz val="12"/>
        <rFont val="微軟正黑體"/>
        <family val="2"/>
        <charset val="136"/>
      </rPr>
      <t>月</t>
    </r>
  </si>
  <si>
    <r>
      <rPr>
        <sz val="12"/>
        <rFont val="微軟正黑體"/>
        <family val="2"/>
        <charset val="136"/>
      </rPr>
      <t>委外收入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</si>
  <si>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-680C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</si>
  <si>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</si>
  <si>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-670A</t>
    </r>
    <phoneticPr fontId="104" type="noConversion"/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</si>
  <si>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</si>
  <si>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</si>
  <si>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委外收入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南港二期</t>
    </r>
  </si>
  <si>
    <r>
      <rPr>
        <sz val="12"/>
        <rFont val="微軟正黑體"/>
        <family val="2"/>
        <charset val="136"/>
      </rPr>
      <t>委外成本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</si>
  <si>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-680C</t>
    </r>
    <phoneticPr fontId="104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</si>
  <si>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過港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</si>
  <si>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-670A</t>
    </r>
    <phoneticPr fontId="104" type="noConversion"/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</si>
  <si>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-CJ17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</si>
  <si>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捷運劍潭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</si>
  <si>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南機社宅二區</t>
    </r>
  </si>
  <si>
    <r>
      <rPr>
        <sz val="12"/>
        <rFont val="微軟正黑體"/>
        <family val="2"/>
        <charset val="136"/>
      </rPr>
      <t>委外成本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富邦懷生</t>
    </r>
  </si>
  <si>
    <r>
      <rPr>
        <b/>
        <sz val="12"/>
        <rFont val="微軟正黑體"/>
        <family val="2"/>
        <charset val="136"/>
      </rPr>
      <t>委外毛利</t>
    </r>
    <phoneticPr fontId="104" type="noConversion"/>
  </si>
  <si>
    <r>
      <t>BIM</t>
    </r>
    <r>
      <rPr>
        <sz val="12"/>
        <color theme="0"/>
        <rFont val="微軟正黑體"/>
        <family val="2"/>
        <charset val="136"/>
      </rPr>
      <t>折舊</t>
    </r>
    <phoneticPr fontId="104" type="noConversion"/>
  </si>
  <si>
    <r>
      <t>C01</t>
    </r>
    <r>
      <rPr>
        <sz val="12"/>
        <color theme="1"/>
        <rFont val="微軟正黑體"/>
        <family val="2"/>
        <charset val="136"/>
      </rPr>
      <t>折舊小計</t>
    </r>
    <phoneticPr fontId="108" type="noConversion"/>
  </si>
  <si>
    <r>
      <rPr>
        <sz val="12"/>
        <rFont val="微軟正黑體"/>
        <family val="2"/>
        <charset val="136"/>
      </rPr>
      <t>電腦費用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折舊</t>
    </r>
  </si>
  <si>
    <r>
      <t>B01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</si>
  <si>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rPr>
        <sz val="12"/>
        <rFont val="微軟正黑體"/>
        <family val="2"/>
        <charset val="136"/>
      </rPr>
      <t>使用權資產折舊</t>
    </r>
  </si>
  <si>
    <r>
      <t>RD</t>
    </r>
    <r>
      <rPr>
        <sz val="12"/>
        <color theme="1"/>
        <rFont val="微軟正黑體"/>
        <family val="2"/>
        <charset val="136"/>
      </rPr>
      <t>折舊小計</t>
    </r>
    <phoneticPr fontId="108" type="noConversion"/>
  </si>
  <si>
    <r>
      <t>Y01</t>
    </r>
    <r>
      <rPr>
        <sz val="12"/>
        <color theme="1"/>
        <rFont val="微軟正黑體"/>
        <family val="2"/>
        <charset val="136"/>
      </rPr>
      <t>折舊小計</t>
    </r>
    <phoneticPr fontId="104" type="noConversion"/>
  </si>
  <si>
    <r>
      <rPr>
        <sz val="12"/>
        <rFont val="微軟正黑體"/>
        <family val="2"/>
        <charset val="136"/>
      </rPr>
      <t>折舊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房屋及裝修</t>
    </r>
    <phoneticPr fontId="108" type="noConversion"/>
  </si>
  <si>
    <r>
      <rPr>
        <sz val="12"/>
        <rFont val="微軟正黑體"/>
        <family val="2"/>
        <charset val="136"/>
      </rPr>
      <t>辦公費</t>
    </r>
    <r>
      <rPr>
        <sz val="12"/>
        <rFont val="Calibri"/>
        <family val="2"/>
      </rPr>
      <t>-</t>
    </r>
    <r>
      <rPr>
        <sz val="12"/>
        <rFont val="微軟正黑體"/>
        <family val="2"/>
        <charset val="136"/>
      </rPr>
      <t>設備折舊</t>
    </r>
  </si>
  <si>
    <r>
      <t xml:space="preserve">2026 </t>
    </r>
    <r>
      <rPr>
        <sz val="12"/>
        <color theme="1"/>
        <rFont val="Microsoft JhengHei"/>
        <family val="2"/>
      </rPr>
      <t>收入拆分本年影響及累計2025.12影響</t>
    </r>
    <phoneticPr fontId="108" type="noConversion"/>
  </si>
  <si>
    <r>
      <t>2026</t>
    </r>
    <r>
      <rPr>
        <sz val="12"/>
        <color theme="1"/>
        <rFont val="微軟正黑體"/>
        <family val="2"/>
        <charset val="136"/>
      </rPr>
      <t>年投入</t>
    </r>
    <phoneticPr fontId="108" type="noConversion"/>
  </si>
  <si>
    <t>累計至2025.12.31調整</t>
    <phoneticPr fontId="108" type="noConversion"/>
  </si>
  <si>
    <r>
      <rPr>
        <sz val="12"/>
        <color theme="1"/>
        <rFont val="微軟正黑體"/>
        <family val="2"/>
        <charset val="136"/>
      </rPr>
      <t>工程收入</t>
    </r>
    <phoneticPr fontId="108" type="noConversion"/>
  </si>
  <si>
    <r>
      <rPr>
        <sz val="12"/>
        <color theme="1"/>
        <rFont val="微軟正黑體"/>
        <family val="2"/>
        <charset val="136"/>
      </rPr>
      <t>工程成本</t>
    </r>
    <phoneticPr fontId="108" type="noConversion"/>
  </si>
  <si>
    <r>
      <rPr>
        <sz val="12"/>
        <color theme="1"/>
        <rFont val="微軟正黑體"/>
        <family val="2"/>
        <charset val="136"/>
      </rPr>
      <t>工程毛利</t>
    </r>
    <phoneticPr fontId="108" type="noConversion"/>
  </si>
  <si>
    <r>
      <t xml:space="preserve">202609~ BIM </t>
    </r>
    <r>
      <rPr>
        <b/>
        <sz val="14"/>
        <rFont val="Microsoft JhengHei"/>
        <family val="2"/>
      </rPr>
      <t>完工百分比認列收入</t>
    </r>
    <phoneticPr fontId="104" type="noConversion"/>
  </si>
  <si>
    <t>2026
(BIM計價收入)</t>
    <phoneticPr fontId="108" type="noConversion"/>
  </si>
  <si>
    <t>2026完比計算</t>
    <phoneticPr fontId="108" type="noConversion"/>
  </si>
  <si>
    <t>2027(完工比例)</t>
    <phoneticPr fontId="108" type="noConversion"/>
  </si>
  <si>
    <t>2028</t>
    <phoneticPr fontId="108" type="noConversion"/>
  </si>
  <si>
    <t>2029</t>
    <phoneticPr fontId="108" type="noConversion"/>
  </si>
  <si>
    <t>2030</t>
    <phoneticPr fontId="108" type="noConversion"/>
  </si>
  <si>
    <t>2031</t>
    <phoneticPr fontId="108" type="noConversion"/>
  </si>
  <si>
    <t>2032</t>
    <phoneticPr fontId="108" type="noConversion"/>
  </si>
  <si>
    <t>累計至2025.12.31已認列收入</t>
    <phoneticPr fontId="108" type="noConversion"/>
  </si>
  <si>
    <t>1-8月</t>
    <phoneticPr fontId="108" type="noConversion"/>
  </si>
  <si>
    <t>202609(BIM收入)</t>
    <phoneticPr fontId="108" type="noConversion"/>
  </si>
  <si>
    <t>202610(BIM收入)</t>
    <phoneticPr fontId="108" type="noConversion"/>
  </si>
  <si>
    <t>202611(BIM收入)</t>
    <phoneticPr fontId="108" type="noConversion"/>
  </si>
  <si>
    <t>202612(BIM收入)</t>
  </si>
  <si>
    <t>total (B)</t>
    <phoneticPr fontId="108" type="noConversion"/>
  </si>
  <si>
    <t>完比法累計至2026應認列收入(A)</t>
    <phoneticPr fontId="108" type="noConversion"/>
  </si>
  <si>
    <t>差額(A-B)應等於20261231應認列完比差額</t>
    <phoneticPr fontId="108" type="noConversion"/>
  </si>
  <si>
    <r>
      <t>20261231(</t>
    </r>
    <r>
      <rPr>
        <sz val="12"/>
        <color theme="1"/>
        <rFont val="細明體"/>
        <family val="3"/>
        <charset val="136"/>
      </rPr>
      <t>完比</t>
    </r>
    <r>
      <rPr>
        <sz val="12"/>
        <color theme="1"/>
        <rFont val="Calibri"/>
        <family val="2"/>
      </rPr>
      <t>)</t>
    </r>
    <phoneticPr fontId="108" type="noConversion"/>
  </si>
  <si>
    <t>202701</t>
    <phoneticPr fontId="108" type="noConversion"/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</si>
  <si>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</si>
  <si>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</si>
  <si>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</si>
  <si>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</si>
  <si>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</si>
  <si>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</si>
  <si>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</si>
  <si>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</si>
  <si>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</si>
  <si>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</si>
  <si>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</si>
  <si>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加總</t>
    <phoneticPr fontId="108" type="noConversion"/>
  </si>
  <si>
    <r>
      <rPr>
        <sz val="12"/>
        <color rgb="FF00B050"/>
        <rFont val="細明體"/>
        <family val="3"/>
        <charset val="136"/>
      </rPr>
      <t>信義兒福</t>
    </r>
    <r>
      <rPr>
        <sz val="12"/>
        <color rgb="FF00B050"/>
        <rFont val="Calibri"/>
        <family val="2"/>
      </rPr>
      <t>BIM</t>
    </r>
    <r>
      <rPr>
        <sz val="12"/>
        <color rgb="FF00B050"/>
        <rFont val="細明體"/>
        <family val="3"/>
        <charset val="136"/>
      </rPr>
      <t>機電</t>
    </r>
    <phoneticPr fontId="108" type="noConversion"/>
  </si>
  <si>
    <r>
      <rPr>
        <sz val="12"/>
        <color rgb="FF00B050"/>
        <rFont val="細明體"/>
        <family val="3"/>
        <charset val="136"/>
      </rPr>
      <t>擎邦</t>
    </r>
    <r>
      <rPr>
        <sz val="12"/>
        <color rgb="FF00B050"/>
        <rFont val="Calibri"/>
        <family val="2"/>
      </rPr>
      <t>-</t>
    </r>
    <r>
      <rPr>
        <sz val="12"/>
        <color rgb="FF00B050"/>
        <rFont val="細明體"/>
        <family val="3"/>
        <charset val="136"/>
      </rPr>
      <t>員榮總醫院</t>
    </r>
    <r>
      <rPr>
        <sz val="12"/>
        <color rgb="FF00B050"/>
        <rFont val="Calibri"/>
        <family val="2"/>
      </rPr>
      <t>BIM</t>
    </r>
  </si>
  <si>
    <r>
      <rPr>
        <sz val="12"/>
        <color rgb="FF00B050"/>
        <rFont val="微軟正黑體"/>
        <family val="2"/>
        <charset val="136"/>
      </rPr>
      <t>擎邦</t>
    </r>
    <r>
      <rPr>
        <sz val="12"/>
        <color rgb="FF00B050"/>
        <rFont val="Calibri"/>
        <family val="2"/>
      </rPr>
      <t>-CF624F</t>
    </r>
    <r>
      <rPr>
        <sz val="12"/>
        <color rgb="FF00B050"/>
        <rFont val="Microsoft JhengHei"/>
        <family val="3"/>
      </rPr>
      <t>機電</t>
    </r>
    <r>
      <rPr>
        <sz val="12"/>
        <color rgb="FF00B050"/>
        <rFont val="Calibri"/>
        <family val="2"/>
      </rPr>
      <t>(CF690B</t>
    </r>
    <r>
      <rPr>
        <sz val="12"/>
        <color rgb="FF00B050"/>
        <rFont val="細明體"/>
        <family val="3"/>
        <charset val="136"/>
      </rPr>
      <t>機電</t>
    </r>
    <r>
      <rPr>
        <sz val="12"/>
        <color rgb="FF00B050"/>
        <rFont val="Calibri"/>
        <family val="2"/>
      </rPr>
      <t>)</t>
    </r>
    <phoneticPr fontId="108" type="noConversion"/>
  </si>
  <si>
    <r>
      <rPr>
        <sz val="12"/>
        <color rgb="FF000000"/>
        <rFont val="微軟正黑體"/>
        <family val="2"/>
        <charset val="136"/>
      </rPr>
      <t>板橋四維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建築</t>
    </r>
    <r>
      <rPr>
        <sz val="12"/>
        <color rgb="FF000000"/>
        <rFont val="Calibri"/>
        <family val="2"/>
      </rPr>
      <t xml:space="preserve"> </t>
    </r>
  </si>
  <si>
    <r>
      <rPr>
        <sz val="12"/>
        <color rgb="FF000000"/>
        <rFont val="微軟正黑體"/>
        <family val="2"/>
        <charset val="136"/>
      </rPr>
      <t>台中新美齊</t>
    </r>
  </si>
  <si>
    <r>
      <rPr>
        <sz val="12"/>
        <color rgb="FF000000"/>
        <rFont val="微軟正黑體"/>
        <family val="2"/>
        <charset val="136"/>
      </rPr>
      <t>南機二區</t>
    </r>
    <r>
      <rPr>
        <sz val="12"/>
        <color rgb="FF000000"/>
        <rFont val="Calibri"/>
        <family val="2"/>
      </rPr>
      <t>BIM</t>
    </r>
    <r>
      <rPr>
        <sz val="12"/>
        <color rgb="FF000000"/>
        <rFont val="微軟正黑體"/>
        <family val="2"/>
        <charset val="136"/>
      </rPr>
      <t>服務</t>
    </r>
  </si>
  <si>
    <r>
      <rPr>
        <sz val="12"/>
        <color rgb="FF000000"/>
        <rFont val="微軟正黑體"/>
        <family val="2"/>
        <charset val="136"/>
      </rPr>
      <t>璞真南港總部</t>
    </r>
  </si>
  <si>
    <r>
      <rPr>
        <sz val="12"/>
        <color rgb="FF000000"/>
        <rFont val="微軟正黑體"/>
        <family val="2"/>
        <charset val="136"/>
      </rPr>
      <t>築源南港</t>
    </r>
  </si>
  <si>
    <r>
      <rPr>
        <sz val="12"/>
        <color rgb="FF000000"/>
        <rFont val="微軟正黑體"/>
        <family val="2"/>
        <charset val="136"/>
      </rPr>
      <t>南港三重</t>
    </r>
  </si>
  <si>
    <r>
      <rPr>
        <sz val="12"/>
        <color rgb="FF0000FF"/>
        <rFont val="微軟正黑體"/>
        <family val="2"/>
        <charset val="136"/>
      </rPr>
      <t>台中楓溪</t>
    </r>
  </si>
  <si>
    <t>20261231完比法應調減收入金額</t>
    <phoneticPr fontId="108" type="noConversion"/>
  </si>
  <si>
    <t>貼到預算檔案</t>
    <phoneticPr fontId="108" type="noConversion"/>
  </si>
  <si>
    <t>2032</t>
  </si>
  <si>
    <t>負債準備-建築</t>
    <phoneticPr fontId="108" type="noConversion"/>
  </si>
  <si>
    <t>check各月完比表"本月收入"</t>
  </si>
  <si>
    <t>1</t>
    <phoneticPr fontId="101" type="noConversion"/>
  </si>
  <si>
    <t>2</t>
  </si>
  <si>
    <r>
      <rPr>
        <sz val="12"/>
        <color theme="1"/>
        <rFont val="微軟正黑體"/>
        <family val="2"/>
        <charset val="136"/>
      </rPr>
      <t>修正日期</t>
    </r>
    <r>
      <rPr>
        <sz val="12"/>
        <color theme="1"/>
        <rFont val="Calibri"/>
        <family val="2"/>
      </rPr>
      <t>:2026.10.2</t>
    </r>
    <phoneticPr fontId="104" type="noConversion"/>
  </si>
  <si>
    <r>
      <rPr>
        <b/>
        <sz val="12"/>
        <rFont val="微軟正黑體"/>
        <family val="2"/>
        <charset val="136"/>
      </rPr>
      <t>累計至</t>
    </r>
    <r>
      <rPr>
        <b/>
        <sz val="12"/>
        <rFont val="Calibri"/>
        <family val="2"/>
      </rPr>
      <t xml:space="preserve">  Cum. To 2028/12 FCST</t>
    </r>
    <phoneticPr fontId="145" type="noConversion"/>
  </si>
  <si>
    <r>
      <t xml:space="preserve">TOD MEP  GP% 10% </t>
    </r>
    <r>
      <rPr>
        <sz val="12"/>
        <rFont val="Microsoft JhengHei"/>
        <family val="2"/>
      </rPr>
      <t>原因</t>
    </r>
    <phoneticPr fontId="108" type="noConversion"/>
  </si>
  <si>
    <r>
      <t>1.</t>
    </r>
    <r>
      <rPr>
        <sz val="12"/>
        <color theme="1"/>
        <rFont val="微軟正黑體"/>
        <family val="2"/>
        <charset val="136"/>
      </rPr>
      <t>管線預裁切</t>
    </r>
    <r>
      <rPr>
        <sz val="12"/>
        <color theme="1"/>
        <rFont val="Calibri"/>
        <family val="2"/>
      </rPr>
      <t>,</t>
    </r>
    <r>
      <rPr>
        <sz val="12"/>
        <color theme="1"/>
        <rFont val="微軟正黑體"/>
        <family val="2"/>
        <charset val="136"/>
      </rPr>
      <t>修改頻繁</t>
    </r>
    <r>
      <rPr>
        <sz val="12"/>
        <color theme="1"/>
        <rFont val="Calibri"/>
        <family val="2"/>
      </rPr>
      <t>:</t>
    </r>
    <r>
      <rPr>
        <sz val="12"/>
        <color theme="1"/>
        <rFont val="微軟正黑體"/>
        <family val="2"/>
        <charset val="136"/>
      </rPr>
      <t>消防管預裁切的部分沒有包含在模組化裡面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那個部分方案調整了好幾次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我們重做好幾次</t>
    </r>
    <r>
      <rPr>
        <sz val="12"/>
        <color theme="1"/>
        <rFont val="Calibri"/>
        <family val="2"/>
      </rPr>
      <t xml:space="preserve">  </t>
    </r>
    <r>
      <rPr>
        <sz val="12"/>
        <color theme="1"/>
        <rFont val="微軟正黑體"/>
        <family val="2"/>
        <charset val="136"/>
      </rPr>
      <t>浪費了不少成本</t>
    </r>
    <phoneticPr fontId="108" type="noConversion"/>
  </si>
  <si>
    <r>
      <t>2.</t>
    </r>
    <r>
      <rPr>
        <sz val="12"/>
        <rFont val="微軟正黑體"/>
        <family val="2"/>
        <charset val="136"/>
      </rPr>
      <t>非模組化工作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因模組化的原因</t>
    </r>
    <r>
      <rPr>
        <sz val="12"/>
        <rFont val="Calibri"/>
        <family val="2"/>
      </rPr>
      <t>,</t>
    </r>
    <r>
      <rPr>
        <sz val="12"/>
        <rFont val="微軟正黑體"/>
        <family val="2"/>
        <charset val="136"/>
      </rPr>
      <t>增加工作</t>
    </r>
    <phoneticPr fontId="108" type="noConversion"/>
  </si>
  <si>
    <r>
      <t>3.</t>
    </r>
    <r>
      <rPr>
        <sz val="12"/>
        <color theme="1"/>
        <rFont val="Microsoft JhengHei"/>
        <family val="2"/>
        <charset val="136"/>
      </rPr>
      <t>此為統包案, 設計階段成本超出當初預期</t>
    </r>
    <phoneticPr fontId="108" type="noConversion"/>
  </si>
  <si>
    <r>
      <rPr>
        <sz val="12"/>
        <rFont val="Microsoft JhengHei"/>
        <family val="2"/>
      </rPr>
      <t xml:space="preserve">台中洲際 / </t>
    </r>
    <r>
      <rPr>
        <sz val="12"/>
        <rFont val="微軟正黑體"/>
        <family val="2"/>
        <charset val="136"/>
      </rPr>
      <t>大直金泰</t>
    </r>
    <r>
      <rPr>
        <sz val="12"/>
        <rFont val="Calibri"/>
        <family val="2"/>
      </rPr>
      <t xml:space="preserve"> GP%</t>
    </r>
    <r>
      <rPr>
        <sz val="12"/>
        <rFont val="Microsoft JhengHei"/>
        <family val="2"/>
      </rPr>
      <t>低</t>
    </r>
    <r>
      <rPr>
        <sz val="12"/>
        <rFont val="Calibri"/>
        <family val="2"/>
      </rPr>
      <t>_</t>
    </r>
    <r>
      <rPr>
        <sz val="12"/>
        <rFont val="Microsoft JhengHei"/>
        <family val="2"/>
      </rPr>
      <t>因承攬金額低,以</t>
    </r>
    <r>
      <rPr>
        <sz val="12"/>
        <rFont val="Calibri"/>
        <family val="2"/>
      </rPr>
      <t>4</t>
    </r>
    <r>
      <rPr>
        <sz val="12"/>
        <rFont val="細明體"/>
        <family val="2"/>
        <charset val="136"/>
      </rPr>
      <t>案</t>
    </r>
    <r>
      <rPr>
        <sz val="12"/>
        <rFont val="Calibri"/>
        <family val="2"/>
      </rPr>
      <t>$800</t>
    </r>
    <r>
      <rPr>
        <sz val="12"/>
        <rFont val="Microsoft JhengHei"/>
        <family val="2"/>
      </rPr>
      <t>萬承攬</t>
    </r>
    <phoneticPr fontId="108" type="noConversion"/>
  </si>
  <si>
    <r>
      <rPr>
        <sz val="12"/>
        <color theme="1"/>
        <rFont val="微軟正黑體"/>
        <family val="2"/>
        <charset val="136"/>
      </rPr>
      <t>南機二區</t>
    </r>
    <r>
      <rPr>
        <sz val="12"/>
        <color theme="1"/>
        <rFont val="Calibri"/>
        <family val="2"/>
      </rPr>
      <t>GP%</t>
    </r>
    <r>
      <rPr>
        <sz val="12"/>
        <color theme="1"/>
        <rFont val="Microsoft JhengHei"/>
        <family val="2"/>
      </rPr>
      <t>低</t>
    </r>
    <r>
      <rPr>
        <sz val="12"/>
        <color theme="1"/>
        <rFont val="Calibri"/>
        <family val="2"/>
      </rPr>
      <t>_</t>
    </r>
    <r>
      <rPr>
        <sz val="12"/>
        <color theme="1"/>
        <rFont val="Microsoft JhengHei"/>
        <family val="2"/>
      </rPr>
      <t>委外收入無毛率</t>
    </r>
    <phoneticPr fontId="108" type="noConversion"/>
  </si>
  <si>
    <r>
      <rPr>
        <sz val="12"/>
        <color theme="1"/>
        <rFont val="微軟正黑體"/>
        <family val="2"/>
        <charset val="136"/>
      </rPr>
      <t>雜項</t>
    </r>
    <r>
      <rPr>
        <sz val="12"/>
        <color theme="1"/>
        <rFont val="Calibri"/>
        <family val="2"/>
      </rPr>
      <t>BIM</t>
    </r>
    <r>
      <rPr>
        <sz val="12"/>
        <color theme="1"/>
        <rFont val="微軟正黑體"/>
        <family val="2"/>
        <charset val="136"/>
      </rPr>
      <t>土木機電</t>
    </r>
  </si>
  <si>
    <r>
      <rPr>
        <sz val="12"/>
        <color rgb="FF9900CC"/>
        <rFont val="微軟正黑體"/>
        <family val="2"/>
        <charset val="136"/>
      </rPr>
      <t>備標作業</t>
    </r>
    <r>
      <rPr>
        <sz val="12"/>
        <color rgb="FF9900CC"/>
        <rFont val="Calibri"/>
        <family val="2"/>
      </rPr>
      <t>BIM</t>
    </r>
    <r>
      <rPr>
        <sz val="12"/>
        <color rgb="FF9900CC"/>
        <rFont val="微軟正黑體"/>
        <family val="2"/>
        <charset val="136"/>
      </rPr>
      <t>建築</t>
    </r>
  </si>
  <si>
    <t>SAP</t>
    <phoneticPr fontId="101" type="noConversion"/>
  </si>
  <si>
    <t>diff</t>
    <phoneticPr fontId="101" type="noConversion"/>
  </si>
  <si>
    <t>收入成本表累計至20260831</t>
    <phoneticPr fontId="101" type="noConversion"/>
  </si>
  <si>
    <t>C/99993</t>
    <phoneticPr fontId="101" type="noConversion"/>
  </si>
  <si>
    <t>C/9999B</t>
    <phoneticPr fontId="101" type="noConversion"/>
  </si>
  <si>
    <t>C/9999D</t>
    <phoneticPr fontId="101" type="noConversion"/>
  </si>
  <si>
    <t>C/9210F</t>
    <phoneticPr fontId="101" type="noConversion"/>
  </si>
  <si>
    <t>FA報表累計到20260831</t>
    <phoneticPr fontId="101" type="noConversion"/>
  </si>
  <si>
    <t>因為收入成本表不放雜項備標以前累計數</t>
    <phoneticPr fontId="101" type="noConversion"/>
  </si>
  <si>
    <t>已核對7571800等於SAP截至2025/12/31 C/99992+C/99993+C/9999B+C/99999D</t>
    <phoneticPr fontId="101" type="noConversion"/>
  </si>
  <si>
    <t>6</t>
    <phoneticPr fontId="101" type="noConversion"/>
  </si>
  <si>
    <t>ELIA</t>
    <phoneticPr fontId="101" type="noConversion"/>
  </si>
  <si>
    <t>BIM</t>
    <phoneticPr fontId="101" type="noConversion"/>
  </si>
  <si>
    <t>雜項</t>
    <phoneticPr fontId="101" type="noConversion"/>
  </si>
  <si>
    <t>3</t>
    <phoneticPr fontId="101" type="noConversion"/>
  </si>
  <si>
    <t>4</t>
    <phoneticPr fontId="101" type="noConversion"/>
  </si>
  <si>
    <r>
      <t>1.POC</t>
    </r>
    <r>
      <rPr>
        <b/>
        <sz val="12"/>
        <color theme="1"/>
        <rFont val="Microsoft JhengHei"/>
        <family val="2"/>
      </rPr>
      <t>內部計價</t>
    </r>
    <phoneticPr fontId="101" type="noConversion"/>
  </si>
  <si>
    <r>
      <t>2.POC</t>
    </r>
    <r>
      <rPr>
        <sz val="12"/>
        <color theme="1"/>
        <rFont val="Microsoft JhengHei"/>
        <family val="2"/>
      </rPr>
      <t>外部計價</t>
    </r>
    <phoneticPr fontId="101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</si>
  <si>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細明體"/>
        <family val="2"/>
        <charset val="136"/>
      </rPr>
      <t>雜項</t>
    </r>
    <r>
      <rPr>
        <sz val="12"/>
        <color theme="1"/>
        <rFont val="Calibri"/>
        <family val="2"/>
      </rPr>
      <t>)</t>
    </r>
    <phoneticPr fontId="101" type="noConversion"/>
  </si>
  <si>
    <r>
      <t>4.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計價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101" type="noConversion"/>
  </si>
  <si>
    <t>46110050</t>
  </si>
  <si>
    <t>46110050勞務收入-內部計價</t>
    <phoneticPr fontId="101" type="noConversion"/>
  </si>
  <si>
    <t>12872012公司內部往來-TO &amp; BIM</t>
    <phoneticPr fontId="101" type="noConversion"/>
  </si>
  <si>
    <t>2264預收工程款</t>
    <phoneticPr fontId="101" type="noConversion"/>
  </si>
  <si>
    <t>TBU</t>
    <phoneticPr fontId="101" type="noConversion"/>
  </si>
  <si>
    <t>63670100工程工務所費用-其他費用</t>
    <phoneticPr fontId="145" type="noConversion"/>
  </si>
  <si>
    <t>12872012公司內部往來-TO &amp; BIM</t>
    <phoneticPr fontId="145" type="noConversion"/>
  </si>
  <si>
    <t>ELIA內部沖銷</t>
  </si>
  <si>
    <t>預收工程款</t>
    <phoneticPr fontId="101" type="noConversion"/>
  </si>
  <si>
    <t>22640000預收工程款</t>
    <phoneticPr fontId="101" type="noConversion"/>
  </si>
  <si>
    <t>55110095承攬工程成本-其他</t>
    <phoneticPr fontId="101" type="noConversion"/>
  </si>
  <si>
    <t>1103xxxx</t>
  </si>
  <si>
    <t>1103銀行存款</t>
    <phoneticPr fontId="101" type="noConversion"/>
  </si>
  <si>
    <t>1103XXXX銀行存款</t>
    <phoneticPr fontId="101" type="noConversion"/>
  </si>
  <si>
    <t>62370099勞務費-收回投標費</t>
    <phoneticPr fontId="101" type="noConversion"/>
  </si>
  <si>
    <r>
      <t>5.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內部、雜項</t>
    </r>
    <r>
      <rPr>
        <sz val="12"/>
        <color theme="1"/>
        <rFont val="Calibri"/>
        <family val="2"/>
      </rPr>
      <t>)</t>
    </r>
    <phoneticPr fontId="101" type="noConversion"/>
  </si>
  <si>
    <r>
      <t>6.</t>
    </r>
    <r>
      <rPr>
        <sz val="12"/>
        <color theme="1"/>
        <rFont val="Calibri"/>
        <family val="2"/>
      </rPr>
      <t>TBU</t>
    </r>
    <r>
      <rPr>
        <sz val="12"/>
        <color theme="1"/>
        <rFont val="Microsoft JhengHei"/>
        <family val="2"/>
      </rPr>
      <t>認列成本</t>
    </r>
    <r>
      <rPr>
        <sz val="12"/>
        <color theme="1"/>
        <rFont val="Calibri"/>
        <family val="2"/>
        <charset val="1"/>
      </rPr>
      <t>(</t>
    </r>
    <r>
      <rPr>
        <sz val="12"/>
        <color theme="1"/>
        <rFont val="Microsoft JhengHei"/>
        <family val="2"/>
      </rPr>
      <t>備標</t>
    </r>
    <r>
      <rPr>
        <sz val="12"/>
        <color theme="1"/>
        <rFont val="Calibri"/>
        <family val="2"/>
      </rPr>
      <t>)</t>
    </r>
    <phoneticPr fontId="101" type="noConversion"/>
  </si>
  <si>
    <t>62370030勞務費-其他</t>
    <phoneticPr fontId="145" type="noConversion"/>
  </si>
  <si>
    <t>7.ELIA內部沖銷</t>
    <phoneticPr fontId="101" type="noConversion"/>
  </si>
  <si>
    <t>8.ELIA雜項沖銷</t>
    <phoneticPr fontId="101" type="noConversion"/>
  </si>
  <si>
    <t>9.ELIA備標沖銷</t>
    <phoneticPr fontId="101" type="noConversion"/>
  </si>
  <si>
    <t>10.BIM收取AR(外部)</t>
    <phoneticPr fontId="101" type="noConversion"/>
  </si>
  <si>
    <t>12872012 公司內部往來-TO &amp; BIM</t>
  </si>
  <si>
    <t>2214 銷項稅額</t>
  </si>
  <si>
    <t>1103 銀行存款</t>
  </si>
  <si>
    <t>46110050 勞務收入-內部計價</t>
  </si>
  <si>
    <t>在建損益-承攬案</t>
  </si>
  <si>
    <r>
      <rPr>
        <sz val="12"/>
        <color theme="1"/>
        <rFont val="微軟正黑體"/>
        <family val="2"/>
        <charset val="136"/>
      </rPr>
      <t>入</t>
    </r>
    <r>
      <rPr>
        <sz val="12"/>
        <color theme="1"/>
        <rFont val="Calibri"/>
        <family val="2"/>
      </rPr>
      <t>BS</t>
    </r>
    <phoneticPr fontId="104" type="noConversion"/>
  </si>
  <si>
    <t>本期損益</t>
  </si>
  <si>
    <r>
      <rPr>
        <sz val="12"/>
        <rFont val="細明體"/>
        <family val="3"/>
        <charset val="136"/>
      </rPr>
      <t>銷項</t>
    </r>
    <r>
      <rPr>
        <sz val="12"/>
        <rFont val="Calibri"/>
        <family val="2"/>
        <charset val="1"/>
      </rPr>
      <t xml:space="preserve">-1264 </t>
    </r>
    <r>
      <rPr>
        <sz val="12"/>
        <rFont val="細明體"/>
        <family val="3"/>
        <charset val="136"/>
      </rPr>
      <t>進項</t>
    </r>
    <phoneticPr fontId="101" type="noConversion"/>
  </si>
  <si>
    <t>63810030</t>
  </si>
  <si>
    <t>在建工程</t>
    <phoneticPr fontId="101" type="noConversion"/>
  </si>
  <si>
    <t>工程費用轉在建工程</t>
    <phoneticPr fontId="101" type="noConversion"/>
  </si>
  <si>
    <t>承攬工程收入</t>
  </si>
  <si>
    <t>承攬工程成本</t>
  </si>
  <si>
    <t>55/56xxxxxx</t>
  </si>
  <si>
    <t>專案成本</t>
  </si>
  <si>
    <t>62XXXXXXX</t>
    <phoneticPr fontId="101" type="noConversion"/>
  </si>
  <si>
    <t>辦公室費用(電腦/勞務分攤)</t>
    <phoneticPr fontId="101" type="noConversion"/>
  </si>
  <si>
    <r>
      <t>3.</t>
    </r>
    <r>
      <rPr>
        <sz val="12"/>
        <color theme="1"/>
        <rFont val="Microsoft JhengHei"/>
        <family val="2"/>
      </rPr>
      <t>非</t>
    </r>
    <r>
      <rPr>
        <sz val="12"/>
        <color theme="1"/>
        <rFont val="Calibri"/>
        <family val="2"/>
      </rPr>
      <t>POC</t>
    </r>
    <r>
      <rPr>
        <sz val="12"/>
        <color theme="1"/>
        <rFont val="Microsoft JhengHei"/>
        <family val="2"/>
      </rPr>
      <t>成本、收入認列</t>
    </r>
    <r>
      <rPr>
        <sz val="12"/>
        <color theme="1"/>
        <rFont val="Calibri"/>
        <family val="2"/>
      </rPr>
      <t>(</t>
    </r>
    <r>
      <rPr>
        <sz val="12"/>
        <color theme="1"/>
        <rFont val="Microsoft JhengHei"/>
        <family val="2"/>
      </rPr>
      <t>雜項、備標</t>
    </r>
    <r>
      <rPr>
        <sz val="12"/>
        <color theme="1"/>
        <rFont val="Calibri"/>
        <family val="2"/>
      </rPr>
      <t>)</t>
    </r>
    <phoneticPr fontId="101" type="noConversion"/>
  </si>
  <si>
    <t>公司內部往來-TO &amp; BIM</t>
    <phoneticPr fontId="101" type="noConversion"/>
  </si>
  <si>
    <t>勞務收入-內部計價</t>
    <phoneticPr fontId="101" type="noConversion"/>
  </si>
  <si>
    <t>POC法</t>
    <phoneticPr fontId="101" type="noConversion"/>
  </si>
  <si>
    <t>非POC</t>
    <phoneticPr fontId="101" type="noConversion"/>
  </si>
  <si>
    <t>專案成本</t>
    <phoneticPr fontId="101" type="noConversion"/>
  </si>
  <si>
    <t>營業毛利</t>
    <phoneticPr fontId="101" type="noConversion"/>
  </si>
  <si>
    <r>
      <t>1.</t>
    </r>
    <r>
      <rPr>
        <sz val="12"/>
        <color theme="1"/>
        <rFont val="Calibri"/>
        <family val="2"/>
      </rPr>
      <t>BIM</t>
    </r>
    <r>
      <rPr>
        <sz val="12"/>
        <color theme="1"/>
        <rFont val="細明體"/>
        <family val="2"/>
        <charset val="136"/>
      </rPr>
      <t>月底結轉在建</t>
    </r>
    <phoneticPr fontId="101" type="noConversion"/>
  </si>
  <si>
    <t>ELIA備標費用沖銷</t>
    <phoneticPr fontId="101" type="noConversion"/>
  </si>
  <si>
    <t>ELIA備標計價收入沖銷</t>
    <phoneticPr fontId="101" type="noConversion"/>
  </si>
  <si>
    <t>勞務費-收回投標費</t>
  </si>
  <si>
    <t>62370099</t>
  </si>
  <si>
    <r>
      <t xml:space="preserve">2264 </t>
    </r>
    <r>
      <rPr>
        <sz val="12"/>
        <rFont val="Noto Sans CJK SC"/>
        <family val="2"/>
      </rPr>
      <t>預收工程款</t>
    </r>
  </si>
  <si>
    <t>2143應付帳款</t>
    <phoneticPr fontId="101" type="noConversion"/>
  </si>
  <si>
    <r>
      <rPr>
        <sz val="12"/>
        <color theme="1"/>
        <rFont val="微軟正黑體"/>
        <family val="2"/>
        <charset val="136"/>
      </rPr>
      <t>2560負債準備</t>
    </r>
    <r>
      <rPr>
        <sz val="12"/>
        <color theme="1"/>
        <rFont val="Calibri"/>
        <family val="2"/>
        <charset val="1"/>
      </rPr>
      <t>-</t>
    </r>
    <r>
      <rPr>
        <sz val="12"/>
        <color theme="1"/>
        <rFont val="微軟正黑體"/>
        <family val="2"/>
        <charset val="136"/>
      </rPr>
      <t>在建損失</t>
    </r>
    <phoneticPr fontId="101" type="noConversion"/>
  </si>
  <si>
    <r>
      <rPr>
        <sz val="12"/>
        <rFont val="Calibri"/>
        <family val="2"/>
        <charset val="1"/>
      </rPr>
      <t xml:space="preserve">1170 </t>
    </r>
    <r>
      <rPr>
        <sz val="12"/>
        <rFont val="Noto Sans CJK SC"/>
        <family val="2"/>
      </rPr>
      <t>應收帳款淨額</t>
    </r>
    <phoneticPr fontId="145" type="noConversion"/>
  </si>
  <si>
    <t>12872012</t>
    <phoneticPr fontId="10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</si>
</sst>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176" formatCode="#,##0_);[Red]\(#,##0\)"/>
    <numFmt numFmtId="177" formatCode="[$-409]d\-mmm\-yy;@"/>
    <numFmt numFmtId="178" formatCode="mmm\-yyyy"/>
    <numFmt numFmtId="179" formatCode="#,##0_ ;[Red]\-#,##0\ "/>
    <numFmt numFmtId="180" formatCode="#,##0_);\(#,##0\)"/>
    <numFmt numFmtId="181" formatCode="_-* #,##0.00_-;\-* #,##0.00_-;_-* \-??_-;_-@_-"/>
    <numFmt numFmtId="182" formatCode="#,##0.0_);[Red]\(#,##0.0\)"/>
    <numFmt numFmtId="183" formatCode="#,##0.00_);[Red]\(#,##0.00\)"/>
    <numFmt numFmtId="184" formatCode="0.0%"/>
    <numFmt numFmtId="185" formatCode="#,##0_ "/>
    <numFmt numFmtId="186" formatCode="0_);[Red]\(0\)"/>
    <numFmt numFmtId="187" formatCode="mm&quot;月&quot;"/>
    <numFmt numFmtId="188" formatCode="yyyy&quot;年&quot;"/>
    <numFmt numFmtId="189" formatCode="yyyy/mm"/>
    <numFmt numFmtId="190" formatCode="_-* #,##0_-;[Red]\-#,##0_-;_-* &quot;-&quot;_-;_-@_-"/>
    <numFmt numFmtId="191" formatCode="[$-409]mmmmm\-yy;@"/>
    <numFmt numFmtId="192" formatCode="_-* #,##0_-;\-* #,##0_-;_-* &quot;-&quot;??_-;_-@_-"/>
    <numFmt numFmtId="193" formatCode="_-* #,##0.0_-;\-* #,##0.0_-;_-* &quot;-&quot;??_-;_-@_-"/>
    <numFmt numFmtId="194" formatCode="0_ ;[Red]\-0\ "/>
    <numFmt numFmtId="195" formatCode="0&quot;月&quot;"/>
    <numFmt numFmtId="196" formatCode="yyyy"/>
    <numFmt numFmtId="197" formatCode="#,##0.0_ "/>
    <numFmt numFmtId="198" formatCode="yyyy\ /\ mm"/>
    <numFmt numFmtId="200" formatCode="#,##0;\-#,##0;&quot;-&quot;"/>
  </numFmts>
  <fonts count="229">
    <font>
      <sz val="12"/>
      <color theme="1"/>
      <name val="新細明體"/>
      <family val="2"/>
      <charset val="136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theme="1"/>
      <name val="Noto Sans CJK SC"/>
      <family val="2"/>
    </font>
    <font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rgb="FFC00000"/>
      <name val="Calibri"/>
      <family val="2"/>
      <charset val="1"/>
    </font>
    <font>
      <u/>
      <sz val="11"/>
      <color theme="1"/>
      <name val="Noto Sans CJK SC"/>
      <family val="2"/>
    </font>
    <font>
      <u/>
      <sz val="11"/>
      <color rgb="FF0000FF"/>
      <name val="Calibri"/>
      <family val="2"/>
      <charset val="1"/>
    </font>
    <font>
      <b/>
      <u/>
      <sz val="12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b/>
      <u/>
      <sz val="11"/>
      <color theme="1"/>
      <name val="Noto Sans CJK SC"/>
      <family val="2"/>
    </font>
    <font>
      <b/>
      <u/>
      <sz val="11"/>
      <color theme="1"/>
      <name val="Calibri"/>
      <family val="2"/>
      <charset val="1"/>
    </font>
    <font>
      <b/>
      <u/>
      <sz val="14"/>
      <color theme="1"/>
      <name val="Calibri"/>
      <family val="2"/>
      <charset val="1"/>
    </font>
    <font>
      <sz val="11"/>
      <color theme="1"/>
      <name val="Noto Sans CJK SC"/>
      <family val="2"/>
    </font>
    <font>
      <sz val="11"/>
      <color rgb="FF0000FF"/>
      <name val="Noto Sans CJK SC"/>
      <family val="2"/>
    </font>
    <font>
      <sz val="11"/>
      <color theme="1" tint="0.3498947111423078"/>
      <name val="Calibri"/>
      <family val="2"/>
      <charset val="1"/>
    </font>
    <font>
      <sz val="11"/>
      <color theme="1" tint="0.3498947111423078"/>
      <name val="Noto Sans CJK SC"/>
      <family val="2"/>
    </font>
    <font>
      <sz val="11"/>
      <color rgb="FF7030A0"/>
      <name val="Calibri"/>
      <family val="2"/>
      <charset val="1"/>
    </font>
    <font>
      <sz val="11"/>
      <color rgb="FF7030A0"/>
      <name val="Noto Sans CJK SC"/>
      <family val="2"/>
    </font>
    <font>
      <sz val="11"/>
      <name val="Calibri"/>
      <family val="2"/>
      <charset val="1"/>
    </font>
    <font>
      <sz val="11"/>
      <name val="Noto Sans CJK SC"/>
      <family val="2"/>
    </font>
    <font>
      <i/>
      <sz val="11"/>
      <name val="Calibri"/>
      <family val="2"/>
      <charset val="1"/>
    </font>
    <font>
      <b/>
      <sz val="11"/>
      <color theme="1"/>
      <name val="Noto Sans CJK SC"/>
      <family val="2"/>
    </font>
    <font>
      <b/>
      <u/>
      <sz val="14"/>
      <color theme="1"/>
      <name val="Noto Sans CJK SC"/>
      <family val="2"/>
    </font>
    <font>
      <b/>
      <sz val="11"/>
      <name val="Calibri"/>
      <family val="2"/>
      <charset val="1"/>
    </font>
    <font>
      <b/>
      <sz val="11"/>
      <name val="Noto Sans CJK SC"/>
      <family val="2"/>
    </font>
    <font>
      <b/>
      <sz val="14"/>
      <color rgb="FF0033CC"/>
      <name val="Calibri"/>
      <family val="2"/>
      <charset val="1"/>
    </font>
    <font>
      <sz val="11"/>
      <color theme="0" tint="-0.499984740745262"/>
      <name val="Calibri"/>
      <family val="2"/>
      <charset val="1"/>
    </font>
    <font>
      <b/>
      <u/>
      <sz val="14"/>
      <name val="Noto Sans CJK SC"/>
      <family val="2"/>
    </font>
    <font>
      <b/>
      <u/>
      <sz val="14"/>
      <name val="Calibri"/>
      <family val="2"/>
      <charset val="1"/>
    </font>
    <font>
      <b/>
      <sz val="11"/>
      <color rgb="FFC00000"/>
      <name val="Noto Sans CJK SC"/>
      <family val="2"/>
    </font>
    <font>
      <b/>
      <sz val="11"/>
      <color rgb="FFC00000"/>
      <name val="微軟正黑體"/>
      <family val="2"/>
      <charset val="136"/>
    </font>
    <font>
      <b/>
      <sz val="12"/>
      <name val="Noto Sans CJK SC"/>
      <family val="2"/>
    </font>
    <font>
      <b/>
      <sz val="12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FF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2"/>
      <name val="Calibri"/>
      <family val="2"/>
      <charset val="1"/>
    </font>
    <font>
      <sz val="11"/>
      <name val="細明體"/>
      <family val="3"/>
      <charset val="136"/>
    </font>
    <font>
      <b/>
      <sz val="9"/>
      <color rgb="FF000000"/>
      <name val="Noto Sans CJK SC"/>
      <family val="2"/>
    </font>
    <font>
      <b/>
      <sz val="9"/>
      <color rgb="FF000000"/>
      <name val="Tahoma"/>
      <family val="2"/>
      <charset val="1"/>
    </font>
    <font>
      <sz val="9"/>
      <color rgb="FF000000"/>
      <name val="Noto Sans CJK SC"/>
      <family val="2"/>
    </font>
    <font>
      <sz val="12"/>
      <color rgb="FF0070C0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2"/>
      <color theme="1"/>
      <name val="Microsoft JhengHei"/>
      <family val="2"/>
      <charset val="1"/>
    </font>
    <font>
      <b/>
      <sz val="12"/>
      <color theme="1"/>
      <name val="微軟正黑體"/>
      <family val="2"/>
      <charset val="136"/>
    </font>
    <font>
      <sz val="12"/>
      <color rgb="FF0070C0"/>
      <name val="Noto Sans CJK SC"/>
      <family val="2"/>
    </font>
    <font>
      <sz val="12"/>
      <color theme="1"/>
      <name val="微軟正黑體"/>
      <family val="2"/>
      <charset val="136"/>
    </font>
    <font>
      <sz val="12"/>
      <name val="Noto Sans CJK SC"/>
      <family val="2"/>
    </font>
    <font>
      <sz val="12"/>
      <color rgb="FFC00000"/>
      <name val="Calibri"/>
      <family val="2"/>
      <charset val="1"/>
    </font>
    <font>
      <b/>
      <sz val="12"/>
      <color rgb="FF0070C0"/>
      <name val="Calibri"/>
      <family val="2"/>
      <charset val="1"/>
    </font>
    <font>
      <sz val="12"/>
      <color theme="1"/>
      <name val="細明體"/>
      <family val="3"/>
      <charset val="136"/>
    </font>
    <font>
      <sz val="12"/>
      <color theme="0" tint="-0.499984740745262"/>
      <name val="Calibri"/>
      <family val="2"/>
      <charset val="1"/>
    </font>
    <font>
      <b/>
      <sz val="12"/>
      <color theme="0" tint="-0.499984740745262"/>
      <name val="Calibri"/>
      <family val="2"/>
      <charset val="1"/>
    </font>
    <font>
      <sz val="12"/>
      <color theme="0" tint="-0.499984740745262"/>
      <name val="Noto Sans CJK SC"/>
      <family val="2"/>
    </font>
    <font>
      <sz val="10"/>
      <name val="Noto Sans CJK SC"/>
      <family val="2"/>
    </font>
    <font>
      <sz val="12"/>
      <color rgb="FF000000"/>
      <name val="Tahoma"/>
      <family val="2"/>
      <charset val="1"/>
    </font>
    <font>
      <sz val="12"/>
      <color rgb="FF000000"/>
      <name val="Noto Sans CJK SC"/>
      <family val="2"/>
    </font>
    <font>
      <sz val="12"/>
      <color rgb="FF000000"/>
      <name val="新細明體"/>
      <family val="1"/>
      <charset val="136"/>
    </font>
    <font>
      <sz val="12"/>
      <color rgb="FF9933FF"/>
      <name val="細明體"/>
      <family val="3"/>
      <charset val="136"/>
    </font>
    <font>
      <b/>
      <sz val="12"/>
      <color theme="1"/>
      <name val="Noto Sans CJK SC"/>
      <family val="2"/>
    </font>
    <font>
      <sz val="12"/>
      <color rgb="FF0033CC"/>
      <name val="Calibri"/>
      <family val="2"/>
      <charset val="1"/>
    </font>
    <font>
      <sz val="12"/>
      <color rgb="FF7030A0"/>
      <name val="Calibri"/>
      <family val="2"/>
      <charset val="1"/>
    </font>
    <font>
      <sz val="12"/>
      <color rgb="FFC00000"/>
      <name val="Noto Sans CJK SC"/>
      <family val="2"/>
    </font>
    <font>
      <sz val="12"/>
      <color rgb="FF0000FF"/>
      <name val="Calibri"/>
      <family val="2"/>
      <charset val="1"/>
    </font>
    <font>
      <b/>
      <sz val="12"/>
      <color rgb="FFC00000"/>
      <name val="Noto Sans CJK SC"/>
      <family val="2"/>
    </font>
    <font>
      <sz val="12"/>
      <color rgb="FFFF0000"/>
      <name val="Calibri"/>
      <family val="2"/>
      <charset val="1"/>
    </font>
    <font>
      <sz val="12"/>
      <name val="Calibri"/>
      <family val="3"/>
      <charset val="136"/>
    </font>
    <font>
      <sz val="12"/>
      <color theme="1"/>
      <name val="Calibri"/>
      <family val="2"/>
      <charset val="136"/>
    </font>
    <font>
      <b/>
      <sz val="12"/>
      <name val="細明體"/>
      <family val="3"/>
      <charset val="136"/>
    </font>
    <font>
      <sz val="14"/>
      <color theme="1"/>
      <name val="Calibri"/>
      <family val="2"/>
      <charset val="1"/>
    </font>
    <font>
      <sz val="12"/>
      <color rgb="FF0000FF"/>
      <name val="Noto Sans CJK SC"/>
      <family val="2"/>
    </font>
    <font>
      <sz val="12"/>
      <color rgb="FF9933FF"/>
      <name val="Calibri"/>
      <family val="2"/>
      <charset val="1"/>
    </font>
    <font>
      <sz val="12"/>
      <color rgb="FF0000FF"/>
      <name val="細明體"/>
      <family val="3"/>
      <charset val="136"/>
    </font>
    <font>
      <sz val="12"/>
      <name val="細明體"/>
      <family val="3"/>
      <charset val="136"/>
    </font>
    <font>
      <b/>
      <sz val="12"/>
      <color rgb="FF0033CC"/>
      <name val="Calibri"/>
      <family val="2"/>
      <charset val="1"/>
    </font>
    <font>
      <b/>
      <sz val="12"/>
      <color rgb="FF0033CC"/>
      <name val="Noto Sans CJK SC"/>
      <family val="2"/>
    </font>
    <font>
      <sz val="12"/>
      <color theme="9" tint="-0.249977111117893"/>
      <name val="Calibri"/>
      <family val="2"/>
      <charset val="1"/>
    </font>
    <font>
      <sz val="12"/>
      <color theme="9" tint="-0.249977111117893"/>
      <name val="Noto Sans CJK SC"/>
      <family val="2"/>
    </font>
    <font>
      <sz val="12"/>
      <name val="微軟正黑體"/>
      <family val="2"/>
      <charset val="136"/>
    </font>
    <font>
      <sz val="12"/>
      <color theme="0" tint="-0.34998626667073579"/>
      <name val="Calibri"/>
      <family val="2"/>
      <charset val="1"/>
    </font>
    <font>
      <sz val="12"/>
      <color rgb="FF00B0F0"/>
      <name val="Calibri"/>
      <family val="2"/>
      <charset val="1"/>
    </font>
    <font>
      <b/>
      <sz val="12"/>
      <color rgb="FFC00000"/>
      <name val="細明體"/>
      <family val="3"/>
      <charset val="136"/>
    </font>
    <font>
      <sz val="9"/>
      <color rgb="FF000000"/>
      <name val="Tahoma"/>
      <family val="2"/>
      <charset val="1"/>
    </font>
    <font>
      <sz val="12"/>
      <color theme="9" tint="-0.499984740745262"/>
      <name val="Noto Sans CJK SC"/>
      <family val="2"/>
    </font>
    <font>
      <b/>
      <sz val="12"/>
      <color rgb="FF000000"/>
      <name val="Noto Sans CJK SC"/>
      <family val="2"/>
    </font>
    <font>
      <b/>
      <sz val="12"/>
      <color rgb="FF000000"/>
      <name val="Tahoma"/>
      <family val="2"/>
      <charset val="1"/>
    </font>
    <font>
      <b/>
      <sz val="12"/>
      <color rgb="FF000000"/>
      <name val="細明體"/>
      <family val="3"/>
      <charset val="136"/>
    </font>
    <font>
      <b/>
      <sz val="12"/>
      <color rgb="FFC00000"/>
      <name val="微軟正黑體"/>
      <family val="2"/>
      <charset val="136"/>
    </font>
    <font>
      <b/>
      <u/>
      <sz val="12"/>
      <name val="Noto Sans CJK SC"/>
      <family val="2"/>
    </font>
    <font>
      <u/>
      <sz val="12"/>
      <color theme="0" tint="-0.499984740745262"/>
      <name val="Calibri"/>
      <family val="2"/>
      <charset val="1"/>
    </font>
    <font>
      <sz val="12"/>
      <color theme="0" tint="-0.499984740745262"/>
      <name val="微軟正黑體"/>
      <family val="2"/>
      <charset val="136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</font>
    <font>
      <b/>
      <sz val="14"/>
      <name val="Calibri"/>
      <family val="2"/>
    </font>
    <font>
      <b/>
      <sz val="14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color rgb="FFFF0000"/>
      <name val="Calibri"/>
      <family val="2"/>
    </font>
    <font>
      <b/>
      <sz val="12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4"/>
      <name val="Calibri"/>
      <family val="2"/>
    </font>
    <font>
      <sz val="16"/>
      <name val="標楷體"/>
      <family val="4"/>
      <charset val="136"/>
    </font>
    <font>
      <b/>
      <u val="singleAccounting"/>
      <sz val="12"/>
      <name val="Calibri"/>
      <family val="2"/>
    </font>
    <font>
      <b/>
      <u/>
      <sz val="12"/>
      <name val="Calibri"/>
      <family val="2"/>
    </font>
    <font>
      <sz val="12"/>
      <color rgb="FF00B050"/>
      <name val="Calibri"/>
      <family val="2"/>
    </font>
    <font>
      <sz val="12"/>
      <color rgb="FF00B050"/>
      <name val="細明體"/>
      <family val="3"/>
      <charset val="136"/>
    </font>
    <font>
      <sz val="12"/>
      <color rgb="FF00B050"/>
      <name val="微軟正黑體"/>
      <family val="2"/>
      <charset val="136"/>
    </font>
    <font>
      <sz val="12"/>
      <color rgb="FF00B050"/>
      <name val="Calibri"/>
      <family val="3"/>
    </font>
    <font>
      <sz val="12"/>
      <color rgb="FF0000FF"/>
      <name val="Calibri"/>
      <family val="2"/>
    </font>
    <font>
      <sz val="12"/>
      <color rgb="FF0000FF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z val="12"/>
      <color rgb="FFC00000"/>
      <name val="Microsoft JhengHei"/>
      <family val="2"/>
      <charset val="136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2"/>
      <color rgb="FF92D050"/>
      <name val="Calibri"/>
      <family val="2"/>
    </font>
    <font>
      <sz val="12"/>
      <color theme="1"/>
      <name val="Microsoft JhengHei"/>
      <family val="2"/>
      <charset val="136"/>
    </font>
    <font>
      <sz val="14"/>
      <name val="Calibri"/>
      <family val="2"/>
    </font>
    <font>
      <b/>
      <sz val="14"/>
      <color rgb="FF0000FF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0" tint="-0.499984740745262"/>
      <name val="Calibri"/>
      <family val="2"/>
    </font>
    <font>
      <sz val="12"/>
      <color theme="0" tint="-0.499984740745262"/>
      <name val="新細明體"/>
      <family val="2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Calibri"/>
      <family val="2"/>
      <charset val="136"/>
    </font>
    <font>
      <sz val="12"/>
      <color rgb="FF00B050"/>
      <name val="Calibri"/>
      <family val="2"/>
      <charset val="136"/>
    </font>
    <font>
      <sz val="12"/>
      <color rgb="FF00B050"/>
      <name val="Microsoft JhengHei"/>
      <family val="3"/>
    </font>
    <font>
      <sz val="12"/>
      <color rgb="FFC00000"/>
      <name val="Calibri"/>
      <family val="2"/>
      <charset val="136"/>
    </font>
    <font>
      <sz val="12"/>
      <color rgb="FF00B050"/>
      <name val="Microsoft JhengHei"/>
      <family val="2"/>
    </font>
    <font>
      <sz val="12"/>
      <color rgb="FFFF0000"/>
      <name val="微軟正黑體"/>
      <family val="2"/>
      <charset val="136"/>
    </font>
    <font>
      <sz val="10"/>
      <color indexed="8"/>
      <name val="Arial Narrow"/>
      <family val="2"/>
    </font>
    <font>
      <sz val="9"/>
      <name val="標楷體"/>
      <family val="2"/>
      <charset val="136"/>
    </font>
    <font>
      <b/>
      <sz val="12"/>
      <color rgb="FF00B050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rgb="FF0066FF"/>
      <name val="Calibri"/>
      <family val="2"/>
    </font>
    <font>
      <b/>
      <sz val="12"/>
      <color rgb="FF0000FF"/>
      <name val="微軟正黑體"/>
      <family val="2"/>
      <charset val="136"/>
    </font>
    <font>
      <sz val="12"/>
      <color indexed="81"/>
      <name val="Tahoma"/>
      <family val="2"/>
    </font>
    <font>
      <sz val="12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b/>
      <sz val="12"/>
      <name val="Microsoft JhengHei"/>
      <family val="2"/>
    </font>
    <font>
      <b/>
      <sz val="12"/>
      <color rgb="FFFF0000"/>
      <name val="Calibri"/>
      <family val="2"/>
    </font>
    <font>
      <b/>
      <sz val="12"/>
      <color rgb="FFFF0000"/>
      <name val="微軟正黑體"/>
      <family val="2"/>
      <charset val="136"/>
    </font>
    <font>
      <b/>
      <sz val="12"/>
      <name val="Microsoft JhengHei"/>
      <family val="2"/>
      <charset val="136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name val="Calibri"/>
      <family val="2"/>
      <charset val="136"/>
    </font>
    <font>
      <b/>
      <sz val="12"/>
      <color rgb="FF00B050"/>
      <name val="Calibri"/>
      <family val="2"/>
      <charset val="136"/>
    </font>
    <font>
      <b/>
      <sz val="12"/>
      <color rgb="FFFF0000"/>
      <name val="Calibri"/>
      <family val="2"/>
      <charset val="136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4"/>
      <color rgb="FFC00000"/>
      <name val="微軟正黑體"/>
      <family val="2"/>
      <charset val="136"/>
    </font>
    <font>
      <b/>
      <sz val="12"/>
      <color indexed="81"/>
      <name val="細明體"/>
      <family val="3"/>
      <charset val="136"/>
    </font>
    <font>
      <b/>
      <sz val="12"/>
      <color indexed="81"/>
      <name val="Tahoma"/>
      <family val="2"/>
    </font>
    <font>
      <sz val="16"/>
      <color theme="1"/>
      <name val="微軟正黑體"/>
      <family val="2"/>
      <charset val="136"/>
    </font>
    <font>
      <sz val="10"/>
      <color rgb="FF7030A0"/>
      <name val="Calibri"/>
      <family val="2"/>
    </font>
    <font>
      <sz val="12"/>
      <color theme="0" tint="-0.34998626667073579"/>
      <name val="Calibri"/>
      <family val="2"/>
    </font>
    <font>
      <sz val="12"/>
      <color theme="0" tint="-0.34998626667073579"/>
      <name val="微軟正黑體"/>
      <family val="2"/>
      <charset val="136"/>
    </font>
    <font>
      <sz val="12"/>
      <color rgb="FF0066FF"/>
      <name val="細明體"/>
      <family val="3"/>
      <charset val="136"/>
    </font>
    <font>
      <b/>
      <sz val="12"/>
      <color theme="5" tint="-0.249977111117893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9900CC"/>
      <name val="Calibri"/>
      <family val="2"/>
    </font>
    <font>
      <sz val="12"/>
      <color rgb="FF9900CC"/>
      <name val="微軟正黑體"/>
      <family val="2"/>
      <charset val="136"/>
    </font>
    <font>
      <b/>
      <sz val="14"/>
      <name val="Microsoft JhengHei"/>
      <family val="2"/>
    </font>
    <font>
      <sz val="12"/>
      <name val="Microsoft JhengHei"/>
      <family val="2"/>
    </font>
    <font>
      <sz val="14"/>
      <name val="微軟正黑體"/>
      <family val="2"/>
      <charset val="136"/>
    </font>
    <font>
      <b/>
      <u val="singleAccounting"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sz val="12"/>
      <color rgb="FF00B050"/>
      <name val="新細明體"/>
      <family val="2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00"/>
      <name val="Calibri"/>
      <family val="2"/>
    </font>
    <font>
      <sz val="12"/>
      <color rgb="FF000000"/>
      <name val="微軟正黑體"/>
      <family val="2"/>
      <charset val="136"/>
    </font>
    <font>
      <b/>
      <sz val="12"/>
      <color theme="0" tint="-0.34998626667073579"/>
      <name val="Calibri"/>
      <family val="2"/>
    </font>
    <font>
      <sz val="12"/>
      <color theme="0" tint="-0.34998626667073579"/>
      <name val="新細明體"/>
      <family val="2"/>
      <charset val="136"/>
      <scheme val="minor"/>
    </font>
    <font>
      <sz val="12"/>
      <color theme="1"/>
      <name val="Microsoft JhengHei"/>
      <family val="2"/>
    </font>
    <font>
      <sz val="14"/>
      <color theme="1"/>
      <name val="Calibri"/>
      <family val="2"/>
    </font>
    <font>
      <sz val="14"/>
      <name val="Microsoft JhengHei"/>
      <family val="2"/>
    </font>
    <font>
      <sz val="14"/>
      <color rgb="FF00B050"/>
      <name val="Calibri"/>
      <family val="2"/>
    </font>
    <font>
      <b/>
      <sz val="14"/>
      <color theme="1"/>
      <name val="Calibri"/>
      <family val="2"/>
    </font>
    <font>
      <sz val="16"/>
      <color theme="1"/>
      <name val="細明體"/>
      <family val="2"/>
      <charset val="136"/>
    </font>
    <font>
      <sz val="16"/>
      <name val="Calibri"/>
      <family val="2"/>
    </font>
    <font>
      <b/>
      <sz val="14"/>
      <color theme="1"/>
      <name val="微軟正黑體"/>
      <family val="2"/>
      <charset val="136"/>
    </font>
    <font>
      <sz val="14"/>
      <color rgb="FF00B050"/>
      <name val="微軟正黑體"/>
      <family val="2"/>
      <charset val="136"/>
    </font>
    <font>
      <sz val="14"/>
      <color rgb="FF7030A0"/>
      <name val="Calibri"/>
      <family val="2"/>
    </font>
    <font>
      <sz val="14"/>
      <color rgb="FF7030A0"/>
      <name val="微軟正黑體"/>
      <family val="2"/>
      <charset val="136"/>
    </font>
    <font>
      <sz val="14"/>
      <color rgb="FF0000FF"/>
      <name val="Calibri"/>
      <family val="2"/>
    </font>
    <font>
      <sz val="14"/>
      <color rgb="FF0000FF"/>
      <name val="微軟正黑體"/>
      <family val="2"/>
      <charset val="136"/>
    </font>
    <font>
      <sz val="14"/>
      <color rgb="FFC00000"/>
      <name val="Calibri"/>
      <family val="2"/>
    </font>
    <font>
      <b/>
      <sz val="14"/>
      <color rgb="FFC00000"/>
      <name val="Calibri"/>
      <family val="2"/>
    </font>
    <font>
      <sz val="14"/>
      <color theme="1"/>
      <name val="微軟正黑體"/>
      <family val="2"/>
      <charset val="136"/>
    </font>
    <font>
      <sz val="16"/>
      <color indexed="81"/>
      <name val="Tahoma"/>
      <family val="2"/>
    </font>
    <font>
      <sz val="16"/>
      <color indexed="81"/>
      <name val="細明體"/>
      <family val="3"/>
      <charset val="136"/>
    </font>
    <font>
      <sz val="12"/>
      <color rgb="FF00B050"/>
      <name val="Calibri"/>
      <family val="2"/>
      <charset val="1"/>
    </font>
    <font>
      <sz val="12"/>
      <color rgb="FF00B050"/>
      <name val="Noto Sans CJK SC"/>
      <family val="2"/>
    </font>
    <font>
      <b/>
      <sz val="12"/>
      <color theme="1"/>
      <name val="Microsoft JhengHei"/>
      <family val="2"/>
    </font>
    <font>
      <b/>
      <sz val="12"/>
      <color theme="6" tint="0.39997558519241921"/>
      <name val="Noto Sans CJK SC"/>
      <family val="2"/>
    </font>
    <font>
      <b/>
      <sz val="12"/>
      <name val="Arial"/>
      <family val="2"/>
    </font>
    <font>
      <sz val="12"/>
      <name val="Microsoft JhengHei"/>
      <family val="2"/>
      <charset val="136"/>
    </font>
    <font>
      <sz val="12"/>
      <color rgb="FF7030A0"/>
      <name val="Calibri"/>
      <family val="2"/>
    </font>
    <font>
      <sz val="10"/>
      <name val="Calibri"/>
      <family val="2"/>
    </font>
    <font>
      <sz val="12"/>
      <color rgb="FFC00000"/>
      <name val="Calibri"/>
      <family val="2"/>
    </font>
    <font>
      <sz val="16"/>
      <color theme="1"/>
      <name val="Calibri"/>
      <family val="2"/>
    </font>
    <font>
      <sz val="10"/>
      <color rgb="FF0000FF"/>
      <name val="Calibri"/>
      <family val="2"/>
    </font>
    <font>
      <sz val="10"/>
      <color theme="0" tint="-0.34998626667073579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2"/>
      <color rgb="FF0070C0"/>
      <name val="Calibri"/>
      <family val="2"/>
    </font>
    <font>
      <sz val="12"/>
      <color theme="0"/>
      <name val="Calibri"/>
      <family val="2"/>
    </font>
    <font>
      <sz val="12"/>
      <name val="細明體"/>
      <family val="2"/>
      <charset val="136"/>
    </font>
    <font>
      <sz val="12"/>
      <color theme="1"/>
      <name val="細明體"/>
      <family val="2"/>
      <charset val="136"/>
    </font>
    <font>
      <b/>
      <sz val="12"/>
      <name val="Noto Sans CJK SC"/>
    </font>
    <font>
      <sz val="12"/>
      <name val="微軟正黑體"/>
      <family val="3"/>
      <charset val="136"/>
    </font>
    <font>
      <sz val="12"/>
      <color theme="1"/>
      <name val="Noto Sans CJK SC"/>
      <family val="2"/>
      <charset val="136"/>
    </font>
  </fonts>
  <fills count="62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FF00"/>
        <bgColor rgb="FFFFFF66"/>
      </patternFill>
    </fill>
    <fill>
      <patternFill patternType="solid">
        <fgColor theme="4" tint="0.79989013336588644"/>
        <bgColor rgb="FFDAE3F3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59987182226020086"/>
        <bgColor rgb="FFB4C7E7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4" tint="0.39988402966399123"/>
        <bgColor rgb="FFB4C7E7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9" tint="0.59987182226020086"/>
        <bgColor rgb="FFD0CECE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8" tint="0.79989013336588644"/>
        <bgColor rgb="FFDEEBF7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3" tint="0.79989013336588644"/>
        <bgColor rgb="FFDAE3F3"/>
      </patternFill>
    </fill>
    <fill>
      <patternFill patternType="solid">
        <fgColor theme="6" tint="0.79989013336588644"/>
        <bgColor rgb="FFF2F2F2"/>
      </patternFill>
    </fill>
    <fill>
      <patternFill patternType="solid">
        <fgColor rgb="FFC0C0C0"/>
        <bgColor rgb="FFBFBFBF"/>
      </patternFill>
    </fill>
    <fill>
      <patternFill patternType="solid">
        <fgColor rgb="FF92D050"/>
        <bgColor rgb="FFA9D18E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rgb="FFDAE3F3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theme="4" tint="0.59999389629810485"/>
        <bgColor rgb="FFFFF2CC"/>
      </patternFill>
    </fill>
  </fills>
  <borders count="7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81" fontId="100" fillId="0" borderId="0" applyBorder="0" applyProtection="0">
      <alignment vertical="center"/>
    </xf>
    <xf numFmtId="9" fontId="100" fillId="0" borderId="0" applyBorder="0" applyProtection="0">
      <alignment vertical="center"/>
    </xf>
    <xf numFmtId="41" fontId="100" fillId="0" borderId="0" applyFont="0" applyFill="0" applyBorder="0" applyAlignment="0" applyProtection="0">
      <alignment vertical="center"/>
    </xf>
  </cellStyleXfs>
  <cellXfs count="2796">
    <xf numFmtId="0" fontId="0" fillId="0" borderId="0" xfId="0">
      <alignment vertical="center"/>
    </xf>
    <xf numFmtId="176" fontId="40" fillId="0" borderId="9" xfId="0" applyNumberFormat="1" applyFont="1" applyBorder="1" applyAlignment="1">
      <alignment horizontal="center" vertical="center"/>
    </xf>
    <xf numFmtId="180" fontId="40" fillId="0" borderId="9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176" fontId="5" fillId="2" borderId="0" xfId="0" applyNumberFormat="1" applyFont="1" applyFill="1">
      <alignment vertical="center"/>
    </xf>
    <xf numFmtId="176" fontId="4" fillId="2" borderId="0" xfId="0" applyNumberFormat="1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10" fillId="2" borderId="0" xfId="0" applyFont="1" applyFill="1">
      <alignment vertical="center"/>
    </xf>
    <xf numFmtId="176" fontId="12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176" fontId="5" fillId="4" borderId="0" xfId="0" applyNumberFormat="1" applyFont="1" applyFill="1">
      <alignment vertical="center"/>
    </xf>
    <xf numFmtId="176" fontId="12" fillId="4" borderId="0" xfId="0" applyNumberFormat="1" applyFont="1" applyFill="1" applyAlignment="1">
      <alignment horizontal="center" vertical="center"/>
    </xf>
    <xf numFmtId="176" fontId="13" fillId="2" borderId="0" xfId="0" applyNumberFormat="1" applyFont="1" applyFill="1">
      <alignment vertical="center"/>
    </xf>
    <xf numFmtId="176" fontId="9" fillId="2" borderId="0" xfId="0" applyNumberFormat="1" applyFont="1" applyFill="1" applyAlignment="1">
      <alignment horizontal="center" vertical="center"/>
    </xf>
    <xf numFmtId="177" fontId="9" fillId="2" borderId="0" xfId="0" applyNumberFormat="1" applyFont="1" applyFill="1" applyAlignment="1">
      <alignment horizontal="center" vertical="center"/>
    </xf>
    <xf numFmtId="0" fontId="14" fillId="2" borderId="0" xfId="0" applyFont="1" applyFill="1">
      <alignment vertical="center"/>
    </xf>
    <xf numFmtId="176" fontId="15" fillId="2" borderId="0" xfId="0" applyNumberFormat="1" applyFont="1" applyFill="1">
      <alignment vertical="center"/>
    </xf>
    <xf numFmtId="177" fontId="16" fillId="2" borderId="0" xfId="0" applyNumberFormat="1" applyFont="1" applyFill="1" applyAlignment="1">
      <alignment horizontal="center" vertical="center"/>
    </xf>
    <xf numFmtId="178" fontId="16" fillId="2" borderId="0" xfId="0" applyNumberFormat="1" applyFont="1" applyFill="1" applyAlignment="1">
      <alignment horizontal="center" vertical="center"/>
    </xf>
    <xf numFmtId="176" fontId="17" fillId="2" borderId="0" xfId="0" applyNumberFormat="1" applyFont="1" applyFill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20" fillId="2" borderId="0" xfId="0" applyFont="1" applyFill="1" applyAlignment="1">
      <alignment horizontal="left" vertical="center"/>
    </xf>
    <xf numFmtId="176" fontId="22" fillId="2" borderId="0" xfId="0" applyNumberFormat="1" applyFont="1" applyFill="1">
      <alignment vertical="center"/>
    </xf>
    <xf numFmtId="0" fontId="4" fillId="0" borderId="0" xfId="0" applyFont="1">
      <alignment vertical="center"/>
    </xf>
    <xf numFmtId="176" fontId="5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179" fontId="23" fillId="5" borderId="0" xfId="0" applyNumberFormat="1" applyFont="1" applyFill="1" applyAlignment="1">
      <alignment horizontal="right" vertical="center"/>
    </xf>
    <xf numFmtId="3" fontId="23" fillId="5" borderId="0" xfId="0" applyNumberFormat="1" applyFont="1" applyFill="1">
      <alignment vertical="center"/>
    </xf>
    <xf numFmtId="176" fontId="4" fillId="5" borderId="0" xfId="0" applyNumberFormat="1" applyFont="1" applyFill="1">
      <alignment vertical="center"/>
    </xf>
    <xf numFmtId="176" fontId="23" fillId="5" borderId="0" xfId="0" applyNumberFormat="1" applyFont="1" applyFill="1">
      <alignment vertical="center"/>
    </xf>
    <xf numFmtId="0" fontId="25" fillId="6" borderId="0" xfId="0" applyFont="1" applyFill="1">
      <alignment vertical="center"/>
    </xf>
    <xf numFmtId="176" fontId="4" fillId="6" borderId="0" xfId="0" applyNumberFormat="1" applyFont="1" applyFill="1">
      <alignment vertical="center"/>
    </xf>
    <xf numFmtId="0" fontId="27" fillId="4" borderId="0" xfId="0" applyFont="1" applyFill="1" applyAlignment="1">
      <alignment horizontal="right" vertical="center"/>
    </xf>
    <xf numFmtId="176" fontId="27" fillId="4" borderId="0" xfId="0" applyNumberFormat="1" applyFont="1" applyFill="1">
      <alignment vertical="center"/>
    </xf>
    <xf numFmtId="0" fontId="29" fillId="4" borderId="0" xfId="0" applyFont="1" applyFill="1" applyAlignment="1">
      <alignment horizontal="left" vertical="center"/>
    </xf>
    <xf numFmtId="0" fontId="24" fillId="5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right" vertical="center"/>
    </xf>
    <xf numFmtId="0" fontId="30" fillId="2" borderId="0" xfId="0" applyFont="1" applyFill="1">
      <alignment vertical="center"/>
    </xf>
    <xf numFmtId="176" fontId="10" fillId="2" borderId="1" xfId="0" applyNumberFormat="1" applyFont="1" applyFill="1" applyBorder="1">
      <alignment vertical="center"/>
    </xf>
    <xf numFmtId="0" fontId="31" fillId="2" borderId="0" xfId="0" applyFont="1" applyFill="1">
      <alignment vertical="center"/>
    </xf>
    <xf numFmtId="0" fontId="27" fillId="4" borderId="0" xfId="0" applyFont="1" applyFill="1">
      <alignment vertical="center"/>
    </xf>
    <xf numFmtId="0" fontId="27" fillId="4" borderId="0" xfId="0" applyFont="1" applyFill="1" applyAlignment="1">
      <alignment horizontal="left" vertical="center"/>
    </xf>
    <xf numFmtId="176" fontId="27" fillId="4" borderId="2" xfId="0" applyNumberFormat="1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0" xfId="0" applyFont="1" applyFill="1" applyAlignment="1">
      <alignment horizontal="left" vertical="center"/>
    </xf>
    <xf numFmtId="176" fontId="27" fillId="2" borderId="1" xfId="0" applyNumberFormat="1" applyFont="1" applyFill="1" applyBorder="1">
      <alignment vertical="center"/>
    </xf>
    <xf numFmtId="0" fontId="32" fillId="2" borderId="0" xfId="0" applyFont="1" applyFill="1">
      <alignment vertical="center"/>
    </xf>
    <xf numFmtId="176" fontId="32" fillId="2" borderId="0" xfId="0" applyNumberFormat="1" applyFont="1" applyFill="1">
      <alignment vertical="center"/>
    </xf>
    <xf numFmtId="0" fontId="32" fillId="2" borderId="0" xfId="0" applyFont="1" applyFill="1" applyAlignment="1">
      <alignment horizontal="left" vertical="center"/>
    </xf>
    <xf numFmtId="176" fontId="27" fillId="2" borderId="0" xfId="0" applyNumberFormat="1" applyFont="1" applyFill="1">
      <alignment vertical="center"/>
    </xf>
    <xf numFmtId="0" fontId="33" fillId="2" borderId="0" xfId="0" applyFont="1" applyFill="1">
      <alignment vertical="center"/>
    </xf>
    <xf numFmtId="176" fontId="32" fillId="2" borderId="1" xfId="0" applyNumberFormat="1" applyFont="1" applyFill="1" applyBorder="1">
      <alignment vertical="center"/>
    </xf>
    <xf numFmtId="176" fontId="32" fillId="2" borderId="3" xfId="0" applyNumberFormat="1" applyFont="1" applyFill="1" applyBorder="1">
      <alignment vertical="center"/>
    </xf>
    <xf numFmtId="0" fontId="34" fillId="2" borderId="0" xfId="0" applyFont="1" applyFill="1" applyAlignment="1">
      <alignment horizontal="left" vertical="center"/>
    </xf>
    <xf numFmtId="180" fontId="27" fillId="2" borderId="0" xfId="0" applyNumberFormat="1" applyFont="1" applyFill="1">
      <alignment vertical="center"/>
    </xf>
    <xf numFmtId="180" fontId="5" fillId="2" borderId="0" xfId="0" applyNumberFormat="1" applyFont="1" applyFill="1">
      <alignment vertical="center"/>
    </xf>
    <xf numFmtId="176" fontId="27" fillId="0" borderId="0" xfId="0" applyNumberFormat="1" applyFont="1">
      <alignment vertical="center"/>
    </xf>
    <xf numFmtId="180" fontId="35" fillId="2" borderId="0" xfId="0" applyNumberFormat="1" applyFont="1" applyFill="1">
      <alignment vertical="center"/>
    </xf>
    <xf numFmtId="180" fontId="27" fillId="2" borderId="0" xfId="0" applyNumberFormat="1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176" fontId="38" fillId="2" borderId="0" xfId="0" applyNumberFormat="1" applyFont="1" applyFill="1" applyAlignment="1">
      <alignment horizontal="center" vertical="center"/>
    </xf>
    <xf numFmtId="176" fontId="27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176" fontId="22" fillId="0" borderId="0" xfId="0" applyNumberFormat="1" applyFont="1">
      <alignment vertical="center"/>
    </xf>
    <xf numFmtId="0" fontId="27" fillId="0" borderId="0" xfId="0" applyFont="1" applyAlignment="1">
      <alignment horizontal="left" vertical="center"/>
    </xf>
    <xf numFmtId="0" fontId="40" fillId="2" borderId="0" xfId="0" applyFont="1" applyFill="1">
      <alignment vertical="center"/>
    </xf>
    <xf numFmtId="0" fontId="41" fillId="2" borderId="0" xfId="0" applyFont="1" applyFill="1" applyAlignment="1">
      <alignment horizontal="left" vertical="center"/>
    </xf>
    <xf numFmtId="0" fontId="36" fillId="2" borderId="0" xfId="0" applyFont="1" applyFill="1">
      <alignment vertical="center"/>
    </xf>
    <xf numFmtId="0" fontId="42" fillId="2" borderId="0" xfId="0" applyFont="1" applyFill="1" applyAlignment="1">
      <alignment horizontal="left" vertical="center"/>
    </xf>
    <xf numFmtId="176" fontId="43" fillId="2" borderId="0" xfId="0" applyNumberFormat="1" applyFont="1" applyFill="1">
      <alignment vertical="center"/>
    </xf>
    <xf numFmtId="0" fontId="44" fillId="2" borderId="0" xfId="0" applyFont="1" applyFill="1" applyAlignment="1">
      <alignment horizontal="left" vertical="center"/>
    </xf>
    <xf numFmtId="176" fontId="32" fillId="2" borderId="4" xfId="0" applyNumberFormat="1" applyFont="1" applyFill="1" applyBorder="1">
      <alignment vertical="center"/>
    </xf>
    <xf numFmtId="0" fontId="45" fillId="2" borderId="0" xfId="0" applyFont="1" applyFill="1">
      <alignment vertical="center"/>
    </xf>
    <xf numFmtId="0" fontId="45" fillId="2" borderId="0" xfId="0" applyFont="1" applyFill="1" applyAlignment="1">
      <alignment horizontal="left" vertical="center"/>
    </xf>
    <xf numFmtId="176" fontId="32" fillId="2" borderId="5" xfId="0" applyNumberFormat="1" applyFont="1" applyFill="1" applyBorder="1">
      <alignment vertical="center"/>
    </xf>
    <xf numFmtId="176" fontId="35" fillId="2" borderId="0" xfId="0" applyNumberFormat="1" applyFont="1" applyFill="1">
      <alignment vertical="center"/>
    </xf>
    <xf numFmtId="176" fontId="35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>
      <alignment vertical="center"/>
    </xf>
    <xf numFmtId="181" fontId="35" fillId="2" borderId="0" xfId="1" applyFont="1" applyFill="1" applyBorder="1" applyProtection="1">
      <alignment vertical="center"/>
    </xf>
    <xf numFmtId="0" fontId="46" fillId="0" borderId="0" xfId="0" applyFont="1">
      <alignment vertical="center"/>
    </xf>
    <xf numFmtId="176" fontId="45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176" fontId="50" fillId="0" borderId="0" xfId="0" applyNumberFormat="1" applyFont="1">
      <alignment vertical="center"/>
    </xf>
    <xf numFmtId="176" fontId="41" fillId="0" borderId="0" xfId="0" applyNumberFormat="1" applyFont="1" applyAlignment="1"/>
    <xf numFmtId="176" fontId="51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50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53" fillId="0" borderId="0" xfId="0" applyNumberFormat="1" applyFont="1">
      <alignment vertical="center"/>
    </xf>
    <xf numFmtId="176" fontId="3" fillId="6" borderId="0" xfId="0" applyNumberFormat="1" applyFont="1" applyFill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3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6" borderId="6" xfId="0" applyNumberFormat="1" applyFont="1" applyFill="1" applyBorder="1">
      <alignment vertical="center"/>
    </xf>
    <xf numFmtId="176" fontId="2" fillId="6" borderId="7" xfId="0" applyNumberFormat="1" applyFont="1" applyFill="1" applyBorder="1">
      <alignment vertical="center"/>
    </xf>
    <xf numFmtId="176" fontId="54" fillId="6" borderId="7" xfId="0" applyNumberFormat="1" applyFont="1" applyFill="1" applyBorder="1">
      <alignment vertical="center"/>
    </xf>
    <xf numFmtId="176" fontId="3" fillId="6" borderId="7" xfId="0" applyNumberFormat="1" applyFont="1" applyFill="1" applyBorder="1">
      <alignment vertical="center"/>
    </xf>
    <xf numFmtId="176" fontId="2" fillId="6" borderId="8" xfId="0" applyNumberFormat="1" applyFont="1" applyFill="1" applyBorder="1">
      <alignment vertical="center"/>
    </xf>
    <xf numFmtId="176" fontId="2" fillId="3" borderId="2" xfId="0" applyNumberFormat="1" applyFont="1" applyFill="1" applyBorder="1">
      <alignment vertical="center"/>
    </xf>
    <xf numFmtId="176" fontId="2" fillId="3" borderId="0" xfId="0" applyNumberFormat="1" applyFont="1" applyFill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176" fontId="41" fillId="0" borderId="10" xfId="0" applyNumberFormat="1" applyFont="1" applyBorder="1">
      <alignment vertical="center"/>
    </xf>
    <xf numFmtId="176" fontId="2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176" fontId="3" fillId="0" borderId="10" xfId="0" applyNumberFormat="1" applyFont="1" applyBorder="1" applyAlignment="1">
      <alignment horizontal="center" vertical="center"/>
    </xf>
    <xf numFmtId="176" fontId="2" fillId="6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176" fontId="3" fillId="6" borderId="10" xfId="0" applyNumberFormat="1" applyFont="1" applyFill="1" applyBorder="1" applyAlignment="1">
      <alignment horizontal="center" vertical="center"/>
    </xf>
    <xf numFmtId="176" fontId="2" fillId="6" borderId="11" xfId="0" applyNumberFormat="1" applyFont="1" applyFill="1" applyBorder="1" applyAlignment="1">
      <alignment horizontal="center" vertical="center"/>
    </xf>
    <xf numFmtId="176" fontId="54" fillId="6" borderId="11" xfId="0" applyNumberFormat="1" applyFont="1" applyFill="1" applyBorder="1" applyAlignment="1">
      <alignment horizontal="center" vertical="center"/>
    </xf>
    <xf numFmtId="176" fontId="3" fillId="6" borderId="11" xfId="0" applyNumberFormat="1" applyFont="1" applyFill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76" fontId="54" fillId="6" borderId="1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52" fillId="0" borderId="13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52" fillId="0" borderId="15" xfId="0" applyNumberFormat="1" applyFont="1" applyBorder="1" applyAlignment="1">
      <alignment horizontal="center" vertical="center"/>
    </xf>
    <xf numFmtId="176" fontId="40" fillId="0" borderId="11" xfId="0" applyNumberFormat="1" applyFont="1" applyBorder="1">
      <alignment vertical="center"/>
    </xf>
    <xf numFmtId="176" fontId="55" fillId="0" borderId="11" xfId="0" applyNumberFormat="1" applyFont="1" applyBorder="1" applyAlignment="1">
      <alignment horizontal="center" vertical="center"/>
    </xf>
    <xf numFmtId="176" fontId="2" fillId="2" borderId="11" xfId="0" applyNumberFormat="1" applyFont="1" applyFill="1" applyBorder="1" applyAlignment="1">
      <alignment horizontal="center" vertical="center"/>
    </xf>
    <xf numFmtId="176" fontId="50" fillId="6" borderId="1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2" fillId="0" borderId="16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176" fontId="2" fillId="0" borderId="17" xfId="0" applyNumberFormat="1" applyFont="1" applyBorder="1">
      <alignment vertical="center"/>
    </xf>
    <xf numFmtId="176" fontId="45" fillId="8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>
      <alignment vertical="center"/>
    </xf>
    <xf numFmtId="176" fontId="2" fillId="6" borderId="9" xfId="0" applyNumberFormat="1" applyFont="1" applyFill="1" applyBorder="1">
      <alignment vertical="center"/>
    </xf>
    <xf numFmtId="176" fontId="50" fillId="6" borderId="9" xfId="0" applyNumberFormat="1" applyFont="1" applyFill="1" applyBorder="1">
      <alignment vertical="center"/>
    </xf>
    <xf numFmtId="176" fontId="2" fillId="9" borderId="0" xfId="0" applyNumberFormat="1" applyFont="1" applyFill="1">
      <alignment vertical="center"/>
    </xf>
    <xf numFmtId="176" fontId="2" fillId="10" borderId="0" xfId="0" applyNumberFormat="1" applyFont="1" applyFill="1">
      <alignment vertical="center"/>
    </xf>
    <xf numFmtId="176" fontId="2" fillId="0" borderId="14" xfId="0" applyNumberFormat="1" applyFont="1" applyBorder="1">
      <alignment vertical="center"/>
    </xf>
    <xf numFmtId="176" fontId="2" fillId="0" borderId="15" xfId="0" applyNumberFormat="1" applyFont="1" applyBorder="1">
      <alignment vertical="center"/>
    </xf>
    <xf numFmtId="176" fontId="45" fillId="0" borderId="9" xfId="0" applyNumberFormat="1" applyFont="1" applyBorder="1" applyAlignment="1">
      <alignment vertical="center" shrinkToFit="1"/>
    </xf>
    <xf numFmtId="176" fontId="2" fillId="4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6" fontId="2" fillId="10" borderId="15" xfId="0" applyNumberFormat="1" applyFont="1" applyFill="1" applyBorder="1">
      <alignment vertical="center"/>
    </xf>
    <xf numFmtId="176" fontId="45" fillId="0" borderId="9" xfId="2" applyNumberFormat="1" applyFont="1" applyBorder="1" applyAlignment="1" applyProtection="1">
      <alignment horizontal="left" vertical="center"/>
    </xf>
    <xf numFmtId="176" fontId="56" fillId="0" borderId="9" xfId="2" applyNumberFormat="1" applyFont="1" applyBorder="1" applyAlignment="1" applyProtection="1">
      <alignment horizontal="left" vertical="center"/>
    </xf>
    <xf numFmtId="176" fontId="2" fillId="11" borderId="9" xfId="0" applyNumberFormat="1" applyFont="1" applyFill="1" applyBorder="1">
      <alignment vertical="center"/>
    </xf>
    <xf numFmtId="176" fontId="45" fillId="6" borderId="9" xfId="0" applyNumberFormat="1" applyFont="1" applyFill="1" applyBorder="1">
      <alignment vertical="center"/>
    </xf>
    <xf numFmtId="176" fontId="56" fillId="0" borderId="9" xfId="0" applyNumberFormat="1" applyFont="1" applyBorder="1" applyAlignment="1">
      <alignment horizontal="left" vertical="center"/>
    </xf>
    <xf numFmtId="176" fontId="2" fillId="9" borderId="14" xfId="0" applyNumberFormat="1" applyFont="1" applyFill="1" applyBorder="1">
      <alignment vertical="center"/>
    </xf>
    <xf numFmtId="176" fontId="57" fillId="0" borderId="0" xfId="0" applyNumberFormat="1" applyFont="1">
      <alignment vertical="center"/>
    </xf>
    <xf numFmtId="176" fontId="45" fillId="0" borderId="9" xfId="0" applyNumberFormat="1" applyFont="1" applyBorder="1">
      <alignment vertical="center"/>
    </xf>
    <xf numFmtId="176" fontId="45" fillId="4" borderId="0" xfId="0" applyNumberFormat="1" applyFont="1" applyFill="1">
      <alignment vertical="center"/>
    </xf>
    <xf numFmtId="176" fontId="3" fillId="0" borderId="9" xfId="0" applyNumberFormat="1" applyFont="1" applyBorder="1" applyAlignment="1">
      <alignment horizontal="left" vertical="center"/>
    </xf>
    <xf numFmtId="180" fontId="2" fillId="6" borderId="9" xfId="0" applyNumberFormat="1" applyFont="1" applyFill="1" applyBorder="1">
      <alignment vertical="center"/>
    </xf>
    <xf numFmtId="176" fontId="45" fillId="12" borderId="9" xfId="0" applyNumberFormat="1" applyFont="1" applyFill="1" applyBorder="1">
      <alignment vertical="center"/>
    </xf>
    <xf numFmtId="176" fontId="45" fillId="0" borderId="9" xfId="0" applyNumberFormat="1" applyFont="1" applyBorder="1" applyAlignment="1">
      <alignment horizontal="left" vertical="center"/>
    </xf>
    <xf numFmtId="176" fontId="56" fillId="0" borderId="9" xfId="0" applyNumberFormat="1" applyFont="1" applyBorder="1">
      <alignment vertical="center"/>
    </xf>
    <xf numFmtId="176" fontId="41" fillId="4" borderId="9" xfId="0" applyNumberFormat="1" applyFont="1" applyFill="1" applyBorder="1">
      <alignment vertical="center"/>
    </xf>
    <xf numFmtId="176" fontId="40" fillId="4" borderId="6" xfId="0" applyNumberFormat="1" applyFont="1" applyFill="1" applyBorder="1">
      <alignment vertical="center"/>
    </xf>
    <xf numFmtId="176" fontId="9" fillId="4" borderId="9" xfId="0" applyNumberFormat="1" applyFont="1" applyFill="1" applyBorder="1">
      <alignment vertical="center"/>
    </xf>
    <xf numFmtId="176" fontId="58" fillId="4" borderId="9" xfId="0" applyNumberFormat="1" applyFont="1" applyFill="1" applyBorder="1">
      <alignment vertical="center"/>
    </xf>
    <xf numFmtId="176" fontId="2" fillId="0" borderId="16" xfId="0" applyNumberFormat="1" applyFont="1" applyBorder="1">
      <alignment vertical="center"/>
    </xf>
    <xf numFmtId="176" fontId="2" fillId="0" borderId="2" xfId="0" applyNumberFormat="1" applyFont="1" applyBorder="1">
      <alignment vertical="center"/>
    </xf>
    <xf numFmtId="176" fontId="59" fillId="0" borderId="0" xfId="0" applyNumberFormat="1" applyFont="1">
      <alignment vertical="center"/>
    </xf>
    <xf numFmtId="176" fontId="56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176" fontId="50" fillId="0" borderId="2" xfId="0" applyNumberFormat="1" applyFont="1" applyBorder="1">
      <alignment vertical="center"/>
    </xf>
    <xf numFmtId="176" fontId="50" fillId="0" borderId="7" xfId="0" applyNumberFormat="1" applyFont="1" applyBorder="1">
      <alignment vertical="center"/>
    </xf>
    <xf numFmtId="176" fontId="60" fillId="0" borderId="0" xfId="0" applyNumberFormat="1" applyFont="1">
      <alignment vertical="center"/>
    </xf>
    <xf numFmtId="176" fontId="61" fillId="0" borderId="0" xfId="0" applyNumberFormat="1" applyFont="1">
      <alignment vertical="center"/>
    </xf>
    <xf numFmtId="176" fontId="62" fillId="0" borderId="0" xfId="0" applyNumberFormat="1" applyFont="1">
      <alignment vertical="center"/>
    </xf>
    <xf numFmtId="176" fontId="67" fillId="0" borderId="9" xfId="0" applyNumberFormat="1" applyFont="1" applyBorder="1" applyAlignment="1">
      <alignment horizontal="left" vertical="center"/>
    </xf>
    <xf numFmtId="176" fontId="45" fillId="0" borderId="6" xfId="0" applyNumberFormat="1" applyFont="1" applyBorder="1">
      <alignment vertical="center"/>
    </xf>
    <xf numFmtId="176" fontId="56" fillId="0" borderId="6" xfId="0" applyNumberFormat="1" applyFont="1" applyBorder="1">
      <alignment vertical="center"/>
    </xf>
    <xf numFmtId="176" fontId="41" fillId="9" borderId="9" xfId="0" applyNumberFormat="1" applyFont="1" applyFill="1" applyBorder="1">
      <alignment vertical="center"/>
    </xf>
    <xf numFmtId="176" fontId="40" fillId="9" borderId="6" xfId="0" applyNumberFormat="1" applyFont="1" applyFill="1" applyBorder="1">
      <alignment vertical="center"/>
    </xf>
    <xf numFmtId="176" fontId="2" fillId="9" borderId="9" xfId="0" applyNumberFormat="1" applyFont="1" applyFill="1" applyBorder="1">
      <alignment vertical="center"/>
    </xf>
    <xf numFmtId="176" fontId="57" fillId="0" borderId="0" xfId="0" applyNumberFormat="1" applyFont="1" applyAlignment="1"/>
    <xf numFmtId="176" fontId="68" fillId="0" borderId="0" xfId="0" applyNumberFormat="1" applyFont="1">
      <alignment vertical="center"/>
    </xf>
    <xf numFmtId="176" fontId="41" fillId="0" borderId="2" xfId="0" applyNumberFormat="1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3" fillId="13" borderId="11" xfId="0" applyNumberFormat="1" applyFont="1" applyFill="1" applyBorder="1" applyAlignment="1">
      <alignment horizontal="center" vertical="center"/>
    </xf>
    <xf numFmtId="176" fontId="45" fillId="0" borderId="0" xfId="0" applyNumberFormat="1" applyFont="1" applyAlignment="1">
      <alignment horizontal="center" vertical="center"/>
    </xf>
    <xf numFmtId="180" fontId="69" fillId="6" borderId="9" xfId="0" applyNumberFormat="1" applyFont="1" applyFill="1" applyBorder="1">
      <alignment vertical="center"/>
    </xf>
    <xf numFmtId="180" fontId="70" fillId="6" borderId="9" xfId="0" applyNumberFormat="1" applyFont="1" applyFill="1" applyBorder="1">
      <alignment vertical="center"/>
    </xf>
    <xf numFmtId="176" fontId="41" fillId="0" borderId="9" xfId="0" applyNumberFormat="1" applyFont="1" applyBorder="1">
      <alignment vertical="center"/>
    </xf>
    <xf numFmtId="176" fontId="40" fillId="0" borderId="9" xfId="0" applyNumberFormat="1" applyFont="1" applyBorder="1">
      <alignment vertical="center"/>
    </xf>
    <xf numFmtId="176" fontId="71" fillId="0" borderId="0" xfId="0" applyNumberFormat="1" applyFont="1">
      <alignment vertical="center"/>
    </xf>
    <xf numFmtId="176" fontId="72" fillId="0" borderId="0" xfId="0" applyNumberFormat="1" applyFont="1">
      <alignment vertical="center"/>
    </xf>
    <xf numFmtId="49" fontId="41" fillId="0" borderId="0" xfId="0" applyNumberFormat="1" applyFont="1" applyAlignment="1"/>
    <xf numFmtId="176" fontId="45" fillId="0" borderId="0" xfId="0" applyNumberFormat="1" applyFont="1" applyAlignment="1">
      <alignment horizontal="center"/>
    </xf>
    <xf numFmtId="176" fontId="74" fillId="0" borderId="0" xfId="0" applyNumberFormat="1" applyFont="1" applyAlignment="1">
      <alignment horizontal="center"/>
    </xf>
    <xf numFmtId="176" fontId="57" fillId="0" borderId="0" xfId="0" applyNumberFormat="1" applyFont="1" applyAlignment="1">
      <alignment horizontal="left"/>
    </xf>
    <xf numFmtId="176" fontId="56" fillId="0" borderId="0" xfId="0" applyNumberFormat="1" applyFont="1" applyAlignment="1">
      <alignment horizontal="center"/>
    </xf>
    <xf numFmtId="176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45" fillId="2" borderId="9" xfId="0" applyNumberFormat="1" applyFont="1" applyFill="1" applyBorder="1" applyAlignment="1">
      <alignment horizontal="right" vertical="center"/>
    </xf>
    <xf numFmtId="176" fontId="45" fillId="0" borderId="9" xfId="0" applyNumberFormat="1" applyFont="1" applyBorder="1" applyAlignment="1">
      <alignment horizontal="right" vertical="center"/>
    </xf>
    <xf numFmtId="176" fontId="45" fillId="6" borderId="9" xfId="0" applyNumberFormat="1" applyFont="1" applyFill="1" applyBorder="1" applyAlignment="1">
      <alignment horizontal="right" vertical="center"/>
    </xf>
    <xf numFmtId="180" fontId="41" fillId="4" borderId="9" xfId="0" applyNumberFormat="1" applyFont="1" applyFill="1" applyBorder="1">
      <alignment vertical="center"/>
    </xf>
    <xf numFmtId="180" fontId="40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 applyAlignment="1">
      <alignment horizontal="right" vertical="center"/>
    </xf>
    <xf numFmtId="176" fontId="45" fillId="0" borderId="0" xfId="0" applyNumberFormat="1" applyFont="1" applyAlignment="1"/>
    <xf numFmtId="176" fontId="60" fillId="0" borderId="0" xfId="0" applyNumberFormat="1" applyFont="1" applyAlignment="1"/>
    <xf numFmtId="176" fontId="41" fillId="0" borderId="0" xfId="0" applyNumberFormat="1" applyFont="1">
      <alignment vertical="center"/>
    </xf>
    <xf numFmtId="176" fontId="56" fillId="0" borderId="0" xfId="0" applyNumberFormat="1" applyFont="1" applyAlignment="1"/>
    <xf numFmtId="176" fontId="60" fillId="0" borderId="18" xfId="0" applyNumberFormat="1" applyFont="1" applyBorder="1" applyAlignment="1"/>
    <xf numFmtId="176" fontId="60" fillId="0" borderId="19" xfId="0" applyNumberFormat="1" applyFont="1" applyBorder="1" applyAlignment="1"/>
    <xf numFmtId="176" fontId="2" fillId="0" borderId="18" xfId="0" applyNumberFormat="1" applyFont="1" applyBorder="1">
      <alignment vertical="center"/>
    </xf>
    <xf numFmtId="176" fontId="2" fillId="0" borderId="19" xfId="0" applyNumberFormat="1" applyFont="1" applyBorder="1">
      <alignment vertical="center"/>
    </xf>
    <xf numFmtId="176" fontId="60" fillId="0" borderId="2" xfId="0" applyNumberFormat="1" applyFont="1" applyBorder="1" applyAlignment="1"/>
    <xf numFmtId="176" fontId="2" fillId="6" borderId="2" xfId="0" applyNumberFormat="1" applyFont="1" applyFill="1" applyBorder="1">
      <alignment vertical="center"/>
    </xf>
    <xf numFmtId="176" fontId="45" fillId="13" borderId="6" xfId="0" applyNumberFormat="1" applyFont="1" applyFill="1" applyBorder="1" applyAlignment="1">
      <alignment horizontal="right" vertical="center"/>
    </xf>
    <xf numFmtId="176" fontId="45" fillId="0" borderId="6" xfId="0" applyNumberFormat="1" applyFont="1" applyBorder="1" applyAlignment="1">
      <alignment horizontal="right" vertical="center"/>
    </xf>
    <xf numFmtId="176" fontId="45" fillId="0" borderId="20" xfId="0" applyNumberFormat="1" applyFont="1" applyBorder="1" applyAlignment="1">
      <alignment horizontal="right" vertical="center"/>
    </xf>
    <xf numFmtId="176" fontId="45" fillId="0" borderId="21" xfId="0" applyNumberFormat="1" applyFont="1" applyBorder="1" applyAlignment="1">
      <alignment horizontal="right" vertical="center"/>
    </xf>
    <xf numFmtId="176" fontId="45" fillId="14" borderId="20" xfId="0" applyNumberFormat="1" applyFont="1" applyFill="1" applyBorder="1" applyAlignment="1">
      <alignment horizontal="right" vertical="center"/>
    </xf>
    <xf numFmtId="176" fontId="45" fillId="14" borderId="6" xfId="0" applyNumberFormat="1" applyFont="1" applyFill="1" applyBorder="1" applyAlignment="1">
      <alignment horizontal="right" vertical="center"/>
    </xf>
    <xf numFmtId="176" fontId="2" fillId="14" borderId="21" xfId="0" applyNumberFormat="1" applyFont="1" applyFill="1" applyBorder="1">
      <alignment vertical="center"/>
    </xf>
    <xf numFmtId="176" fontId="45" fillId="14" borderId="7" xfId="0" applyNumberFormat="1" applyFont="1" applyFill="1" applyBorder="1" applyAlignment="1">
      <alignment horizontal="right" vertical="center"/>
    </xf>
    <xf numFmtId="176" fontId="2" fillId="14" borderId="9" xfId="0" applyNumberFormat="1" applyFont="1" applyFill="1" applyBorder="1">
      <alignment vertical="center"/>
    </xf>
    <xf numFmtId="176" fontId="45" fillId="14" borderId="9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>
      <alignment vertical="center"/>
    </xf>
    <xf numFmtId="176" fontId="57" fillId="0" borderId="9" xfId="0" applyNumberFormat="1" applyFont="1" applyBorder="1" applyAlignment="1">
      <alignment horizontal="left" vertical="center"/>
    </xf>
    <xf numFmtId="176" fontId="57" fillId="13" borderId="6" xfId="0" applyNumberFormat="1" applyFont="1" applyFill="1" applyBorder="1" applyAlignment="1">
      <alignment horizontal="right" vertical="center"/>
    </xf>
    <xf numFmtId="176" fontId="57" fillId="0" borderId="6" xfId="0" applyNumberFormat="1" applyFont="1" applyBorder="1" applyAlignment="1">
      <alignment horizontal="right" vertical="center"/>
    </xf>
    <xf numFmtId="176" fontId="57" fillId="0" borderId="20" xfId="0" applyNumberFormat="1" applyFont="1" applyBorder="1" applyAlignment="1">
      <alignment horizontal="right" vertical="center"/>
    </xf>
    <xf numFmtId="176" fontId="57" fillId="0" borderId="21" xfId="0" applyNumberFormat="1" applyFont="1" applyBorder="1" applyAlignment="1">
      <alignment horizontal="right" vertical="center"/>
    </xf>
    <xf numFmtId="176" fontId="57" fillId="0" borderId="7" xfId="0" applyNumberFormat="1" applyFont="1" applyBorder="1" applyAlignment="1">
      <alignment horizontal="right" vertical="center"/>
    </xf>
    <xf numFmtId="176" fontId="57" fillId="14" borderId="20" xfId="0" applyNumberFormat="1" applyFont="1" applyFill="1" applyBorder="1" applyAlignment="1">
      <alignment horizontal="right" vertical="center"/>
    </xf>
    <xf numFmtId="176" fontId="57" fillId="14" borderId="6" xfId="0" applyNumberFormat="1" applyFont="1" applyFill="1" applyBorder="1" applyAlignment="1">
      <alignment horizontal="right" vertical="center"/>
    </xf>
    <xf numFmtId="176" fontId="57" fillId="14" borderId="21" xfId="0" applyNumberFormat="1" applyFont="1" applyFill="1" applyBorder="1">
      <alignment vertical="center"/>
    </xf>
    <xf numFmtId="176" fontId="57" fillId="14" borderId="7" xfId="0" applyNumberFormat="1" applyFont="1" applyFill="1" applyBorder="1" applyAlignment="1">
      <alignment horizontal="right" vertical="center"/>
    </xf>
    <xf numFmtId="176" fontId="57" fillId="14" borderId="9" xfId="0" applyNumberFormat="1" applyFont="1" applyFill="1" applyBorder="1">
      <alignment vertical="center"/>
    </xf>
    <xf numFmtId="176" fontId="57" fillId="14" borderId="9" xfId="0" applyNumberFormat="1" applyFont="1" applyFill="1" applyBorder="1" applyAlignment="1">
      <alignment horizontal="right" vertical="center"/>
    </xf>
    <xf numFmtId="176" fontId="45" fillId="0" borderId="7" xfId="0" applyNumberFormat="1" applyFont="1" applyBorder="1" applyAlignment="1">
      <alignment horizontal="right" vertical="center"/>
    </xf>
    <xf numFmtId="176" fontId="77" fillId="4" borderId="6" xfId="0" applyNumberFormat="1" applyFont="1" applyFill="1" applyBorder="1">
      <alignment vertical="center"/>
    </xf>
    <xf numFmtId="176" fontId="9" fillId="4" borderId="6" xfId="0" applyNumberFormat="1" applyFont="1" applyFill="1" applyBorder="1">
      <alignment vertical="center"/>
    </xf>
    <xf numFmtId="176" fontId="9" fillId="4" borderId="22" xfId="0" applyNumberFormat="1" applyFont="1" applyFill="1" applyBorder="1">
      <alignment vertical="center"/>
    </xf>
    <xf numFmtId="176" fontId="9" fillId="4" borderId="21" xfId="0" applyNumberFormat="1" applyFont="1" applyFill="1" applyBorder="1">
      <alignment vertical="center"/>
    </xf>
    <xf numFmtId="176" fontId="9" fillId="4" borderId="8" xfId="0" applyNumberFormat="1" applyFont="1" applyFill="1" applyBorder="1">
      <alignment vertical="center"/>
    </xf>
    <xf numFmtId="176" fontId="59" fillId="0" borderId="0" xfId="0" applyNumberFormat="1" applyFont="1" applyAlignment="1">
      <alignment horizontal="center" vertical="center"/>
    </xf>
    <xf numFmtId="176" fontId="45" fillId="15" borderId="0" xfId="0" applyNumberFormat="1" applyFont="1" applyFill="1">
      <alignment vertical="center"/>
    </xf>
    <xf numFmtId="176" fontId="2" fillId="15" borderId="0" xfId="0" applyNumberFormat="1" applyFont="1" applyFill="1">
      <alignment vertical="center"/>
    </xf>
    <xf numFmtId="176" fontId="2" fillId="15" borderId="0" xfId="0" applyNumberFormat="1" applyFont="1" applyFill="1" applyAlignment="1">
      <alignment horizontal="right" vertical="center"/>
    </xf>
    <xf numFmtId="176" fontId="78" fillId="0" borderId="0" xfId="0" applyNumberFormat="1" applyFont="1">
      <alignment vertical="center"/>
    </xf>
    <xf numFmtId="176" fontId="45" fillId="0" borderId="2" xfId="0" applyNumberFormat="1" applyFont="1" applyBorder="1">
      <alignment vertical="center"/>
    </xf>
    <xf numFmtId="176" fontId="56" fillId="0" borderId="2" xfId="0" applyNumberFormat="1" applyFont="1" applyBorder="1">
      <alignment vertical="center"/>
    </xf>
    <xf numFmtId="0" fontId="45" fillId="0" borderId="2" xfId="0" applyFont="1" applyBorder="1" applyAlignment="1">
      <alignment horizontal="center" vertical="center"/>
    </xf>
    <xf numFmtId="176" fontId="80" fillId="0" borderId="0" xfId="0" applyNumberFormat="1" applyFont="1">
      <alignment vertical="center"/>
    </xf>
    <xf numFmtId="0" fontId="72" fillId="0" borderId="0" xfId="0" applyFont="1">
      <alignment vertical="center"/>
    </xf>
    <xf numFmtId="176" fontId="72" fillId="0" borderId="0" xfId="0" applyNumberFormat="1" applyFont="1" applyAlignment="1">
      <alignment horizontal="left" vertical="center"/>
    </xf>
    <xf numFmtId="176" fontId="79" fillId="0" borderId="0" xfId="0" applyNumberFormat="1" applyFont="1">
      <alignment vertical="center"/>
    </xf>
    <xf numFmtId="176" fontId="9" fillId="7" borderId="0" xfId="0" applyNumberFormat="1" applyFont="1" applyFill="1">
      <alignment vertical="center"/>
    </xf>
    <xf numFmtId="176" fontId="45" fillId="0" borderId="0" xfId="0" applyNumberFormat="1" applyFont="1" applyAlignment="1">
      <alignment horizontal="left" vertical="center"/>
    </xf>
    <xf numFmtId="176" fontId="83" fillId="0" borderId="0" xfId="0" applyNumberFormat="1" applyFont="1">
      <alignment vertical="center"/>
    </xf>
    <xf numFmtId="176" fontId="84" fillId="0" borderId="0" xfId="0" applyNumberFormat="1" applyFont="1">
      <alignment vertical="center"/>
    </xf>
    <xf numFmtId="176" fontId="45" fillId="0" borderId="7" xfId="0" applyNumberFormat="1" applyFont="1" applyBorder="1">
      <alignment vertical="center"/>
    </xf>
    <xf numFmtId="176" fontId="85" fillId="0" borderId="0" xfId="0" applyNumberFormat="1" applyFont="1">
      <alignment vertical="center"/>
    </xf>
    <xf numFmtId="176" fontId="87" fillId="0" borderId="0" xfId="0" applyNumberFormat="1" applyFont="1">
      <alignment vertical="center"/>
    </xf>
    <xf numFmtId="176" fontId="88" fillId="0" borderId="0" xfId="0" applyNumberFormat="1" applyFont="1">
      <alignment vertical="center"/>
    </xf>
    <xf numFmtId="176" fontId="45" fillId="0" borderId="0" xfId="0" applyNumberFormat="1" applyFont="1" applyAlignment="1">
      <alignment horizontal="right" vertical="center"/>
    </xf>
    <xf numFmtId="176" fontId="73" fillId="16" borderId="0" xfId="0" applyNumberFormat="1" applyFont="1" applyFill="1">
      <alignment vertical="center"/>
    </xf>
    <xf numFmtId="176" fontId="45" fillId="16" borderId="0" xfId="0" applyNumberFormat="1" applyFont="1" applyFill="1">
      <alignment vertical="center"/>
    </xf>
    <xf numFmtId="176" fontId="2" fillId="16" borderId="0" xfId="0" applyNumberFormat="1" applyFont="1" applyFill="1" applyAlignment="1">
      <alignment horizontal="center" vertical="center"/>
    </xf>
    <xf numFmtId="176" fontId="59" fillId="16" borderId="0" xfId="0" applyNumberFormat="1" applyFont="1" applyFill="1">
      <alignment vertical="center"/>
    </xf>
    <xf numFmtId="176" fontId="2" fillId="16" borderId="0" xfId="0" applyNumberFormat="1" applyFont="1" applyFill="1" applyAlignment="1">
      <alignment horizontal="left" vertical="center"/>
    </xf>
    <xf numFmtId="176" fontId="88" fillId="16" borderId="0" xfId="0" applyNumberFormat="1" applyFont="1" applyFill="1">
      <alignment vertical="center"/>
    </xf>
    <xf numFmtId="176" fontId="2" fillId="16" borderId="0" xfId="0" applyNumberFormat="1" applyFont="1" applyFill="1">
      <alignment vertical="center"/>
    </xf>
    <xf numFmtId="176" fontId="88" fillId="0" borderId="0" xfId="0" applyNumberFormat="1" applyFont="1" applyAlignment="1">
      <alignment horizontal="center" vertical="center"/>
    </xf>
    <xf numFmtId="176" fontId="2" fillId="8" borderId="0" xfId="0" applyNumberFormat="1" applyFont="1" applyFill="1">
      <alignment vertical="center"/>
    </xf>
    <xf numFmtId="176" fontId="2" fillId="8" borderId="2" xfId="0" applyNumberFormat="1" applyFont="1" applyFill="1" applyBorder="1">
      <alignment vertical="center"/>
    </xf>
    <xf numFmtId="182" fontId="72" fillId="0" borderId="0" xfId="0" applyNumberFormat="1" applyFont="1">
      <alignment vertical="center"/>
    </xf>
    <xf numFmtId="180" fontId="88" fillId="0" borderId="0" xfId="0" applyNumberFormat="1" applyFont="1">
      <alignment vertical="center"/>
    </xf>
    <xf numFmtId="180" fontId="88" fillId="0" borderId="0" xfId="0" applyNumberFormat="1" applyFont="1" applyAlignment="1">
      <alignment horizontal="center" vertical="center"/>
    </xf>
    <xf numFmtId="176" fontId="2" fillId="16" borderId="2" xfId="0" applyNumberFormat="1" applyFont="1" applyFill="1" applyBorder="1" applyAlignment="1">
      <alignment horizontal="center" vertical="center"/>
    </xf>
    <xf numFmtId="176" fontId="59" fillId="16" borderId="2" xfId="0" applyNumberFormat="1" applyFont="1" applyFill="1" applyBorder="1">
      <alignment vertical="center"/>
    </xf>
    <xf numFmtId="176" fontId="45" fillId="0" borderId="1" xfId="0" applyNumberFormat="1" applyFont="1" applyBorder="1">
      <alignment vertical="center"/>
    </xf>
    <xf numFmtId="176" fontId="89" fillId="0" borderId="0" xfId="0" applyNumberFormat="1" applyFont="1">
      <alignment vertical="center"/>
    </xf>
    <xf numFmtId="176" fontId="45" fillId="8" borderId="0" xfId="0" applyNumberFormat="1" applyFont="1" applyFill="1">
      <alignment vertical="center"/>
    </xf>
    <xf numFmtId="176" fontId="45" fillId="8" borderId="2" xfId="0" applyNumberFormat="1" applyFont="1" applyFill="1" applyBorder="1">
      <alignment vertical="center"/>
    </xf>
    <xf numFmtId="9" fontId="92" fillId="0" borderId="0" xfId="2" applyFont="1" applyBorder="1" applyProtection="1">
      <alignment vertical="center"/>
    </xf>
    <xf numFmtId="9" fontId="2" fillId="0" borderId="0" xfId="2" applyFont="1" applyBorder="1" applyProtection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176" fontId="3" fillId="4" borderId="11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right" vertical="center"/>
    </xf>
    <xf numFmtId="176" fontId="2" fillId="4" borderId="9" xfId="0" applyNumberFormat="1" applyFont="1" applyFill="1" applyBorder="1">
      <alignment vertical="center"/>
    </xf>
    <xf numFmtId="176" fontId="45" fillId="0" borderId="6" xfId="0" applyNumberFormat="1" applyFont="1" applyBorder="1" applyAlignment="1">
      <alignment horizontal="left" vertical="center"/>
    </xf>
    <xf numFmtId="176" fontId="57" fillId="4" borderId="6" xfId="0" applyNumberFormat="1" applyFont="1" applyFill="1" applyBorder="1" applyAlignment="1">
      <alignment horizontal="right" vertical="center"/>
    </xf>
    <xf numFmtId="176" fontId="57" fillId="0" borderId="9" xfId="0" applyNumberFormat="1" applyFont="1" applyBorder="1" applyAlignment="1">
      <alignment horizontal="right" vertical="center"/>
    </xf>
    <xf numFmtId="176" fontId="56" fillId="0" borderId="6" xfId="0" applyNumberFormat="1" applyFont="1" applyBorder="1" applyAlignment="1">
      <alignment horizontal="left" vertical="center"/>
    </xf>
    <xf numFmtId="176" fontId="74" fillId="0" borderId="0" xfId="0" applyNumberFormat="1" applyFont="1" applyAlignment="1">
      <alignment horizontal="left"/>
    </xf>
    <xf numFmtId="176" fontId="45" fillId="6" borderId="0" xfId="0" applyNumberFormat="1" applyFont="1" applyFill="1">
      <alignment vertical="center"/>
    </xf>
    <xf numFmtId="176" fontId="56" fillId="6" borderId="0" xfId="0" applyNumberFormat="1" applyFont="1" applyFill="1">
      <alignment vertical="center"/>
    </xf>
    <xf numFmtId="176" fontId="45" fillId="6" borderId="0" xfId="0" applyNumberFormat="1" applyFont="1" applyFill="1" applyAlignment="1">
      <alignment horizontal="center" vertical="center"/>
    </xf>
    <xf numFmtId="176" fontId="2" fillId="6" borderId="0" xfId="0" applyNumberFormat="1" applyFont="1" applyFill="1">
      <alignment vertical="center"/>
    </xf>
    <xf numFmtId="182" fontId="2" fillId="0" borderId="0" xfId="0" applyNumberFormat="1" applyFont="1">
      <alignment vertical="center"/>
    </xf>
    <xf numFmtId="180" fontId="45" fillId="0" borderId="0" xfId="0" applyNumberFormat="1" applyFont="1">
      <alignment vertical="center"/>
    </xf>
    <xf numFmtId="180" fontId="45" fillId="0" borderId="0" xfId="0" applyNumberFormat="1" applyFont="1" applyAlignment="1">
      <alignment horizontal="center" vertical="center"/>
    </xf>
    <xf numFmtId="10" fontId="45" fillId="0" borderId="0" xfId="0" applyNumberFormat="1" applyFont="1" applyAlignment="1">
      <alignment horizontal="center" vertical="center"/>
    </xf>
    <xf numFmtId="10" fontId="45" fillId="0" borderId="0" xfId="0" applyNumberFormat="1" applyFont="1">
      <alignment vertical="center"/>
    </xf>
    <xf numFmtId="180" fontId="41" fillId="0" borderId="0" xfId="0" applyNumberFormat="1" applyFont="1" applyAlignment="1"/>
    <xf numFmtId="180" fontId="96" fillId="0" borderId="0" xfId="0" applyNumberFormat="1" applyFont="1">
      <alignment vertical="center"/>
    </xf>
    <xf numFmtId="176" fontId="57" fillId="0" borderId="0" xfId="0" applyNumberFormat="1" applyFont="1" applyAlignment="1">
      <alignment horizontal="center"/>
    </xf>
    <xf numFmtId="176" fontId="56" fillId="16" borderId="0" xfId="1" applyNumberFormat="1" applyFont="1" applyFill="1" applyBorder="1" applyAlignment="1" applyProtection="1">
      <alignment horizontal="center"/>
    </xf>
    <xf numFmtId="176" fontId="45" fillId="0" borderId="4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horizontal="center" vertical="center"/>
    </xf>
    <xf numFmtId="176" fontId="41" fillId="0" borderId="0" xfId="0" applyNumberFormat="1" applyFont="1" applyAlignment="1">
      <alignment horizontal="center" vertical="center"/>
    </xf>
    <xf numFmtId="180" fontId="41" fillId="0" borderId="0" xfId="0" applyNumberFormat="1" applyFont="1">
      <alignment vertical="center"/>
    </xf>
    <xf numFmtId="176" fontId="41" fillId="0" borderId="9" xfId="0" applyNumberFormat="1" applyFont="1" applyBorder="1" applyAlignment="1">
      <alignment horizontal="center" vertical="center"/>
    </xf>
    <xf numFmtId="176" fontId="97" fillId="0" borderId="0" xfId="0" applyNumberFormat="1" applyFont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10" fontId="41" fillId="4" borderId="22" xfId="0" applyNumberFormat="1" applyFont="1" applyFill="1" applyBorder="1" applyAlignment="1">
      <alignment horizontal="center" vertical="center" wrapText="1"/>
    </xf>
    <xf numFmtId="10" fontId="41" fillId="4" borderId="9" xfId="0" applyNumberFormat="1" applyFont="1" applyFill="1" applyBorder="1" applyAlignment="1">
      <alignment horizontal="center" vertical="center" wrapText="1"/>
    </xf>
    <xf numFmtId="10" fontId="41" fillId="4" borderId="21" xfId="0" applyNumberFormat="1" applyFont="1" applyFill="1" applyBorder="1" applyAlignment="1">
      <alignment horizontal="center" vertical="center" wrapText="1"/>
    </xf>
    <xf numFmtId="176" fontId="41" fillId="4" borderId="8" xfId="0" applyNumberFormat="1" applyFont="1" applyFill="1" applyBorder="1" applyAlignment="1">
      <alignment horizontal="center" vertical="center"/>
    </xf>
    <xf numFmtId="176" fontId="41" fillId="4" borderId="9" xfId="0" applyNumberFormat="1" applyFont="1" applyFill="1" applyBorder="1" applyAlignment="1">
      <alignment horizontal="center" vertical="center"/>
    </xf>
    <xf numFmtId="176" fontId="41" fillId="4" borderId="21" xfId="0" applyNumberFormat="1" applyFont="1" applyFill="1" applyBorder="1" applyAlignment="1">
      <alignment horizontal="center" vertical="center"/>
    </xf>
    <xf numFmtId="176" fontId="41" fillId="4" borderId="17" xfId="0" applyNumberFormat="1" applyFont="1" applyFill="1" applyBorder="1" applyAlignment="1">
      <alignment horizontal="center" vertical="center"/>
    </xf>
    <xf numFmtId="176" fontId="41" fillId="4" borderId="11" xfId="0" applyNumberFormat="1" applyFont="1" applyFill="1" applyBorder="1" applyAlignment="1">
      <alignment horizontal="center" vertical="center"/>
    </xf>
    <xf numFmtId="176" fontId="41" fillId="4" borderId="16" xfId="0" applyNumberFormat="1" applyFont="1" applyFill="1" applyBorder="1" applyAlignment="1">
      <alignment horizontal="center" vertical="center"/>
    </xf>
    <xf numFmtId="180" fontId="41" fillId="0" borderId="2" xfId="0" applyNumberFormat="1" applyFont="1" applyBorder="1">
      <alignment vertical="center"/>
    </xf>
    <xf numFmtId="176" fontId="41" fillId="18" borderId="22" xfId="0" applyNumberFormat="1" applyFont="1" applyFill="1" applyBorder="1" applyAlignment="1">
      <alignment horizontal="center" vertical="center"/>
    </xf>
    <xf numFmtId="176" fontId="41" fillId="18" borderId="9" xfId="0" applyNumberFormat="1" applyFont="1" applyFill="1" applyBorder="1" applyAlignment="1">
      <alignment horizontal="center" vertical="center"/>
    </xf>
    <xf numFmtId="176" fontId="41" fillId="18" borderId="21" xfId="0" applyNumberFormat="1" applyFont="1" applyFill="1" applyBorder="1" applyAlignment="1">
      <alignment horizontal="center" vertical="center"/>
    </xf>
    <xf numFmtId="180" fontId="45" fillId="0" borderId="9" xfId="0" applyNumberFormat="1" applyFont="1" applyBorder="1">
      <alignment vertical="center"/>
    </xf>
    <xf numFmtId="180" fontId="45" fillId="0" borderId="9" xfId="0" applyNumberFormat="1" applyFont="1" applyBorder="1" applyAlignment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 shrinkToFit="1"/>
    </xf>
    <xf numFmtId="176" fontId="45" fillId="2" borderId="9" xfId="0" applyNumberFormat="1" applyFont="1" applyFill="1" applyBorder="1" applyAlignment="1">
      <alignment horizontal="right" vertical="center" shrinkToFit="1"/>
    </xf>
    <xf numFmtId="176" fontId="45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horizontal="right" vertical="center" shrinkToFit="1"/>
    </xf>
    <xf numFmtId="184" fontId="45" fillId="0" borderId="9" xfId="0" applyNumberFormat="1" applyFont="1" applyBorder="1" applyAlignment="1">
      <alignment horizontal="center" vertical="center" shrinkToFit="1"/>
    </xf>
    <xf numFmtId="176" fontId="45" fillId="4" borderId="9" xfId="0" applyNumberFormat="1" applyFont="1" applyFill="1" applyBorder="1" applyAlignment="1">
      <alignment horizontal="right" vertical="center" shrinkToFit="1"/>
    </xf>
    <xf numFmtId="176" fontId="45" fillId="0" borderId="0" xfId="0" applyNumberFormat="1" applyFont="1" applyAlignment="1">
      <alignment horizontal="right" vertical="center" shrinkToFit="1"/>
    </xf>
    <xf numFmtId="0" fontId="45" fillId="0" borderId="0" xfId="0" applyFont="1">
      <alignment vertical="center"/>
    </xf>
    <xf numFmtId="176" fontId="45" fillId="4" borderId="22" xfId="0" applyNumberFormat="1" applyFont="1" applyFill="1" applyBorder="1">
      <alignment vertical="center"/>
    </xf>
    <xf numFmtId="176" fontId="45" fillId="4" borderId="6" xfId="0" applyNumberFormat="1" applyFont="1" applyFill="1" applyBorder="1">
      <alignment vertical="center"/>
    </xf>
    <xf numFmtId="176" fontId="45" fillId="4" borderId="9" xfId="0" applyNumberFormat="1" applyFont="1" applyFill="1" applyBorder="1">
      <alignment vertical="center"/>
    </xf>
    <xf numFmtId="10" fontId="45" fillId="4" borderId="21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>
      <alignment vertical="center"/>
    </xf>
    <xf numFmtId="176" fontId="45" fillId="4" borderId="8" xfId="0" applyNumberFormat="1" applyFont="1" applyFill="1" applyBorder="1">
      <alignment vertical="center"/>
    </xf>
    <xf numFmtId="9" fontId="45" fillId="4" borderId="21" xfId="0" applyNumberFormat="1" applyFont="1" applyFill="1" applyBorder="1" applyAlignment="1">
      <alignment horizontal="center" vertical="center"/>
    </xf>
    <xf numFmtId="176" fontId="45" fillId="18" borderId="22" xfId="0" applyNumberFormat="1" applyFont="1" applyFill="1" applyBorder="1">
      <alignment vertical="center"/>
    </xf>
    <xf numFmtId="176" fontId="45" fillId="18" borderId="9" xfId="0" applyNumberFormat="1" applyFont="1" applyFill="1" applyBorder="1">
      <alignment vertical="center"/>
    </xf>
    <xf numFmtId="9" fontId="45" fillId="18" borderId="21" xfId="0" applyNumberFormat="1" applyFont="1" applyFill="1" applyBorder="1" applyAlignment="1">
      <alignment horizontal="center" vertical="center"/>
    </xf>
    <xf numFmtId="180" fontId="56" fillId="0" borderId="9" xfId="0" applyNumberFormat="1" applyFont="1" applyBorder="1" applyAlignment="1">
      <alignment vertical="center" shrinkToFit="1"/>
    </xf>
    <xf numFmtId="176" fontId="2" fillId="0" borderId="9" xfId="0" applyNumberFormat="1" applyFont="1" applyBorder="1" applyAlignment="1">
      <alignment horizontal="right" vertical="center" shrinkToFit="1"/>
    </xf>
    <xf numFmtId="180" fontId="45" fillId="0" borderId="9" xfId="0" applyNumberFormat="1" applyFont="1" applyBorder="1" applyAlignment="1">
      <alignment vertical="center" shrinkToFit="1"/>
    </xf>
    <xf numFmtId="176" fontId="45" fillId="0" borderId="9" xfId="1" applyNumberFormat="1" applyFont="1" applyBorder="1" applyAlignment="1" applyProtection="1">
      <alignment vertical="center" shrinkToFit="1"/>
    </xf>
    <xf numFmtId="180" fontId="56" fillId="0" borderId="9" xfId="2" applyNumberFormat="1" applyFont="1" applyBorder="1" applyAlignment="1" applyProtection="1">
      <alignment horizontal="left" vertical="center"/>
    </xf>
    <xf numFmtId="180" fontId="45" fillId="0" borderId="9" xfId="2" applyNumberFormat="1" applyFont="1" applyBorder="1" applyAlignment="1" applyProtection="1">
      <alignment horizontal="left" vertical="center"/>
    </xf>
    <xf numFmtId="176" fontId="45" fillId="0" borderId="9" xfId="1" applyNumberFormat="1" applyFont="1" applyBorder="1" applyAlignment="1" applyProtection="1">
      <alignment horizontal="right" vertical="center"/>
    </xf>
    <xf numFmtId="184" fontId="45" fillId="14" borderId="9" xfId="0" applyNumberFormat="1" applyFont="1" applyFill="1" applyBorder="1" applyAlignment="1">
      <alignment horizontal="center" vertical="center" shrinkToFit="1"/>
    </xf>
    <xf numFmtId="176" fontId="45" fillId="4" borderId="22" xfId="0" applyNumberFormat="1" applyFont="1" applyFill="1" applyBorder="1" applyAlignment="1">
      <alignment horizontal="center" vertical="center"/>
    </xf>
    <xf numFmtId="176" fontId="45" fillId="4" borderId="9" xfId="0" applyNumberFormat="1" applyFont="1" applyFill="1" applyBorder="1" applyAlignment="1">
      <alignment horizontal="center" vertical="center"/>
    </xf>
    <xf numFmtId="176" fontId="45" fillId="4" borderId="21" xfId="0" applyNumberFormat="1" applyFont="1" applyFill="1" applyBorder="1" applyAlignment="1">
      <alignment horizontal="center" vertical="center"/>
    </xf>
    <xf numFmtId="176" fontId="45" fillId="4" borderId="8" xfId="0" applyNumberFormat="1" applyFont="1" applyFill="1" applyBorder="1" applyAlignment="1">
      <alignment horizontal="center" vertical="center"/>
    </xf>
    <xf numFmtId="176" fontId="45" fillId="4" borderId="6" xfId="0" applyNumberFormat="1" applyFont="1" applyFill="1" applyBorder="1" applyAlignment="1">
      <alignment horizontal="center" vertical="center"/>
    </xf>
    <xf numFmtId="176" fontId="45" fillId="18" borderId="22" xfId="0" applyNumberFormat="1" applyFont="1" applyFill="1" applyBorder="1" applyAlignment="1">
      <alignment horizontal="center" vertical="center"/>
    </xf>
    <xf numFmtId="176" fontId="45" fillId="18" borderId="9" xfId="0" applyNumberFormat="1" applyFont="1" applyFill="1" applyBorder="1" applyAlignment="1">
      <alignment horizontal="center" vertical="center"/>
    </xf>
    <xf numFmtId="176" fontId="45" fillId="6" borderId="9" xfId="0" applyNumberFormat="1" applyFont="1" applyFill="1" applyBorder="1" applyAlignment="1">
      <alignment horizontal="right" vertical="center" shrinkToFit="1"/>
    </xf>
    <xf numFmtId="176" fontId="41" fillId="19" borderId="9" xfId="0" applyNumberFormat="1" applyFont="1" applyFill="1" applyBorder="1" applyAlignment="1">
      <alignment horizontal="right" vertical="center" shrinkToFit="1"/>
    </xf>
    <xf numFmtId="184" fontId="41" fillId="19" borderId="9" xfId="0" applyNumberFormat="1" applyFont="1" applyFill="1" applyBorder="1" applyAlignment="1">
      <alignment horizontal="center" vertical="center" shrinkToFit="1"/>
    </xf>
    <xf numFmtId="176" fontId="41" fillId="0" borderId="0" xfId="0" applyNumberFormat="1" applyFont="1" applyAlignment="1">
      <alignment horizontal="right" vertical="center" shrinkToFit="1"/>
    </xf>
    <xf numFmtId="176" fontId="41" fillId="19" borderId="22" xfId="0" applyNumberFormat="1" applyFont="1" applyFill="1" applyBorder="1" applyAlignment="1">
      <alignment horizontal="right" vertical="center" shrinkToFit="1"/>
    </xf>
    <xf numFmtId="176" fontId="41" fillId="19" borderId="6" xfId="0" applyNumberFormat="1" applyFont="1" applyFill="1" applyBorder="1" applyAlignment="1">
      <alignment horizontal="left" vertical="center" shrinkToFit="1"/>
    </xf>
    <xf numFmtId="10" fontId="41" fillId="19" borderId="21" xfId="0" applyNumberFormat="1" applyFont="1" applyFill="1" applyBorder="1" applyAlignment="1">
      <alignment horizontal="center" vertical="center" shrinkToFit="1"/>
    </xf>
    <xf numFmtId="176" fontId="41" fillId="19" borderId="22" xfId="0" applyNumberFormat="1" applyFont="1" applyFill="1" applyBorder="1" applyAlignment="1">
      <alignment vertical="center" shrinkToFit="1"/>
    </xf>
    <xf numFmtId="176" fontId="41" fillId="19" borderId="9" xfId="0" applyNumberFormat="1" applyFont="1" applyFill="1" applyBorder="1" applyAlignment="1">
      <alignment vertical="center" shrinkToFit="1"/>
    </xf>
    <xf numFmtId="176" fontId="41" fillId="19" borderId="21" xfId="0" applyNumberFormat="1" applyFont="1" applyFill="1" applyBorder="1" applyAlignment="1">
      <alignment vertical="center" shrinkToFit="1"/>
    </xf>
    <xf numFmtId="176" fontId="41" fillId="19" borderId="21" xfId="0" applyNumberFormat="1" applyFont="1" applyFill="1" applyBorder="1" applyAlignment="1">
      <alignment horizontal="right" vertical="center" shrinkToFit="1"/>
    </xf>
    <xf numFmtId="176" fontId="41" fillId="19" borderId="8" xfId="0" applyNumberFormat="1" applyFont="1" applyFill="1" applyBorder="1" applyAlignment="1">
      <alignment horizontal="right" vertical="center" shrinkToFit="1"/>
    </xf>
    <xf numFmtId="176" fontId="41" fillId="19" borderId="6" xfId="0" applyNumberFormat="1" applyFont="1" applyFill="1" applyBorder="1" applyAlignment="1">
      <alignment horizontal="right" vertical="center" shrinkToFit="1"/>
    </xf>
    <xf numFmtId="180" fontId="45" fillId="0" borderId="0" xfId="0" applyNumberFormat="1" applyFont="1" applyAlignment="1">
      <alignment horizontal="right" vertical="center"/>
    </xf>
    <xf numFmtId="180" fontId="41" fillId="19" borderId="22" xfId="0" applyNumberFormat="1" applyFont="1" applyFill="1" applyBorder="1" applyAlignment="1">
      <alignment horizontal="right" vertical="center" shrinkToFit="1"/>
    </xf>
    <xf numFmtId="180" fontId="41" fillId="19" borderId="9" xfId="0" applyNumberFormat="1" applyFont="1" applyFill="1" applyBorder="1" applyAlignment="1">
      <alignment horizontal="right" vertical="center" shrinkToFit="1"/>
    </xf>
    <xf numFmtId="184" fontId="41" fillId="19" borderId="21" xfId="2" applyNumberFormat="1" applyFont="1" applyFill="1" applyBorder="1" applyAlignment="1" applyProtection="1">
      <alignment horizontal="center" vertical="center" shrinkToFit="1"/>
    </xf>
    <xf numFmtId="180" fontId="56" fillId="0" borderId="9" xfId="0" applyNumberFormat="1" applyFont="1" applyBorder="1" applyAlignment="1">
      <alignment horizontal="left" vertical="center"/>
    </xf>
    <xf numFmtId="184" fontId="45" fillId="0" borderId="9" xfId="0" applyNumberFormat="1" applyFont="1" applyBorder="1" applyAlignment="1">
      <alignment horizontal="right" vertical="center" shrinkToFit="1"/>
    </xf>
    <xf numFmtId="176" fontId="45" fillId="4" borderId="22" xfId="0" applyNumberFormat="1" applyFont="1" applyFill="1" applyBorder="1" applyAlignment="1">
      <alignment horizontal="right" vertical="center"/>
    </xf>
    <xf numFmtId="184" fontId="45" fillId="14" borderId="9" xfId="0" applyNumberFormat="1" applyFont="1" applyFill="1" applyBorder="1" applyAlignment="1">
      <alignment horizontal="right" vertical="center" shrinkToFit="1"/>
    </xf>
    <xf numFmtId="180" fontId="56" fillId="0" borderId="9" xfId="0" applyNumberFormat="1" applyFont="1" applyBorder="1">
      <alignment vertical="center"/>
    </xf>
    <xf numFmtId="176" fontId="60" fillId="14" borderId="22" xfId="0" applyNumberFormat="1" applyFont="1" applyFill="1" applyBorder="1">
      <alignment vertical="center"/>
    </xf>
    <xf numFmtId="176" fontId="60" fillId="14" borderId="9" xfId="0" applyNumberFormat="1" applyFont="1" applyFill="1" applyBorder="1">
      <alignment vertical="center"/>
    </xf>
    <xf numFmtId="9" fontId="45" fillId="14" borderId="21" xfId="0" applyNumberFormat="1" applyFont="1" applyFill="1" applyBorder="1" applyAlignment="1">
      <alignment horizontal="center" vertical="center"/>
    </xf>
    <xf numFmtId="176" fontId="41" fillId="14" borderId="22" xfId="0" applyNumberFormat="1" applyFont="1" applyFill="1" applyBorder="1">
      <alignment vertical="center"/>
    </xf>
    <xf numFmtId="176" fontId="41" fillId="14" borderId="6" xfId="0" applyNumberFormat="1" applyFont="1" applyFill="1" applyBorder="1">
      <alignment vertical="center"/>
    </xf>
    <xf numFmtId="176" fontId="41" fillId="14" borderId="9" xfId="0" applyNumberFormat="1" applyFont="1" applyFill="1" applyBorder="1">
      <alignment vertical="center"/>
    </xf>
    <xf numFmtId="176" fontId="41" fillId="14" borderId="21" xfId="0" applyNumberFormat="1" applyFont="1" applyFill="1" applyBorder="1">
      <alignment vertical="center"/>
    </xf>
    <xf numFmtId="176" fontId="41" fillId="14" borderId="8" xfId="0" applyNumberFormat="1" applyFont="1" applyFill="1" applyBorder="1">
      <alignment vertical="center"/>
    </xf>
    <xf numFmtId="0" fontId="45" fillId="0" borderId="0" xfId="0" applyFont="1" applyAlignment="1">
      <alignment horizontal="right" vertical="center"/>
    </xf>
    <xf numFmtId="184" fontId="45" fillId="13" borderId="9" xfId="0" applyNumberFormat="1" applyFont="1" applyFill="1" applyBorder="1" applyAlignment="1">
      <alignment horizontal="center" vertical="center" shrinkToFit="1"/>
    </xf>
    <xf numFmtId="176" fontId="45" fillId="14" borderId="22" xfId="0" applyNumberFormat="1" applyFont="1" applyFill="1" applyBorder="1">
      <alignment vertical="center"/>
    </xf>
    <xf numFmtId="176" fontId="45" fillId="14" borderId="9" xfId="0" applyNumberFormat="1" applyFont="1" applyFill="1" applyBorder="1">
      <alignment vertical="center"/>
    </xf>
    <xf numFmtId="176" fontId="45" fillId="14" borderId="21" xfId="0" applyNumberFormat="1" applyFont="1" applyFill="1" applyBorder="1">
      <alignment vertical="center"/>
    </xf>
    <xf numFmtId="176" fontId="45" fillId="2" borderId="9" xfId="1" applyNumberFormat="1" applyFont="1" applyFill="1" applyBorder="1" applyAlignment="1" applyProtection="1">
      <alignment horizontal="right" vertical="center" shrinkToFit="1"/>
    </xf>
    <xf numFmtId="176" fontId="45" fillId="18" borderId="21" xfId="0" applyNumberFormat="1" applyFont="1" applyFill="1" applyBorder="1">
      <alignment vertical="center"/>
    </xf>
    <xf numFmtId="176" fontId="45" fillId="0" borderId="0" xfId="0" applyNumberFormat="1" applyFont="1" applyAlignment="1">
      <alignment vertical="top"/>
    </xf>
    <xf numFmtId="176" fontId="45" fillId="0" borderId="0" xfId="0" applyNumberFormat="1" applyFont="1" applyAlignment="1">
      <alignment horizontal="center" vertical="top"/>
    </xf>
    <xf numFmtId="180" fontId="45" fillId="2" borderId="9" xfId="0" applyNumberFormat="1" applyFont="1" applyFill="1" applyBorder="1" applyAlignment="1">
      <alignment horizontal="right" vertical="center" shrinkToFit="1"/>
    </xf>
    <xf numFmtId="176" fontId="41" fillId="20" borderId="9" xfId="0" applyNumberFormat="1" applyFont="1" applyFill="1" applyBorder="1" applyAlignment="1">
      <alignment horizontal="right" vertical="center" shrinkToFit="1"/>
    </xf>
    <xf numFmtId="184" fontId="41" fillId="20" borderId="9" xfId="0" applyNumberFormat="1" applyFont="1" applyFill="1" applyBorder="1" applyAlignment="1">
      <alignment horizontal="right" vertical="center" shrinkToFit="1"/>
    </xf>
    <xf numFmtId="176" fontId="41" fillId="20" borderId="22" xfId="0" applyNumberFormat="1" applyFont="1" applyFill="1" applyBorder="1" applyAlignment="1">
      <alignment horizontal="right" vertical="center" shrinkToFit="1"/>
    </xf>
    <xf numFmtId="176" fontId="41" fillId="20" borderId="6" xfId="0" applyNumberFormat="1" applyFont="1" applyFill="1" applyBorder="1" applyAlignment="1">
      <alignment horizontal="right" vertical="center" shrinkToFit="1"/>
    </xf>
    <xf numFmtId="10" fontId="41" fillId="20" borderId="21" xfId="0" applyNumberFormat="1" applyFont="1" applyFill="1" applyBorder="1" applyAlignment="1">
      <alignment horizontal="center" vertical="center" shrinkToFit="1"/>
    </xf>
    <xf numFmtId="176" fontId="41" fillId="20" borderId="21" xfId="0" applyNumberFormat="1" applyFont="1" applyFill="1" applyBorder="1" applyAlignment="1">
      <alignment horizontal="right" vertical="center" shrinkToFit="1"/>
    </xf>
    <xf numFmtId="176" fontId="41" fillId="20" borderId="8" xfId="0" applyNumberFormat="1" applyFont="1" applyFill="1" applyBorder="1" applyAlignment="1">
      <alignment horizontal="right" vertical="center" shrinkToFit="1"/>
    </xf>
    <xf numFmtId="176" fontId="41" fillId="20" borderId="30" xfId="0" applyNumberFormat="1" applyFont="1" applyFill="1" applyBorder="1">
      <alignment vertical="center"/>
    </xf>
    <xf numFmtId="176" fontId="41" fillId="20" borderId="31" xfId="0" applyNumberFormat="1" applyFont="1" applyFill="1" applyBorder="1">
      <alignment vertical="center"/>
    </xf>
    <xf numFmtId="176" fontId="41" fillId="20" borderId="32" xfId="0" applyNumberFormat="1" applyFont="1" applyFill="1" applyBorder="1">
      <alignment vertical="center"/>
    </xf>
    <xf numFmtId="180" fontId="60" fillId="0" borderId="0" xfId="0" applyNumberFormat="1" applyFont="1" applyAlignment="1"/>
    <xf numFmtId="176" fontId="60" fillId="0" borderId="0" xfId="0" applyNumberFormat="1" applyFont="1" applyAlignment="1">
      <alignment horizontal="right"/>
    </xf>
    <xf numFmtId="180" fontId="61" fillId="0" borderId="0" xfId="0" applyNumberFormat="1" applyFont="1" applyAlignment="1">
      <alignment horizontal="right" vertical="center" shrinkToFit="1"/>
    </xf>
    <xf numFmtId="176" fontId="60" fillId="0" borderId="0" xfId="0" applyNumberFormat="1" applyFont="1" applyAlignment="1">
      <alignment horizontal="right" vertical="center" shrinkToFit="1"/>
    </xf>
    <xf numFmtId="10" fontId="61" fillId="0" borderId="0" xfId="0" applyNumberFormat="1" applyFont="1" applyAlignment="1">
      <alignment horizontal="center" vertical="center" shrinkToFit="1"/>
    </xf>
    <xf numFmtId="176" fontId="60" fillId="0" borderId="0" xfId="0" applyNumberFormat="1" applyFont="1" applyAlignment="1">
      <alignment horizontal="left" vertical="center"/>
    </xf>
    <xf numFmtId="180" fontId="60" fillId="0" borderId="0" xfId="0" applyNumberFormat="1" applyFont="1" applyAlignment="1">
      <alignment horizontal="right" shrinkToFit="1"/>
    </xf>
    <xf numFmtId="176" fontId="60" fillId="0" borderId="0" xfId="0" applyNumberFormat="1" applyFont="1" applyAlignment="1">
      <alignment horizontal="right" shrinkToFit="1"/>
    </xf>
    <xf numFmtId="176" fontId="60" fillId="0" borderId="0" xfId="0" applyNumberFormat="1" applyFont="1" applyAlignment="1">
      <alignment horizontal="center" vertical="center"/>
    </xf>
    <xf numFmtId="176" fontId="98" fillId="0" borderId="0" xfId="0" applyNumberFormat="1" applyFont="1">
      <alignment vertical="center"/>
    </xf>
    <xf numFmtId="176" fontId="61" fillId="0" borderId="0" xfId="0" applyNumberFormat="1" applyFont="1" applyAlignment="1">
      <alignment horizontal="right" vertical="center" shrinkToFit="1"/>
    </xf>
    <xf numFmtId="176" fontId="60" fillId="0" borderId="0" xfId="0" applyNumberFormat="1" applyFont="1" applyAlignment="1">
      <alignment horizontal="right" vertical="center"/>
    </xf>
    <xf numFmtId="180" fontId="60" fillId="0" borderId="0" xfId="0" applyNumberFormat="1" applyFont="1">
      <alignment vertical="center"/>
    </xf>
    <xf numFmtId="180" fontId="41" fillId="0" borderId="0" xfId="0" applyNumberFormat="1" applyFont="1" applyAlignment="1">
      <alignment horizontal="right" vertical="center" shrinkToFit="1"/>
    </xf>
    <xf numFmtId="180" fontId="41" fillId="0" borderId="0" xfId="0" applyNumberFormat="1" applyFont="1" applyAlignment="1">
      <alignment horizontal="center" vertical="center"/>
    </xf>
    <xf numFmtId="180" fontId="45" fillId="0" borderId="0" xfId="0" applyNumberFormat="1" applyFont="1" applyAlignment="1">
      <alignment horizontal="right" vertical="center" shrinkToFit="1"/>
    </xf>
    <xf numFmtId="10" fontId="41" fillId="0" borderId="0" xfId="0" applyNumberFormat="1" applyFont="1" applyAlignment="1">
      <alignment horizontal="center" vertical="center" shrinkToFit="1"/>
    </xf>
    <xf numFmtId="10" fontId="45" fillId="0" borderId="0" xfId="0" applyNumberFormat="1" applyFont="1" applyAlignment="1">
      <alignment horizontal="left" vertical="center" shrinkToFit="1"/>
    </xf>
    <xf numFmtId="180" fontId="40" fillId="0" borderId="0" xfId="0" applyNumberFormat="1" applyFont="1">
      <alignment vertical="center"/>
    </xf>
    <xf numFmtId="176" fontId="45" fillId="0" borderId="0" xfId="1" applyNumberFormat="1" applyFont="1" applyBorder="1" applyAlignment="1" applyProtection="1">
      <alignment horizontal="right" vertical="center" shrinkToFit="1"/>
    </xf>
    <xf numFmtId="179" fontId="45" fillId="0" borderId="0" xfId="0" applyNumberFormat="1" applyFont="1">
      <alignment vertical="center"/>
    </xf>
    <xf numFmtId="176" fontId="41" fillId="0" borderId="0" xfId="1" applyNumberFormat="1" applyFont="1" applyBorder="1" applyAlignment="1" applyProtection="1">
      <alignment horizontal="right" vertical="center" shrinkToFit="1"/>
    </xf>
    <xf numFmtId="180" fontId="45" fillId="0" borderId="0" xfId="1" applyNumberFormat="1" applyFont="1" applyBorder="1" applyAlignment="1" applyProtection="1">
      <alignment horizontal="right" vertical="center" shrinkToFit="1"/>
    </xf>
    <xf numFmtId="180" fontId="45" fillId="0" borderId="0" xfId="0" applyNumberFormat="1" applyFont="1" applyAlignment="1">
      <alignment horizontal="left" vertical="center"/>
    </xf>
    <xf numFmtId="180" fontId="2" fillId="0" borderId="9" xfId="0" applyNumberFormat="1" applyFont="1" applyBorder="1">
      <alignment vertical="center"/>
    </xf>
    <xf numFmtId="180" fontId="3" fillId="0" borderId="9" xfId="0" applyNumberFormat="1" applyFont="1" applyBorder="1">
      <alignment vertical="center"/>
    </xf>
    <xf numFmtId="176" fontId="2" fillId="0" borderId="9" xfId="1" applyNumberFormat="1" applyFont="1" applyBorder="1" applyAlignment="1" applyProtection="1">
      <alignment horizontal="right" vertical="center" shrinkToFit="1"/>
    </xf>
    <xf numFmtId="176" fontId="2" fillId="0" borderId="9" xfId="1" applyNumberFormat="1" applyFont="1" applyBorder="1" applyAlignment="1" applyProtection="1">
      <alignment vertical="center" shrinkToFit="1"/>
    </xf>
    <xf numFmtId="180" fontId="45" fillId="0" borderId="9" xfId="0" applyNumberFormat="1" applyFont="1" applyBorder="1" applyAlignment="1">
      <alignment horizontal="right" vertical="center"/>
    </xf>
    <xf numFmtId="184" fontId="45" fillId="0" borderId="9" xfId="2" applyNumberFormat="1" applyFont="1" applyBorder="1" applyAlignment="1" applyProtection="1">
      <alignment horizontal="center" vertical="center"/>
    </xf>
    <xf numFmtId="176" fontId="2" fillId="4" borderId="24" xfId="0" applyNumberFormat="1" applyFont="1" applyFill="1" applyBorder="1" applyAlignment="1">
      <alignment horizontal="left" vertical="center"/>
    </xf>
    <xf numFmtId="176" fontId="3" fillId="4" borderId="27" xfId="0" applyNumberFormat="1" applyFont="1" applyFill="1" applyBorder="1" applyAlignment="1">
      <alignment horizontal="left" vertical="center"/>
    </xf>
    <xf numFmtId="176" fontId="2" fillId="4" borderId="24" xfId="0" applyNumberFormat="1" applyFont="1" applyFill="1" applyBorder="1">
      <alignment vertical="center"/>
    </xf>
    <xf numFmtId="176" fontId="2" fillId="4" borderId="26" xfId="0" applyNumberFormat="1" applyFont="1" applyFill="1" applyBorder="1">
      <alignment vertical="center"/>
    </xf>
    <xf numFmtId="176" fontId="2" fillId="4" borderId="27" xfId="0" applyNumberFormat="1" applyFont="1" applyFill="1" applyBorder="1">
      <alignment vertical="center"/>
    </xf>
    <xf numFmtId="180" fontId="2" fillId="0" borderId="0" xfId="0" applyNumberFormat="1" applyFont="1">
      <alignment vertical="center"/>
    </xf>
    <xf numFmtId="180" fontId="2" fillId="4" borderId="24" xfId="0" applyNumberFormat="1" applyFont="1" applyFill="1" applyBorder="1">
      <alignment vertical="center"/>
    </xf>
    <xf numFmtId="180" fontId="2" fillId="4" borderId="26" xfId="0" applyNumberFormat="1" applyFont="1" applyFill="1" applyBorder="1">
      <alignment vertical="center"/>
    </xf>
    <xf numFmtId="180" fontId="2" fillId="4" borderId="27" xfId="0" applyNumberFormat="1" applyFont="1" applyFill="1" applyBorder="1">
      <alignment vertical="center"/>
    </xf>
    <xf numFmtId="176" fontId="2" fillId="4" borderId="22" xfId="0" applyNumberFormat="1" applyFont="1" applyFill="1" applyBorder="1" applyAlignment="1">
      <alignment horizontal="left" vertical="center"/>
    </xf>
    <xf numFmtId="176" fontId="3" fillId="4" borderId="21" xfId="0" applyNumberFormat="1" applyFont="1" applyFill="1" applyBorder="1" applyAlignment="1">
      <alignment horizontal="left" vertical="center"/>
    </xf>
    <xf numFmtId="176" fontId="2" fillId="4" borderId="22" xfId="0" applyNumberFormat="1" applyFont="1" applyFill="1" applyBorder="1">
      <alignment vertical="center"/>
    </xf>
    <xf numFmtId="176" fontId="2" fillId="4" borderId="21" xfId="0" applyNumberFormat="1" applyFont="1" applyFill="1" applyBorder="1">
      <alignment vertical="center"/>
    </xf>
    <xf numFmtId="180" fontId="2" fillId="4" borderId="22" xfId="0" applyNumberFormat="1" applyFont="1" applyFill="1" applyBorder="1">
      <alignment vertical="center"/>
    </xf>
    <xf numFmtId="180" fontId="2" fillId="4" borderId="9" xfId="0" applyNumberFormat="1" applyFont="1" applyFill="1" applyBorder="1">
      <alignment vertical="center"/>
    </xf>
    <xf numFmtId="180" fontId="2" fillId="4" borderId="21" xfId="0" applyNumberFormat="1" applyFont="1" applyFill="1" applyBorder="1">
      <alignment vertical="center"/>
    </xf>
    <xf numFmtId="179" fontId="2" fillId="0" borderId="9" xfId="1" applyNumberFormat="1" applyFont="1" applyBorder="1" applyAlignment="1" applyProtection="1">
      <alignment horizontal="right" vertical="center" shrinkToFit="1"/>
    </xf>
    <xf numFmtId="10" fontId="2" fillId="0" borderId="9" xfId="2" applyNumberFormat="1" applyFont="1" applyBorder="1" applyAlignment="1" applyProtection="1">
      <alignment horizontal="center" vertical="center" shrinkToFit="1"/>
    </xf>
    <xf numFmtId="180" fontId="2" fillId="0" borderId="22" xfId="0" applyNumberFormat="1" applyFont="1" applyBorder="1" applyAlignment="1">
      <alignment horizontal="left" vertical="center"/>
    </xf>
    <xf numFmtId="180" fontId="2" fillId="0" borderId="21" xfId="0" applyNumberFormat="1" applyFont="1" applyBorder="1" applyAlignment="1">
      <alignment horizontal="left" vertical="center"/>
    </xf>
    <xf numFmtId="176" fontId="9" fillId="0" borderId="22" xfId="1" applyNumberFormat="1" applyFont="1" applyBorder="1" applyAlignment="1" applyProtection="1">
      <alignment horizontal="right" vertical="center" shrinkToFit="1"/>
    </xf>
    <xf numFmtId="176" fontId="9" fillId="0" borderId="9" xfId="1" applyNumberFormat="1" applyFont="1" applyBorder="1" applyAlignment="1" applyProtection="1">
      <alignment horizontal="right" vertical="center" shrinkToFit="1"/>
    </xf>
    <xf numFmtId="10" fontId="9" fillId="0" borderId="21" xfId="1" applyNumberFormat="1" applyFont="1" applyBorder="1" applyAlignment="1" applyProtection="1">
      <alignment horizontal="center" vertical="center" shrinkToFit="1"/>
    </xf>
    <xf numFmtId="10" fontId="2" fillId="0" borderId="9" xfId="0" applyNumberFormat="1" applyFont="1" applyBorder="1">
      <alignment vertical="center"/>
    </xf>
    <xf numFmtId="10" fontId="2" fillId="0" borderId="21" xfId="0" applyNumberFormat="1" applyFont="1" applyBorder="1">
      <alignment vertical="center"/>
    </xf>
    <xf numFmtId="176" fontId="9" fillId="0" borderId="21" xfId="1" applyNumberFormat="1" applyFont="1" applyBorder="1" applyAlignment="1" applyProtection="1">
      <alignment horizontal="right" vertical="center" shrinkToFit="1"/>
    </xf>
    <xf numFmtId="176" fontId="2" fillId="0" borderId="21" xfId="0" applyNumberFormat="1" applyFont="1" applyBorder="1">
      <alignment vertical="center"/>
    </xf>
    <xf numFmtId="180" fontId="2" fillId="0" borderId="0" xfId="0" applyNumberFormat="1" applyFont="1" applyAlignment="1">
      <alignment horizontal="center" vertical="center"/>
    </xf>
    <xf numFmtId="180" fontId="9" fillId="0" borderId="22" xfId="1" applyNumberFormat="1" applyFont="1" applyBorder="1" applyAlignment="1" applyProtection="1">
      <alignment horizontal="right" vertical="center" shrinkToFit="1"/>
    </xf>
    <xf numFmtId="180" fontId="9" fillId="0" borderId="9" xfId="1" applyNumberFormat="1" applyFont="1" applyBorder="1" applyAlignment="1" applyProtection="1">
      <alignment horizontal="right" vertical="center" shrinkToFit="1"/>
    </xf>
    <xf numFmtId="180" fontId="9" fillId="0" borderId="21" xfId="1" applyNumberFormat="1" applyFont="1" applyBorder="1" applyAlignment="1" applyProtection="1">
      <alignment horizontal="right" vertical="center" shrinkToFit="1"/>
    </xf>
    <xf numFmtId="180" fontId="9" fillId="14" borderId="9" xfId="0" applyNumberFormat="1" applyFont="1" applyFill="1" applyBorder="1">
      <alignment vertical="center"/>
    </xf>
    <xf numFmtId="176" fontId="9" fillId="14" borderId="9" xfId="1" applyNumberFormat="1" applyFont="1" applyFill="1" applyBorder="1" applyAlignment="1" applyProtection="1">
      <alignment horizontal="right" vertical="center" shrinkToFit="1"/>
    </xf>
    <xf numFmtId="180" fontId="9" fillId="14" borderId="30" xfId="0" applyNumberFormat="1" applyFont="1" applyFill="1" applyBorder="1" applyAlignment="1">
      <alignment horizontal="left" vertical="center"/>
    </xf>
    <xf numFmtId="180" fontId="9" fillId="14" borderId="32" xfId="0" applyNumberFormat="1" applyFont="1" applyFill="1" applyBorder="1" applyAlignment="1">
      <alignment horizontal="left" vertical="center"/>
    </xf>
    <xf numFmtId="180" fontId="9" fillId="14" borderId="33" xfId="0" applyNumberFormat="1" applyFont="1" applyFill="1" applyBorder="1">
      <alignment vertical="center"/>
    </xf>
    <xf numFmtId="180" fontId="9" fillId="14" borderId="31" xfId="0" applyNumberFormat="1" applyFont="1" applyFill="1" applyBorder="1">
      <alignment vertical="center"/>
    </xf>
    <xf numFmtId="180" fontId="9" fillId="14" borderId="34" xfId="0" applyNumberFormat="1" applyFont="1" applyFill="1" applyBorder="1">
      <alignment vertical="center"/>
    </xf>
    <xf numFmtId="180" fontId="9" fillId="14" borderId="32" xfId="0" applyNumberFormat="1" applyFont="1" applyFill="1" applyBorder="1">
      <alignment vertical="center"/>
    </xf>
    <xf numFmtId="180" fontId="9" fillId="14" borderId="30" xfId="0" applyNumberFormat="1" applyFont="1" applyFill="1" applyBorder="1">
      <alignment vertical="center"/>
    </xf>
    <xf numFmtId="180" fontId="9" fillId="14" borderId="35" xfId="0" applyNumberFormat="1" applyFont="1" applyFill="1" applyBorder="1">
      <alignment vertical="center"/>
    </xf>
    <xf numFmtId="184" fontId="45" fillId="0" borderId="0" xfId="2" applyNumberFormat="1" applyFont="1" applyBorder="1" applyAlignment="1" applyProtection="1">
      <alignment horizontal="center" vertical="center"/>
    </xf>
    <xf numFmtId="185" fontId="61" fillId="0" borderId="0" xfId="0" applyNumberFormat="1" applyFont="1">
      <alignment vertical="center"/>
    </xf>
    <xf numFmtId="180" fontId="60" fillId="0" borderId="0" xfId="0" applyNumberFormat="1" applyFont="1" applyAlignment="1">
      <alignment horizontal="right" vertical="center"/>
    </xf>
    <xf numFmtId="185" fontId="60" fillId="0" borderId="0" xfId="0" applyNumberFormat="1" applyFont="1">
      <alignment vertical="center"/>
    </xf>
    <xf numFmtId="179" fontId="60" fillId="0" borderId="0" xfId="0" applyNumberFormat="1" applyFont="1">
      <alignment vertical="center"/>
    </xf>
    <xf numFmtId="179" fontId="61" fillId="0" borderId="0" xfId="0" applyNumberFormat="1" applyFont="1">
      <alignment vertical="center"/>
    </xf>
    <xf numFmtId="185" fontId="99" fillId="0" borderId="0" xfId="0" applyNumberFormat="1" applyFont="1">
      <alignment vertical="center"/>
    </xf>
    <xf numFmtId="176" fontId="51" fillId="0" borderId="0" xfId="0" applyNumberFormat="1" applyFont="1" applyAlignment="1">
      <alignment horizontal="center"/>
    </xf>
    <xf numFmtId="184" fontId="45" fillId="0" borderId="9" xfId="2" applyNumberFormat="1" applyFont="1" applyBorder="1" applyAlignment="1" applyProtection="1">
      <alignment horizontal="center" vertical="center" shrinkToFit="1"/>
    </xf>
    <xf numFmtId="176" fontId="72" fillId="0" borderId="9" xfId="0" applyNumberFormat="1" applyFont="1" applyBorder="1" applyAlignment="1">
      <alignment horizontal="right" vertical="center" shrinkToFit="1"/>
    </xf>
    <xf numFmtId="184" fontId="41" fillId="19" borderId="9" xfId="2" applyNumberFormat="1" applyFont="1" applyFill="1" applyBorder="1" applyAlignment="1" applyProtection="1">
      <alignment horizontal="center" vertical="center" shrinkToFit="1"/>
    </xf>
    <xf numFmtId="176" fontId="72" fillId="4" borderId="8" xfId="0" applyNumberFormat="1" applyFont="1" applyFill="1" applyBorder="1">
      <alignment vertical="center"/>
    </xf>
    <xf numFmtId="176" fontId="72" fillId="4" borderId="9" xfId="0" applyNumberFormat="1" applyFont="1" applyFill="1" applyBorder="1">
      <alignment vertical="center"/>
    </xf>
    <xf numFmtId="184" fontId="41" fillId="20" borderId="9" xfId="2" applyNumberFormat="1" applyFont="1" applyFill="1" applyBorder="1" applyAlignment="1" applyProtection="1">
      <alignment horizontal="center" vertical="center" shrinkToFit="1"/>
    </xf>
    <xf numFmtId="184" fontId="61" fillId="0" borderId="0" xfId="2" applyNumberFormat="1" applyFont="1" applyBorder="1" applyAlignment="1" applyProtection="1">
      <alignment horizontal="center" vertical="center" shrinkToFit="1"/>
    </xf>
    <xf numFmtId="10" fontId="41" fillId="0" borderId="0" xfId="0" applyNumberFormat="1" applyFont="1" applyAlignment="1">
      <alignment horizontal="right" vertical="center" shrinkToFit="1"/>
    </xf>
    <xf numFmtId="184" fontId="41" fillId="0" borderId="0" xfId="2" applyNumberFormat="1" applyFont="1" applyBorder="1" applyAlignment="1" applyProtection="1">
      <alignment horizontal="center" vertical="center"/>
    </xf>
    <xf numFmtId="184" fontId="60" fillId="0" borderId="0" xfId="2" applyNumberFormat="1" applyFont="1" applyBorder="1" applyAlignment="1" applyProtection="1">
      <alignment horizontal="center" vertical="center"/>
    </xf>
    <xf numFmtId="38" fontId="102" fillId="0" borderId="0" xfId="0" applyNumberFormat="1" applyFont="1">
      <alignment vertical="center"/>
    </xf>
    <xf numFmtId="37" fontId="105" fillId="0" borderId="0" xfId="0" applyNumberFormat="1" applyFont="1">
      <alignment vertical="center"/>
    </xf>
    <xf numFmtId="38" fontId="106" fillId="0" borderId="0" xfId="1" applyNumberFormat="1" applyFont="1" applyAlignment="1">
      <alignment horizontal="center" vertical="center" wrapText="1"/>
    </xf>
    <xf numFmtId="38" fontId="105" fillId="0" borderId="0" xfId="1" applyNumberFormat="1" applyFont="1" applyAlignment="1">
      <alignment horizontal="center"/>
    </xf>
    <xf numFmtId="38" fontId="105" fillId="0" borderId="0" xfId="0" applyNumberFormat="1" applyFont="1">
      <alignment vertical="center"/>
    </xf>
    <xf numFmtId="38" fontId="105" fillId="0" borderId="0" xfId="0" applyNumberFormat="1" applyFont="1" applyAlignment="1">
      <alignment horizontal="center" vertical="center"/>
    </xf>
    <xf numFmtId="179" fontId="107" fillId="0" borderId="0" xfId="0" applyNumberFormat="1" applyFont="1">
      <alignment vertical="center"/>
    </xf>
    <xf numFmtId="179" fontId="105" fillId="0" borderId="0" xfId="0" applyNumberFormat="1" applyFont="1" applyAlignment="1">
      <alignment horizontal="center" vertical="center"/>
    </xf>
    <xf numFmtId="179" fontId="105" fillId="0" borderId="1" xfId="0" applyNumberFormat="1" applyFont="1" applyBorder="1" applyAlignment="1">
      <alignment horizontal="center" vertical="center"/>
    </xf>
    <xf numFmtId="179" fontId="105" fillId="0" borderId="0" xfId="0" applyNumberFormat="1" applyFont="1">
      <alignment vertical="center"/>
    </xf>
    <xf numFmtId="37" fontId="102" fillId="0" borderId="0" xfId="1" quotePrefix="1" applyNumberFormat="1" applyFont="1" applyAlignment="1">
      <alignment horizontal="left"/>
    </xf>
    <xf numFmtId="38" fontId="109" fillId="0" borderId="2" xfId="1" applyNumberFormat="1" applyFont="1" applyBorder="1" applyAlignment="1">
      <alignment vertical="center" wrapText="1"/>
    </xf>
    <xf numFmtId="38" fontId="109" fillId="0" borderId="2" xfId="1" applyNumberFormat="1" applyFont="1" applyBorder="1" applyAlignment="1">
      <alignment horizontal="left" vertical="center" wrapText="1"/>
    </xf>
    <xf numFmtId="38" fontId="110" fillId="0" borderId="2" xfId="1" applyNumberFormat="1" applyFont="1" applyBorder="1" applyAlignment="1"/>
    <xf numFmtId="37" fontId="105" fillId="0" borderId="0" xfId="0" applyNumberFormat="1" applyFont="1" applyAlignment="1">
      <alignment horizontal="center" vertical="center"/>
    </xf>
    <xf numFmtId="179" fontId="82" fillId="0" borderId="0" xfId="0" applyNumberFormat="1" applyFont="1" applyAlignment="1">
      <alignment horizontal="center" vertical="center"/>
    </xf>
    <xf numFmtId="38" fontId="105" fillId="23" borderId="0" xfId="0" applyNumberFormat="1" applyFont="1" applyFill="1">
      <alignment vertical="center"/>
    </xf>
    <xf numFmtId="38" fontId="105" fillId="23" borderId="0" xfId="0" applyNumberFormat="1" applyFont="1" applyFill="1" applyAlignment="1">
      <alignment horizontal="center" vertical="center"/>
    </xf>
    <xf numFmtId="38" fontId="107" fillId="23" borderId="0" xfId="0" applyNumberFormat="1" applyFont="1" applyFill="1">
      <alignment vertical="center"/>
    </xf>
    <xf numFmtId="38" fontId="107" fillId="0" borderId="9" xfId="1" applyNumberFormat="1" applyFont="1" applyBorder="1" applyAlignment="1" applyProtection="1">
      <alignment horizontal="center" vertical="center" wrapText="1"/>
    </xf>
    <xf numFmtId="38" fontId="111" fillId="0" borderId="9" xfId="1" applyNumberFormat="1" applyFont="1" applyBorder="1" applyAlignment="1" applyProtection="1">
      <alignment horizontal="center" vertical="center" wrapText="1"/>
    </xf>
    <xf numFmtId="179" fontId="107" fillId="0" borderId="9" xfId="0" applyNumberFormat="1" applyFont="1" applyBorder="1" applyAlignment="1">
      <alignment horizontal="center" vertical="center"/>
    </xf>
    <xf numFmtId="38" fontId="107" fillId="0" borderId="9" xfId="0" applyNumberFormat="1" applyFont="1" applyBorder="1" applyAlignment="1">
      <alignment horizontal="center" vertical="center"/>
    </xf>
    <xf numFmtId="38" fontId="82" fillId="0" borderId="0" xfId="0" applyNumberFormat="1" applyFont="1" applyAlignment="1">
      <alignment horizontal="center" vertical="center"/>
    </xf>
    <xf numFmtId="38" fontId="107" fillId="0" borderId="0" xfId="0" applyNumberFormat="1" applyFont="1" applyAlignment="1">
      <alignment horizontal="center" vertical="center"/>
    </xf>
    <xf numFmtId="38" fontId="107" fillId="0" borderId="0" xfId="0" applyNumberFormat="1" applyFont="1">
      <alignment vertical="center"/>
    </xf>
    <xf numFmtId="179" fontId="107" fillId="23" borderId="29" xfId="0" applyNumberFormat="1" applyFont="1" applyFill="1" applyBorder="1">
      <alignment vertical="center"/>
    </xf>
    <xf numFmtId="179" fontId="107" fillId="24" borderId="29" xfId="0" applyNumberFormat="1" applyFont="1" applyFill="1" applyBorder="1">
      <alignment vertical="center"/>
    </xf>
    <xf numFmtId="37" fontId="107" fillId="0" borderId="0" xfId="0" applyNumberFormat="1" applyFont="1">
      <alignment vertical="center"/>
    </xf>
    <xf numFmtId="37" fontId="107" fillId="0" borderId="0" xfId="0" applyNumberFormat="1" applyFont="1" applyAlignment="1">
      <alignment horizontal="center" vertical="center"/>
    </xf>
    <xf numFmtId="38" fontId="107" fillId="0" borderId="10" xfId="0" applyNumberFormat="1" applyFont="1" applyBorder="1" applyAlignment="1">
      <alignment horizontal="center" vertical="center"/>
    </xf>
    <xf numFmtId="38" fontId="87" fillId="0" borderId="0" xfId="0" applyNumberFormat="1" applyFont="1" applyAlignment="1">
      <alignment horizontal="center" vertical="center" wrapText="1"/>
    </xf>
    <xf numFmtId="38" fontId="115" fillId="0" borderId="0" xfId="0" applyNumberFormat="1" applyFont="1" applyAlignment="1">
      <alignment horizontal="center" vertical="center"/>
    </xf>
    <xf numFmtId="38" fontId="116" fillId="0" borderId="0" xfId="0" applyNumberFormat="1" applyFont="1" applyAlignment="1">
      <alignment horizontal="center" vertical="center"/>
    </xf>
    <xf numFmtId="179" fontId="107" fillId="23" borderId="22" xfId="1" applyNumberFormat="1" applyFont="1" applyFill="1" applyBorder="1" applyAlignment="1" applyProtection="1">
      <alignment horizontal="center" vertical="center" wrapText="1"/>
    </xf>
    <xf numFmtId="179" fontId="107" fillId="23" borderId="9" xfId="1" applyNumberFormat="1" applyFont="1" applyFill="1" applyBorder="1" applyAlignment="1" applyProtection="1">
      <alignment horizontal="center" vertical="center" wrapText="1"/>
    </xf>
    <xf numFmtId="179" fontId="107" fillId="23" borderId="21" xfId="1" applyNumberFormat="1" applyFont="1" applyFill="1" applyBorder="1" applyAlignment="1" applyProtection="1">
      <alignment horizontal="center" vertical="center" wrapText="1"/>
    </xf>
    <xf numFmtId="179" fontId="107" fillId="23" borderId="22" xfId="0" applyNumberFormat="1" applyFont="1" applyFill="1" applyBorder="1" applyAlignment="1">
      <alignment horizontal="center" vertical="center"/>
    </xf>
    <xf numFmtId="179" fontId="107" fillId="23" borderId="9" xfId="0" applyNumberFormat="1" applyFont="1" applyFill="1" applyBorder="1" applyAlignment="1">
      <alignment horizontal="center" vertical="center"/>
    </xf>
    <xf numFmtId="179" fontId="107" fillId="23" borderId="21" xfId="0" applyNumberFormat="1" applyFont="1" applyFill="1" applyBorder="1" applyAlignment="1">
      <alignment horizontal="center" vertical="center"/>
    </xf>
    <xf numFmtId="179" fontId="107" fillId="23" borderId="44" xfId="0" applyNumberFormat="1" applyFont="1" applyFill="1" applyBorder="1" applyAlignment="1">
      <alignment horizontal="center" vertical="center"/>
    </xf>
    <xf numFmtId="179" fontId="107" fillId="0" borderId="2" xfId="0" applyNumberFormat="1" applyFont="1" applyBorder="1" applyAlignment="1">
      <alignment horizontal="center" vertical="center" wrapText="1"/>
    </xf>
    <xf numFmtId="179" fontId="107" fillId="24" borderId="22" xfId="0" applyNumberFormat="1" applyFont="1" applyFill="1" applyBorder="1" applyAlignment="1">
      <alignment horizontal="center" vertical="center"/>
    </xf>
    <xf numFmtId="179" fontId="107" fillId="24" borderId="9" xfId="0" applyNumberFormat="1" applyFont="1" applyFill="1" applyBorder="1" applyAlignment="1">
      <alignment horizontal="center" vertical="center"/>
    </xf>
    <xf numFmtId="179" fontId="107" fillId="24" borderId="44" xfId="0" applyNumberFormat="1" applyFont="1" applyFill="1" applyBorder="1" applyAlignment="1">
      <alignment horizontal="center" vertical="center"/>
    </xf>
    <xf numFmtId="38" fontId="107" fillId="25" borderId="9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 applyAlignment="1">
      <alignment horizontal="left" vertical="center"/>
    </xf>
    <xf numFmtId="37" fontId="105" fillId="0" borderId="9" xfId="0" applyNumberFormat="1" applyFont="1" applyBorder="1" applyAlignment="1">
      <alignment vertical="center" shrinkToFit="1"/>
    </xf>
    <xf numFmtId="38" fontId="105" fillId="0" borderId="9" xfId="1" applyNumberFormat="1" applyFont="1" applyBorder="1" applyAlignment="1" applyProtection="1">
      <alignment horizontal="right" vertical="center" shrinkToFit="1"/>
    </xf>
    <xf numFmtId="38" fontId="105" fillId="0" borderId="9" xfId="1" applyNumberFormat="1" applyFont="1" applyBorder="1" applyAlignment="1">
      <alignment vertical="center" shrinkToFit="1"/>
    </xf>
    <xf numFmtId="9" fontId="105" fillId="0" borderId="9" xfId="2" applyFont="1" applyBorder="1" applyAlignment="1">
      <alignment vertical="center" shrinkToFit="1"/>
    </xf>
    <xf numFmtId="10" fontId="105" fillId="0" borderId="9" xfId="2" applyNumberFormat="1" applyFont="1" applyBorder="1" applyAlignment="1" applyProtection="1">
      <alignment horizontal="center" vertical="center" shrinkToFit="1"/>
    </xf>
    <xf numFmtId="38" fontId="105" fillId="0" borderId="9" xfId="1" applyNumberFormat="1" applyFont="1" applyBorder="1" applyAlignment="1" applyProtection="1">
      <alignment horizontal="right" vertical="center" wrapText="1" shrinkToFit="1"/>
    </xf>
    <xf numFmtId="38" fontId="105" fillId="0" borderId="11" xfId="1" applyNumberFormat="1" applyFont="1" applyBorder="1" applyAlignment="1" applyProtection="1">
      <alignment horizontal="right" vertical="center" shrinkToFit="1"/>
    </xf>
    <xf numFmtId="38" fontId="105" fillId="0" borderId="0" xfId="1" applyNumberFormat="1" applyFont="1" applyBorder="1" applyAlignment="1" applyProtection="1">
      <alignment horizontal="left" vertical="center" shrinkToFit="1"/>
    </xf>
    <xf numFmtId="38" fontId="105" fillId="0" borderId="0" xfId="1" applyNumberFormat="1" applyFont="1" applyBorder="1" applyAlignment="1" applyProtection="1">
      <alignment horizontal="right" vertical="center" shrinkToFit="1"/>
    </xf>
    <xf numFmtId="3" fontId="105" fillId="0" borderId="0" xfId="0" applyNumberFormat="1" applyFont="1">
      <alignment vertical="center"/>
    </xf>
    <xf numFmtId="179" fontId="105" fillId="23" borderId="22" xfId="0" applyNumberFormat="1" applyFont="1" applyFill="1" applyBorder="1">
      <alignment vertical="center"/>
    </xf>
    <xf numFmtId="179" fontId="105" fillId="23" borderId="21" xfId="0" applyNumberFormat="1" applyFont="1" applyFill="1" applyBorder="1">
      <alignment vertical="center"/>
    </xf>
    <xf numFmtId="179" fontId="105" fillId="23" borderId="20" xfId="0" applyNumberFormat="1" applyFont="1" applyFill="1" applyBorder="1">
      <alignment vertical="center"/>
    </xf>
    <xf numFmtId="179" fontId="105" fillId="23" borderId="9" xfId="0" applyNumberFormat="1" applyFont="1" applyFill="1" applyBorder="1">
      <alignment vertical="center"/>
    </xf>
    <xf numFmtId="9" fontId="105" fillId="23" borderId="21" xfId="2" applyFont="1" applyFill="1" applyBorder="1" applyAlignment="1">
      <alignment horizontal="center" vertical="center"/>
    </xf>
    <xf numFmtId="179" fontId="105" fillId="23" borderId="44" xfId="2" applyNumberFormat="1" applyFont="1" applyFill="1" applyBorder="1" applyAlignment="1">
      <alignment horizontal="center" vertical="center"/>
    </xf>
    <xf numFmtId="179" fontId="105" fillId="24" borderId="22" xfId="0" applyNumberFormat="1" applyFont="1" applyFill="1" applyBorder="1">
      <alignment vertical="center"/>
    </xf>
    <xf numFmtId="179" fontId="105" fillId="24" borderId="9" xfId="0" applyNumberFormat="1" applyFont="1" applyFill="1" applyBorder="1">
      <alignment vertical="center"/>
    </xf>
    <xf numFmtId="179" fontId="105" fillId="24" borderId="44" xfId="2" applyNumberFormat="1" applyFont="1" applyFill="1" applyBorder="1" applyAlignment="1">
      <alignment horizontal="center" vertical="center"/>
    </xf>
    <xf numFmtId="38" fontId="105" fillId="25" borderId="9" xfId="0" applyNumberFormat="1" applyFont="1" applyFill="1" applyBorder="1">
      <alignment vertical="center"/>
    </xf>
    <xf numFmtId="38" fontId="105" fillId="26" borderId="9" xfId="1" applyNumberFormat="1" applyFont="1" applyFill="1" applyBorder="1" applyAlignment="1" applyProtection="1">
      <alignment horizontal="right" vertical="center" shrinkToFit="1"/>
    </xf>
    <xf numFmtId="38" fontId="105" fillId="23" borderId="20" xfId="0" applyNumberFormat="1" applyFont="1" applyFill="1" applyBorder="1">
      <alignment vertical="center"/>
    </xf>
    <xf numFmtId="37" fontId="105" fillId="25" borderId="9" xfId="0" applyNumberFormat="1" applyFont="1" applyFill="1" applyBorder="1" applyAlignment="1">
      <alignment horizontal="left" vertical="center"/>
    </xf>
    <xf numFmtId="37" fontId="105" fillId="25" borderId="9" xfId="0" applyNumberFormat="1" applyFont="1" applyFill="1" applyBorder="1" applyAlignment="1">
      <alignment vertical="center" shrinkToFit="1"/>
    </xf>
    <xf numFmtId="37" fontId="117" fillId="0" borderId="9" xfId="0" applyNumberFormat="1" applyFont="1" applyBorder="1" applyAlignment="1">
      <alignment horizontal="left" vertical="center"/>
    </xf>
    <xf numFmtId="37" fontId="118" fillId="0" borderId="9" xfId="2" applyNumberFormat="1" applyFont="1" applyBorder="1" applyAlignment="1">
      <alignment horizontal="left" vertical="center"/>
    </xf>
    <xf numFmtId="38" fontId="117" fillId="0" borderId="9" xfId="1" applyNumberFormat="1" applyFont="1" applyBorder="1" applyAlignment="1">
      <alignment vertical="center" shrinkToFit="1"/>
    </xf>
    <xf numFmtId="9" fontId="117" fillId="0" borderId="9" xfId="2" applyFont="1" applyBorder="1" applyAlignment="1">
      <alignment vertical="center" shrinkToFit="1"/>
    </xf>
    <xf numFmtId="38" fontId="117" fillId="0" borderId="9" xfId="1" applyNumberFormat="1" applyFont="1" applyBorder="1" applyAlignment="1" applyProtection="1">
      <alignment horizontal="right" vertical="center" shrinkToFit="1"/>
    </xf>
    <xf numFmtId="10" fontId="117" fillId="0" borderId="9" xfId="2" applyNumberFormat="1" applyFont="1" applyBorder="1" applyAlignment="1" applyProtection="1">
      <alignment horizontal="center" vertical="center" shrinkToFit="1"/>
    </xf>
    <xf numFmtId="38" fontId="117" fillId="0" borderId="9" xfId="1" applyNumberFormat="1" applyFont="1" applyBorder="1" applyAlignment="1" applyProtection="1">
      <alignment horizontal="right" vertical="center" wrapText="1" shrinkToFit="1"/>
    </xf>
    <xf numFmtId="38" fontId="117" fillId="27" borderId="9" xfId="1" applyNumberFormat="1" applyFont="1" applyFill="1" applyBorder="1" applyAlignment="1" applyProtection="1">
      <alignment horizontal="right" vertical="center" shrinkToFit="1"/>
    </xf>
    <xf numFmtId="38" fontId="117" fillId="26" borderId="9" xfId="1" applyNumberFormat="1" applyFont="1" applyFill="1" applyBorder="1" applyAlignment="1" applyProtection="1">
      <alignment horizontal="right" vertical="center" shrinkToFit="1"/>
    </xf>
    <xf numFmtId="38" fontId="117" fillId="0" borderId="0" xfId="1" applyNumberFormat="1" applyFont="1" applyBorder="1" applyAlignment="1" applyProtection="1">
      <alignment horizontal="left" vertical="center" shrinkToFit="1"/>
    </xf>
    <xf numFmtId="38" fontId="117" fillId="0" borderId="0" xfId="1" applyNumberFormat="1" applyFont="1" applyBorder="1" applyAlignment="1" applyProtection="1">
      <alignment horizontal="right" vertical="center" shrinkToFit="1"/>
    </xf>
    <xf numFmtId="37" fontId="117" fillId="0" borderId="0" xfId="0" applyNumberFormat="1" applyFont="1">
      <alignment vertical="center"/>
    </xf>
    <xf numFmtId="38" fontId="117" fillId="0" borderId="0" xfId="0" applyNumberFormat="1" applyFont="1">
      <alignment vertical="center"/>
    </xf>
    <xf numFmtId="38" fontId="117" fillId="0" borderId="0" xfId="0" applyNumberFormat="1" applyFont="1" applyAlignment="1">
      <alignment horizontal="center" vertical="center"/>
    </xf>
    <xf numFmtId="179" fontId="117" fillId="23" borderId="22" xfId="0" applyNumberFormat="1" applyFont="1" applyFill="1" applyBorder="1">
      <alignment vertical="center"/>
    </xf>
    <xf numFmtId="179" fontId="117" fillId="23" borderId="21" xfId="0" applyNumberFormat="1" applyFont="1" applyFill="1" applyBorder="1">
      <alignment vertical="center"/>
    </xf>
    <xf numFmtId="179" fontId="117" fillId="23" borderId="20" xfId="0" applyNumberFormat="1" applyFont="1" applyFill="1" applyBorder="1">
      <alignment vertical="center"/>
    </xf>
    <xf numFmtId="179" fontId="117" fillId="23" borderId="9" xfId="0" applyNumberFormat="1" applyFont="1" applyFill="1" applyBorder="1">
      <alignment vertical="center"/>
    </xf>
    <xf numFmtId="9" fontId="117" fillId="23" borderId="21" xfId="2" applyFont="1" applyFill="1" applyBorder="1" applyAlignment="1">
      <alignment horizontal="center" vertical="center"/>
    </xf>
    <xf numFmtId="38" fontId="117" fillId="23" borderId="20" xfId="0" applyNumberFormat="1" applyFont="1" applyFill="1" applyBorder="1">
      <alignment vertical="center"/>
    </xf>
    <xf numFmtId="179" fontId="117" fillId="23" borderId="44" xfId="2" applyNumberFormat="1" applyFont="1" applyFill="1" applyBorder="1" applyAlignment="1">
      <alignment horizontal="center" vertical="center"/>
    </xf>
    <xf numFmtId="179" fontId="117" fillId="0" borderId="0" xfId="0" applyNumberFormat="1" applyFont="1" applyAlignment="1">
      <alignment horizontal="center" vertical="center"/>
    </xf>
    <xf numFmtId="179" fontId="117" fillId="24" borderId="22" xfId="0" applyNumberFormat="1" applyFont="1" applyFill="1" applyBorder="1">
      <alignment vertical="center"/>
    </xf>
    <xf numFmtId="179" fontId="117" fillId="24" borderId="9" xfId="0" applyNumberFormat="1" applyFont="1" applyFill="1" applyBorder="1">
      <alignment vertical="center"/>
    </xf>
    <xf numFmtId="179" fontId="119" fillId="24" borderId="44" xfId="2" applyNumberFormat="1" applyFont="1" applyFill="1" applyBorder="1" applyAlignment="1">
      <alignment horizontal="center" vertical="center"/>
    </xf>
    <xf numFmtId="37" fontId="117" fillId="0" borderId="0" xfId="0" applyNumberFormat="1" applyFont="1" applyAlignment="1">
      <alignment horizontal="center" vertical="center"/>
    </xf>
    <xf numFmtId="37" fontId="117" fillId="25" borderId="9" xfId="0" applyNumberFormat="1" applyFont="1" applyFill="1" applyBorder="1" applyAlignment="1">
      <alignment horizontal="left" vertical="center"/>
    </xf>
    <xf numFmtId="37" fontId="118" fillId="25" borderId="9" xfId="2" applyNumberFormat="1" applyFont="1" applyFill="1" applyBorder="1" applyAlignment="1">
      <alignment horizontal="left" vertical="center"/>
    </xf>
    <xf numFmtId="38" fontId="117" fillId="25" borderId="9" xfId="0" applyNumberFormat="1" applyFont="1" applyFill="1" applyBorder="1">
      <alignment vertical="center"/>
    </xf>
    <xf numFmtId="179" fontId="117" fillId="24" borderId="44" xfId="2" applyNumberFormat="1" applyFont="1" applyFill="1" applyBorder="1" applyAlignment="1">
      <alignment horizontal="center" vertical="center"/>
    </xf>
    <xf numFmtId="37" fontId="118" fillId="0" borderId="9" xfId="0" applyNumberFormat="1" applyFont="1" applyBorder="1" applyAlignment="1">
      <alignment horizontal="left" vertical="center"/>
    </xf>
    <xf numFmtId="37" fontId="121" fillId="0" borderId="9" xfId="0" applyNumberFormat="1" applyFont="1" applyBorder="1" applyAlignment="1">
      <alignment horizontal="left" vertical="center"/>
    </xf>
    <xf numFmtId="38" fontId="121" fillId="28" borderId="9" xfId="1" applyNumberFormat="1" applyFont="1" applyFill="1" applyBorder="1" applyAlignment="1">
      <alignment vertical="center" shrinkToFit="1"/>
    </xf>
    <xf numFmtId="9" fontId="121" fillId="0" borderId="9" xfId="2" applyFont="1" applyBorder="1" applyAlignment="1">
      <alignment vertical="center" shrinkToFit="1"/>
    </xf>
    <xf numFmtId="38" fontId="121" fillId="0" borderId="9" xfId="1" applyNumberFormat="1" applyFont="1" applyBorder="1" applyAlignment="1" applyProtection="1">
      <alignment horizontal="right" vertical="center" shrinkToFit="1"/>
    </xf>
    <xf numFmtId="10" fontId="121" fillId="0" borderId="9" xfId="2" applyNumberFormat="1" applyFont="1" applyBorder="1" applyAlignment="1" applyProtection="1">
      <alignment horizontal="center" vertical="center" shrinkToFit="1"/>
    </xf>
    <xf numFmtId="38" fontId="121" fillId="0" borderId="9" xfId="1" applyNumberFormat="1" applyFont="1" applyBorder="1" applyAlignment="1" applyProtection="1">
      <alignment horizontal="right" vertical="center" wrapText="1" shrinkToFit="1"/>
    </xf>
    <xf numFmtId="38" fontId="121" fillId="26" borderId="9" xfId="1" applyNumberFormat="1" applyFont="1" applyFill="1" applyBorder="1" applyAlignment="1" applyProtection="1">
      <alignment horizontal="right" vertical="center" shrinkToFit="1"/>
    </xf>
    <xf numFmtId="38" fontId="121" fillId="0" borderId="0" xfId="1" applyNumberFormat="1" applyFont="1" applyBorder="1" applyAlignment="1" applyProtection="1">
      <alignment horizontal="left" vertical="center" shrinkToFit="1"/>
    </xf>
    <xf numFmtId="38" fontId="121" fillId="0" borderId="0" xfId="1" applyNumberFormat="1" applyFont="1" applyBorder="1" applyAlignment="1" applyProtection="1">
      <alignment horizontal="right" vertical="center" shrinkToFit="1"/>
    </xf>
    <xf numFmtId="37" fontId="121" fillId="0" borderId="0" xfId="0" applyNumberFormat="1" applyFont="1">
      <alignment vertical="center"/>
    </xf>
    <xf numFmtId="38" fontId="121" fillId="0" borderId="0" xfId="0" applyNumberFormat="1" applyFont="1">
      <alignment vertical="center"/>
    </xf>
    <xf numFmtId="38" fontId="121" fillId="0" borderId="0" xfId="0" applyNumberFormat="1" applyFont="1" applyAlignment="1">
      <alignment horizontal="center" vertical="center"/>
    </xf>
    <xf numFmtId="179" fontId="121" fillId="23" borderId="22" xfId="0" applyNumberFormat="1" applyFont="1" applyFill="1" applyBorder="1">
      <alignment vertical="center"/>
    </xf>
    <xf numFmtId="179" fontId="121" fillId="23" borderId="21" xfId="0" applyNumberFormat="1" applyFont="1" applyFill="1" applyBorder="1">
      <alignment vertical="center"/>
    </xf>
    <xf numFmtId="179" fontId="121" fillId="23" borderId="20" xfId="0" applyNumberFormat="1" applyFont="1" applyFill="1" applyBorder="1">
      <alignment vertical="center"/>
    </xf>
    <xf numFmtId="179" fontId="121" fillId="23" borderId="9" xfId="0" applyNumberFormat="1" applyFont="1" applyFill="1" applyBorder="1">
      <alignment vertical="center"/>
    </xf>
    <xf numFmtId="9" fontId="121" fillId="23" borderId="21" xfId="2" applyFont="1" applyFill="1" applyBorder="1" applyAlignment="1">
      <alignment horizontal="center" vertical="center"/>
    </xf>
    <xf numFmtId="38" fontId="121" fillId="23" borderId="20" xfId="0" applyNumberFormat="1" applyFont="1" applyFill="1" applyBorder="1">
      <alignment vertical="center"/>
    </xf>
    <xf numFmtId="179" fontId="121" fillId="23" borderId="44" xfId="2" applyNumberFormat="1" applyFont="1" applyFill="1" applyBorder="1" applyAlignment="1">
      <alignment horizontal="center" vertical="center"/>
    </xf>
    <xf numFmtId="179" fontId="121" fillId="0" borderId="0" xfId="0" applyNumberFormat="1" applyFont="1" applyAlignment="1">
      <alignment horizontal="center" vertical="center"/>
    </xf>
    <xf numFmtId="179" fontId="121" fillId="24" borderId="22" xfId="0" applyNumberFormat="1" applyFont="1" applyFill="1" applyBorder="1">
      <alignment vertical="center"/>
    </xf>
    <xf numFmtId="179" fontId="121" fillId="24" borderId="9" xfId="0" applyNumberFormat="1" applyFont="1" applyFill="1" applyBorder="1">
      <alignment vertical="center"/>
    </xf>
    <xf numFmtId="179" fontId="121" fillId="24" borderId="44" xfId="2" applyNumberFormat="1" applyFont="1" applyFill="1" applyBorder="1" applyAlignment="1">
      <alignment horizontal="center" vertical="center"/>
    </xf>
    <xf numFmtId="37" fontId="121" fillId="0" borderId="0" xfId="0" applyNumberFormat="1" applyFont="1" applyAlignment="1">
      <alignment horizontal="center" vertical="center"/>
    </xf>
    <xf numFmtId="37" fontId="121" fillId="25" borderId="9" xfId="0" applyNumberFormat="1" applyFont="1" applyFill="1" applyBorder="1" applyAlignment="1">
      <alignment horizontal="left" vertical="center"/>
    </xf>
    <xf numFmtId="38" fontId="121" fillId="25" borderId="9" xfId="0" applyNumberFormat="1" applyFont="1" applyFill="1" applyBorder="1">
      <alignment vertical="center"/>
    </xf>
    <xf numFmtId="38" fontId="125" fillId="0" borderId="0" xfId="1" applyNumberFormat="1" applyFont="1" applyBorder="1" applyAlignment="1" applyProtection="1">
      <alignment horizontal="left" vertical="center" shrinkToFit="1"/>
    </xf>
    <xf numFmtId="38" fontId="105" fillId="0" borderId="0" xfId="1" applyNumberFormat="1" applyFont="1" applyBorder="1" applyAlignment="1" applyProtection="1">
      <alignment vertical="center" shrinkToFit="1"/>
    </xf>
    <xf numFmtId="179" fontId="105" fillId="23" borderId="21" xfId="0" applyNumberFormat="1" applyFont="1" applyFill="1" applyBorder="1" applyAlignment="1">
      <alignment horizontal="center" vertical="center"/>
    </xf>
    <xf numFmtId="38" fontId="117" fillId="0" borderId="0" xfId="1" applyNumberFormat="1" applyFont="1" applyBorder="1" applyAlignment="1" applyProtection="1">
      <alignment vertical="center" shrinkToFit="1"/>
    </xf>
    <xf numFmtId="179" fontId="117" fillId="23" borderId="21" xfId="0" applyNumberFormat="1" applyFont="1" applyFill="1" applyBorder="1" applyAlignment="1">
      <alignment horizontal="center" vertical="center"/>
    </xf>
    <xf numFmtId="38" fontId="126" fillId="0" borderId="9" xfId="0" applyNumberFormat="1" applyFont="1" applyBorder="1" applyAlignment="1">
      <alignment horizontal="right" vertical="center" shrinkToFit="1"/>
    </xf>
    <xf numFmtId="10" fontId="105" fillId="29" borderId="9" xfId="2" applyNumberFormat="1" applyFont="1" applyFill="1" applyBorder="1" applyAlignment="1" applyProtection="1">
      <alignment horizontal="center" vertical="center" shrinkToFit="1"/>
    </xf>
    <xf numFmtId="0" fontId="105" fillId="0" borderId="0" xfId="0" applyFont="1">
      <alignment vertical="center"/>
    </xf>
    <xf numFmtId="37" fontId="107" fillId="30" borderId="9" xfId="0" applyNumberFormat="1" applyFont="1" applyFill="1" applyBorder="1">
      <alignment vertical="center"/>
    </xf>
    <xf numFmtId="38" fontId="107" fillId="30" borderId="9" xfId="1" applyNumberFormat="1" applyFont="1" applyFill="1" applyBorder="1" applyAlignment="1">
      <alignment horizontal="right" vertical="center" shrinkToFit="1"/>
    </xf>
    <xf numFmtId="9" fontId="107" fillId="30" borderId="9" xfId="2" applyFont="1" applyFill="1" applyBorder="1" applyAlignment="1">
      <alignment horizontal="right" vertical="center" shrinkToFit="1"/>
    </xf>
    <xf numFmtId="10" fontId="107" fillId="30" borderId="9" xfId="2" applyNumberFormat="1" applyFont="1" applyFill="1" applyBorder="1" applyAlignment="1">
      <alignment horizontal="center" vertical="center" shrinkToFit="1"/>
    </xf>
    <xf numFmtId="38" fontId="107" fillId="0" borderId="0" xfId="1" applyNumberFormat="1" applyFont="1" applyBorder="1" applyAlignment="1">
      <alignment horizontal="right" vertical="center" shrinkToFit="1"/>
    </xf>
    <xf numFmtId="179" fontId="107" fillId="31" borderId="22" xfId="1" applyNumberFormat="1" applyFont="1" applyFill="1" applyBorder="1" applyAlignment="1">
      <alignment horizontal="right" vertical="center" shrinkToFit="1"/>
    </xf>
    <xf numFmtId="179" fontId="107" fillId="31" borderId="21" xfId="1" applyNumberFormat="1" applyFont="1" applyFill="1" applyBorder="1" applyAlignment="1">
      <alignment horizontal="left" vertical="center" shrinkToFit="1"/>
    </xf>
    <xf numFmtId="179" fontId="107" fillId="31" borderId="44" xfId="1" applyNumberFormat="1" applyFont="1" applyFill="1" applyBorder="1" applyAlignment="1">
      <alignment horizontal="right" vertical="center" shrinkToFit="1"/>
    </xf>
    <xf numFmtId="179" fontId="107" fillId="31" borderId="9" xfId="1" applyNumberFormat="1" applyFont="1" applyFill="1" applyBorder="1" applyAlignment="1">
      <alignment horizontal="right" vertical="center" shrinkToFit="1"/>
    </xf>
    <xf numFmtId="38" fontId="107" fillId="31" borderId="9" xfId="1" applyNumberFormat="1" applyFont="1" applyFill="1" applyBorder="1" applyAlignment="1">
      <alignment horizontal="right" vertical="center" shrinkToFit="1"/>
    </xf>
    <xf numFmtId="37" fontId="117" fillId="0" borderId="9" xfId="2" applyNumberFormat="1" applyFont="1" applyBorder="1" applyAlignment="1">
      <alignment horizontal="left" vertical="center"/>
    </xf>
    <xf numFmtId="38" fontId="117" fillId="0" borderId="9" xfId="1" applyNumberFormat="1" applyFont="1" applyBorder="1" applyAlignment="1" applyProtection="1">
      <alignment horizontal="center" vertical="center" shrinkToFit="1"/>
    </xf>
    <xf numFmtId="179" fontId="117" fillId="24" borderId="8" xfId="0" applyNumberFormat="1" applyFont="1" applyFill="1" applyBorder="1">
      <alignment vertical="center"/>
    </xf>
    <xf numFmtId="38" fontId="105" fillId="0" borderId="9" xfId="1" applyNumberFormat="1" applyFont="1" applyBorder="1" applyAlignment="1" applyProtection="1">
      <alignment horizontal="center" vertical="center" shrinkToFit="1"/>
    </xf>
    <xf numFmtId="179" fontId="105" fillId="24" borderId="8" xfId="0" applyNumberFormat="1" applyFont="1" applyFill="1" applyBorder="1">
      <alignment vertical="center"/>
    </xf>
    <xf numFmtId="179" fontId="105" fillId="32" borderId="22" xfId="0" applyNumberFormat="1" applyFont="1" applyFill="1" applyBorder="1">
      <alignment vertical="center"/>
    </xf>
    <xf numFmtId="179" fontId="105" fillId="32" borderId="9" xfId="0" applyNumberFormat="1" applyFont="1" applyFill="1" applyBorder="1">
      <alignment vertical="center"/>
    </xf>
    <xf numFmtId="179" fontId="105" fillId="32" borderId="8" xfId="0" applyNumberFormat="1" applyFont="1" applyFill="1" applyBorder="1">
      <alignment vertical="center"/>
    </xf>
    <xf numFmtId="179" fontId="117" fillId="32" borderId="22" xfId="0" applyNumberFormat="1" applyFont="1" applyFill="1" applyBorder="1">
      <alignment vertical="center"/>
    </xf>
    <xf numFmtId="179" fontId="117" fillId="32" borderId="9" xfId="0" applyNumberFormat="1" applyFont="1" applyFill="1" applyBorder="1">
      <alignment vertical="center"/>
    </xf>
    <xf numFmtId="37" fontId="117" fillId="25" borderId="9" xfId="2" applyNumberFormat="1" applyFont="1" applyFill="1" applyBorder="1" applyAlignment="1">
      <alignment horizontal="left" vertical="center"/>
    </xf>
    <xf numFmtId="37" fontId="125" fillId="0" borderId="9" xfId="0" applyNumberFormat="1" applyFont="1" applyBorder="1" applyAlignment="1">
      <alignment horizontal="left" vertical="center"/>
    </xf>
    <xf numFmtId="38" fontId="125" fillId="0" borderId="9" xfId="1" applyNumberFormat="1" applyFont="1" applyBorder="1" applyAlignment="1">
      <alignment vertical="center" shrinkToFit="1"/>
    </xf>
    <xf numFmtId="38" fontId="125" fillId="0" borderId="9" xfId="1" applyNumberFormat="1" applyFont="1" applyBorder="1" applyAlignment="1" applyProtection="1">
      <alignment horizontal="right" vertical="center" shrinkToFit="1"/>
    </xf>
    <xf numFmtId="38" fontId="125" fillId="0" borderId="9" xfId="1" applyNumberFormat="1" applyFont="1" applyBorder="1" applyAlignment="1" applyProtection="1">
      <alignment horizontal="center" vertical="center" shrinkToFit="1"/>
    </xf>
    <xf numFmtId="38" fontId="125" fillId="0" borderId="0" xfId="1" applyNumberFormat="1" applyFont="1" applyBorder="1" applyAlignment="1" applyProtection="1">
      <alignment horizontal="right" vertical="center" shrinkToFit="1"/>
    </xf>
    <xf numFmtId="38" fontId="125" fillId="0" borderId="0" xfId="0" applyNumberFormat="1" applyFont="1">
      <alignment vertical="center"/>
    </xf>
    <xf numFmtId="38" fontId="125" fillId="0" borderId="0" xfId="0" applyNumberFormat="1" applyFont="1" applyAlignment="1">
      <alignment horizontal="center" vertical="center"/>
    </xf>
    <xf numFmtId="37" fontId="125" fillId="0" borderId="0" xfId="0" applyNumberFormat="1" applyFont="1">
      <alignment vertical="center"/>
    </xf>
    <xf numFmtId="179" fontId="125" fillId="0" borderId="0" xfId="0" applyNumberFormat="1" applyFont="1" applyAlignment="1">
      <alignment horizontal="center" vertical="center"/>
    </xf>
    <xf numFmtId="179" fontId="125" fillId="32" borderId="22" xfId="0" applyNumberFormat="1" applyFont="1" applyFill="1" applyBorder="1">
      <alignment vertical="center"/>
    </xf>
    <xf numFmtId="179" fontId="125" fillId="32" borderId="9" xfId="0" applyNumberFormat="1" applyFont="1" applyFill="1" applyBorder="1">
      <alignment vertical="center"/>
    </xf>
    <xf numFmtId="37" fontId="125" fillId="0" borderId="0" xfId="0" applyNumberFormat="1" applyFont="1" applyAlignment="1">
      <alignment horizontal="center" vertical="center"/>
    </xf>
    <xf numFmtId="37" fontId="105" fillId="25" borderId="9" xfId="2" applyNumberFormat="1" applyFont="1" applyFill="1" applyBorder="1" applyAlignment="1">
      <alignment horizontal="left" vertical="center"/>
    </xf>
    <xf numFmtId="38" fontId="127" fillId="0" borderId="9" xfId="1" applyNumberFormat="1" applyFont="1" applyBorder="1" applyAlignment="1">
      <alignment vertical="center" shrinkToFit="1"/>
    </xf>
    <xf numFmtId="38" fontId="121" fillId="0" borderId="9" xfId="1" applyNumberFormat="1" applyFont="1" applyBorder="1" applyAlignment="1">
      <alignment vertical="center" shrinkToFit="1"/>
    </xf>
    <xf numFmtId="38" fontId="121" fillId="0" borderId="9" xfId="1" applyNumberFormat="1" applyFont="1" applyBorder="1" applyAlignment="1" applyProtection="1">
      <alignment horizontal="center" vertical="center" shrinkToFit="1"/>
    </xf>
    <xf numFmtId="179" fontId="121" fillId="32" borderId="22" xfId="0" applyNumberFormat="1" applyFont="1" applyFill="1" applyBorder="1">
      <alignment vertical="center"/>
    </xf>
    <xf numFmtId="179" fontId="121" fillId="32" borderId="9" xfId="0" applyNumberFormat="1" applyFont="1" applyFill="1" applyBorder="1">
      <alignment vertical="center"/>
    </xf>
    <xf numFmtId="10" fontId="76" fillId="22" borderId="9" xfId="2" applyNumberFormat="1" applyFont="1" applyFill="1" applyBorder="1" applyAlignment="1" applyProtection="1">
      <alignment horizontal="center" vertical="center" shrinkToFit="1"/>
    </xf>
    <xf numFmtId="38" fontId="125" fillId="26" borderId="9" xfId="1" applyNumberFormat="1" applyFont="1" applyFill="1" applyBorder="1" applyAlignment="1" applyProtection="1">
      <alignment horizontal="right" vertical="center" shrinkToFit="1"/>
    </xf>
    <xf numFmtId="38" fontId="125" fillId="0" borderId="0" xfId="1" applyNumberFormat="1" applyFont="1" applyBorder="1" applyAlignment="1" applyProtection="1">
      <alignment vertical="center" shrinkToFit="1"/>
    </xf>
    <xf numFmtId="179" fontId="125" fillId="23" borderId="22" xfId="0" applyNumberFormat="1" applyFont="1" applyFill="1" applyBorder="1">
      <alignment vertical="center"/>
    </xf>
    <xf numFmtId="179" fontId="125" fillId="23" borderId="21" xfId="0" applyNumberFormat="1" applyFont="1" applyFill="1" applyBorder="1">
      <alignment vertical="center"/>
    </xf>
    <xf numFmtId="179" fontId="125" fillId="23" borderId="20" xfId="0" applyNumberFormat="1" applyFont="1" applyFill="1" applyBorder="1">
      <alignment vertical="center"/>
    </xf>
    <xf numFmtId="179" fontId="125" fillId="23" borderId="9" xfId="0" applyNumberFormat="1" applyFont="1" applyFill="1" applyBorder="1">
      <alignment vertical="center"/>
    </xf>
    <xf numFmtId="9" fontId="125" fillId="23" borderId="21" xfId="2" applyFont="1" applyFill="1" applyBorder="1" applyAlignment="1">
      <alignment horizontal="center" vertical="center"/>
    </xf>
    <xf numFmtId="179" fontId="125" fillId="23" borderId="44" xfId="2" applyNumberFormat="1" applyFont="1" applyFill="1" applyBorder="1" applyAlignment="1">
      <alignment horizontal="center" vertical="center"/>
    </xf>
    <xf numFmtId="179" fontId="125" fillId="24" borderId="44" xfId="2" applyNumberFormat="1" applyFont="1" applyFill="1" applyBorder="1" applyAlignment="1">
      <alignment horizontal="center" vertical="center"/>
    </xf>
    <xf numFmtId="38" fontId="125" fillId="25" borderId="9" xfId="0" applyNumberFormat="1" applyFont="1" applyFill="1" applyBorder="1">
      <alignment vertical="center"/>
    </xf>
    <xf numFmtId="179" fontId="107" fillId="33" borderId="22" xfId="0" applyNumberFormat="1" applyFont="1" applyFill="1" applyBorder="1">
      <alignment vertical="center"/>
    </xf>
    <xf numFmtId="179" fontId="107" fillId="31" borderId="44" xfId="1" applyNumberFormat="1" applyFont="1" applyFill="1" applyBorder="1" applyAlignment="1">
      <alignment horizontal="center" vertical="center" shrinkToFit="1"/>
    </xf>
    <xf numFmtId="179" fontId="107" fillId="33" borderId="9" xfId="0" applyNumberFormat="1" applyFont="1" applyFill="1" applyBorder="1">
      <alignment vertical="center"/>
    </xf>
    <xf numFmtId="179" fontId="107" fillId="33" borderId="21" xfId="0" applyNumberFormat="1" applyFont="1" applyFill="1" applyBorder="1">
      <alignment vertical="center"/>
    </xf>
    <xf numFmtId="179" fontId="107" fillId="33" borderId="44" xfId="0" applyNumberFormat="1" applyFont="1" applyFill="1" applyBorder="1">
      <alignment vertical="center"/>
    </xf>
    <xf numFmtId="38" fontId="107" fillId="33" borderId="9" xfId="0" applyNumberFormat="1" applyFont="1" applyFill="1" applyBorder="1">
      <alignment vertical="center"/>
    </xf>
    <xf numFmtId="38" fontId="105" fillId="33" borderId="9" xfId="0" applyNumberFormat="1" applyFont="1" applyFill="1" applyBorder="1">
      <alignment vertical="center"/>
    </xf>
    <xf numFmtId="3" fontId="0" fillId="0" borderId="0" xfId="0" applyNumberFormat="1">
      <alignment vertical="center"/>
    </xf>
    <xf numFmtId="37" fontId="107" fillId="34" borderId="6" xfId="0" applyNumberFormat="1" applyFont="1" applyFill="1" applyBorder="1">
      <alignment vertical="center"/>
    </xf>
    <xf numFmtId="37" fontId="107" fillId="34" borderId="8" xfId="0" applyNumberFormat="1" applyFont="1" applyFill="1" applyBorder="1">
      <alignment vertical="center"/>
    </xf>
    <xf numFmtId="38" fontId="107" fillId="34" borderId="9" xfId="1" applyNumberFormat="1" applyFont="1" applyFill="1" applyBorder="1" applyAlignment="1" applyProtection="1">
      <alignment horizontal="right" vertical="center" shrinkToFit="1"/>
    </xf>
    <xf numFmtId="9" fontId="107" fillId="34" borderId="9" xfId="2" applyFont="1" applyFill="1" applyBorder="1" applyAlignment="1" applyProtection="1">
      <alignment horizontal="right" vertical="center" shrinkToFit="1"/>
    </xf>
    <xf numFmtId="38" fontId="107" fillId="34" borderId="9" xfId="1" applyNumberFormat="1" applyFont="1" applyFill="1" applyBorder="1" applyAlignment="1" applyProtection="1">
      <alignment horizontal="center" vertical="center" shrinkToFit="1"/>
    </xf>
    <xf numFmtId="38" fontId="107" fillId="0" borderId="0" xfId="1" applyNumberFormat="1" applyFont="1" applyBorder="1" applyAlignment="1" applyProtection="1">
      <alignment horizontal="right" vertical="center" shrinkToFit="1"/>
    </xf>
    <xf numFmtId="179" fontId="107" fillId="34" borderId="30" xfId="1" applyNumberFormat="1" applyFont="1" applyFill="1" applyBorder="1" applyAlignment="1" applyProtection="1">
      <alignment horizontal="right" vertical="center" shrinkToFit="1"/>
    </xf>
    <xf numFmtId="179" fontId="107" fillId="34" borderId="32" xfId="1" applyNumberFormat="1" applyFont="1" applyFill="1" applyBorder="1" applyAlignment="1" applyProtection="1">
      <alignment horizontal="left" vertical="center" shrinkToFit="1"/>
    </xf>
    <xf numFmtId="179" fontId="107" fillId="34" borderId="31" xfId="1" applyNumberFormat="1" applyFont="1" applyFill="1" applyBorder="1" applyAlignment="1" applyProtection="1">
      <alignment horizontal="right" vertical="center" shrinkToFit="1"/>
    </xf>
    <xf numFmtId="179" fontId="107" fillId="34" borderId="34" xfId="2" applyNumberFormat="1" applyFont="1" applyFill="1" applyBorder="1" applyAlignment="1" applyProtection="1">
      <alignment horizontal="center" vertical="center" shrinkToFit="1"/>
    </xf>
    <xf numFmtId="179" fontId="107" fillId="34" borderId="32" xfId="1" applyNumberFormat="1" applyFont="1" applyFill="1" applyBorder="1" applyAlignment="1" applyProtection="1">
      <alignment horizontal="right" vertical="center" shrinkToFit="1"/>
    </xf>
    <xf numFmtId="179" fontId="107" fillId="34" borderId="35" xfId="1" applyNumberFormat="1" applyFont="1" applyFill="1" applyBorder="1" applyAlignment="1" applyProtection="1">
      <alignment horizontal="right" vertical="center" shrinkToFit="1"/>
    </xf>
    <xf numFmtId="179" fontId="107" fillId="34" borderId="35" xfId="0" applyNumberFormat="1" applyFont="1" applyFill="1" applyBorder="1">
      <alignment vertical="center"/>
    </xf>
    <xf numFmtId="38" fontId="107" fillId="34" borderId="6" xfId="1" applyNumberFormat="1" applyFont="1" applyFill="1" applyBorder="1" applyAlignment="1" applyProtection="1">
      <alignment horizontal="right" vertical="center" shrinkToFit="1"/>
    </xf>
    <xf numFmtId="38" fontId="105" fillId="34" borderId="9" xfId="1" applyNumberFormat="1" applyFont="1" applyFill="1" applyBorder="1" applyAlignment="1" applyProtection="1">
      <alignment horizontal="right" vertical="center" shrinkToFit="1"/>
    </xf>
    <xf numFmtId="37" fontId="125" fillId="0" borderId="0" xfId="0" applyNumberFormat="1" applyFont="1" applyAlignment="1">
      <alignment horizontal="left" vertical="center"/>
    </xf>
    <xf numFmtId="37" fontId="105" fillId="0" borderId="0" xfId="1" applyNumberFormat="1" applyFont="1" applyBorder="1" applyAlignment="1" applyProtection="1">
      <alignment horizontal="right" shrinkToFit="1"/>
    </xf>
    <xf numFmtId="179" fontId="105" fillId="0" borderId="0" xfId="0" applyNumberFormat="1" applyFont="1" applyAlignment="1"/>
    <xf numFmtId="179" fontId="105" fillId="0" borderId="0" xfId="1" applyNumberFormat="1" applyFont="1" applyBorder="1" applyAlignment="1" applyProtection="1">
      <alignment horizontal="right" vertical="center"/>
    </xf>
    <xf numFmtId="179" fontId="107" fillId="0" borderId="0" xfId="1" applyNumberFormat="1" applyFont="1" applyBorder="1" applyAlignment="1" applyProtection="1">
      <alignment horizontal="center" vertical="center" shrinkToFit="1"/>
    </xf>
    <xf numFmtId="37" fontId="105" fillId="0" borderId="0" xfId="0" applyNumberFormat="1" applyFont="1" applyAlignment="1"/>
    <xf numFmtId="37" fontId="105" fillId="0" borderId="0" xfId="0" applyNumberFormat="1" applyFont="1" applyAlignment="1">
      <alignment horizontal="left" vertical="center"/>
    </xf>
    <xf numFmtId="37" fontId="82" fillId="0" borderId="0" xfId="0" applyNumberFormat="1" applyFont="1" applyAlignment="1">
      <alignment horizontal="left" vertical="center"/>
    </xf>
    <xf numFmtId="37" fontId="105" fillId="0" borderId="0" xfId="0" applyNumberFormat="1" applyFont="1" applyAlignment="1">
      <alignment horizontal="center"/>
    </xf>
    <xf numFmtId="37" fontId="102" fillId="0" borderId="0" xfId="0" applyNumberFormat="1" applyFont="1" applyAlignment="1">
      <alignment horizontal="left" vertical="center"/>
    </xf>
    <xf numFmtId="37" fontId="129" fillId="0" borderId="0" xfId="0" applyNumberFormat="1" applyFont="1">
      <alignment vertical="center"/>
    </xf>
    <xf numFmtId="37" fontId="103" fillId="0" borderId="0" xfId="0" applyNumberFormat="1" applyFont="1">
      <alignment vertical="center"/>
    </xf>
    <xf numFmtId="179" fontId="107" fillId="0" borderId="0" xfId="0" applyNumberFormat="1" applyFont="1" applyAlignment="1">
      <alignment horizontal="center" vertical="center" wrapText="1"/>
    </xf>
    <xf numFmtId="179" fontId="107" fillId="24" borderId="21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>
      <alignment vertical="center"/>
    </xf>
    <xf numFmtId="38" fontId="105" fillId="0" borderId="9" xfId="0" applyNumberFormat="1" applyFont="1" applyBorder="1">
      <alignment vertical="center"/>
    </xf>
    <xf numFmtId="38" fontId="105" fillId="0" borderId="9" xfId="0" applyNumberFormat="1" applyFont="1" applyBorder="1" applyAlignment="1">
      <alignment horizontal="center" vertical="center"/>
    </xf>
    <xf numFmtId="179" fontId="105" fillId="24" borderId="21" xfId="0" applyNumberFormat="1" applyFont="1" applyFill="1" applyBorder="1">
      <alignment vertical="center"/>
    </xf>
    <xf numFmtId="37" fontId="105" fillId="25" borderId="9" xfId="0" applyNumberFormat="1" applyFont="1" applyFill="1" applyBorder="1" applyAlignment="1"/>
    <xf numFmtId="37" fontId="107" fillId="30" borderId="9" xfId="0" applyNumberFormat="1" applyFont="1" applyFill="1" applyBorder="1" applyAlignment="1">
      <alignment horizontal="left" vertical="center"/>
    </xf>
    <xf numFmtId="38" fontId="107" fillId="30" borderId="9" xfId="0" applyNumberFormat="1" applyFont="1" applyFill="1" applyBorder="1">
      <alignment vertical="center"/>
    </xf>
    <xf numFmtId="38" fontId="107" fillId="30" borderId="9" xfId="0" applyNumberFormat="1" applyFont="1" applyFill="1" applyBorder="1" applyAlignment="1">
      <alignment horizontal="center" vertical="center"/>
    </xf>
    <xf numFmtId="37" fontId="107" fillId="0" borderId="0" xfId="1" applyNumberFormat="1" applyFont="1" applyBorder="1" applyAlignment="1" applyProtection="1">
      <alignment horizontal="right" shrinkToFit="1"/>
    </xf>
    <xf numFmtId="179" fontId="107" fillId="33" borderId="21" xfId="0" applyNumberFormat="1" applyFont="1" applyFill="1" applyBorder="1" applyAlignment="1">
      <alignment horizontal="center" vertical="center"/>
    </xf>
    <xf numFmtId="179" fontId="107" fillId="33" borderId="44" xfId="2" applyNumberFormat="1" applyFont="1" applyFill="1" applyBorder="1" applyAlignment="1">
      <alignment horizontal="center" vertical="center"/>
    </xf>
    <xf numFmtId="179" fontId="107" fillId="0" borderId="0" xfId="0" applyNumberFormat="1" applyFont="1" applyAlignment="1">
      <alignment horizontal="center" vertical="center"/>
    </xf>
    <xf numFmtId="37" fontId="107" fillId="0" borderId="0" xfId="0" applyNumberFormat="1" applyFont="1" applyAlignment="1"/>
    <xf numFmtId="0" fontId="131" fillId="0" borderId="0" xfId="0" applyFont="1">
      <alignment vertical="center"/>
    </xf>
    <xf numFmtId="3" fontId="131" fillId="0" borderId="0" xfId="0" applyNumberFormat="1" applyFont="1">
      <alignment vertical="center"/>
    </xf>
    <xf numFmtId="179" fontId="105" fillId="24" borderId="44" xfId="0" applyNumberFormat="1" applyFont="1" applyFill="1" applyBorder="1">
      <alignment vertical="center"/>
    </xf>
    <xf numFmtId="37" fontId="105" fillId="25" borderId="9" xfId="0" applyNumberFormat="1" applyFont="1" applyFill="1" applyBorder="1">
      <alignment vertical="center"/>
    </xf>
    <xf numFmtId="179" fontId="105" fillId="22" borderId="21" xfId="0" applyNumberFormat="1" applyFont="1" applyFill="1" applyBorder="1">
      <alignment vertical="center"/>
    </xf>
    <xf numFmtId="179" fontId="105" fillId="23" borderId="6" xfId="0" applyNumberFormat="1" applyFont="1" applyFill="1" applyBorder="1">
      <alignment vertical="center"/>
    </xf>
    <xf numFmtId="179" fontId="105" fillId="33" borderId="22" xfId="0" applyNumberFormat="1" applyFont="1" applyFill="1" applyBorder="1">
      <alignment vertical="center"/>
    </xf>
    <xf numFmtId="179" fontId="105" fillId="33" borderId="21" xfId="0" applyNumberFormat="1" applyFont="1" applyFill="1" applyBorder="1">
      <alignment vertical="center"/>
    </xf>
    <xf numFmtId="179" fontId="105" fillId="33" borderId="20" xfId="0" applyNumberFormat="1" applyFont="1" applyFill="1" applyBorder="1">
      <alignment vertical="center"/>
    </xf>
    <xf numFmtId="179" fontId="105" fillId="33" borderId="9" xfId="0" applyNumberFormat="1" applyFont="1" applyFill="1" applyBorder="1">
      <alignment vertical="center"/>
    </xf>
    <xf numFmtId="179" fontId="105" fillId="33" borderId="21" xfId="0" applyNumberFormat="1" applyFont="1" applyFill="1" applyBorder="1" applyAlignment="1">
      <alignment horizontal="center" vertical="center"/>
    </xf>
    <xf numFmtId="179" fontId="105" fillId="33" borderId="44" xfId="2" applyNumberFormat="1" applyFont="1" applyFill="1" applyBorder="1" applyAlignment="1">
      <alignment horizontal="center" vertical="center"/>
    </xf>
    <xf numFmtId="179" fontId="105" fillId="33" borderId="44" xfId="0" applyNumberFormat="1" applyFont="1" applyFill="1" applyBorder="1">
      <alignment vertical="center"/>
    </xf>
    <xf numFmtId="37" fontId="107" fillId="34" borderId="9" xfId="0" applyNumberFormat="1" applyFont="1" applyFill="1" applyBorder="1" applyAlignment="1">
      <alignment horizontal="left" vertical="center"/>
    </xf>
    <xf numFmtId="37" fontId="107" fillId="34" borderId="9" xfId="0" applyNumberFormat="1" applyFont="1" applyFill="1" applyBorder="1">
      <alignment vertical="center"/>
    </xf>
    <xf numFmtId="38" fontId="107" fillId="34" borderId="9" xfId="0" applyNumberFormat="1" applyFont="1" applyFill="1" applyBorder="1">
      <alignment vertical="center"/>
    </xf>
    <xf numFmtId="38" fontId="107" fillId="34" borderId="9" xfId="0" applyNumberFormat="1" applyFont="1" applyFill="1" applyBorder="1" applyAlignment="1">
      <alignment horizontal="center" vertical="center"/>
    </xf>
    <xf numFmtId="179" fontId="107" fillId="34" borderId="22" xfId="0" applyNumberFormat="1" applyFont="1" applyFill="1" applyBorder="1">
      <alignment vertical="center"/>
    </xf>
    <xf numFmtId="179" fontId="107" fillId="34" borderId="21" xfId="0" applyNumberFormat="1" applyFont="1" applyFill="1" applyBorder="1">
      <alignment vertical="center"/>
    </xf>
    <xf numFmtId="179" fontId="107" fillId="34" borderId="20" xfId="0" applyNumberFormat="1" applyFont="1" applyFill="1" applyBorder="1">
      <alignment vertical="center"/>
    </xf>
    <xf numFmtId="179" fontId="107" fillId="34" borderId="9" xfId="0" applyNumberFormat="1" applyFont="1" applyFill="1" applyBorder="1">
      <alignment vertical="center"/>
    </xf>
    <xf numFmtId="179" fontId="107" fillId="34" borderId="21" xfId="0" applyNumberFormat="1" applyFont="1" applyFill="1" applyBorder="1" applyAlignment="1">
      <alignment horizontal="center" vertical="center"/>
    </xf>
    <xf numFmtId="179" fontId="107" fillId="34" borderId="44" xfId="2" applyNumberFormat="1" applyFont="1" applyFill="1" applyBorder="1" applyAlignment="1">
      <alignment horizontal="center" vertical="center"/>
    </xf>
    <xf numFmtId="179" fontId="107" fillId="34" borderId="30" xfId="0" applyNumberFormat="1" applyFont="1" applyFill="1" applyBorder="1">
      <alignment vertical="center"/>
    </xf>
    <xf numFmtId="179" fontId="107" fillId="34" borderId="31" xfId="0" applyNumberFormat="1" applyFont="1" applyFill="1" applyBorder="1">
      <alignment vertical="center"/>
    </xf>
    <xf numFmtId="179" fontId="107" fillId="34" borderId="32" xfId="0" applyNumberFormat="1" applyFont="1" applyFill="1" applyBorder="1">
      <alignment vertical="center"/>
    </xf>
    <xf numFmtId="38" fontId="105" fillId="34" borderId="9" xfId="0" applyNumberFormat="1" applyFont="1" applyFill="1" applyBorder="1">
      <alignment vertical="center"/>
    </xf>
    <xf numFmtId="186" fontId="105" fillId="0" borderId="0" xfId="0" applyNumberFormat="1" applyFont="1">
      <alignment vertical="center"/>
    </xf>
    <xf numFmtId="38" fontId="105" fillId="29" borderId="0" xfId="0" applyNumberFormat="1" applyFont="1" applyFill="1">
      <alignment vertical="center"/>
    </xf>
    <xf numFmtId="179" fontId="87" fillId="0" borderId="0" xfId="0" applyNumberFormat="1" applyFont="1" applyAlignment="1">
      <alignment horizontal="left"/>
    </xf>
    <xf numFmtId="179" fontId="118" fillId="0" borderId="0" xfId="0" applyNumberFormat="1" applyFont="1" applyAlignment="1"/>
    <xf numFmtId="37" fontId="87" fillId="0" borderId="0" xfId="0" applyNumberFormat="1" applyFont="1" applyAlignment="1">
      <alignment horizontal="left"/>
    </xf>
    <xf numFmtId="37" fontId="118" fillId="0" borderId="0" xfId="0" applyNumberFormat="1" applyFont="1" applyAlignment="1"/>
    <xf numFmtId="179" fontId="105" fillId="0" borderId="7" xfId="0" applyNumberFormat="1" applyFont="1" applyBorder="1" applyAlignment="1">
      <alignment horizontal="center" vertical="center"/>
    </xf>
    <xf numFmtId="37" fontId="117" fillId="0" borderId="0" xfId="0" applyNumberFormat="1" applyFont="1" applyAlignment="1"/>
    <xf numFmtId="179" fontId="105" fillId="0" borderId="0" xfId="0" applyNumberFormat="1" applyFont="1" applyAlignment="1">
      <alignment horizontal="left" vertical="center"/>
    </xf>
    <xf numFmtId="179" fontId="102" fillId="0" borderId="0" xfId="0" applyNumberFormat="1" applyFont="1">
      <alignment vertical="center"/>
    </xf>
    <xf numFmtId="179" fontId="105" fillId="0" borderId="0" xfId="1" applyNumberFormat="1" applyFont="1">
      <alignment vertical="center"/>
    </xf>
    <xf numFmtId="179" fontId="105" fillId="0" borderId="0" xfId="1" applyNumberFormat="1" applyFont="1" applyAlignment="1">
      <alignment horizontal="right" vertical="center"/>
    </xf>
    <xf numFmtId="179" fontId="105" fillId="0" borderId="0" xfId="2" applyNumberFormat="1" applyFont="1" applyAlignment="1">
      <alignment horizontal="center" vertical="center"/>
    </xf>
    <xf numFmtId="179" fontId="105" fillId="0" borderId="7" xfId="0" applyNumberFormat="1" applyFont="1" applyBorder="1">
      <alignment vertical="center"/>
    </xf>
    <xf numFmtId="179" fontId="82" fillId="0" borderId="0" xfId="0" applyNumberFormat="1" applyFont="1">
      <alignment vertical="center"/>
    </xf>
    <xf numFmtId="38" fontId="105" fillId="0" borderId="0" xfId="1" applyNumberFormat="1" applyFont="1">
      <alignment vertical="center"/>
    </xf>
    <xf numFmtId="38" fontId="105" fillId="0" borderId="0" xfId="1" applyNumberFormat="1" applyFont="1" applyAlignment="1">
      <alignment horizontal="right" vertical="center"/>
    </xf>
    <xf numFmtId="10" fontId="105" fillId="0" borderId="0" xfId="2" applyNumberFormat="1" applyFont="1" applyAlignment="1">
      <alignment horizontal="center" vertical="center"/>
    </xf>
    <xf numFmtId="37" fontId="107" fillId="0" borderId="6" xfId="0" applyNumberFormat="1" applyFont="1" applyBorder="1">
      <alignment vertical="center"/>
    </xf>
    <xf numFmtId="37" fontId="107" fillId="0" borderId="9" xfId="0" applyNumberFormat="1" applyFont="1" applyBorder="1">
      <alignment vertical="center"/>
    </xf>
    <xf numFmtId="38" fontId="107" fillId="0" borderId="9" xfId="1" applyNumberFormat="1" applyFont="1" applyBorder="1" applyAlignment="1">
      <alignment horizontal="right" vertical="center" shrinkToFit="1"/>
    </xf>
    <xf numFmtId="10" fontId="107" fillId="0" borderId="9" xfId="2" applyNumberFormat="1" applyFont="1" applyBorder="1" applyAlignment="1">
      <alignment horizontal="center" vertical="center" shrinkToFit="1"/>
    </xf>
    <xf numFmtId="179" fontId="107" fillId="0" borderId="22" xfId="1" applyNumberFormat="1" applyFont="1" applyBorder="1" applyAlignment="1">
      <alignment horizontal="left" vertical="center" shrinkToFit="1"/>
    </xf>
    <xf numFmtId="179" fontId="107" fillId="0" borderId="21" xfId="1" applyNumberFormat="1" applyFont="1" applyBorder="1" applyAlignment="1">
      <alignment horizontal="left" vertical="center" shrinkToFit="1"/>
    </xf>
    <xf numFmtId="179" fontId="107" fillId="0" borderId="22" xfId="0" applyNumberFormat="1" applyFont="1" applyBorder="1">
      <alignment vertical="center"/>
    </xf>
    <xf numFmtId="179" fontId="107" fillId="0" borderId="9" xfId="0" applyNumberFormat="1" applyFont="1" applyBorder="1">
      <alignment vertical="center"/>
    </xf>
    <xf numFmtId="179" fontId="107" fillId="0" borderId="44" xfId="1" applyNumberFormat="1" applyFont="1" applyBorder="1" applyAlignment="1">
      <alignment horizontal="center" vertical="center" shrinkToFit="1"/>
    </xf>
    <xf numFmtId="179" fontId="107" fillId="0" borderId="44" xfId="0" applyNumberFormat="1" applyFont="1" applyBorder="1">
      <alignment vertical="center"/>
    </xf>
    <xf numFmtId="38" fontId="107" fillId="0" borderId="9" xfId="0" applyNumberFormat="1" applyFont="1" applyBorder="1">
      <alignment vertical="center"/>
    </xf>
    <xf numFmtId="179" fontId="107" fillId="0" borderId="6" xfId="0" applyNumberFormat="1" applyFont="1" applyBorder="1">
      <alignment vertical="center"/>
    </xf>
    <xf numFmtId="179" fontId="107" fillId="0" borderId="1" xfId="1" applyNumberFormat="1" applyFont="1" applyBorder="1" applyAlignment="1">
      <alignment horizontal="center" vertical="center" shrinkToFit="1"/>
    </xf>
    <xf numFmtId="179" fontId="107" fillId="0" borderId="45" xfId="0" applyNumberFormat="1" applyFont="1" applyBorder="1">
      <alignment vertical="center"/>
    </xf>
    <xf numFmtId="179" fontId="107" fillId="0" borderId="10" xfId="0" applyNumberFormat="1" applyFont="1" applyBorder="1">
      <alignment vertical="center"/>
    </xf>
    <xf numFmtId="179" fontId="107" fillId="0" borderId="46" xfId="0" applyNumberFormat="1" applyFont="1" applyBorder="1">
      <alignment vertical="center"/>
    </xf>
    <xf numFmtId="38" fontId="107" fillId="0" borderId="6" xfId="0" applyNumberFormat="1" applyFont="1" applyBorder="1">
      <alignment vertical="center"/>
    </xf>
    <xf numFmtId="37" fontId="107" fillId="31" borderId="6" xfId="0" applyNumberFormat="1" applyFont="1" applyFill="1" applyBorder="1">
      <alignment vertical="center"/>
    </xf>
    <xf numFmtId="37" fontId="77" fillId="31" borderId="9" xfId="0" applyNumberFormat="1" applyFont="1" applyFill="1" applyBorder="1">
      <alignment vertical="center"/>
    </xf>
    <xf numFmtId="10" fontId="107" fillId="31" borderId="9" xfId="2" applyNumberFormat="1" applyFont="1" applyFill="1" applyBorder="1" applyAlignment="1">
      <alignment horizontal="center" vertical="center" shrinkToFit="1"/>
    </xf>
    <xf numFmtId="38" fontId="107" fillId="31" borderId="0" xfId="1" applyNumberFormat="1" applyFont="1" applyFill="1" applyBorder="1" applyAlignment="1">
      <alignment horizontal="right" vertical="center" shrinkToFit="1"/>
    </xf>
    <xf numFmtId="179" fontId="107" fillId="31" borderId="45" xfId="1" applyNumberFormat="1" applyFont="1" applyFill="1" applyBorder="1" applyAlignment="1">
      <alignment horizontal="left" vertical="center" shrinkToFit="1"/>
    </xf>
    <xf numFmtId="179" fontId="107" fillId="31" borderId="47" xfId="1" applyNumberFormat="1" applyFont="1" applyFill="1" applyBorder="1" applyAlignment="1">
      <alignment horizontal="left" vertical="center" shrinkToFit="1"/>
    </xf>
    <xf numFmtId="179" fontId="107" fillId="33" borderId="45" xfId="0" applyNumberFormat="1" applyFont="1" applyFill="1" applyBorder="1">
      <alignment vertical="center"/>
    </xf>
    <xf numFmtId="179" fontId="107" fillId="33" borderId="10" xfId="0" applyNumberFormat="1" applyFont="1" applyFill="1" applyBorder="1">
      <alignment vertical="center"/>
    </xf>
    <xf numFmtId="179" fontId="107" fillId="31" borderId="1" xfId="1" applyNumberFormat="1" applyFont="1" applyFill="1" applyBorder="1" applyAlignment="1">
      <alignment horizontal="center" vertical="center" shrinkToFit="1"/>
    </xf>
    <xf numFmtId="179" fontId="107" fillId="33" borderId="46" xfId="0" applyNumberFormat="1" applyFont="1" applyFill="1" applyBorder="1">
      <alignment vertical="center"/>
    </xf>
    <xf numFmtId="37" fontId="107" fillId="35" borderId="6" xfId="0" applyNumberFormat="1" applyFont="1" applyFill="1" applyBorder="1">
      <alignment vertical="center"/>
    </xf>
    <xf numFmtId="37" fontId="107" fillId="35" borderId="8" xfId="0" applyNumberFormat="1" applyFont="1" applyFill="1" applyBorder="1">
      <alignment vertical="center"/>
    </xf>
    <xf numFmtId="38" fontId="107" fillId="35" borderId="9" xfId="1" applyNumberFormat="1" applyFont="1" applyFill="1" applyBorder="1" applyAlignment="1" applyProtection="1">
      <alignment horizontal="right" vertical="center" shrinkToFit="1"/>
    </xf>
    <xf numFmtId="38" fontId="107" fillId="35" borderId="9" xfId="1" applyNumberFormat="1" applyFont="1" applyFill="1" applyBorder="1" applyAlignment="1" applyProtection="1">
      <alignment horizontal="center" vertical="center" shrinkToFit="1"/>
    </xf>
    <xf numFmtId="38" fontId="107" fillId="35" borderId="0" xfId="1" applyNumberFormat="1" applyFont="1" applyFill="1" applyBorder="1" applyAlignment="1" applyProtection="1">
      <alignment horizontal="right" vertical="center" shrinkToFit="1"/>
    </xf>
    <xf numFmtId="179" fontId="107" fillId="35" borderId="30" xfId="1" applyNumberFormat="1" applyFont="1" applyFill="1" applyBorder="1" applyAlignment="1" applyProtection="1">
      <alignment horizontal="right" vertical="center" shrinkToFit="1"/>
    </xf>
    <xf numFmtId="179" fontId="107" fillId="35" borderId="32" xfId="1" applyNumberFormat="1" applyFont="1" applyFill="1" applyBorder="1" applyAlignment="1" applyProtection="1">
      <alignment horizontal="left" vertical="center" shrinkToFit="1"/>
    </xf>
    <xf numFmtId="179" fontId="107" fillId="35" borderId="31" xfId="1" applyNumberFormat="1" applyFont="1" applyFill="1" applyBorder="1" applyAlignment="1" applyProtection="1">
      <alignment horizontal="right" vertical="center" shrinkToFit="1"/>
    </xf>
    <xf numFmtId="179" fontId="107" fillId="35" borderId="34" xfId="1" applyNumberFormat="1" applyFont="1" applyFill="1" applyBorder="1" applyAlignment="1" applyProtection="1">
      <alignment horizontal="center" vertical="center" shrinkToFit="1"/>
    </xf>
    <xf numFmtId="179" fontId="107" fillId="35" borderId="35" xfId="1" applyNumberFormat="1" applyFont="1" applyFill="1" applyBorder="1" applyAlignment="1" applyProtection="1">
      <alignment horizontal="right" vertical="center" shrinkToFit="1"/>
    </xf>
    <xf numFmtId="179" fontId="107" fillId="0" borderId="30" xfId="1" applyNumberFormat="1" applyFont="1" applyBorder="1" applyAlignment="1" applyProtection="1">
      <alignment horizontal="right" vertical="center" shrinkToFit="1"/>
    </xf>
    <xf numFmtId="179" fontId="107" fillId="0" borderId="31" xfId="1" applyNumberFormat="1" applyFont="1" applyBorder="1" applyAlignment="1" applyProtection="1">
      <alignment horizontal="right" vertical="center" shrinkToFit="1"/>
    </xf>
    <xf numFmtId="179" fontId="107" fillId="0" borderId="35" xfId="0" applyNumberFormat="1" applyFont="1" applyBorder="1">
      <alignment vertical="center"/>
    </xf>
    <xf numFmtId="38" fontId="107" fillId="0" borderId="9" xfId="1" applyNumberFormat="1" applyFont="1" applyBorder="1" applyAlignment="1" applyProtection="1">
      <alignment horizontal="right" vertical="center" shrinkToFit="1"/>
    </xf>
    <xf numFmtId="38" fontId="107" fillId="0" borderId="6" xfId="1" applyNumberFormat="1" applyFont="1" applyBorder="1" applyAlignment="1" applyProtection="1">
      <alignment horizontal="right" vertical="center" shrinkToFit="1"/>
    </xf>
    <xf numFmtId="38" fontId="105" fillId="35" borderId="9" xfId="1" applyNumberFormat="1" applyFont="1" applyFill="1" applyBorder="1" applyAlignment="1" applyProtection="1">
      <alignment horizontal="right" vertical="center" shrinkToFit="1"/>
    </xf>
    <xf numFmtId="37" fontId="132" fillId="0" borderId="0" xfId="0" applyNumberFormat="1" applyFont="1" applyAlignment="1">
      <alignment horizontal="left" vertical="center"/>
    </xf>
    <xf numFmtId="37" fontId="132" fillId="0" borderId="0" xfId="0" applyNumberFormat="1" applyFont="1">
      <alignment vertical="center"/>
    </xf>
    <xf numFmtId="38" fontId="132" fillId="0" borderId="0" xfId="1" applyNumberFormat="1" applyFont="1" applyBorder="1" applyAlignment="1" applyProtection="1">
      <alignment horizontal="right" vertical="center" shrinkToFit="1"/>
    </xf>
    <xf numFmtId="37" fontId="132" fillId="0" borderId="0" xfId="0" applyNumberFormat="1" applyFont="1" applyAlignment="1">
      <alignment horizontal="center" vertical="center"/>
    </xf>
    <xf numFmtId="38" fontId="132" fillId="0" borderId="0" xfId="0" applyNumberFormat="1" applyFont="1">
      <alignment vertical="center"/>
    </xf>
    <xf numFmtId="38" fontId="132" fillId="0" borderId="0" xfId="0" applyNumberFormat="1" applyFont="1" applyAlignment="1">
      <alignment horizontal="center" vertical="center"/>
    </xf>
    <xf numFmtId="179" fontId="132" fillId="0" borderId="0" xfId="0" applyNumberFormat="1" applyFont="1">
      <alignment vertical="center"/>
    </xf>
    <xf numFmtId="179" fontId="132" fillId="0" borderId="0" xfId="1" applyNumberFormat="1" applyFont="1" applyBorder="1" applyAlignment="1" applyProtection="1">
      <alignment horizontal="right" vertical="center" shrinkToFit="1"/>
    </xf>
    <xf numFmtId="0" fontId="133" fillId="0" borderId="0" xfId="0" applyFont="1">
      <alignment vertical="center"/>
    </xf>
    <xf numFmtId="3" fontId="133" fillId="0" borderId="0" xfId="0" applyNumberFormat="1" applyFont="1">
      <alignment vertical="center"/>
    </xf>
    <xf numFmtId="37" fontId="139" fillId="0" borderId="9" xfId="0" applyNumberFormat="1" applyFont="1" applyBorder="1" applyAlignment="1">
      <alignment horizontal="left" vertical="center"/>
    </xf>
    <xf numFmtId="10" fontId="141" fillId="22" borderId="9" xfId="2" applyNumberFormat="1" applyFont="1" applyFill="1" applyBorder="1" applyAlignment="1" applyProtection="1">
      <alignment horizontal="center" vertical="center" shrinkToFit="1"/>
    </xf>
    <xf numFmtId="37" fontId="139" fillId="0" borderId="9" xfId="0" applyNumberFormat="1" applyFont="1" applyBorder="1" applyAlignment="1">
      <alignment vertical="center" shrinkToFit="1"/>
    </xf>
    <xf numFmtId="37" fontId="117" fillId="0" borderId="8" xfId="0" applyNumberFormat="1" applyFont="1" applyBorder="1" applyAlignment="1">
      <alignment horizontal="left" vertical="center"/>
    </xf>
    <xf numFmtId="38" fontId="121" fillId="0" borderId="9" xfId="0" applyNumberFormat="1" applyFont="1" applyBorder="1">
      <alignment vertical="center"/>
    </xf>
    <xf numFmtId="37" fontId="121" fillId="0" borderId="9" xfId="0" applyNumberFormat="1" applyFont="1" applyBorder="1">
      <alignment vertical="center"/>
    </xf>
    <xf numFmtId="0" fontId="138" fillId="0" borderId="0" xfId="0" applyFont="1" applyAlignment="1">
      <alignment horizontal="left" vertical="center"/>
    </xf>
    <xf numFmtId="0" fontId="107" fillId="0" borderId="0" xfId="0" applyFont="1" applyAlignment="1">
      <alignment horizontal="left" vertical="center"/>
    </xf>
    <xf numFmtId="38" fontId="105" fillId="0" borderId="0" xfId="0" applyNumberFormat="1" applyFont="1" applyAlignment="1">
      <alignment horizontal="center"/>
    </xf>
    <xf numFmtId="38" fontId="105" fillId="0" borderId="0" xfId="0" quotePrefix="1" applyNumberFormat="1" applyFont="1" applyAlignment="1">
      <alignment horizontal="center"/>
    </xf>
    <xf numFmtId="0" fontId="125" fillId="0" borderId="0" xfId="0" applyFont="1">
      <alignment vertical="center"/>
    </xf>
    <xf numFmtId="0" fontId="107" fillId="0" borderId="0" xfId="0" applyFont="1" applyAlignment="1">
      <alignment horizontal="left" wrapText="1"/>
    </xf>
    <xf numFmtId="0" fontId="107" fillId="0" borderId="0" xfId="0" applyFont="1" applyAlignment="1">
      <alignment wrapText="1"/>
    </xf>
    <xf numFmtId="0" fontId="105" fillId="0" borderId="0" xfId="0" applyFont="1" applyAlignment="1">
      <alignment wrapText="1"/>
    </xf>
    <xf numFmtId="0" fontId="105" fillId="0" borderId="0" xfId="0" applyFont="1" applyAlignment="1"/>
    <xf numFmtId="0" fontId="106" fillId="0" borderId="0" xfId="0" applyFont="1" applyAlignment="1">
      <alignment wrapText="1"/>
    </xf>
    <xf numFmtId="0" fontId="125" fillId="0" borderId="0" xfId="0" applyFont="1" applyAlignment="1">
      <alignment horizontal="center" vertical="center"/>
    </xf>
    <xf numFmtId="179" fontId="107" fillId="0" borderId="0" xfId="0" quotePrefix="1" applyNumberFormat="1" applyFont="1" applyAlignment="1">
      <alignment horizontal="center" wrapText="1"/>
    </xf>
    <xf numFmtId="179" fontId="107" fillId="0" borderId="0" xfId="0" applyNumberFormat="1" applyFont="1" applyAlignment="1">
      <alignment horizontal="center" wrapText="1"/>
    </xf>
    <xf numFmtId="0" fontId="125" fillId="0" borderId="0" xfId="0" applyFont="1" applyAlignment="1">
      <alignment horizontal="right" vertical="center"/>
    </xf>
    <xf numFmtId="0" fontId="125" fillId="23" borderId="0" xfId="0" applyFont="1" applyFill="1" applyAlignment="1">
      <alignment horizontal="left" vertical="center"/>
    </xf>
    <xf numFmtId="0" fontId="105" fillId="0" borderId="0" xfId="0" applyFont="1" applyAlignment="1">
      <alignment horizontal="center" vertical="center"/>
    </xf>
    <xf numFmtId="0" fontId="125" fillId="0" borderId="0" xfId="0" applyFont="1" applyAlignment="1"/>
    <xf numFmtId="179" fontId="107" fillId="0" borderId="0" xfId="0" applyNumberFormat="1" applyFont="1" applyAlignment="1">
      <alignment horizontal="center"/>
    </xf>
    <xf numFmtId="189" fontId="110" fillId="23" borderId="0" xfId="0" applyNumberFormat="1" applyFont="1" applyFill="1" applyAlignment="1">
      <alignment horizontal="left" vertical="center"/>
    </xf>
    <xf numFmtId="0" fontId="105" fillId="22" borderId="0" xfId="0" applyFont="1" applyFill="1" applyAlignment="1">
      <alignment horizontal="center" vertical="center"/>
    </xf>
    <xf numFmtId="0" fontId="105" fillId="0" borderId="0" xfId="0" applyFont="1" applyAlignment="1">
      <alignment horizontal="center" vertical="top" wrapText="1"/>
    </xf>
    <xf numFmtId="0" fontId="110" fillId="0" borderId="0" xfId="0" applyFont="1">
      <alignment vertical="center"/>
    </xf>
    <xf numFmtId="0" fontId="107" fillId="0" borderId="0" xfId="0" applyFont="1" applyAlignment="1">
      <alignment horizontal="center" vertical="top" wrapText="1"/>
    </xf>
    <xf numFmtId="0" fontId="106" fillId="0" borderId="2" xfId="0" applyFont="1" applyBorder="1" applyAlignment="1"/>
    <xf numFmtId="0" fontId="105" fillId="23" borderId="8" xfId="0" applyFont="1" applyFill="1" applyBorder="1" applyAlignment="1">
      <alignment horizontal="center" vertical="top" wrapText="1"/>
    </xf>
    <xf numFmtId="49" fontId="107" fillId="23" borderId="6" xfId="0" applyNumberFormat="1" applyFont="1" applyFill="1" applyBorder="1" applyAlignment="1">
      <alignment vertical="center" wrapText="1"/>
    </xf>
    <xf numFmtId="49" fontId="107" fillId="23" borderId="7" xfId="0" applyNumberFormat="1" applyFont="1" applyFill="1" applyBorder="1" applyAlignment="1">
      <alignment horizontal="center" vertical="center" wrapText="1"/>
    </xf>
    <xf numFmtId="49" fontId="107" fillId="23" borderId="8" xfId="0" applyNumberFormat="1" applyFont="1" applyFill="1" applyBorder="1" applyAlignment="1">
      <alignment vertical="center" wrapText="1"/>
    </xf>
    <xf numFmtId="179" fontId="107" fillId="23" borderId="12" xfId="0" applyNumberFormat="1" applyFont="1" applyFill="1" applyBorder="1" applyAlignment="1">
      <alignment vertical="center" wrapText="1"/>
    </xf>
    <xf numFmtId="179" fontId="107" fillId="23" borderId="10" xfId="0" applyNumberFormat="1" applyFont="1" applyFill="1" applyBorder="1" applyAlignment="1">
      <alignment vertical="center" wrapText="1"/>
    </xf>
    <xf numFmtId="179" fontId="107" fillId="23" borderId="13" xfId="0" applyNumberFormat="1" applyFont="1" applyFill="1" applyBorder="1" applyAlignment="1">
      <alignment vertical="center" wrapText="1"/>
    </xf>
    <xf numFmtId="179" fontId="107" fillId="0" borderId="0" xfId="0" applyNumberFormat="1" applyFont="1" applyAlignment="1">
      <alignment vertical="center" wrapText="1"/>
    </xf>
    <xf numFmtId="179" fontId="106" fillId="23" borderId="10" xfId="0" applyNumberFormat="1" applyFont="1" applyFill="1" applyBorder="1" applyAlignment="1">
      <alignment vertical="center" wrapText="1"/>
    </xf>
    <xf numFmtId="0" fontId="107" fillId="0" borderId="0" xfId="0" applyFont="1">
      <alignment vertical="center"/>
    </xf>
    <xf numFmtId="0" fontId="107" fillId="23" borderId="11" xfId="0" applyFont="1" applyFill="1" applyBorder="1" applyAlignment="1">
      <alignment horizontal="center" vertical="center" wrapText="1"/>
    </xf>
    <xf numFmtId="0" fontId="107" fillId="41" borderId="10" xfId="0" applyFont="1" applyFill="1" applyBorder="1" applyAlignment="1">
      <alignment horizontal="center" vertical="center" wrapText="1"/>
    </xf>
    <xf numFmtId="0" fontId="107" fillId="23" borderId="10" xfId="0" applyFont="1" applyFill="1" applyBorder="1" applyAlignment="1">
      <alignment horizontal="center" vertical="center" wrapText="1"/>
    </xf>
    <xf numFmtId="187" fontId="106" fillId="23" borderId="10" xfId="0" applyNumberFormat="1" applyFont="1" applyFill="1" applyBorder="1" applyAlignment="1">
      <alignment horizontal="center" vertical="center"/>
    </xf>
    <xf numFmtId="0" fontId="107" fillId="23" borderId="1" xfId="0" applyFont="1" applyFill="1" applyBorder="1" applyAlignment="1">
      <alignment horizontal="center" wrapText="1"/>
    </xf>
    <xf numFmtId="0" fontId="107" fillId="23" borderId="10" xfId="0" applyFont="1" applyFill="1" applyBorder="1" applyAlignment="1">
      <alignment horizontal="center" wrapText="1"/>
    </xf>
    <xf numFmtId="179" fontId="107" fillId="0" borderId="10" xfId="0" applyNumberFormat="1" applyFont="1" applyBorder="1" applyAlignment="1">
      <alignment horizontal="center" vertical="center"/>
    </xf>
    <xf numFmtId="188" fontId="107" fillId="23" borderId="14" xfId="0" applyNumberFormat="1" applyFont="1" applyFill="1" applyBorder="1" applyAlignment="1">
      <alignment horizontal="center" wrapText="1"/>
    </xf>
    <xf numFmtId="188" fontId="107" fillId="23" borderId="48" xfId="0" applyNumberFormat="1" applyFont="1" applyFill="1" applyBorder="1" applyAlignment="1">
      <alignment horizontal="center" wrapText="1"/>
    </xf>
    <xf numFmtId="188" fontId="107" fillId="23" borderId="15" xfId="0" applyNumberFormat="1" applyFont="1" applyFill="1" applyBorder="1" applyAlignment="1">
      <alignment horizontal="center" wrapText="1"/>
    </xf>
    <xf numFmtId="0" fontId="106" fillId="0" borderId="0" xfId="0" applyFont="1">
      <alignment vertical="center"/>
    </xf>
    <xf numFmtId="0" fontId="106" fillId="23" borderId="48" xfId="0" applyFont="1" applyFill="1" applyBorder="1">
      <alignment vertical="center"/>
    </xf>
    <xf numFmtId="0" fontId="106" fillId="0" borderId="10" xfId="0" applyFont="1" applyBorder="1">
      <alignment vertical="center"/>
    </xf>
    <xf numFmtId="0" fontId="106" fillId="0" borderId="12" xfId="0" applyFont="1" applyBorder="1" applyAlignment="1">
      <alignment horizontal="center" vertical="center"/>
    </xf>
    <xf numFmtId="0" fontId="106" fillId="0" borderId="13" xfId="0" applyFont="1" applyBorder="1" applyAlignment="1">
      <alignment horizontal="center" vertical="center"/>
    </xf>
    <xf numFmtId="0" fontId="106" fillId="0" borderId="1" xfId="0" applyFont="1" applyBorder="1" applyAlignment="1">
      <alignment horizontal="center" vertical="center"/>
    </xf>
    <xf numFmtId="0" fontId="106" fillId="0" borderId="1" xfId="0" applyFont="1" applyBorder="1">
      <alignment vertical="center"/>
    </xf>
    <xf numFmtId="0" fontId="106" fillId="0" borderId="13" xfId="0" applyFont="1" applyBorder="1">
      <alignment vertical="center"/>
    </xf>
    <xf numFmtId="49" fontId="107" fillId="23" borderId="11" xfId="0" applyNumberFormat="1" applyFont="1" applyFill="1" applyBorder="1" applyAlignment="1">
      <alignment horizontal="center" vertical="center" wrapText="1"/>
    </xf>
    <xf numFmtId="49" fontId="107" fillId="23" borderId="11" xfId="0" applyNumberFormat="1" applyFont="1" applyFill="1" applyBorder="1" applyAlignment="1">
      <alignment horizontal="center" vertical="center"/>
    </xf>
    <xf numFmtId="0" fontId="107" fillId="41" borderId="17" xfId="0" applyFont="1" applyFill="1" applyBorder="1" applyAlignment="1">
      <alignment horizontal="center"/>
    </xf>
    <xf numFmtId="0" fontId="107" fillId="23" borderId="16" xfId="0" applyFont="1" applyFill="1" applyBorder="1" applyAlignment="1">
      <alignment horizontal="center"/>
    </xf>
    <xf numFmtId="0" fontId="106" fillId="23" borderId="11" xfId="0" applyFont="1" applyFill="1" applyBorder="1" applyAlignment="1">
      <alignment horizontal="center"/>
    </xf>
    <xf numFmtId="0" fontId="157" fillId="23" borderId="11" xfId="0" applyFont="1" applyFill="1" applyBorder="1" applyAlignment="1">
      <alignment horizontal="center"/>
    </xf>
    <xf numFmtId="0" fontId="107" fillId="23" borderId="11" xfId="0" applyFont="1" applyFill="1" applyBorder="1" applyAlignment="1">
      <alignment horizontal="center"/>
    </xf>
    <xf numFmtId="0" fontId="107" fillId="23" borderId="2" xfId="0" applyFont="1" applyFill="1" applyBorder="1" applyAlignment="1">
      <alignment horizontal="center"/>
    </xf>
    <xf numFmtId="49" fontId="107" fillId="0" borderId="11" xfId="0" applyNumberFormat="1" applyFont="1" applyBorder="1" applyAlignment="1">
      <alignment horizontal="center" vertical="center" wrapText="1"/>
    </xf>
    <xf numFmtId="179" fontId="107" fillId="23" borderId="16" xfId="0" applyNumberFormat="1" applyFont="1" applyFill="1" applyBorder="1" applyAlignment="1">
      <alignment horizontal="center"/>
    </xf>
    <xf numFmtId="179" fontId="107" fillId="23" borderId="11" xfId="0" applyNumberFormat="1" applyFont="1" applyFill="1" applyBorder="1" applyAlignment="1">
      <alignment horizontal="center"/>
    </xf>
    <xf numFmtId="179" fontId="107" fillId="23" borderId="17" xfId="0" applyNumberFormat="1" applyFont="1" applyFill="1" applyBorder="1" applyAlignment="1">
      <alignment horizontal="center"/>
    </xf>
    <xf numFmtId="179" fontId="106" fillId="23" borderId="11" xfId="0" applyNumberFormat="1" applyFont="1" applyFill="1" applyBorder="1" applyAlignment="1">
      <alignment horizontal="center"/>
    </xf>
    <xf numFmtId="179" fontId="154" fillId="23" borderId="11" xfId="0" applyNumberFormat="1" applyFont="1" applyFill="1" applyBorder="1" applyAlignment="1">
      <alignment horizontal="center"/>
    </xf>
    <xf numFmtId="0" fontId="106" fillId="0" borderId="11" xfId="0" applyFont="1" applyBorder="1">
      <alignment vertical="center"/>
    </xf>
    <xf numFmtId="0" fontId="106" fillId="0" borderId="16" xfId="0" applyFont="1" applyBorder="1">
      <alignment vertical="center"/>
    </xf>
    <xf numFmtId="0" fontId="106" fillId="0" borderId="17" xfId="0" applyFont="1" applyBorder="1" applyAlignment="1">
      <alignment horizontal="center" vertical="center"/>
    </xf>
    <xf numFmtId="0" fontId="106" fillId="0" borderId="16" xfId="0" applyFont="1" applyBorder="1" applyAlignment="1">
      <alignment horizontal="center" vertical="center"/>
    </xf>
    <xf numFmtId="0" fontId="106" fillId="0" borderId="2" xfId="0" applyFont="1" applyBorder="1" applyAlignment="1">
      <alignment horizontal="center" vertical="center"/>
    </xf>
    <xf numFmtId="0" fontId="106" fillId="0" borderId="11" xfId="0" applyFont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181" fontId="105" fillId="22" borderId="9" xfId="1" applyFont="1" applyFill="1" applyBorder="1">
      <alignment vertical="center"/>
    </xf>
    <xf numFmtId="181" fontId="105" fillId="39" borderId="9" xfId="1" applyFont="1" applyFill="1" applyBorder="1">
      <alignment vertical="center"/>
    </xf>
    <xf numFmtId="181" fontId="105" fillId="32" borderId="11" xfId="1" applyFont="1" applyFill="1" applyBorder="1">
      <alignment vertical="center"/>
    </xf>
    <xf numFmtId="181" fontId="105" fillId="41" borderId="0" xfId="1" applyFont="1" applyFill="1">
      <alignment vertical="center"/>
    </xf>
    <xf numFmtId="181" fontId="105" fillId="23" borderId="0" xfId="1" applyFont="1" applyFill="1">
      <alignment vertical="center"/>
    </xf>
    <xf numFmtId="181" fontId="125" fillId="0" borderId="0" xfId="1" applyFont="1">
      <alignment vertical="center"/>
    </xf>
    <xf numFmtId="181" fontId="121" fillId="0" borderId="0" xfId="1" applyFont="1">
      <alignment vertical="center"/>
    </xf>
    <xf numFmtId="181" fontId="105" fillId="0" borderId="0" xfId="1" applyFont="1">
      <alignment vertical="center"/>
    </xf>
    <xf numFmtId="181" fontId="105" fillId="0" borderId="9" xfId="1" applyFont="1" applyBorder="1" applyAlignment="1">
      <alignment horizontal="center" vertical="center"/>
    </xf>
    <xf numFmtId="181" fontId="105" fillId="23" borderId="9" xfId="1" applyFont="1" applyFill="1" applyBorder="1">
      <alignment vertical="center"/>
    </xf>
    <xf numFmtId="181" fontId="105" fillId="0" borderId="48" xfId="1" applyFont="1" applyBorder="1">
      <alignment vertical="center"/>
    </xf>
    <xf numFmtId="181" fontId="125" fillId="23" borderId="11" xfId="1" applyFont="1" applyFill="1" applyBorder="1">
      <alignment vertical="center"/>
    </xf>
    <xf numFmtId="37" fontId="125" fillId="0" borderId="48" xfId="0" applyNumberFormat="1" applyFont="1" applyBorder="1">
      <alignment vertical="center"/>
    </xf>
    <xf numFmtId="179" fontId="125" fillId="0" borderId="14" xfId="0" applyNumberFormat="1" applyFont="1" applyBorder="1">
      <alignment vertical="center"/>
    </xf>
    <xf numFmtId="179" fontId="125" fillId="0" borderId="15" xfId="0" applyNumberFormat="1" applyFont="1" applyBorder="1">
      <alignment vertical="center"/>
    </xf>
    <xf numFmtId="179" fontId="125" fillId="0" borderId="0" xfId="0" applyNumberFormat="1" applyFont="1">
      <alignment vertical="center"/>
    </xf>
    <xf numFmtId="179" fontId="125" fillId="0" borderId="48" xfId="0" applyNumberFormat="1" applyFont="1" applyBorder="1">
      <alignment vertical="center"/>
    </xf>
    <xf numFmtId="181" fontId="105" fillId="0" borderId="0" xfId="1" applyFont="1" applyBorder="1">
      <alignment vertical="center"/>
    </xf>
    <xf numFmtId="181" fontId="105" fillId="0" borderId="6" xfId="1" applyFont="1" applyBorder="1" applyAlignment="1">
      <alignment horizontal="center" vertical="center"/>
    </xf>
    <xf numFmtId="181" fontId="125" fillId="23" borderId="9" xfId="1" applyFont="1" applyFill="1" applyBorder="1">
      <alignment vertical="center"/>
    </xf>
    <xf numFmtId="38" fontId="121" fillId="0" borderId="9" xfId="1" applyNumberFormat="1" applyFont="1" applyBorder="1" applyAlignment="1">
      <alignment horizontal="right" vertical="center" shrinkToFit="1"/>
    </xf>
    <xf numFmtId="37" fontId="158" fillId="0" borderId="9" xfId="0" applyNumberFormat="1" applyFont="1" applyBorder="1" applyAlignment="1">
      <alignment horizontal="left" vertical="center"/>
    </xf>
    <xf numFmtId="37" fontId="158" fillId="0" borderId="9" xfId="0" applyNumberFormat="1" applyFont="1" applyBorder="1">
      <alignment vertical="center"/>
    </xf>
    <xf numFmtId="181" fontId="117" fillId="22" borderId="9" xfId="1" applyFont="1" applyFill="1" applyBorder="1">
      <alignment vertical="center"/>
    </xf>
    <xf numFmtId="181" fontId="117" fillId="39" borderId="9" xfId="1" applyFont="1" applyFill="1" applyBorder="1">
      <alignment vertical="center"/>
    </xf>
    <xf numFmtId="181" fontId="117" fillId="23" borderId="0" xfId="1" applyFont="1" applyFill="1">
      <alignment vertical="center"/>
    </xf>
    <xf numFmtId="181" fontId="117" fillId="0" borderId="0" xfId="1" applyFont="1">
      <alignment vertical="center"/>
    </xf>
    <xf numFmtId="181" fontId="117" fillId="0" borderId="6" xfId="1" applyFont="1" applyBorder="1" applyAlignment="1">
      <alignment horizontal="center" vertical="center"/>
    </xf>
    <xf numFmtId="181" fontId="117" fillId="23" borderId="9" xfId="1" applyFont="1" applyFill="1" applyBorder="1">
      <alignment vertical="center"/>
    </xf>
    <xf numFmtId="181" fontId="117" fillId="0" borderId="48" xfId="1" applyFont="1" applyBorder="1">
      <alignment vertical="center"/>
    </xf>
    <xf numFmtId="0" fontId="117" fillId="0" borderId="0" xfId="0" applyFont="1">
      <alignment vertical="center"/>
    </xf>
    <xf numFmtId="181" fontId="125" fillId="22" borderId="9" xfId="1" applyFont="1" applyFill="1" applyBorder="1">
      <alignment vertical="center"/>
    </xf>
    <xf numFmtId="181" fontId="125" fillId="39" borderId="9" xfId="1" applyFont="1" applyFill="1" applyBorder="1">
      <alignment vertical="center"/>
    </xf>
    <xf numFmtId="181" fontId="125" fillId="23" borderId="0" xfId="1" applyFont="1" applyFill="1">
      <alignment vertical="center"/>
    </xf>
    <xf numFmtId="181" fontId="125" fillId="0" borderId="6" xfId="1" applyFont="1" applyBorder="1" applyAlignment="1">
      <alignment horizontal="center" vertical="center"/>
    </xf>
    <xf numFmtId="181" fontId="125" fillId="0" borderId="48" xfId="1" applyFont="1" applyBorder="1">
      <alignment vertical="center"/>
    </xf>
    <xf numFmtId="37" fontId="125" fillId="42" borderId="48" xfId="0" applyNumberFormat="1" applyFont="1" applyFill="1" applyBorder="1">
      <alignment vertical="center"/>
    </xf>
    <xf numFmtId="179" fontId="125" fillId="42" borderId="0" xfId="0" applyNumberFormat="1" applyFont="1" applyFill="1">
      <alignment vertical="center"/>
    </xf>
    <xf numFmtId="179" fontId="117" fillId="0" borderId="15" xfId="0" applyNumberFormat="1" applyFont="1" applyBorder="1">
      <alignment vertical="center"/>
    </xf>
    <xf numFmtId="181" fontId="117" fillId="41" borderId="0" xfId="1" applyFont="1" applyFill="1">
      <alignment vertical="center"/>
    </xf>
    <xf numFmtId="181" fontId="117" fillId="32" borderId="11" xfId="1" applyFont="1" applyFill="1" applyBorder="1">
      <alignment vertical="center"/>
    </xf>
    <xf numFmtId="181" fontId="121" fillId="22" borderId="9" xfId="1" applyFont="1" applyFill="1" applyBorder="1">
      <alignment vertical="center"/>
    </xf>
    <xf numFmtId="181" fontId="121" fillId="39" borderId="9" xfId="1" applyFont="1" applyFill="1" applyBorder="1">
      <alignment vertical="center"/>
    </xf>
    <xf numFmtId="181" fontId="121" fillId="32" borderId="11" xfId="1" applyFont="1" applyFill="1" applyBorder="1">
      <alignment vertical="center"/>
    </xf>
    <xf numFmtId="181" fontId="121" fillId="41" borderId="0" xfId="1" applyFont="1" applyFill="1">
      <alignment vertical="center"/>
    </xf>
    <xf numFmtId="181" fontId="121" fillId="23" borderId="0" xfId="1" applyFont="1" applyFill="1">
      <alignment vertical="center"/>
    </xf>
    <xf numFmtId="181" fontId="121" fillId="0" borderId="6" xfId="1" applyFont="1" applyBorder="1" applyAlignment="1">
      <alignment horizontal="center" vertical="center"/>
    </xf>
    <xf numFmtId="181" fontId="121" fillId="23" borderId="9" xfId="1" applyFont="1" applyFill="1" applyBorder="1">
      <alignment vertical="center"/>
    </xf>
    <xf numFmtId="181" fontId="121" fillId="0" borderId="48" xfId="1" applyFont="1" applyBorder="1">
      <alignment vertical="center"/>
    </xf>
    <xf numFmtId="0" fontId="121" fillId="0" borderId="0" xfId="0" applyFont="1">
      <alignment vertical="center"/>
    </xf>
    <xf numFmtId="181" fontId="105" fillId="0" borderId="9" xfId="1" applyFont="1" applyBorder="1">
      <alignment vertical="center"/>
    </xf>
    <xf numFmtId="37" fontId="139" fillId="0" borderId="9" xfId="0" applyNumberFormat="1" applyFont="1" applyBorder="1">
      <alignment vertical="center"/>
    </xf>
    <xf numFmtId="181" fontId="117" fillId="0" borderId="9" xfId="1" applyFont="1" applyBorder="1">
      <alignment vertical="center"/>
    </xf>
    <xf numFmtId="37" fontId="126" fillId="0" borderId="9" xfId="0" applyNumberFormat="1" applyFont="1" applyBorder="1" applyAlignment="1">
      <alignment horizontal="left" vertical="center"/>
    </xf>
    <xf numFmtId="37" fontId="159" fillId="0" borderId="9" xfId="0" applyNumberFormat="1" applyFont="1" applyBorder="1">
      <alignment vertical="center"/>
    </xf>
    <xf numFmtId="181" fontId="105" fillId="22" borderId="0" xfId="1" applyFont="1" applyFill="1">
      <alignment vertical="center"/>
    </xf>
    <xf numFmtId="181" fontId="121" fillId="0" borderId="8" xfId="1" applyFont="1" applyBorder="1">
      <alignment vertical="center"/>
    </xf>
    <xf numFmtId="181" fontId="125" fillId="0" borderId="8" xfId="1" applyFont="1" applyBorder="1">
      <alignment vertical="center"/>
    </xf>
    <xf numFmtId="181" fontId="105" fillId="23" borderId="6" xfId="1" applyFont="1" applyFill="1" applyBorder="1">
      <alignment vertical="center"/>
    </xf>
    <xf numFmtId="37" fontId="105" fillId="0" borderId="6" xfId="0" applyNumberFormat="1" applyFont="1" applyBorder="1" applyAlignment="1">
      <alignment horizontal="left" vertical="center"/>
    </xf>
    <xf numFmtId="37" fontId="107" fillId="28" borderId="6" xfId="0" applyNumberFormat="1" applyFont="1" applyFill="1" applyBorder="1">
      <alignment vertical="center"/>
    </xf>
    <xf numFmtId="37" fontId="107" fillId="28" borderId="8" xfId="0" applyNumberFormat="1" applyFont="1" applyFill="1" applyBorder="1">
      <alignment vertical="center"/>
    </xf>
    <xf numFmtId="181" fontId="107" fillId="28" borderId="9" xfId="1" applyFont="1" applyFill="1" applyBorder="1">
      <alignment vertical="center"/>
    </xf>
    <xf numFmtId="181" fontId="107" fillId="28" borderId="6" xfId="1" applyFont="1" applyFill="1" applyBorder="1" applyAlignment="1">
      <alignment horizontal="center" vertical="center"/>
    </xf>
    <xf numFmtId="181" fontId="107" fillId="0" borderId="48" xfId="1" applyFont="1" applyBorder="1">
      <alignment vertical="center"/>
    </xf>
    <xf numFmtId="181" fontId="107" fillId="23" borderId="9" xfId="1" applyFont="1" applyFill="1" applyBorder="1">
      <alignment vertical="center"/>
    </xf>
    <xf numFmtId="37" fontId="125" fillId="0" borderId="10" xfId="0" applyNumberFormat="1" applyFont="1" applyBorder="1">
      <alignment vertical="center"/>
    </xf>
    <xf numFmtId="179" fontId="117" fillId="0" borderId="14" xfId="0" applyNumberFormat="1" applyFont="1" applyBorder="1">
      <alignment vertical="center"/>
    </xf>
    <xf numFmtId="37" fontId="125" fillId="0" borderId="9" xfId="0" applyNumberFormat="1" applyFont="1" applyBorder="1">
      <alignment vertical="center"/>
    </xf>
    <xf numFmtId="37" fontId="117" fillId="0" borderId="9" xfId="0" applyNumberFormat="1" applyFont="1" applyBorder="1">
      <alignment vertical="center"/>
    </xf>
    <xf numFmtId="181" fontId="125" fillId="0" borderId="9" xfId="1" applyFont="1" applyBorder="1">
      <alignment vertical="center"/>
    </xf>
    <xf numFmtId="181" fontId="125" fillId="32" borderId="11" xfId="1" applyFont="1" applyFill="1" applyBorder="1">
      <alignment vertical="center"/>
    </xf>
    <xf numFmtId="0" fontId="105" fillId="0" borderId="14" xfId="0" applyFont="1" applyBorder="1">
      <alignment vertical="center"/>
    </xf>
    <xf numFmtId="0" fontId="105" fillId="0" borderId="15" xfId="0" applyFont="1" applyBorder="1">
      <alignment vertical="center"/>
    </xf>
    <xf numFmtId="0" fontId="125" fillId="0" borderId="14" xfId="0" applyFont="1" applyBorder="1">
      <alignment vertical="center"/>
    </xf>
    <xf numFmtId="0" fontId="125" fillId="0" borderId="15" xfId="0" applyFont="1" applyBorder="1">
      <alignment vertical="center"/>
    </xf>
    <xf numFmtId="181" fontId="107" fillId="28" borderId="0" xfId="1" applyFont="1" applyFill="1">
      <alignment vertical="center"/>
    </xf>
    <xf numFmtId="181" fontId="106" fillId="28" borderId="0" xfId="1" applyFont="1" applyFill="1">
      <alignment vertical="center"/>
    </xf>
    <xf numFmtId="181" fontId="106" fillId="28" borderId="9" xfId="1" applyFont="1" applyFill="1" applyBorder="1">
      <alignment vertical="center"/>
    </xf>
    <xf numFmtId="0" fontId="106" fillId="0" borderId="48" xfId="0" applyFont="1" applyBorder="1">
      <alignment vertical="center"/>
    </xf>
    <xf numFmtId="38" fontId="107" fillId="37" borderId="6" xfId="0" applyNumberFormat="1" applyFont="1" applyFill="1" applyBorder="1">
      <alignment vertical="center"/>
    </xf>
    <xf numFmtId="38" fontId="107" fillId="37" borderId="8" xfId="0" applyNumberFormat="1" applyFont="1" applyFill="1" applyBorder="1">
      <alignment vertical="center"/>
    </xf>
    <xf numFmtId="181" fontId="107" fillId="37" borderId="9" xfId="1" applyFont="1" applyFill="1" applyBorder="1">
      <alignment vertical="center"/>
    </xf>
    <xf numFmtId="181" fontId="107" fillId="37" borderId="0" xfId="1" applyFont="1" applyFill="1">
      <alignment vertical="center"/>
    </xf>
    <xf numFmtId="181" fontId="106" fillId="37" borderId="0" xfId="1" applyFont="1" applyFill="1">
      <alignment vertical="center"/>
    </xf>
    <xf numFmtId="181" fontId="107" fillId="37" borderId="6" xfId="1" applyFont="1" applyFill="1" applyBorder="1" applyAlignment="1">
      <alignment horizontal="center" vertical="center"/>
    </xf>
    <xf numFmtId="181" fontId="106" fillId="37" borderId="9" xfId="1" applyFont="1" applyFill="1" applyBorder="1">
      <alignment vertical="center"/>
    </xf>
    <xf numFmtId="181" fontId="107" fillId="40" borderId="9" xfId="1" applyFont="1" applyFill="1" applyBorder="1">
      <alignment vertical="center"/>
    </xf>
    <xf numFmtId="190" fontId="125" fillId="0" borderId="0" xfId="0" applyNumberFormat="1" applyFont="1">
      <alignment vertical="center"/>
    </xf>
    <xf numFmtId="179" fontId="107" fillId="23" borderId="0" xfId="0" applyNumberFormat="1" applyFont="1" applyFill="1">
      <alignment vertical="center"/>
    </xf>
    <xf numFmtId="179" fontId="105" fillId="23" borderId="0" xfId="0" applyNumberFormat="1" applyFont="1" applyFill="1">
      <alignment vertical="center"/>
    </xf>
    <xf numFmtId="0" fontId="105" fillId="23" borderId="0" xfId="0" applyFont="1" applyFill="1">
      <alignment vertical="center"/>
    </xf>
    <xf numFmtId="0" fontId="105" fillId="23" borderId="0" xfId="0" applyFont="1" applyFill="1" applyAlignment="1">
      <alignment horizontal="right" vertical="center" wrapText="1"/>
    </xf>
    <xf numFmtId="0" fontId="125" fillId="23" borderId="0" xfId="0" applyFont="1" applyFill="1">
      <alignment vertical="center"/>
    </xf>
    <xf numFmtId="179" fontId="107" fillId="0" borderId="49" xfId="0" quotePrefix="1" applyNumberFormat="1" applyFont="1" applyBorder="1" applyAlignment="1">
      <alignment horizontal="center" vertical="center"/>
    </xf>
    <xf numFmtId="179" fontId="107" fillId="0" borderId="2" xfId="0" applyNumberFormat="1" applyFont="1" applyBorder="1" applyAlignment="1">
      <alignment horizontal="left" vertical="center"/>
    </xf>
    <xf numFmtId="0" fontId="107" fillId="0" borderId="2" xfId="0" applyFont="1" applyBorder="1" applyAlignment="1">
      <alignment horizontal="center" vertical="center"/>
    </xf>
    <xf numFmtId="0" fontId="107" fillId="0" borderId="2" xfId="0" applyFont="1" applyBorder="1">
      <alignment vertical="center"/>
    </xf>
    <xf numFmtId="0" fontId="105" fillId="0" borderId="2" xfId="0" applyFont="1" applyBorder="1">
      <alignment vertical="center"/>
    </xf>
    <xf numFmtId="0" fontId="105" fillId="0" borderId="0" xfId="0" applyFont="1" applyAlignment="1">
      <alignment horizontal="right" vertical="center" wrapText="1"/>
    </xf>
    <xf numFmtId="0" fontId="106" fillId="23" borderId="10" xfId="0" applyFont="1" applyFill="1" applyBorder="1">
      <alignment vertical="center"/>
    </xf>
    <xf numFmtId="0" fontId="107" fillId="41" borderId="11" xfId="0" applyFont="1" applyFill="1" applyBorder="1" applyAlignment="1">
      <alignment horizontal="center"/>
    </xf>
    <xf numFmtId="0" fontId="105" fillId="0" borderId="9" xfId="0" applyFont="1" applyBorder="1">
      <alignment vertical="center"/>
    </xf>
    <xf numFmtId="181" fontId="105" fillId="32" borderId="0" xfId="1" applyFont="1" applyFill="1">
      <alignment vertical="center"/>
    </xf>
    <xf numFmtId="179" fontId="107" fillId="43" borderId="50" xfId="0" applyNumberFormat="1" applyFont="1" applyFill="1" applyBorder="1">
      <alignment vertical="center"/>
    </xf>
    <xf numFmtId="181" fontId="107" fillId="43" borderId="0" xfId="1" applyFont="1" applyFill="1">
      <alignment vertical="center"/>
    </xf>
    <xf numFmtId="181" fontId="106" fillId="43" borderId="0" xfId="1" applyFont="1" applyFill="1">
      <alignment vertical="center"/>
    </xf>
    <xf numFmtId="181" fontId="107" fillId="43" borderId="9" xfId="1" applyFont="1" applyFill="1" applyBorder="1">
      <alignment vertical="center"/>
    </xf>
    <xf numFmtId="181" fontId="106" fillId="43" borderId="9" xfId="1" applyFont="1" applyFill="1" applyBorder="1">
      <alignment vertical="center"/>
    </xf>
    <xf numFmtId="179" fontId="105" fillId="0" borderId="0" xfId="0" applyNumberFormat="1" applyFont="1" applyAlignment="1">
      <alignment horizontal="right" vertical="center"/>
    </xf>
    <xf numFmtId="0" fontId="125" fillId="32" borderId="51" xfId="0" applyFont="1" applyFill="1" applyBorder="1">
      <alignment vertical="center"/>
    </xf>
    <xf numFmtId="181" fontId="105" fillId="32" borderId="51" xfId="1" applyFont="1" applyFill="1" applyBorder="1">
      <alignment vertical="center"/>
    </xf>
    <xf numFmtId="0" fontId="125" fillId="32" borderId="9" xfId="0" applyFont="1" applyFill="1" applyBorder="1">
      <alignment vertical="center"/>
    </xf>
    <xf numFmtId="179" fontId="125" fillId="32" borderId="52" xfId="0" applyNumberFormat="1" applyFont="1" applyFill="1" applyBorder="1">
      <alignment vertical="center"/>
    </xf>
    <xf numFmtId="179" fontId="107" fillId="0" borderId="0" xfId="0" quotePrefix="1" applyNumberFormat="1" applyFont="1" applyAlignment="1">
      <alignment horizontal="center" vertical="center"/>
    </xf>
    <xf numFmtId="179" fontId="107" fillId="0" borderId="0" xfId="0" applyNumberFormat="1" applyFont="1" applyAlignment="1">
      <alignment horizontal="left" vertical="center"/>
    </xf>
    <xf numFmtId="0" fontId="107" fillId="0" borderId="0" xfId="0" applyFont="1" applyAlignment="1">
      <alignment horizontal="center" vertical="center"/>
    </xf>
    <xf numFmtId="0" fontId="107" fillId="0" borderId="0" xfId="0" applyFont="1" applyAlignment="1">
      <alignment vertical="center" wrapText="1"/>
    </xf>
    <xf numFmtId="179" fontId="107" fillId="44" borderId="0" xfId="0" quotePrefix="1" applyNumberFormat="1" applyFont="1" applyFill="1" applyAlignment="1">
      <alignment horizontal="center" vertical="center"/>
    </xf>
    <xf numFmtId="179" fontId="107" fillId="44" borderId="0" xfId="0" applyNumberFormat="1" applyFont="1" applyFill="1" applyAlignment="1">
      <alignment horizontal="left" vertical="center"/>
    </xf>
    <xf numFmtId="0" fontId="107" fillId="44" borderId="0" xfId="0" applyFont="1" applyFill="1" applyAlignment="1">
      <alignment horizontal="center" vertical="center"/>
    </xf>
    <xf numFmtId="0" fontId="107" fillId="44" borderId="0" xfId="0" applyFont="1" applyFill="1">
      <alignment vertical="center"/>
    </xf>
    <xf numFmtId="0" fontId="105" fillId="44" borderId="0" xfId="0" applyFont="1" applyFill="1">
      <alignment vertical="center"/>
    </xf>
    <xf numFmtId="0" fontId="107" fillId="44" borderId="0" xfId="0" applyFont="1" applyFill="1" applyAlignment="1">
      <alignment vertical="center" wrapText="1"/>
    </xf>
    <xf numFmtId="0" fontId="125" fillId="44" borderId="0" xfId="0" applyFont="1" applyFill="1">
      <alignment vertical="center"/>
    </xf>
    <xf numFmtId="0" fontId="125" fillId="44" borderId="0" xfId="0" applyFont="1" applyFill="1" applyAlignment="1">
      <alignment horizontal="center" vertical="center"/>
    </xf>
    <xf numFmtId="0" fontId="105" fillId="0" borderId="0" xfId="0" applyFont="1" applyAlignment="1">
      <alignment vertical="center" wrapText="1"/>
    </xf>
    <xf numFmtId="0" fontId="107" fillId="0" borderId="0" xfId="0" applyFont="1" applyAlignment="1">
      <alignment horizontal="center"/>
    </xf>
    <xf numFmtId="0" fontId="107" fillId="23" borderId="0" xfId="0" applyFont="1" applyFill="1">
      <alignment vertical="center"/>
    </xf>
    <xf numFmtId="0" fontId="125" fillId="0" borderId="0" xfId="0" applyFont="1" applyAlignment="1">
      <alignment horizontal="right" vertical="center" wrapText="1"/>
    </xf>
    <xf numFmtId="49" fontId="107" fillId="23" borderId="8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/>
    </xf>
    <xf numFmtId="181" fontId="105" fillId="0" borderId="51" xfId="1" applyFont="1" applyBorder="1">
      <alignment vertical="center"/>
    </xf>
    <xf numFmtId="181" fontId="125" fillId="41" borderId="51" xfId="1" applyFont="1" applyFill="1" applyBorder="1">
      <alignment vertical="center"/>
    </xf>
    <xf numFmtId="181" fontId="125" fillId="0" borderId="51" xfId="1" applyFont="1" applyBorder="1">
      <alignment vertical="center"/>
    </xf>
    <xf numFmtId="181" fontId="105" fillId="23" borderId="51" xfId="1" applyFont="1" applyFill="1" applyBorder="1">
      <alignment vertical="center"/>
    </xf>
    <xf numFmtId="179" fontId="107" fillId="0" borderId="18" xfId="0" quotePrefix="1" applyNumberFormat="1" applyFont="1" applyBorder="1" applyAlignment="1">
      <alignment horizontal="center" vertical="center"/>
    </xf>
    <xf numFmtId="0" fontId="125" fillId="0" borderId="2" xfId="0" applyFont="1" applyBorder="1">
      <alignment vertical="center"/>
    </xf>
    <xf numFmtId="0" fontId="125" fillId="23" borderId="48" xfId="0" applyFont="1" applyFill="1" applyBorder="1">
      <alignment vertical="center"/>
    </xf>
    <xf numFmtId="0" fontId="125" fillId="0" borderId="11" xfId="0" applyFont="1" applyBorder="1" applyAlignment="1">
      <alignment horizontal="center"/>
    </xf>
    <xf numFmtId="0" fontId="121" fillId="0" borderId="11" xfId="0" applyFont="1" applyBorder="1" applyAlignment="1">
      <alignment horizontal="center"/>
    </xf>
    <xf numFmtId="0" fontId="106" fillId="0" borderId="2" xfId="0" applyFont="1" applyBorder="1" applyAlignment="1">
      <alignment horizontal="center"/>
    </xf>
    <xf numFmtId="0" fontId="105" fillId="23" borderId="11" xfId="0" applyFont="1" applyFill="1" applyBorder="1" applyAlignment="1">
      <alignment horizontal="center"/>
    </xf>
    <xf numFmtId="179" fontId="110" fillId="23" borderId="11" xfId="0" applyNumberFormat="1" applyFont="1" applyFill="1" applyBorder="1" applyAlignment="1">
      <alignment horizontal="center"/>
    </xf>
    <xf numFmtId="181" fontId="105" fillId="32" borderId="9" xfId="1" applyFont="1" applyFill="1" applyBorder="1">
      <alignment vertical="center"/>
    </xf>
    <xf numFmtId="181" fontId="125" fillId="41" borderId="0" xfId="1" applyFont="1" applyFill="1">
      <alignment vertical="center"/>
    </xf>
    <xf numFmtId="181" fontId="125" fillId="0" borderId="0" xfId="1" applyFont="1" applyBorder="1">
      <alignment vertical="center"/>
    </xf>
    <xf numFmtId="179" fontId="110" fillId="0" borderId="0" xfId="0" applyNumberFormat="1" applyFont="1">
      <alignment vertical="center"/>
    </xf>
    <xf numFmtId="0" fontId="125" fillId="45" borderId="0" xfId="0" applyFont="1" applyFill="1">
      <alignment vertical="center"/>
    </xf>
    <xf numFmtId="0" fontId="125" fillId="45" borderId="0" xfId="0" applyFont="1" applyFill="1" applyAlignment="1">
      <alignment horizontal="center" vertical="center"/>
    </xf>
    <xf numFmtId="179" fontId="107" fillId="22" borderId="0" xfId="0" applyNumberFormat="1" applyFont="1" applyFill="1">
      <alignment vertical="center"/>
    </xf>
    <xf numFmtId="0" fontId="106" fillId="22" borderId="0" xfId="0" applyFont="1" applyFill="1">
      <alignment vertical="center"/>
    </xf>
    <xf numFmtId="179" fontId="106" fillId="0" borderId="0" xfId="0" applyNumberFormat="1" applyFont="1">
      <alignment vertical="center"/>
    </xf>
    <xf numFmtId="190" fontId="106" fillId="0" borderId="0" xfId="0" applyNumberFormat="1" applyFont="1">
      <alignment vertical="center"/>
    </xf>
    <xf numFmtId="0" fontId="107" fillId="23" borderId="6" xfId="0" applyFont="1" applyFill="1" applyBorder="1">
      <alignment vertical="center"/>
    </xf>
    <xf numFmtId="0" fontId="107" fillId="23" borderId="7" xfId="0" applyFont="1" applyFill="1" applyBorder="1">
      <alignment vertical="center"/>
    </xf>
    <xf numFmtId="179" fontId="106" fillId="0" borderId="0" xfId="0" applyNumberFormat="1" applyFont="1" applyAlignment="1">
      <alignment vertical="center" wrapText="1"/>
    </xf>
    <xf numFmtId="179" fontId="107" fillId="0" borderId="12" xfId="0" applyNumberFormat="1" applyFont="1" applyBorder="1" applyAlignment="1">
      <alignment horizontal="center" vertical="center"/>
    </xf>
    <xf numFmtId="0" fontId="125" fillId="23" borderId="11" xfId="0" applyFont="1" applyFill="1" applyBorder="1" applyAlignment="1">
      <alignment horizontal="center"/>
    </xf>
    <xf numFmtId="49" fontId="107" fillId="0" borderId="16" xfId="0" applyNumberFormat="1" applyFont="1" applyBorder="1" applyAlignment="1">
      <alignment horizontal="center" vertical="center" wrapText="1"/>
    </xf>
    <xf numFmtId="181" fontId="105" fillId="23" borderId="11" xfId="1" applyFont="1" applyFill="1" applyBorder="1">
      <alignment vertical="center"/>
    </xf>
    <xf numFmtId="179" fontId="117" fillId="0" borderId="0" xfId="0" applyNumberFormat="1" applyFont="1">
      <alignment vertical="center"/>
    </xf>
    <xf numFmtId="181" fontId="121" fillId="0" borderId="9" xfId="1" applyFont="1" applyBorder="1">
      <alignment vertical="center"/>
    </xf>
    <xf numFmtId="179" fontId="121" fillId="0" borderId="0" xfId="0" applyNumberFormat="1" applyFont="1">
      <alignment vertical="center"/>
    </xf>
    <xf numFmtId="37" fontId="105" fillId="0" borderId="11" xfId="0" applyNumberFormat="1" applyFont="1" applyBorder="1" applyAlignment="1">
      <alignment horizontal="left" vertical="center"/>
    </xf>
    <xf numFmtId="181" fontId="125" fillId="23" borderId="6" xfId="1" applyFont="1" applyFill="1" applyBorder="1">
      <alignment vertical="center"/>
    </xf>
    <xf numFmtId="37" fontId="107" fillId="28" borderId="9" xfId="0" applyNumberFormat="1" applyFont="1" applyFill="1" applyBorder="1">
      <alignment vertical="center"/>
    </xf>
    <xf numFmtId="181" fontId="105" fillId="28" borderId="9" xfId="1" applyFont="1" applyFill="1" applyBorder="1">
      <alignment vertical="center"/>
    </xf>
    <xf numFmtId="181" fontId="105" fillId="28" borderId="0" xfId="1" applyFont="1" applyFill="1">
      <alignment vertical="center"/>
    </xf>
    <xf numFmtId="181" fontId="125" fillId="28" borderId="0" xfId="1" applyFont="1" applyFill="1">
      <alignment vertical="center"/>
    </xf>
    <xf numFmtId="181" fontId="121" fillId="28" borderId="9" xfId="1" applyFont="1" applyFill="1" applyBorder="1">
      <alignment vertical="center"/>
    </xf>
    <xf numFmtId="181" fontId="121" fillId="28" borderId="0" xfId="1" applyFont="1" applyFill="1">
      <alignment vertical="center"/>
    </xf>
    <xf numFmtId="181" fontId="105" fillId="28" borderId="6" xfId="1" applyFont="1" applyFill="1" applyBorder="1" applyAlignment="1">
      <alignment horizontal="center" vertical="center"/>
    </xf>
    <xf numFmtId="181" fontId="148" fillId="0" borderId="0" xfId="1" applyFont="1">
      <alignment vertical="center"/>
    </xf>
    <xf numFmtId="181" fontId="125" fillId="28" borderId="9" xfId="1" applyFont="1" applyFill="1" applyBorder="1">
      <alignment vertical="center"/>
    </xf>
    <xf numFmtId="181" fontId="148" fillId="28" borderId="9" xfId="1" applyFont="1" applyFill="1" applyBorder="1">
      <alignment vertical="center"/>
    </xf>
    <xf numFmtId="181" fontId="105" fillId="41" borderId="9" xfId="1" applyFont="1" applyFill="1" applyBorder="1">
      <alignment vertical="center"/>
    </xf>
    <xf numFmtId="181" fontId="125" fillId="0" borderId="15" xfId="1" applyFont="1" applyBorder="1">
      <alignment vertical="center"/>
    </xf>
    <xf numFmtId="37" fontId="105" fillId="0" borderId="22" xfId="0" applyNumberFormat="1" applyFont="1" applyBorder="1" applyAlignment="1">
      <alignment horizontal="left" vertical="center"/>
    </xf>
    <xf numFmtId="0" fontId="121" fillId="23" borderId="11" xfId="0" applyFont="1" applyFill="1" applyBorder="1" applyAlignment="1">
      <alignment horizontal="center"/>
    </xf>
    <xf numFmtId="37" fontId="160" fillId="0" borderId="9" xfId="0" applyNumberFormat="1" applyFont="1" applyBorder="1">
      <alignment vertical="center"/>
    </xf>
    <xf numFmtId="181" fontId="125" fillId="28" borderId="6" xfId="1" applyFont="1" applyFill="1" applyBorder="1">
      <alignment vertical="center"/>
    </xf>
    <xf numFmtId="181" fontId="121" fillId="0" borderId="0" xfId="1" applyFont="1" applyBorder="1">
      <alignment vertical="center"/>
    </xf>
    <xf numFmtId="0" fontId="105" fillId="46" borderId="0" xfId="0" applyFont="1" applyFill="1">
      <alignment vertical="center"/>
    </xf>
    <xf numFmtId="0" fontId="125" fillId="46" borderId="0" xfId="0" applyFont="1" applyFill="1">
      <alignment vertical="center"/>
    </xf>
    <xf numFmtId="0" fontId="125" fillId="46" borderId="0" xfId="0" applyFont="1" applyFill="1" applyAlignment="1">
      <alignment horizontal="center" vertical="center"/>
    </xf>
    <xf numFmtId="179" fontId="161" fillId="0" borderId="0" xfId="0" applyNumberFormat="1" applyFont="1" applyAlignment="1">
      <alignment horizontal="left" vertical="center"/>
    </xf>
    <xf numFmtId="179" fontId="154" fillId="0" borderId="0" xfId="0" applyNumberFormat="1" applyFont="1" applyAlignment="1">
      <alignment horizontal="left" vertical="center"/>
    </xf>
    <xf numFmtId="0" fontId="125" fillId="23" borderId="12" xfId="0" applyFont="1" applyFill="1" applyBorder="1">
      <alignment vertical="center"/>
    </xf>
    <xf numFmtId="0" fontId="125" fillId="23" borderId="13" xfId="0" applyFont="1" applyFill="1" applyBorder="1">
      <alignment vertical="center"/>
    </xf>
    <xf numFmtId="0" fontId="107" fillId="23" borderId="9" xfId="0" applyFont="1" applyFill="1" applyBorder="1" applyAlignment="1">
      <alignment horizontal="center"/>
    </xf>
    <xf numFmtId="179" fontId="106" fillId="23" borderId="9" xfId="0" applyNumberFormat="1" applyFont="1" applyFill="1" applyBorder="1" applyAlignment="1">
      <alignment horizontal="center"/>
    </xf>
    <xf numFmtId="179" fontId="110" fillId="23" borderId="9" xfId="0" applyNumberFormat="1" applyFont="1" applyFill="1" applyBorder="1" applyAlignment="1">
      <alignment horizontal="center"/>
    </xf>
    <xf numFmtId="179" fontId="107" fillId="43" borderId="11" xfId="0" applyNumberFormat="1" applyFont="1" applyFill="1" applyBorder="1">
      <alignment vertical="center"/>
    </xf>
    <xf numFmtId="181" fontId="105" fillId="43" borderId="9" xfId="1" applyFont="1" applyFill="1" applyBorder="1">
      <alignment vertical="center"/>
    </xf>
    <xf numFmtId="181" fontId="125" fillId="43" borderId="9" xfId="1" applyFont="1" applyFill="1" applyBorder="1">
      <alignment vertical="center"/>
    </xf>
    <xf numFmtId="181" fontId="105" fillId="43" borderId="0" xfId="1" applyFont="1" applyFill="1">
      <alignment vertical="center"/>
    </xf>
    <xf numFmtId="0" fontId="125" fillId="0" borderId="3" xfId="0" applyFont="1" applyBorder="1">
      <alignment vertical="center"/>
    </xf>
    <xf numFmtId="179" fontId="125" fillId="0" borderId="3" xfId="0" applyNumberFormat="1" applyFont="1" applyBorder="1">
      <alignment vertical="center"/>
    </xf>
    <xf numFmtId="38" fontId="117" fillId="0" borderId="8" xfId="0" applyNumberFormat="1" applyFont="1" applyBorder="1" applyAlignment="1">
      <alignment horizontal="left" vertical="center"/>
    </xf>
    <xf numFmtId="38" fontId="121" fillId="0" borderId="8" xfId="0" applyNumberFormat="1" applyFont="1" applyBorder="1" applyAlignment="1">
      <alignment horizontal="left" vertical="center"/>
    </xf>
    <xf numFmtId="38" fontId="105" fillId="0" borderId="7" xfId="0" applyNumberFormat="1" applyFont="1" applyBorder="1">
      <alignment vertical="center"/>
    </xf>
    <xf numFmtId="0" fontId="105" fillId="27" borderId="0" xfId="0" applyFont="1" applyFill="1">
      <alignment vertical="center"/>
    </xf>
    <xf numFmtId="38" fontId="105" fillId="0" borderId="0" xfId="0" quotePrefix="1" applyNumberFormat="1" applyFont="1">
      <alignment vertical="center"/>
    </xf>
    <xf numFmtId="38" fontId="107" fillId="23" borderId="9" xfId="0" applyNumberFormat="1" applyFont="1" applyFill="1" applyBorder="1" applyAlignment="1">
      <alignment horizontal="center" vertical="center"/>
    </xf>
    <xf numFmtId="37" fontId="170" fillId="0" borderId="9" xfId="0" applyNumberFormat="1" applyFont="1" applyBorder="1">
      <alignment vertical="center"/>
    </xf>
    <xf numFmtId="37" fontId="170" fillId="0" borderId="9" xfId="0" applyNumberFormat="1" applyFont="1" applyBorder="1" applyAlignment="1">
      <alignment horizontal="left" vertical="center"/>
    </xf>
    <xf numFmtId="37" fontId="148" fillId="0" borderId="9" xfId="0" applyNumberFormat="1" applyFont="1" applyBorder="1" applyAlignment="1">
      <alignment horizontal="left" vertical="center"/>
    </xf>
    <xf numFmtId="38" fontId="148" fillId="0" borderId="9" xfId="0" applyNumberFormat="1" applyFont="1" applyBorder="1">
      <alignment vertical="center"/>
    </xf>
    <xf numFmtId="37" fontId="148" fillId="0" borderId="9" xfId="0" applyNumberFormat="1" applyFont="1" applyBorder="1">
      <alignment vertical="center"/>
    </xf>
    <xf numFmtId="179" fontId="125" fillId="0" borderId="0" xfId="0" applyNumberFormat="1" applyFont="1" applyAlignment="1">
      <alignment vertical="top"/>
    </xf>
    <xf numFmtId="0" fontId="125" fillId="0" borderId="0" xfId="0" applyFont="1" applyAlignment="1">
      <alignment vertical="top"/>
    </xf>
    <xf numFmtId="179" fontId="125" fillId="0" borderId="0" xfId="0" applyNumberFormat="1" applyFont="1" applyAlignment="1">
      <alignment horizontal="center" vertical="top"/>
    </xf>
    <xf numFmtId="179" fontId="105" fillId="0" borderId="0" xfId="0" applyNumberFormat="1" applyFont="1" applyAlignment="1">
      <alignment vertical="top"/>
    </xf>
    <xf numFmtId="179" fontId="132" fillId="0" borderId="0" xfId="0" applyNumberFormat="1" applyFont="1" applyAlignment="1">
      <alignment vertical="top"/>
    </xf>
    <xf numFmtId="0" fontId="87" fillId="0" borderId="9" xfId="0" applyFont="1" applyBorder="1">
      <alignment vertical="center"/>
    </xf>
    <xf numFmtId="38" fontId="177" fillId="0" borderId="9" xfId="0" applyNumberFormat="1" applyFont="1" applyBorder="1">
      <alignment vertical="center"/>
    </xf>
    <xf numFmtId="38" fontId="177" fillId="0" borderId="9" xfId="0" applyNumberFormat="1" applyFont="1" applyBorder="1" applyAlignment="1">
      <alignment horizontal="left" vertical="center"/>
    </xf>
    <xf numFmtId="38" fontId="107" fillId="43" borderId="9" xfId="0" applyNumberFormat="1" applyFont="1" applyFill="1" applyBorder="1" applyAlignment="1">
      <alignment horizontal="center" vertical="center"/>
    </xf>
    <xf numFmtId="37" fontId="107" fillId="36" borderId="2" xfId="0" applyNumberFormat="1" applyFont="1" applyFill="1" applyBorder="1" applyAlignment="1">
      <alignment horizontal="center" vertical="center"/>
    </xf>
    <xf numFmtId="198" fontId="107" fillId="24" borderId="39" xfId="0" applyNumberFormat="1" applyFont="1" applyFill="1" applyBorder="1">
      <alignment vertical="center"/>
    </xf>
    <xf numFmtId="198" fontId="107" fillId="24" borderId="40" xfId="0" applyNumberFormat="1" applyFont="1" applyFill="1" applyBorder="1" applyAlignment="1">
      <alignment horizontal="right" vertical="center"/>
    </xf>
    <xf numFmtId="198" fontId="107" fillId="24" borderId="40" xfId="0" applyNumberFormat="1" applyFont="1" applyFill="1" applyBorder="1">
      <alignment vertical="center"/>
    </xf>
    <xf numFmtId="198" fontId="107" fillId="24" borderId="37" xfId="0" applyNumberFormat="1" applyFont="1" applyFill="1" applyBorder="1" applyAlignment="1">
      <alignment horizontal="center" vertical="center"/>
    </xf>
    <xf numFmtId="9" fontId="107" fillId="0" borderId="9" xfId="0" applyNumberFormat="1" applyFont="1" applyBorder="1" applyAlignment="1">
      <alignment horizontal="center" vertical="center"/>
    </xf>
    <xf numFmtId="38" fontId="107" fillId="23" borderId="22" xfId="0" applyNumberFormat="1" applyFont="1" applyFill="1" applyBorder="1" applyAlignment="1">
      <alignment horizontal="center" vertical="center"/>
    </xf>
    <xf numFmtId="38" fontId="107" fillId="23" borderId="6" xfId="0" applyNumberFormat="1" applyFont="1" applyFill="1" applyBorder="1" applyAlignment="1">
      <alignment horizontal="center" vertical="center"/>
    </xf>
    <xf numFmtId="38" fontId="107" fillId="23" borderId="21" xfId="0" applyNumberFormat="1" applyFont="1" applyFill="1" applyBorder="1" applyAlignment="1">
      <alignment horizontal="center" vertical="center"/>
    </xf>
    <xf numFmtId="38" fontId="107" fillId="23" borderId="8" xfId="0" applyNumberFormat="1" applyFont="1" applyFill="1" applyBorder="1" applyAlignment="1">
      <alignment horizontal="center" vertical="center"/>
    </xf>
    <xf numFmtId="38" fontId="105" fillId="47" borderId="23" xfId="0" applyNumberFormat="1" applyFont="1" applyFill="1" applyBorder="1" applyAlignment="1">
      <alignment horizontal="center" vertical="center"/>
    </xf>
    <xf numFmtId="38" fontId="107" fillId="24" borderId="22" xfId="0" applyNumberFormat="1" applyFont="1" applyFill="1" applyBorder="1" applyAlignment="1">
      <alignment horizontal="center" vertical="center"/>
    </xf>
    <xf numFmtId="38" fontId="107" fillId="24" borderId="9" xfId="0" applyNumberFormat="1" applyFont="1" applyFill="1" applyBorder="1" applyAlignment="1">
      <alignment horizontal="center" vertical="center"/>
    </xf>
    <xf numFmtId="38" fontId="107" fillId="24" borderId="43" xfId="0" applyNumberFormat="1" applyFont="1" applyFill="1" applyBorder="1" applyAlignment="1">
      <alignment horizontal="center" vertical="center"/>
    </xf>
    <xf numFmtId="37" fontId="105" fillId="0" borderId="9" xfId="0" applyNumberFormat="1" applyFont="1" applyBorder="1" applyAlignment="1">
      <alignment horizontal="center" vertical="center" shrinkToFit="1"/>
    </xf>
    <xf numFmtId="38" fontId="105" fillId="23" borderId="22" xfId="0" applyNumberFormat="1" applyFont="1" applyFill="1" applyBorder="1">
      <alignment vertical="center"/>
    </xf>
    <xf numFmtId="38" fontId="105" fillId="23" borderId="21" xfId="0" applyNumberFormat="1" applyFont="1" applyFill="1" applyBorder="1">
      <alignment vertical="center"/>
    </xf>
    <xf numFmtId="38" fontId="105" fillId="23" borderId="20" xfId="0" applyNumberFormat="1" applyFont="1" applyFill="1" applyBorder="1" applyAlignment="1">
      <alignment horizontal="right" vertical="center"/>
    </xf>
    <xf numFmtId="38" fontId="105" fillId="23" borderId="9" xfId="0" applyNumberFormat="1" applyFont="1" applyFill="1" applyBorder="1">
      <alignment vertical="center"/>
    </xf>
    <xf numFmtId="9" fontId="105" fillId="23" borderId="6" xfId="0" applyNumberFormat="1" applyFont="1" applyFill="1" applyBorder="1" applyAlignment="1">
      <alignment horizontal="center" vertical="center"/>
    </xf>
    <xf numFmtId="38" fontId="105" fillId="23" borderId="7" xfId="0" applyNumberFormat="1" applyFont="1" applyFill="1" applyBorder="1">
      <alignment vertical="center"/>
    </xf>
    <xf numFmtId="38" fontId="105" fillId="23" borderId="6" xfId="0" applyNumberFormat="1" applyFont="1" applyFill="1" applyBorder="1">
      <alignment vertical="center"/>
    </xf>
    <xf numFmtId="38" fontId="105" fillId="23" borderId="8" xfId="0" applyNumberFormat="1" applyFont="1" applyFill="1" applyBorder="1">
      <alignment vertical="center"/>
    </xf>
    <xf numFmtId="38" fontId="105" fillId="24" borderId="20" xfId="0" applyNumberFormat="1" applyFont="1" applyFill="1" applyBorder="1">
      <alignment vertical="center"/>
    </xf>
    <xf numFmtId="38" fontId="105" fillId="24" borderId="9" xfId="0" applyNumberFormat="1" applyFont="1" applyFill="1" applyBorder="1">
      <alignment vertical="center"/>
    </xf>
    <xf numFmtId="38" fontId="117" fillId="23" borderId="22" xfId="0" applyNumberFormat="1" applyFont="1" applyFill="1" applyBorder="1">
      <alignment vertical="center"/>
    </xf>
    <xf numFmtId="38" fontId="117" fillId="23" borderId="21" xfId="0" applyNumberFormat="1" applyFont="1" applyFill="1" applyBorder="1">
      <alignment vertical="center"/>
    </xf>
    <xf numFmtId="38" fontId="117" fillId="23" borderId="20" xfId="0" applyNumberFormat="1" applyFont="1" applyFill="1" applyBorder="1" applyAlignment="1">
      <alignment horizontal="right" vertical="center"/>
    </xf>
    <xf numFmtId="38" fontId="117" fillId="23" borderId="9" xfId="0" applyNumberFormat="1" applyFont="1" applyFill="1" applyBorder="1">
      <alignment vertical="center"/>
    </xf>
    <xf numFmtId="9" fontId="117" fillId="23" borderId="6" xfId="0" applyNumberFormat="1" applyFont="1" applyFill="1" applyBorder="1" applyAlignment="1">
      <alignment horizontal="center" vertical="center"/>
    </xf>
    <xf numFmtId="38" fontId="117" fillId="23" borderId="7" xfId="0" applyNumberFormat="1" applyFont="1" applyFill="1" applyBorder="1">
      <alignment vertical="center"/>
    </xf>
    <xf numFmtId="38" fontId="117" fillId="23" borderId="6" xfId="0" applyNumberFormat="1" applyFont="1" applyFill="1" applyBorder="1">
      <alignment vertical="center"/>
    </xf>
    <xf numFmtId="38" fontId="117" fillId="23" borderId="8" xfId="0" applyNumberFormat="1" applyFont="1" applyFill="1" applyBorder="1">
      <alignment vertical="center"/>
    </xf>
    <xf numFmtId="38" fontId="117" fillId="24" borderId="20" xfId="0" applyNumberFormat="1" applyFont="1" applyFill="1" applyBorder="1">
      <alignment vertical="center"/>
    </xf>
    <xf numFmtId="38" fontId="117" fillId="24" borderId="9" xfId="0" applyNumberFormat="1" applyFont="1" applyFill="1" applyBorder="1">
      <alignment vertical="center"/>
    </xf>
    <xf numFmtId="0" fontId="184" fillId="0" borderId="0" xfId="0" applyFont="1">
      <alignment vertical="center"/>
    </xf>
    <xf numFmtId="38" fontId="184" fillId="0" borderId="0" xfId="0" applyNumberFormat="1" applyFont="1">
      <alignment vertical="center"/>
    </xf>
    <xf numFmtId="37" fontId="105" fillId="0" borderId="9" xfId="0" applyNumberFormat="1" applyFont="1" applyBorder="1" applyAlignment="1">
      <alignment horizontal="center" vertical="center"/>
    </xf>
    <xf numFmtId="37" fontId="117" fillId="0" borderId="9" xfId="0" applyNumberFormat="1" applyFont="1" applyBorder="1" applyAlignment="1">
      <alignment horizontal="center" vertical="center"/>
    </xf>
    <xf numFmtId="37" fontId="118" fillId="0" borderId="9" xfId="0" applyNumberFormat="1" applyFont="1" applyBorder="1" applyAlignment="1">
      <alignment horizontal="center" vertical="center"/>
    </xf>
    <xf numFmtId="37" fontId="139" fillId="0" borderId="9" xfId="0" applyNumberFormat="1" applyFont="1" applyBorder="1" applyAlignment="1">
      <alignment horizontal="center" vertical="center"/>
    </xf>
    <xf numFmtId="37" fontId="121" fillId="0" borderId="9" xfId="0" applyNumberFormat="1" applyFont="1" applyBorder="1" applyAlignment="1">
      <alignment horizontal="center" vertical="center"/>
    </xf>
    <xf numFmtId="38" fontId="121" fillId="23" borderId="22" xfId="0" applyNumberFormat="1" applyFont="1" applyFill="1" applyBorder="1">
      <alignment vertical="center"/>
    </xf>
    <xf numFmtId="38" fontId="121" fillId="23" borderId="21" xfId="0" applyNumberFormat="1" applyFont="1" applyFill="1" applyBorder="1">
      <alignment vertical="center"/>
    </xf>
    <xf numFmtId="38" fontId="121" fillId="23" borderId="20" xfId="0" applyNumberFormat="1" applyFont="1" applyFill="1" applyBorder="1" applyAlignment="1">
      <alignment horizontal="right" vertical="center"/>
    </xf>
    <xf numFmtId="38" fontId="121" fillId="23" borderId="9" xfId="0" applyNumberFormat="1" applyFont="1" applyFill="1" applyBorder="1">
      <alignment vertical="center"/>
    </xf>
    <xf numFmtId="9" fontId="121" fillId="23" borderId="6" xfId="0" applyNumberFormat="1" applyFont="1" applyFill="1" applyBorder="1" applyAlignment="1">
      <alignment horizontal="center" vertical="center"/>
    </xf>
    <xf numFmtId="38" fontId="121" fillId="23" borderId="6" xfId="0" applyNumberFormat="1" applyFont="1" applyFill="1" applyBorder="1">
      <alignment vertical="center"/>
    </xf>
    <xf numFmtId="38" fontId="121" fillId="23" borderId="8" xfId="0" applyNumberFormat="1" applyFont="1" applyFill="1" applyBorder="1">
      <alignment vertical="center"/>
    </xf>
    <xf numFmtId="38" fontId="121" fillId="24" borderId="20" xfId="0" applyNumberFormat="1" applyFont="1" applyFill="1" applyBorder="1">
      <alignment vertical="center"/>
    </xf>
    <xf numFmtId="38" fontId="121" fillId="24" borderId="9" xfId="0" applyNumberFormat="1" applyFont="1" applyFill="1" applyBorder="1">
      <alignment vertical="center"/>
    </xf>
    <xf numFmtId="0" fontId="185" fillId="0" borderId="0" xfId="0" applyFont="1">
      <alignment vertical="center"/>
    </xf>
    <xf numFmtId="38" fontId="105" fillId="32" borderId="0" xfId="0" applyNumberFormat="1" applyFont="1" applyFill="1">
      <alignment vertical="center"/>
    </xf>
    <xf numFmtId="38" fontId="105" fillId="32" borderId="0" xfId="0" applyNumberFormat="1" applyFont="1" applyFill="1" applyAlignment="1">
      <alignment horizontal="center" vertical="center"/>
    </xf>
    <xf numFmtId="38" fontId="105" fillId="23" borderId="22" xfId="0" applyNumberFormat="1" applyFont="1" applyFill="1" applyBorder="1" applyAlignment="1">
      <alignment horizontal="center" vertical="center"/>
    </xf>
    <xf numFmtId="38" fontId="105" fillId="23" borderId="9" xfId="0" applyNumberFormat="1" applyFont="1" applyFill="1" applyBorder="1" applyAlignment="1">
      <alignment horizontal="center" vertical="center"/>
    </xf>
    <xf numFmtId="38" fontId="105" fillId="23" borderId="21" xfId="0" applyNumberFormat="1" applyFont="1" applyFill="1" applyBorder="1" applyAlignment="1">
      <alignment horizontal="center" vertical="center"/>
    </xf>
    <xf numFmtId="38" fontId="105" fillId="23" borderId="8" xfId="0" applyNumberFormat="1" applyFont="1" applyFill="1" applyBorder="1" applyAlignment="1">
      <alignment horizontal="center" vertical="center"/>
    </xf>
    <xf numFmtId="38" fontId="105" fillId="24" borderId="20" xfId="0" applyNumberFormat="1" applyFont="1" applyFill="1" applyBorder="1" applyAlignment="1">
      <alignment horizontal="center" vertical="center"/>
    </xf>
    <xf numFmtId="38" fontId="105" fillId="24" borderId="9" xfId="0" applyNumberFormat="1" applyFont="1" applyFill="1" applyBorder="1" applyAlignment="1">
      <alignment horizontal="center" vertical="center"/>
    </xf>
    <xf numFmtId="37" fontId="139" fillId="0" borderId="9" xfId="0" applyNumberFormat="1" applyFont="1" applyBorder="1" applyAlignment="1">
      <alignment horizontal="center" vertical="center" shrinkToFit="1"/>
    </xf>
    <xf numFmtId="38" fontId="117" fillId="32" borderId="0" xfId="0" applyNumberFormat="1" applyFont="1" applyFill="1">
      <alignment vertical="center"/>
    </xf>
    <xf numFmtId="38" fontId="117" fillId="32" borderId="0" xfId="0" applyNumberFormat="1" applyFont="1" applyFill="1" applyAlignment="1">
      <alignment horizontal="center" vertical="center"/>
    </xf>
    <xf numFmtId="38" fontId="117" fillId="24" borderId="20" xfId="0" applyNumberFormat="1" applyFont="1" applyFill="1" applyBorder="1" applyAlignment="1">
      <alignment horizontal="center" vertical="center"/>
    </xf>
    <xf numFmtId="38" fontId="117" fillId="24" borderId="9" xfId="0" applyNumberFormat="1" applyFont="1" applyFill="1" applyBorder="1" applyAlignment="1">
      <alignment horizontal="center" vertical="center"/>
    </xf>
    <xf numFmtId="38" fontId="107" fillId="28" borderId="9" xfId="1" applyNumberFormat="1" applyFont="1" applyFill="1" applyBorder="1" applyAlignment="1">
      <alignment horizontal="right" vertical="center" shrinkToFit="1"/>
    </xf>
    <xf numFmtId="38" fontId="157" fillId="28" borderId="9" xfId="1" applyNumberFormat="1" applyFont="1" applyFill="1" applyBorder="1" applyAlignment="1">
      <alignment horizontal="right" vertical="center" shrinkToFit="1"/>
    </xf>
    <xf numFmtId="9" fontId="107" fillId="28" borderId="9" xfId="1" applyNumberFormat="1" applyFont="1" applyFill="1" applyBorder="1" applyAlignment="1">
      <alignment horizontal="right" vertical="center" shrinkToFit="1"/>
    </xf>
    <xf numFmtId="37" fontId="107" fillId="39" borderId="9" xfId="0" applyNumberFormat="1" applyFont="1" applyFill="1" applyBorder="1" applyAlignment="1">
      <alignment horizontal="center" vertical="center"/>
    </xf>
    <xf numFmtId="38" fontId="107" fillId="31" borderId="44" xfId="1" applyNumberFormat="1" applyFont="1" applyFill="1" applyBorder="1" applyAlignment="1">
      <alignment horizontal="left" vertical="center" shrinkToFit="1"/>
    </xf>
    <xf numFmtId="41" fontId="107" fillId="31" borderId="9" xfId="3" applyFont="1" applyFill="1" applyBorder="1" applyAlignment="1">
      <alignment horizontal="right" vertical="center" shrinkToFit="1"/>
    </xf>
    <xf numFmtId="9" fontId="107" fillId="31" borderId="6" xfId="3" applyNumberFormat="1" applyFont="1" applyFill="1" applyBorder="1" applyAlignment="1">
      <alignment horizontal="center" vertical="center" shrinkToFit="1"/>
    </xf>
    <xf numFmtId="41" fontId="107" fillId="31" borderId="22" xfId="3" applyFont="1" applyFill="1" applyBorder="1" applyAlignment="1">
      <alignment horizontal="right" vertical="center" shrinkToFit="1"/>
    </xf>
    <xf numFmtId="41" fontId="107" fillId="31" borderId="21" xfId="3" applyFont="1" applyFill="1" applyBorder="1" applyAlignment="1">
      <alignment horizontal="right" vertical="center" shrinkToFit="1"/>
    </xf>
    <xf numFmtId="41" fontId="107" fillId="31" borderId="8" xfId="3" applyFont="1" applyFill="1" applyBorder="1" applyAlignment="1">
      <alignment horizontal="right" vertical="center" shrinkToFit="1"/>
    </xf>
    <xf numFmtId="41" fontId="107" fillId="31" borderId="6" xfId="3" applyFont="1" applyFill="1" applyBorder="1" applyAlignment="1">
      <alignment horizontal="right" vertical="center" shrinkToFit="1"/>
    </xf>
    <xf numFmtId="38" fontId="107" fillId="31" borderId="44" xfId="1" applyNumberFormat="1" applyFont="1" applyFill="1" applyBorder="1" applyAlignment="1">
      <alignment horizontal="right" vertical="center" shrinkToFit="1"/>
    </xf>
    <xf numFmtId="38" fontId="107" fillId="31" borderId="20" xfId="1" applyNumberFormat="1" applyFont="1" applyFill="1" applyBorder="1" applyAlignment="1">
      <alignment horizontal="right" vertical="center" shrinkToFit="1"/>
    </xf>
    <xf numFmtId="37" fontId="107" fillId="31" borderId="21" xfId="1" applyNumberFormat="1" applyFont="1" applyFill="1" applyBorder="1" applyAlignment="1">
      <alignment horizontal="right" vertical="center" shrinkToFit="1"/>
    </xf>
    <xf numFmtId="0" fontId="158" fillId="0" borderId="9" xfId="0" applyFont="1" applyBorder="1" applyAlignment="1">
      <alignment horizontal="left" vertical="center"/>
    </xf>
    <xf numFmtId="0" fontId="146" fillId="0" borderId="9" xfId="0" applyFont="1" applyBorder="1">
      <alignment vertical="center"/>
    </xf>
    <xf numFmtId="0" fontId="146" fillId="0" borderId="9" xfId="0" applyFont="1" applyBorder="1" applyAlignment="1">
      <alignment horizontal="center" vertical="center"/>
    </xf>
    <xf numFmtId="38" fontId="158" fillId="0" borderId="0" xfId="0" applyNumberFormat="1" applyFont="1">
      <alignment vertical="center"/>
    </xf>
    <xf numFmtId="0" fontId="105" fillId="0" borderId="9" xfId="0" applyFont="1" applyBorder="1" applyAlignment="1">
      <alignment horizontal="left" vertical="center"/>
    </xf>
    <xf numFmtId="0" fontId="87" fillId="0" borderId="9" xfId="0" applyFont="1" applyBorder="1" applyAlignment="1">
      <alignment horizontal="center" vertical="center"/>
    </xf>
    <xf numFmtId="0" fontId="186" fillId="0" borderId="9" xfId="0" applyFont="1" applyBorder="1" applyAlignment="1">
      <alignment horizontal="left" vertical="center"/>
    </xf>
    <xf numFmtId="0" fontId="187" fillId="0" borderId="9" xfId="0" applyFont="1" applyBorder="1">
      <alignment vertical="center"/>
    </xf>
    <xf numFmtId="0" fontId="187" fillId="0" borderId="9" xfId="0" applyFont="1" applyBorder="1" applyAlignment="1">
      <alignment horizontal="center" vertical="center"/>
    </xf>
    <xf numFmtId="0" fontId="117" fillId="0" borderId="9" xfId="0" applyFont="1" applyBorder="1" applyAlignment="1">
      <alignment horizontal="left" vertical="center"/>
    </xf>
    <xf numFmtId="0" fontId="119" fillId="0" borderId="9" xfId="0" applyFont="1" applyBorder="1">
      <alignment vertical="center"/>
    </xf>
    <xf numFmtId="0" fontId="119" fillId="0" borderId="9" xfId="0" applyFont="1" applyBorder="1" applyAlignment="1">
      <alignment horizontal="center" vertical="center"/>
    </xf>
    <xf numFmtId="0" fontId="121" fillId="0" borderId="9" xfId="0" applyFont="1" applyBorder="1">
      <alignment vertical="center"/>
    </xf>
    <xf numFmtId="0" fontId="122" fillId="0" borderId="9" xfId="0" applyFont="1" applyBorder="1" applyAlignment="1">
      <alignment horizontal="left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>
      <alignment vertical="center"/>
    </xf>
    <xf numFmtId="0" fontId="121" fillId="0" borderId="9" xfId="0" applyFont="1" applyBorder="1" applyAlignment="1">
      <alignment horizontal="center" vertical="center"/>
    </xf>
    <xf numFmtId="37" fontId="125" fillId="0" borderId="9" xfId="0" applyNumberFormat="1" applyFont="1" applyBorder="1" applyAlignment="1">
      <alignment horizontal="center" vertical="center"/>
    </xf>
    <xf numFmtId="38" fontId="107" fillId="39" borderId="9" xfId="1" applyNumberFormat="1" applyFont="1" applyFill="1" applyBorder="1" applyAlignment="1">
      <alignment horizontal="right" vertical="center" shrinkToFit="1"/>
    </xf>
    <xf numFmtId="9" fontId="107" fillId="39" borderId="9" xfId="1" applyNumberFormat="1" applyFont="1" applyFill="1" applyBorder="1" applyAlignment="1">
      <alignment horizontal="right" vertical="center" shrinkToFit="1"/>
    </xf>
    <xf numFmtId="38" fontId="107" fillId="0" borderId="0" xfId="1" applyNumberFormat="1" applyFont="1" applyBorder="1" applyAlignment="1">
      <alignment horizontal="left" vertical="center" shrinkToFit="1"/>
    </xf>
    <xf numFmtId="38" fontId="107" fillId="31" borderId="8" xfId="1" applyNumberFormat="1" applyFont="1" applyFill="1" applyBorder="1" applyAlignment="1">
      <alignment horizontal="right" vertical="center" shrinkToFit="1"/>
    </xf>
    <xf numFmtId="9" fontId="107" fillId="31" borderId="6" xfId="1" applyNumberFormat="1" applyFont="1" applyFill="1" applyBorder="1" applyAlignment="1">
      <alignment horizontal="center" vertical="center" shrinkToFit="1"/>
    </xf>
    <xf numFmtId="38" fontId="107" fillId="31" borderId="7" xfId="1" applyNumberFormat="1" applyFont="1" applyFill="1" applyBorder="1" applyAlignment="1">
      <alignment horizontal="right" vertical="center" shrinkToFit="1"/>
    </xf>
    <xf numFmtId="38" fontId="107" fillId="31" borderId="10" xfId="1" applyNumberFormat="1" applyFont="1" applyFill="1" applyBorder="1" applyAlignment="1">
      <alignment horizontal="right" vertical="center" shrinkToFit="1"/>
    </xf>
    <xf numFmtId="9" fontId="106" fillId="34" borderId="8" xfId="0" applyNumberFormat="1" applyFont="1" applyFill="1" applyBorder="1">
      <alignment vertical="center"/>
    </xf>
    <xf numFmtId="9" fontId="107" fillId="34" borderId="8" xfId="0" applyNumberFormat="1" applyFont="1" applyFill="1" applyBorder="1">
      <alignment vertical="center"/>
    </xf>
    <xf numFmtId="37" fontId="107" fillId="34" borderId="8" xfId="0" applyNumberFormat="1" applyFont="1" applyFill="1" applyBorder="1" applyAlignment="1">
      <alignment horizontal="center" vertical="center"/>
    </xf>
    <xf numFmtId="179" fontId="107" fillId="34" borderId="63" xfId="0" applyNumberFormat="1" applyFont="1" applyFill="1" applyBorder="1" applyAlignment="1">
      <alignment horizontal="right" vertical="center"/>
    </xf>
    <xf numFmtId="179" fontId="107" fillId="34" borderId="4" xfId="0" applyNumberFormat="1" applyFont="1" applyFill="1" applyBorder="1">
      <alignment vertical="center"/>
    </xf>
    <xf numFmtId="9" fontId="107" fillId="34" borderId="63" xfId="0" applyNumberFormat="1" applyFont="1" applyFill="1" applyBorder="1" applyAlignment="1">
      <alignment horizontal="center" vertical="center"/>
    </xf>
    <xf numFmtId="179" fontId="107" fillId="34" borderId="33" xfId="0" applyNumberFormat="1" applyFont="1" applyFill="1" applyBorder="1">
      <alignment vertical="center"/>
    </xf>
    <xf numFmtId="179" fontId="107" fillId="34" borderId="50" xfId="0" applyNumberFormat="1" applyFont="1" applyFill="1" applyBorder="1">
      <alignment vertical="center"/>
    </xf>
    <xf numFmtId="37" fontId="107" fillId="34" borderId="4" xfId="0" applyNumberFormat="1" applyFont="1" applyFill="1" applyBorder="1">
      <alignment vertical="center"/>
    </xf>
    <xf numFmtId="37" fontId="107" fillId="34" borderId="50" xfId="0" applyNumberFormat="1" applyFont="1" applyFill="1" applyBorder="1">
      <alignment vertical="center"/>
    </xf>
    <xf numFmtId="37" fontId="107" fillId="34" borderId="31" xfId="0" applyNumberFormat="1" applyFont="1" applyFill="1" applyBorder="1">
      <alignment vertical="center"/>
    </xf>
    <xf numFmtId="38" fontId="107" fillId="24" borderId="20" xfId="0" applyNumberFormat="1" applyFont="1" applyFill="1" applyBorder="1">
      <alignment vertical="center"/>
    </xf>
    <xf numFmtId="38" fontId="107" fillId="24" borderId="9" xfId="0" applyNumberFormat="1" applyFont="1" applyFill="1" applyBorder="1">
      <alignment vertical="center"/>
    </xf>
    <xf numFmtId="37" fontId="188" fillId="0" borderId="0" xfId="0" applyNumberFormat="1" applyFont="1">
      <alignment vertical="center"/>
    </xf>
    <xf numFmtId="38" fontId="188" fillId="0" borderId="0" xfId="1" applyNumberFormat="1" applyFont="1" applyBorder="1" applyAlignment="1">
      <alignment horizontal="right" vertical="center" shrinkToFit="1"/>
    </xf>
    <xf numFmtId="38" fontId="106" fillId="0" borderId="0" xfId="1" applyNumberFormat="1" applyFont="1" applyBorder="1" applyAlignment="1">
      <alignment horizontal="right" vertical="center" shrinkToFit="1"/>
    </xf>
    <xf numFmtId="9" fontId="188" fillId="0" borderId="0" xfId="1" applyNumberFormat="1" applyFont="1" applyBorder="1" applyAlignment="1">
      <alignment horizontal="right" vertical="center" shrinkToFit="1"/>
    </xf>
    <xf numFmtId="38" fontId="188" fillId="0" borderId="0" xfId="1" applyNumberFormat="1" applyFont="1" applyBorder="1" applyAlignment="1">
      <alignment horizontal="center" vertical="center" shrinkToFit="1"/>
    </xf>
    <xf numFmtId="38" fontId="188" fillId="0" borderId="0" xfId="1" applyNumberFormat="1" applyFont="1" applyBorder="1" applyAlignment="1">
      <alignment vertical="center" shrinkToFit="1"/>
    </xf>
    <xf numFmtId="38" fontId="170" fillId="0" borderId="0" xfId="0" applyNumberFormat="1" applyFont="1">
      <alignment vertical="center"/>
    </xf>
    <xf numFmtId="38" fontId="170" fillId="0" borderId="0" xfId="0" applyNumberFormat="1" applyFont="1" applyAlignment="1">
      <alignment horizontal="center" vertical="center"/>
    </xf>
    <xf numFmtId="38" fontId="188" fillId="0" borderId="0" xfId="0" applyNumberFormat="1" applyFont="1" applyAlignment="1">
      <alignment horizontal="right" vertical="center"/>
    </xf>
    <xf numFmtId="9" fontId="170" fillId="0" borderId="0" xfId="0" applyNumberFormat="1" applyFont="1" applyAlignment="1">
      <alignment horizontal="center" vertical="center"/>
    </xf>
    <xf numFmtId="37" fontId="170" fillId="0" borderId="0" xfId="0" applyNumberFormat="1" applyFont="1" applyAlignment="1">
      <alignment horizontal="right" vertical="center"/>
    </xf>
    <xf numFmtId="0" fontId="189" fillId="0" borderId="0" xfId="0" applyFont="1">
      <alignment vertical="center"/>
    </xf>
    <xf numFmtId="37" fontId="188" fillId="22" borderId="0" xfId="0" applyNumberFormat="1" applyFont="1" applyFill="1">
      <alignment vertical="center"/>
    </xf>
    <xf numFmtId="9" fontId="105" fillId="0" borderId="0" xfId="0" applyNumberFormat="1" applyFont="1">
      <alignment vertical="center"/>
    </xf>
    <xf numFmtId="38" fontId="107" fillId="0" borderId="0" xfId="0" applyNumberFormat="1" applyFont="1" applyAlignment="1">
      <alignment horizontal="left" vertical="center"/>
    </xf>
    <xf numFmtId="38" fontId="105" fillId="22" borderId="0" xfId="0" applyNumberFormat="1" applyFont="1" applyFill="1" applyAlignment="1">
      <alignment horizontal="right" vertical="center"/>
    </xf>
    <xf numFmtId="38" fontId="105" fillId="0" borderId="0" xfId="0" applyNumberFormat="1" applyFont="1" applyAlignment="1">
      <alignment horizontal="right" vertical="center"/>
    </xf>
    <xf numFmtId="37" fontId="105" fillId="0" borderId="0" xfId="0" applyNumberFormat="1" applyFont="1" applyAlignment="1">
      <alignment horizontal="right" vertical="center"/>
    </xf>
    <xf numFmtId="10" fontId="105" fillId="0" borderId="0" xfId="0" applyNumberFormat="1" applyFont="1" applyAlignment="1">
      <alignment horizontal="center" vertical="center"/>
    </xf>
    <xf numFmtId="10" fontId="105" fillId="0" borderId="0" xfId="0" applyNumberFormat="1" applyFont="1">
      <alignment vertical="center"/>
    </xf>
    <xf numFmtId="9" fontId="105" fillId="0" borderId="0" xfId="0" applyNumberFormat="1" applyFont="1" applyAlignment="1">
      <alignment horizontal="center" vertical="center"/>
    </xf>
    <xf numFmtId="9" fontId="107" fillId="0" borderId="0" xfId="0" applyNumberFormat="1" applyFont="1" applyAlignment="1">
      <alignment horizontal="center" vertical="center"/>
    </xf>
    <xf numFmtId="198" fontId="107" fillId="24" borderId="61" xfId="0" applyNumberFormat="1" applyFont="1" applyFill="1" applyBorder="1">
      <alignment vertical="center"/>
    </xf>
    <xf numFmtId="198" fontId="107" fillId="24" borderId="66" xfId="0" applyNumberFormat="1" applyFont="1" applyFill="1" applyBorder="1">
      <alignment vertical="center"/>
    </xf>
    <xf numFmtId="9" fontId="87" fillId="0" borderId="0" xfId="0" applyNumberFormat="1" applyFont="1" applyAlignment="1">
      <alignment horizontal="center" vertical="center" wrapText="1"/>
    </xf>
    <xf numFmtId="9" fontId="82" fillId="0" borderId="0" xfId="0" applyNumberFormat="1" applyFont="1" applyAlignment="1">
      <alignment horizontal="center" vertical="center"/>
    </xf>
    <xf numFmtId="38" fontId="115" fillId="0" borderId="0" xfId="0" applyNumberFormat="1" applyFont="1">
      <alignment vertical="center"/>
    </xf>
    <xf numFmtId="179" fontId="107" fillId="24" borderId="24" xfId="0" applyNumberFormat="1" applyFont="1" applyFill="1" applyBorder="1" applyAlignment="1">
      <alignment horizontal="center" vertical="center"/>
    </xf>
    <xf numFmtId="179" fontId="107" fillId="24" borderId="26" xfId="0" applyNumberFormat="1" applyFont="1" applyFill="1" applyBorder="1" applyAlignment="1">
      <alignment horizontal="center" vertical="center"/>
    </xf>
    <xf numFmtId="179" fontId="107" fillId="24" borderId="27" xfId="0" applyNumberFormat="1" applyFont="1" applyFill="1" applyBorder="1" applyAlignment="1">
      <alignment horizontal="center" vertical="center"/>
    </xf>
    <xf numFmtId="38" fontId="125" fillId="0" borderId="9" xfId="0" applyNumberFormat="1" applyFont="1" applyBorder="1" applyAlignment="1">
      <alignment horizontal="center" vertical="center"/>
    </xf>
    <xf numFmtId="179" fontId="105" fillId="23" borderId="20" xfId="0" applyNumberFormat="1" applyFont="1" applyFill="1" applyBorder="1" applyAlignment="1">
      <alignment horizontal="right" vertical="center"/>
    </xf>
    <xf numFmtId="9" fontId="105" fillId="23" borderId="21" xfId="0" applyNumberFormat="1" applyFont="1" applyFill="1" applyBorder="1" applyAlignment="1">
      <alignment horizontal="center" vertical="center"/>
    </xf>
    <xf numFmtId="179" fontId="105" fillId="23" borderId="44" xfId="0" applyNumberFormat="1" applyFont="1" applyFill="1" applyBorder="1">
      <alignment vertical="center"/>
    </xf>
    <xf numFmtId="37" fontId="107" fillId="28" borderId="9" xfId="0" applyNumberFormat="1" applyFont="1" applyFill="1" applyBorder="1" applyAlignment="1">
      <alignment horizontal="left" vertical="center"/>
    </xf>
    <xf numFmtId="38" fontId="107" fillId="28" borderId="9" xfId="0" applyNumberFormat="1" applyFont="1" applyFill="1" applyBorder="1">
      <alignment vertical="center"/>
    </xf>
    <xf numFmtId="38" fontId="106" fillId="30" borderId="9" xfId="0" applyNumberFormat="1" applyFont="1" applyFill="1" applyBorder="1" applyAlignment="1">
      <alignment horizontal="center" vertical="center"/>
    </xf>
    <xf numFmtId="9" fontId="107" fillId="0" borderId="0" xfId="0" applyNumberFormat="1" applyFont="1">
      <alignment vertical="center"/>
    </xf>
    <xf numFmtId="179" fontId="107" fillId="33" borderId="20" xfId="0" applyNumberFormat="1" applyFont="1" applyFill="1" applyBorder="1" applyAlignment="1">
      <alignment horizontal="right" vertical="center"/>
    </xf>
    <xf numFmtId="179" fontId="107" fillId="33" borderId="31" xfId="0" applyNumberFormat="1" applyFont="1" applyFill="1" applyBorder="1">
      <alignment vertical="center"/>
    </xf>
    <xf numFmtId="179" fontId="107" fillId="33" borderId="8" xfId="0" applyNumberFormat="1" applyFont="1" applyFill="1" applyBorder="1">
      <alignment vertical="center"/>
    </xf>
    <xf numFmtId="9" fontId="107" fillId="33" borderId="21" xfId="0" applyNumberFormat="1" applyFont="1" applyFill="1" applyBorder="1" applyAlignment="1">
      <alignment horizontal="center" vertical="center"/>
    </xf>
    <xf numFmtId="179" fontId="107" fillId="33" borderId="20" xfId="0" applyNumberFormat="1" applyFont="1" applyFill="1" applyBorder="1">
      <alignment vertical="center"/>
    </xf>
    <xf numFmtId="179" fontId="105" fillId="23" borderId="11" xfId="0" applyNumberFormat="1" applyFont="1" applyFill="1" applyBorder="1">
      <alignment vertical="center"/>
    </xf>
    <xf numFmtId="179" fontId="105" fillId="23" borderId="7" xfId="0" applyNumberFormat="1" applyFont="1" applyFill="1" applyBorder="1">
      <alignment vertical="center"/>
    </xf>
    <xf numFmtId="179" fontId="105" fillId="33" borderId="20" xfId="0" applyNumberFormat="1" applyFont="1" applyFill="1" applyBorder="1" applyAlignment="1">
      <alignment horizontal="right" vertical="center"/>
    </xf>
    <xf numFmtId="9" fontId="105" fillId="33" borderId="21" xfId="0" applyNumberFormat="1" applyFont="1" applyFill="1" applyBorder="1" applyAlignment="1">
      <alignment horizontal="center" vertical="center"/>
    </xf>
    <xf numFmtId="179" fontId="105" fillId="33" borderId="11" xfId="0" applyNumberFormat="1" applyFont="1" applyFill="1" applyBorder="1">
      <alignment vertical="center"/>
    </xf>
    <xf numFmtId="38" fontId="106" fillId="34" borderId="9" xfId="0" applyNumberFormat="1" applyFont="1" applyFill="1" applyBorder="1" applyAlignment="1">
      <alignment horizontal="center" vertical="center"/>
    </xf>
    <xf numFmtId="179" fontId="107" fillId="34" borderId="20" xfId="0" applyNumberFormat="1" applyFont="1" applyFill="1" applyBorder="1" applyAlignment="1">
      <alignment horizontal="right" vertical="center"/>
    </xf>
    <xf numFmtId="9" fontId="107" fillId="34" borderId="21" xfId="0" applyNumberFormat="1" applyFont="1" applyFill="1" applyBorder="1" applyAlignment="1">
      <alignment horizontal="center" vertical="center"/>
    </xf>
    <xf numFmtId="184" fontId="188" fillId="0" borderId="0" xfId="1" applyNumberFormat="1" applyFont="1" applyBorder="1" applyAlignment="1">
      <alignment horizontal="right" vertical="center" shrinkToFit="1"/>
    </xf>
    <xf numFmtId="37" fontId="106" fillId="0" borderId="0" xfId="0" applyNumberFormat="1" applyFont="1">
      <alignment vertical="center"/>
    </xf>
    <xf numFmtId="38" fontId="170" fillId="22" borderId="0" xfId="0" applyNumberFormat="1" applyFont="1" applyFill="1">
      <alignment vertical="center"/>
    </xf>
    <xf numFmtId="37" fontId="170" fillId="22" borderId="0" xfId="0" applyNumberFormat="1" applyFont="1" applyFill="1" applyAlignment="1">
      <alignment horizontal="right" vertical="center"/>
    </xf>
    <xf numFmtId="38" fontId="106" fillId="0" borderId="0" xfId="0" applyNumberFormat="1" applyFont="1">
      <alignment vertical="center"/>
    </xf>
    <xf numFmtId="38" fontId="129" fillId="0" borderId="0" xfId="0" applyNumberFormat="1" applyFont="1">
      <alignment vertical="center"/>
    </xf>
    <xf numFmtId="38" fontId="129" fillId="0" borderId="0" xfId="0" quotePrefix="1" applyNumberFormat="1" applyFont="1">
      <alignment vertical="center"/>
    </xf>
    <xf numFmtId="38" fontId="129" fillId="0" borderId="0" xfId="0" applyNumberFormat="1" applyFont="1" applyAlignment="1">
      <alignment horizontal="center" vertical="center"/>
    </xf>
    <xf numFmtId="38" fontId="191" fillId="0" borderId="0" xfId="0" applyNumberFormat="1" applyFont="1" applyAlignment="1">
      <alignment horizontal="center" vertical="center"/>
    </xf>
    <xf numFmtId="9" fontId="129" fillId="0" borderId="0" xfId="0" applyNumberFormat="1" applyFont="1">
      <alignment vertical="center"/>
    </xf>
    <xf numFmtId="38" fontId="129" fillId="0" borderId="0" xfId="0" applyNumberFormat="1" applyFont="1" applyAlignment="1">
      <alignment horizontal="right" vertical="center"/>
    </xf>
    <xf numFmtId="9" fontId="129" fillId="0" borderId="0" xfId="0" applyNumberFormat="1" applyFont="1" applyAlignment="1">
      <alignment horizontal="center" vertical="center"/>
    </xf>
    <xf numFmtId="38" fontId="129" fillId="0" borderId="0" xfId="0" quotePrefix="1" applyNumberFormat="1" applyFont="1" applyAlignment="1">
      <alignment horizontal="center" vertical="center"/>
    </xf>
    <xf numFmtId="38" fontId="102" fillId="48" borderId="0" xfId="0" applyNumberFormat="1" applyFont="1" applyFill="1">
      <alignment vertical="center"/>
    </xf>
    <xf numFmtId="38" fontId="191" fillId="0" borderId="2" xfId="0" applyNumberFormat="1" applyFont="1" applyBorder="1" applyAlignment="1">
      <alignment horizontal="center" vertical="center"/>
    </xf>
    <xf numFmtId="0" fontId="129" fillId="0" borderId="2" xfId="0" applyFont="1" applyBorder="1" applyAlignment="1">
      <alignment horizontal="center" vertical="center"/>
    </xf>
    <xf numFmtId="0" fontId="129" fillId="0" borderId="0" xfId="0" applyFont="1" applyAlignment="1">
      <alignment horizontal="center" vertical="center"/>
    </xf>
    <xf numFmtId="38" fontId="129" fillId="43" borderId="0" xfId="0" applyNumberFormat="1" applyFont="1" applyFill="1">
      <alignment vertical="center"/>
    </xf>
    <xf numFmtId="38" fontId="129" fillId="43" borderId="0" xfId="0" quotePrefix="1" applyNumberFormat="1" applyFont="1" applyFill="1">
      <alignment vertical="center"/>
    </xf>
    <xf numFmtId="38" fontId="193" fillId="43" borderId="0" xfId="0" applyNumberFormat="1" applyFont="1" applyFill="1">
      <alignment vertical="center"/>
    </xf>
    <xf numFmtId="38" fontId="129" fillId="43" borderId="0" xfId="0" applyNumberFormat="1" applyFont="1" applyFill="1" applyAlignment="1">
      <alignment horizontal="right" vertical="center"/>
    </xf>
    <xf numFmtId="38" fontId="129" fillId="43" borderId="0" xfId="0" applyNumberFormat="1" applyFont="1" applyFill="1" applyAlignment="1">
      <alignment horizontal="center" vertical="center"/>
    </xf>
    <xf numFmtId="38" fontId="192" fillId="22" borderId="0" xfId="0" applyNumberFormat="1" applyFont="1" applyFill="1">
      <alignment vertical="center"/>
    </xf>
    <xf numFmtId="37" fontId="129" fillId="22" borderId="0" xfId="0" applyNumberFormat="1" applyFont="1" applyFill="1">
      <alignment vertical="center"/>
    </xf>
    <xf numFmtId="38" fontId="192" fillId="43" borderId="0" xfId="0" applyNumberFormat="1" applyFont="1" applyFill="1">
      <alignment vertical="center"/>
    </xf>
    <xf numFmtId="38" fontId="194" fillId="0" borderId="0" xfId="0" quotePrefix="1" applyNumberFormat="1" applyFont="1">
      <alignment vertical="center"/>
    </xf>
    <xf numFmtId="192" fontId="129" fillId="0" borderId="0" xfId="0" applyNumberFormat="1" applyFont="1" applyAlignment="1">
      <alignment horizontal="center" vertical="center"/>
    </xf>
    <xf numFmtId="41" fontId="129" fillId="0" borderId="0" xfId="3" applyFont="1" applyFill="1" applyAlignment="1">
      <alignment horizontal="center" vertical="center"/>
    </xf>
    <xf numFmtId="38" fontId="181" fillId="0" borderId="0" xfId="0" applyNumberFormat="1" applyFont="1">
      <alignment vertical="center"/>
    </xf>
    <xf numFmtId="38" fontId="191" fillId="0" borderId="0" xfId="0" applyNumberFormat="1" applyFont="1" applyAlignment="1">
      <alignment horizontal="right" vertical="center"/>
    </xf>
    <xf numFmtId="0" fontId="129" fillId="0" borderId="0" xfId="0" applyFont="1" applyAlignment="1">
      <alignment horizontal="right" vertical="center"/>
    </xf>
    <xf numFmtId="38" fontId="194" fillId="0" borderId="0" xfId="0" applyNumberFormat="1" applyFont="1">
      <alignment vertical="center"/>
    </xf>
    <xf numFmtId="38" fontId="195" fillId="22" borderId="0" xfId="0" applyNumberFormat="1" applyFont="1" applyFill="1" applyAlignment="1">
      <alignment horizontal="left" vertical="center"/>
    </xf>
    <xf numFmtId="0" fontId="196" fillId="22" borderId="0" xfId="0" applyFont="1" applyFill="1" applyAlignment="1">
      <alignment horizontal="center" vertical="center"/>
    </xf>
    <xf numFmtId="38" fontId="129" fillId="22" borderId="0" xfId="0" applyNumberFormat="1" applyFont="1" applyFill="1">
      <alignment vertical="center"/>
    </xf>
    <xf numFmtId="38" fontId="102" fillId="22" borderId="0" xfId="0" applyNumberFormat="1" applyFont="1" applyFill="1">
      <alignment vertical="center"/>
    </xf>
    <xf numFmtId="0" fontId="125" fillId="25" borderId="0" xfId="0" applyFont="1" applyFill="1">
      <alignment vertical="center"/>
    </xf>
    <xf numFmtId="37" fontId="129" fillId="25" borderId="0" xfId="0" applyNumberFormat="1" applyFont="1" applyFill="1">
      <alignment vertical="center"/>
    </xf>
    <xf numFmtId="38" fontId="196" fillId="0" borderId="0" xfId="0" quotePrefix="1" applyNumberFormat="1" applyFont="1" applyAlignment="1">
      <alignment horizontal="center" vertical="center"/>
    </xf>
    <xf numFmtId="38" fontId="196" fillId="25" borderId="0" xfId="0" applyNumberFormat="1" applyFont="1" applyFill="1" applyAlignment="1">
      <alignment horizontal="center" vertical="center"/>
    </xf>
    <xf numFmtId="38" fontId="129" fillId="25" borderId="0" xfId="0" applyNumberFormat="1" applyFont="1" applyFill="1">
      <alignment vertical="center"/>
    </xf>
    <xf numFmtId="38" fontId="129" fillId="25" borderId="0" xfId="0" applyNumberFormat="1" applyFont="1" applyFill="1" applyAlignment="1">
      <alignment horizontal="center" vertical="center"/>
    </xf>
    <xf numFmtId="38" fontId="194" fillId="38" borderId="0" xfId="0" applyNumberFormat="1" applyFont="1" applyFill="1">
      <alignment vertical="center"/>
    </xf>
    <xf numFmtId="38" fontId="129" fillId="35" borderId="0" xfId="0" applyNumberFormat="1" applyFont="1" applyFill="1">
      <alignment vertical="center"/>
    </xf>
    <xf numFmtId="194" fontId="129" fillId="0" borderId="0" xfId="0" quotePrefix="1" applyNumberFormat="1" applyFont="1" applyAlignment="1">
      <alignment horizontal="left" vertical="center"/>
    </xf>
    <xf numFmtId="38" fontId="193" fillId="43" borderId="0" xfId="0" applyNumberFormat="1" applyFont="1" applyFill="1" applyAlignment="1">
      <alignment horizontal="center" vertical="center"/>
    </xf>
    <xf numFmtId="38" fontId="199" fillId="43" borderId="0" xfId="0" applyNumberFormat="1" applyFont="1" applyFill="1" applyAlignment="1">
      <alignment horizontal="center" vertical="center"/>
    </xf>
    <xf numFmtId="38" fontId="194" fillId="35" borderId="0" xfId="0" applyNumberFormat="1" applyFont="1" applyFill="1">
      <alignment vertical="center"/>
    </xf>
    <xf numFmtId="38" fontId="129" fillId="35" borderId="0" xfId="0" applyNumberFormat="1" applyFont="1" applyFill="1" applyAlignment="1">
      <alignment horizontal="right" vertical="center"/>
    </xf>
    <xf numFmtId="38" fontId="129" fillId="36" borderId="0" xfId="0" quotePrefix="1" applyNumberFormat="1" applyFont="1" applyFill="1">
      <alignment vertical="center"/>
    </xf>
    <xf numFmtId="38" fontId="201" fillId="0" borderId="0" xfId="0" applyNumberFormat="1" applyFont="1" applyAlignment="1">
      <alignment horizontal="center" vertical="center"/>
    </xf>
    <xf numFmtId="38" fontId="129" fillId="0" borderId="7" xfId="0" applyNumberFormat="1" applyFont="1" applyBorder="1">
      <alignment vertical="center"/>
    </xf>
    <xf numFmtId="38" fontId="129" fillId="40" borderId="0" xfId="0" applyNumberFormat="1" applyFont="1" applyFill="1">
      <alignment vertical="center"/>
    </xf>
    <xf numFmtId="38" fontId="203" fillId="40" borderId="0" xfId="0" applyNumberFormat="1" applyFont="1" applyFill="1">
      <alignment vertical="center"/>
    </xf>
    <xf numFmtId="38" fontId="129" fillId="40" borderId="0" xfId="0" applyNumberFormat="1" applyFont="1" applyFill="1" applyAlignment="1">
      <alignment horizontal="right" vertical="center"/>
    </xf>
    <xf numFmtId="38" fontId="129" fillId="40" borderId="0" xfId="0" applyNumberFormat="1" applyFont="1" applyFill="1" applyAlignment="1">
      <alignment horizontal="center" vertical="center"/>
    </xf>
    <xf numFmtId="38" fontId="204" fillId="25" borderId="0" xfId="0" applyNumberFormat="1" applyFont="1" applyFill="1">
      <alignment vertical="center"/>
    </xf>
    <xf numFmtId="38" fontId="129" fillId="25" borderId="0" xfId="0" applyNumberFormat="1" applyFont="1" applyFill="1" applyAlignment="1">
      <alignment horizontal="right" vertical="center"/>
    </xf>
    <xf numFmtId="0" fontId="129" fillId="27" borderId="0" xfId="0" applyFont="1" applyFill="1">
      <alignment vertical="center"/>
    </xf>
    <xf numFmtId="38" fontId="129" fillId="0" borderId="0" xfId="0" applyNumberFormat="1" applyFont="1" applyAlignment="1">
      <alignment vertical="center" wrapText="1"/>
    </xf>
    <xf numFmtId="38" fontId="181" fillId="0" borderId="0" xfId="0" applyNumberFormat="1" applyFont="1" applyAlignment="1">
      <alignment horizontal="right" vertical="center"/>
    </xf>
    <xf numFmtId="38" fontId="181" fillId="0" borderId="0" xfId="0" applyNumberFormat="1" applyFont="1" applyAlignment="1">
      <alignment horizontal="center" vertical="center"/>
    </xf>
    <xf numFmtId="37" fontId="129" fillId="0" borderId="0" xfId="0" applyNumberFormat="1" applyFont="1" applyAlignment="1">
      <alignment horizontal="left" vertical="center"/>
    </xf>
    <xf numFmtId="176" fontId="57" fillId="0" borderId="6" xfId="0" applyNumberFormat="1" applyFont="1" applyBorder="1" applyAlignment="1">
      <alignment horizontal="left" vertical="center"/>
    </xf>
    <xf numFmtId="176" fontId="3" fillId="55" borderId="6" xfId="0" applyNumberFormat="1" applyFont="1" applyFill="1" applyBorder="1">
      <alignment vertical="center"/>
    </xf>
    <xf numFmtId="180" fontId="41" fillId="56" borderId="9" xfId="0" applyNumberFormat="1" applyFont="1" applyFill="1" applyBorder="1">
      <alignment vertical="center"/>
    </xf>
    <xf numFmtId="180" fontId="40" fillId="56" borderId="6" xfId="0" applyNumberFormat="1" applyFont="1" applyFill="1" applyBorder="1">
      <alignment vertical="center"/>
    </xf>
    <xf numFmtId="176" fontId="45" fillId="56" borderId="9" xfId="0" applyNumberFormat="1" applyFont="1" applyFill="1" applyBorder="1" applyAlignment="1">
      <alignment horizontal="right" vertical="center"/>
    </xf>
    <xf numFmtId="176" fontId="208" fillId="0" borderId="9" xfId="0" applyNumberFormat="1" applyFont="1" applyBorder="1">
      <alignment vertical="center"/>
    </xf>
    <xf numFmtId="176" fontId="209" fillId="0" borderId="9" xfId="0" applyNumberFormat="1" applyFont="1" applyBorder="1" applyAlignment="1">
      <alignment vertical="center" shrinkToFit="1"/>
    </xf>
    <xf numFmtId="176" fontId="208" fillId="2" borderId="9" xfId="0" applyNumberFormat="1" applyFont="1" applyFill="1" applyBorder="1" applyAlignment="1">
      <alignment horizontal="right" vertical="center"/>
    </xf>
    <xf numFmtId="176" fontId="208" fillId="0" borderId="9" xfId="0" applyNumberFormat="1" applyFont="1" applyBorder="1" applyAlignment="1">
      <alignment horizontal="right" vertical="center"/>
    </xf>
    <xf numFmtId="176" fontId="208" fillId="0" borderId="0" xfId="0" applyNumberFormat="1" applyFont="1">
      <alignment vertical="center"/>
    </xf>
    <xf numFmtId="176" fontId="208" fillId="0" borderId="9" xfId="0" applyNumberFormat="1" applyFont="1" applyBorder="1" applyAlignment="1">
      <alignment vertical="center" shrinkToFit="1"/>
    </xf>
    <xf numFmtId="176" fontId="209" fillId="0" borderId="9" xfId="2" applyNumberFormat="1" applyFont="1" applyBorder="1" applyAlignment="1" applyProtection="1">
      <alignment horizontal="left" vertical="center"/>
    </xf>
    <xf numFmtId="176" fontId="209" fillId="0" borderId="9" xfId="0" applyNumberFormat="1" applyFont="1" applyBorder="1" applyAlignment="1">
      <alignment horizontal="left" vertical="center"/>
    </xf>
    <xf numFmtId="176" fontId="45" fillId="0" borderId="0" xfId="0" quotePrefix="1" applyNumberFormat="1" applyFont="1" applyAlignment="1">
      <alignment horizontal="center" vertical="center"/>
    </xf>
    <xf numFmtId="176" fontId="9" fillId="57" borderId="0" xfId="0" applyNumberFormat="1" applyFont="1" applyFill="1">
      <alignment vertical="center"/>
    </xf>
    <xf numFmtId="176" fontId="41" fillId="38" borderId="0" xfId="0" applyNumberFormat="1" applyFont="1" applyFill="1">
      <alignment vertical="center"/>
    </xf>
    <xf numFmtId="176" fontId="45" fillId="38" borderId="0" xfId="0" applyNumberFormat="1" applyFont="1" applyFill="1">
      <alignment vertical="center"/>
    </xf>
    <xf numFmtId="176" fontId="211" fillId="0" borderId="0" xfId="0" applyNumberFormat="1" applyFont="1">
      <alignment vertical="center"/>
    </xf>
    <xf numFmtId="49" fontId="45" fillId="0" borderId="0" xfId="0" applyNumberFormat="1" applyFont="1" applyAlignment="1">
      <alignment horizontal="right" vertical="center"/>
    </xf>
    <xf numFmtId="176" fontId="45" fillId="22" borderId="9" xfId="0" applyNumberFormat="1" applyFont="1" applyFill="1" applyBorder="1" applyAlignment="1">
      <alignment horizontal="right" vertical="center"/>
    </xf>
    <xf numFmtId="176" fontId="3" fillId="22" borderId="9" xfId="0" applyNumberFormat="1" applyFont="1" applyFill="1" applyBorder="1">
      <alignment vertical="center"/>
    </xf>
    <xf numFmtId="9" fontId="51" fillId="0" borderId="0" xfId="2" applyFont="1" applyBorder="1" applyAlignment="1" applyProtection="1"/>
    <xf numFmtId="9" fontId="45" fillId="0" borderId="0" xfId="2" applyFont="1" applyBorder="1" applyAlignment="1" applyProtection="1">
      <alignment horizontal="center"/>
    </xf>
    <xf numFmtId="49" fontId="45" fillId="0" borderId="10" xfId="0" applyNumberFormat="1" applyFont="1" applyBorder="1" applyAlignment="1">
      <alignment horizontal="center" vertical="center"/>
    </xf>
    <xf numFmtId="176" fontId="56" fillId="0" borderId="11" xfId="0" applyNumberFormat="1" applyFont="1" applyBorder="1" applyAlignment="1">
      <alignment horizontal="center" vertical="center"/>
    </xf>
    <xf numFmtId="179" fontId="107" fillId="23" borderId="11" xfId="0" applyNumberFormat="1" applyFont="1" applyFill="1" applyBorder="1" applyAlignment="1">
      <alignment horizontal="center" vertical="center" wrapText="1"/>
    </xf>
    <xf numFmtId="38" fontId="107" fillId="0" borderId="8" xfId="0" applyNumberFormat="1" applyFont="1" applyBorder="1" applyAlignment="1">
      <alignment horizontal="center" vertical="center"/>
    </xf>
    <xf numFmtId="38" fontId="107" fillId="23" borderId="40" xfId="0" applyNumberFormat="1" applyFont="1" applyFill="1" applyBorder="1" applyAlignment="1">
      <alignment horizontal="center" vertical="center"/>
    </xf>
    <xf numFmtId="176" fontId="45" fillId="56" borderId="6" xfId="0" applyNumberFormat="1" applyFont="1" applyFill="1" applyBorder="1" applyAlignment="1">
      <alignment horizontal="right" vertical="center"/>
    </xf>
    <xf numFmtId="38" fontId="107" fillId="0" borderId="0" xfId="0" quotePrefix="1" applyNumberFormat="1" applyFont="1" applyAlignment="1">
      <alignment horizontal="center" vertical="center"/>
    </xf>
    <xf numFmtId="191" fontId="196" fillId="0" borderId="0" xfId="0" quotePrefix="1" applyNumberFormat="1" applyFont="1" applyAlignment="1">
      <alignment horizontal="center" vertical="center"/>
    </xf>
    <xf numFmtId="38" fontId="154" fillId="0" borderId="0" xfId="0" quotePrefix="1" applyNumberFormat="1" applyFont="1">
      <alignment vertical="center"/>
    </xf>
    <xf numFmtId="38" fontId="157" fillId="0" borderId="0" xfId="0" applyNumberFormat="1" applyFont="1">
      <alignment vertical="center"/>
    </xf>
    <xf numFmtId="38" fontId="107" fillId="36" borderId="0" xfId="0" applyNumberFormat="1" applyFont="1" applyFill="1">
      <alignment vertical="center"/>
    </xf>
    <xf numFmtId="38" fontId="107" fillId="0" borderId="0" xfId="0" quotePrefix="1" applyNumberFormat="1" applyFont="1">
      <alignment vertical="center"/>
    </xf>
    <xf numFmtId="184" fontId="105" fillId="0" borderId="0" xfId="0" applyNumberFormat="1" applyFont="1" applyAlignment="1">
      <alignment horizontal="center" vertical="center"/>
    </xf>
    <xf numFmtId="38" fontId="105" fillId="0" borderId="6" xfId="0" applyNumberFormat="1" applyFont="1" applyBorder="1">
      <alignment vertical="center"/>
    </xf>
    <xf numFmtId="38" fontId="107" fillId="0" borderId="7" xfId="0" applyNumberFormat="1" applyFont="1" applyBorder="1">
      <alignment vertical="center"/>
    </xf>
    <xf numFmtId="38" fontId="154" fillId="0" borderId="6" xfId="0" quotePrefix="1" applyNumberFormat="1" applyFont="1" applyBorder="1">
      <alignment vertical="center"/>
    </xf>
    <xf numFmtId="38" fontId="107" fillId="0" borderId="7" xfId="0" quotePrefix="1" applyNumberFormat="1" applyFont="1" applyBorder="1" applyAlignment="1">
      <alignment horizontal="center" vertical="center"/>
    </xf>
    <xf numFmtId="38" fontId="154" fillId="0" borderId="8" xfId="0" quotePrefix="1" applyNumberFormat="1" applyFont="1" applyBorder="1">
      <alignment vertical="center"/>
    </xf>
    <xf numFmtId="38" fontId="107" fillId="0" borderId="48" xfId="0" applyNumberFormat="1" applyFont="1" applyBorder="1">
      <alignment vertical="center"/>
    </xf>
    <xf numFmtId="38" fontId="107" fillId="0" borderId="15" xfId="0" applyNumberFormat="1" applyFont="1" applyBorder="1">
      <alignment vertical="center"/>
    </xf>
    <xf numFmtId="38" fontId="105" fillId="0" borderId="15" xfId="0" applyNumberFormat="1" applyFont="1" applyBorder="1" applyAlignment="1">
      <alignment horizontal="center" vertical="center" wrapText="1"/>
    </xf>
    <xf numFmtId="38" fontId="107" fillId="0" borderId="6" xfId="0" quotePrefix="1" applyNumberFormat="1" applyFont="1" applyBorder="1" applyAlignment="1">
      <alignment horizontal="center" vertical="center"/>
    </xf>
    <xf numFmtId="38" fontId="107" fillId="0" borderId="10" xfId="0" quotePrefix="1" applyNumberFormat="1" applyFont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right" vertical="center"/>
    </xf>
    <xf numFmtId="38" fontId="107" fillId="23" borderId="7" xfId="0" quotePrefix="1" applyNumberFormat="1" applyFont="1" applyFill="1" applyBorder="1" applyAlignment="1">
      <alignment horizontal="right" vertical="center"/>
    </xf>
    <xf numFmtId="38" fontId="107" fillId="23" borderId="8" xfId="0" quotePrefix="1" applyNumberFormat="1" applyFont="1" applyFill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center" vertical="center"/>
    </xf>
    <xf numFmtId="38" fontId="107" fillId="23" borderId="7" xfId="0" quotePrefix="1" applyNumberFormat="1" applyFont="1" applyFill="1" applyBorder="1" applyAlignment="1">
      <alignment horizontal="center" vertical="center"/>
    </xf>
    <xf numFmtId="38" fontId="107" fillId="23" borderId="10" xfId="0" quotePrefix="1" applyNumberFormat="1" applyFont="1" applyFill="1" applyBorder="1" applyAlignment="1">
      <alignment horizontal="center" vertical="center"/>
    </xf>
    <xf numFmtId="38" fontId="107" fillId="0" borderId="8" xfId="0" quotePrefix="1" applyNumberFormat="1" applyFont="1" applyBorder="1" applyAlignment="1">
      <alignment horizontal="center" vertical="center"/>
    </xf>
    <xf numFmtId="38" fontId="107" fillId="0" borderId="7" xfId="0" quotePrefix="1" applyNumberFormat="1" applyFont="1" applyBorder="1" applyAlignment="1">
      <alignment horizontal="left" vertical="center"/>
    </xf>
    <xf numFmtId="38" fontId="107" fillId="0" borderId="7" xfId="0" quotePrefix="1" applyNumberFormat="1" applyFont="1" applyBorder="1" applyAlignment="1">
      <alignment horizontal="right" vertical="center"/>
    </xf>
    <xf numFmtId="184" fontId="107" fillId="23" borderId="10" xfId="0" applyNumberFormat="1" applyFont="1" applyFill="1" applyBorder="1" applyAlignment="1">
      <alignment horizontal="center" vertical="center"/>
    </xf>
    <xf numFmtId="184" fontId="107" fillId="30" borderId="10" xfId="0" applyNumberFormat="1" applyFont="1" applyFill="1" applyBorder="1" applyAlignment="1">
      <alignment horizontal="center" vertical="center"/>
    </xf>
    <xf numFmtId="38" fontId="107" fillId="0" borderId="15" xfId="0" applyNumberFormat="1" applyFont="1" applyBorder="1" applyAlignment="1">
      <alignment horizontal="center" vertical="center"/>
    </xf>
    <xf numFmtId="38" fontId="121" fillId="0" borderId="15" xfId="0" applyNumberFormat="1" applyFont="1" applyBorder="1" applyAlignment="1">
      <alignment horizontal="center" vertical="center" wrapText="1"/>
    </xf>
    <xf numFmtId="38" fontId="107" fillId="0" borderId="10" xfId="0" applyNumberFormat="1" applyFont="1" applyBorder="1" applyAlignment="1">
      <alignment horizontal="center" vertical="center" wrapText="1"/>
    </xf>
    <xf numFmtId="38" fontId="107" fillId="0" borderId="48" xfId="0" applyNumberFormat="1" applyFont="1" applyBorder="1" applyAlignment="1">
      <alignment horizontal="center" vertical="center"/>
    </xf>
    <xf numFmtId="38" fontId="107" fillId="0" borderId="14" xfId="0" applyNumberFormat="1" applyFont="1" applyBorder="1" applyAlignment="1">
      <alignment horizontal="center" vertical="center"/>
    </xf>
    <xf numFmtId="38" fontId="107" fillId="36" borderId="48" xfId="0" applyNumberFormat="1" applyFont="1" applyFill="1" applyBorder="1" applyAlignment="1">
      <alignment horizontal="center" vertical="center"/>
    </xf>
    <xf numFmtId="38" fontId="107" fillId="36" borderId="14" xfId="0" applyNumberFormat="1" applyFont="1" applyFill="1" applyBorder="1" applyAlignment="1">
      <alignment horizontal="center" vertical="center"/>
    </xf>
    <xf numFmtId="38" fontId="107" fillId="23" borderId="48" xfId="0" applyNumberFormat="1" applyFont="1" applyFill="1" applyBorder="1" applyAlignment="1">
      <alignment horizontal="center" vertical="center"/>
    </xf>
    <xf numFmtId="38" fontId="107" fillId="23" borderId="15" xfId="0" applyNumberFormat="1" applyFont="1" applyFill="1" applyBorder="1" applyAlignment="1">
      <alignment horizontal="center" vertical="center"/>
    </xf>
    <xf numFmtId="184" fontId="107" fillId="23" borderId="48" xfId="0" applyNumberFormat="1" applyFont="1" applyFill="1" applyBorder="1" applyAlignment="1">
      <alignment horizontal="center" vertical="center"/>
    </xf>
    <xf numFmtId="38" fontId="107" fillId="30" borderId="48" xfId="0" applyNumberFormat="1" applyFont="1" applyFill="1" applyBorder="1" applyAlignment="1">
      <alignment horizontal="center" vertical="center"/>
    </xf>
    <xf numFmtId="184" fontId="107" fillId="30" borderId="48" xfId="0" applyNumberFormat="1" applyFont="1" applyFill="1" applyBorder="1" applyAlignment="1">
      <alignment horizontal="center" vertical="center"/>
    </xf>
    <xf numFmtId="184" fontId="107" fillId="36" borderId="48" xfId="0" applyNumberFormat="1" applyFont="1" applyFill="1" applyBorder="1" applyAlignment="1">
      <alignment horizontal="center" vertical="center"/>
    </xf>
    <xf numFmtId="38" fontId="107" fillId="0" borderId="11" xfId="0" applyNumberFormat="1" applyFont="1" applyBorder="1">
      <alignment vertical="center"/>
    </xf>
    <xf numFmtId="38" fontId="107" fillId="0" borderId="17" xfId="0" applyNumberFormat="1" applyFont="1" applyBorder="1" applyAlignment="1">
      <alignment horizontal="center" vertical="center"/>
    </xf>
    <xf numFmtId="38" fontId="105" fillId="0" borderId="17" xfId="0" applyNumberFormat="1" applyFont="1" applyBorder="1" applyAlignment="1">
      <alignment horizontal="center" vertical="center"/>
    </xf>
    <xf numFmtId="38" fontId="107" fillId="0" borderId="11" xfId="0" applyNumberFormat="1" applyFont="1" applyBorder="1" applyAlignment="1">
      <alignment horizontal="center" vertical="center" wrapText="1"/>
    </xf>
    <xf numFmtId="38" fontId="107" fillId="0" borderId="11" xfId="0" applyNumberFormat="1" applyFont="1" applyBorder="1" applyAlignment="1">
      <alignment horizontal="center" vertical="center"/>
    </xf>
    <xf numFmtId="38" fontId="107" fillId="0" borderId="16" xfId="0" applyNumberFormat="1" applyFont="1" applyBorder="1" applyAlignment="1">
      <alignment horizontal="center" vertical="center"/>
    </xf>
    <xf numFmtId="38" fontId="107" fillId="36" borderId="11" xfId="0" applyNumberFormat="1" applyFont="1" applyFill="1" applyBorder="1" applyAlignment="1">
      <alignment horizontal="center" vertical="center"/>
    </xf>
    <xf numFmtId="38" fontId="107" fillId="36" borderId="16" xfId="0" applyNumberFormat="1" applyFont="1" applyFill="1" applyBorder="1" applyAlignment="1">
      <alignment horizontal="center" vertical="center"/>
    </xf>
    <xf numFmtId="38" fontId="107" fillId="23" borderId="11" xfId="0" applyNumberFormat="1" applyFont="1" applyFill="1" applyBorder="1" applyAlignment="1">
      <alignment horizontal="center" vertical="center"/>
    </xf>
    <xf numFmtId="184" fontId="107" fillId="23" borderId="11" xfId="0" applyNumberFormat="1" applyFont="1" applyFill="1" applyBorder="1" applyAlignment="1">
      <alignment horizontal="center" vertical="center"/>
    </xf>
    <xf numFmtId="184" fontId="107" fillId="0" borderId="11" xfId="0" applyNumberFormat="1" applyFont="1" applyBorder="1" applyAlignment="1">
      <alignment horizontal="center" vertical="center"/>
    </xf>
    <xf numFmtId="38" fontId="107" fillId="23" borderId="17" xfId="0" applyNumberFormat="1" applyFont="1" applyFill="1" applyBorder="1" applyAlignment="1">
      <alignment horizontal="center" vertical="center"/>
    </xf>
    <xf numFmtId="38" fontId="107" fillId="30" borderId="11" xfId="0" applyNumberFormat="1" applyFont="1" applyFill="1" applyBorder="1" applyAlignment="1">
      <alignment horizontal="center" vertical="center"/>
    </xf>
    <xf numFmtId="184" fontId="107" fillId="30" borderId="11" xfId="0" applyNumberFormat="1" applyFont="1" applyFill="1" applyBorder="1" applyAlignment="1">
      <alignment horizontal="center" vertical="center"/>
    </xf>
    <xf numFmtId="184" fontId="107" fillId="36" borderId="11" xfId="0" applyNumberFormat="1" applyFont="1" applyFill="1" applyBorder="1" applyAlignment="1">
      <alignment horizontal="center" vertical="center"/>
    </xf>
    <xf numFmtId="38" fontId="105" fillId="0" borderId="10" xfId="0" applyNumberFormat="1" applyFont="1" applyBorder="1">
      <alignment vertical="center"/>
    </xf>
    <xf numFmtId="38" fontId="105" fillId="0" borderId="9" xfId="0" applyNumberFormat="1" applyFont="1" applyBorder="1" applyAlignment="1">
      <alignment horizontal="left" vertical="center"/>
    </xf>
    <xf numFmtId="38" fontId="105" fillId="36" borderId="8" xfId="0" applyNumberFormat="1" applyFont="1" applyFill="1" applyBorder="1" applyAlignment="1">
      <alignment horizontal="right" vertical="center" shrinkToFit="1"/>
    </xf>
    <xf numFmtId="38" fontId="105" fillId="36" borderId="8" xfId="0" applyNumberFormat="1" applyFont="1" applyFill="1" applyBorder="1" applyAlignment="1">
      <alignment vertical="center" shrinkToFit="1"/>
    </xf>
    <xf numFmtId="184" fontId="105" fillId="0" borderId="9" xfId="0" applyNumberFormat="1" applyFont="1" applyBorder="1" applyAlignment="1">
      <alignment horizontal="center" vertical="center" shrinkToFit="1"/>
    </xf>
    <xf numFmtId="38" fontId="105" fillId="0" borderId="9" xfId="0" applyNumberFormat="1" applyFont="1" applyBorder="1" applyAlignment="1">
      <alignment horizontal="right" vertical="center" shrinkToFit="1"/>
    </xf>
    <xf numFmtId="38" fontId="105" fillId="0" borderId="9" xfId="0" applyNumberFormat="1" applyFont="1" applyBorder="1" applyAlignment="1">
      <alignment vertical="center" shrinkToFit="1"/>
    </xf>
    <xf numFmtId="184" fontId="105" fillId="0" borderId="11" xfId="0" applyNumberFormat="1" applyFont="1" applyBorder="1" applyAlignment="1">
      <alignment horizontal="center" vertical="center"/>
    </xf>
    <xf numFmtId="38" fontId="105" fillId="36" borderId="9" xfId="0" applyNumberFormat="1" applyFont="1" applyFill="1" applyBorder="1">
      <alignment vertical="center"/>
    </xf>
    <xf numFmtId="184" fontId="105" fillId="0" borderId="9" xfId="0" applyNumberFormat="1" applyFont="1" applyBorder="1" applyAlignment="1">
      <alignment horizontal="center" vertical="center"/>
    </xf>
    <xf numFmtId="184" fontId="105" fillId="23" borderId="9" xfId="0" applyNumberFormat="1" applyFont="1" applyFill="1" applyBorder="1" applyAlignment="1">
      <alignment horizontal="center" vertical="center"/>
    </xf>
    <xf numFmtId="38" fontId="105" fillId="30" borderId="9" xfId="0" applyNumberFormat="1" applyFont="1" applyFill="1" applyBorder="1">
      <alignment vertical="center"/>
    </xf>
    <xf numFmtId="184" fontId="105" fillId="30" borderId="9" xfId="0" applyNumberFormat="1" applyFont="1" applyFill="1" applyBorder="1" applyAlignment="1">
      <alignment horizontal="center" vertical="center"/>
    </xf>
    <xf numFmtId="184" fontId="105" fillId="36" borderId="9" xfId="0" applyNumberFormat="1" applyFont="1" applyFill="1" applyBorder="1" applyAlignment="1">
      <alignment horizontal="center" vertical="center"/>
    </xf>
    <xf numFmtId="38" fontId="105" fillId="0" borderId="8" xfId="0" applyNumberFormat="1" applyFont="1" applyBorder="1" applyAlignment="1">
      <alignment horizontal="right" vertical="center" shrinkToFit="1"/>
    </xf>
    <xf numFmtId="38" fontId="105" fillId="0" borderId="8" xfId="0" applyNumberFormat="1" applyFont="1" applyBorder="1" applyAlignment="1">
      <alignment vertical="center" shrinkToFit="1"/>
    </xf>
    <xf numFmtId="38" fontId="117" fillId="0" borderId="9" xfId="0" applyNumberFormat="1" applyFont="1" applyBorder="1">
      <alignment vertical="center"/>
    </xf>
    <xf numFmtId="38" fontId="117" fillId="0" borderId="9" xfId="0" applyNumberFormat="1" applyFont="1" applyBorder="1" applyAlignment="1">
      <alignment horizontal="left" vertical="center"/>
    </xf>
    <xf numFmtId="38" fontId="117" fillId="0" borderId="9" xfId="0" applyNumberFormat="1" applyFont="1" applyBorder="1" applyAlignment="1">
      <alignment horizontal="center" vertical="center"/>
    </xf>
    <xf numFmtId="38" fontId="117" fillId="0" borderId="8" xfId="0" applyNumberFormat="1" applyFont="1" applyBorder="1" applyAlignment="1">
      <alignment horizontal="right" vertical="center" shrinkToFit="1"/>
    </xf>
    <xf numFmtId="38" fontId="117" fillId="0" borderId="8" xfId="0" applyNumberFormat="1" applyFont="1" applyBorder="1" applyAlignment="1">
      <alignment vertical="center" shrinkToFit="1"/>
    </xf>
    <xf numFmtId="184" fontId="117" fillId="0" borderId="9" xfId="0" applyNumberFormat="1" applyFont="1" applyBorder="1" applyAlignment="1">
      <alignment horizontal="center" vertical="center" shrinkToFit="1"/>
    </xf>
    <xf numFmtId="38" fontId="117" fillId="0" borderId="9" xfId="0" applyNumberFormat="1" applyFont="1" applyBorder="1" applyAlignment="1">
      <alignment horizontal="right" vertical="center" shrinkToFit="1"/>
    </xf>
    <xf numFmtId="38" fontId="117" fillId="0" borderId="9" xfId="0" applyNumberFormat="1" applyFont="1" applyBorder="1" applyAlignment="1">
      <alignment vertical="center" shrinkToFit="1"/>
    </xf>
    <xf numFmtId="184" fontId="117" fillId="0" borderId="11" xfId="0" applyNumberFormat="1" applyFont="1" applyBorder="1" applyAlignment="1">
      <alignment horizontal="center" vertical="center"/>
    </xf>
    <xf numFmtId="38" fontId="117" fillId="36" borderId="9" xfId="0" applyNumberFormat="1" applyFont="1" applyFill="1" applyBorder="1">
      <alignment vertical="center"/>
    </xf>
    <xf numFmtId="184" fontId="117" fillId="0" borderId="9" xfId="0" applyNumberFormat="1" applyFont="1" applyBorder="1" applyAlignment="1">
      <alignment horizontal="center" vertical="center"/>
    </xf>
    <xf numFmtId="184" fontId="117" fillId="23" borderId="9" xfId="0" applyNumberFormat="1" applyFont="1" applyFill="1" applyBorder="1" applyAlignment="1">
      <alignment horizontal="center" vertical="center"/>
    </xf>
    <xf numFmtId="38" fontId="117" fillId="30" borderId="9" xfId="0" applyNumberFormat="1" applyFont="1" applyFill="1" applyBorder="1">
      <alignment vertical="center"/>
    </xf>
    <xf numFmtId="184" fontId="117" fillId="30" borderId="9" xfId="0" applyNumberFormat="1" applyFont="1" applyFill="1" applyBorder="1" applyAlignment="1">
      <alignment horizontal="center" vertical="center"/>
    </xf>
    <xf numFmtId="184" fontId="117" fillId="36" borderId="9" xfId="0" applyNumberFormat="1" applyFont="1" applyFill="1" applyBorder="1" applyAlignment="1">
      <alignment horizontal="center" vertical="center"/>
    </xf>
    <xf numFmtId="38" fontId="125" fillId="0" borderId="8" xfId="0" applyNumberFormat="1" applyFont="1" applyBorder="1" applyAlignment="1">
      <alignment horizontal="left" vertical="center"/>
    </xf>
    <xf numFmtId="38" fontId="125" fillId="0" borderId="8" xfId="0" applyNumberFormat="1" applyFont="1" applyBorder="1" applyAlignment="1">
      <alignment horizontal="right" vertical="center" shrinkToFit="1"/>
    </xf>
    <xf numFmtId="38" fontId="125" fillId="0" borderId="8" xfId="0" applyNumberFormat="1" applyFont="1" applyBorder="1" applyAlignment="1">
      <alignment vertical="center" shrinkToFit="1"/>
    </xf>
    <xf numFmtId="184" fontId="125" fillId="0" borderId="9" xfId="0" applyNumberFormat="1" applyFont="1" applyBorder="1" applyAlignment="1">
      <alignment horizontal="center" vertical="center" shrinkToFit="1"/>
    </xf>
    <xf numFmtId="38" fontId="125" fillId="0" borderId="9" xfId="0" applyNumberFormat="1" applyFont="1" applyBorder="1" applyAlignment="1">
      <alignment horizontal="right" vertical="center" shrinkToFit="1"/>
    </xf>
    <xf numFmtId="38" fontId="125" fillId="0" borderId="9" xfId="0" applyNumberFormat="1" applyFont="1" applyBorder="1" applyAlignment="1">
      <alignment vertical="center" shrinkToFit="1"/>
    </xf>
    <xf numFmtId="38" fontId="125" fillId="0" borderId="9" xfId="0" applyNumberFormat="1" applyFont="1" applyBorder="1">
      <alignment vertical="center"/>
    </xf>
    <xf numFmtId="184" fontId="125" fillId="0" borderId="11" xfId="0" applyNumberFormat="1" applyFont="1" applyBorder="1" applyAlignment="1">
      <alignment horizontal="center" vertical="center"/>
    </xf>
    <xf numFmtId="38" fontId="125" fillId="36" borderId="9" xfId="0" applyNumberFormat="1" applyFont="1" applyFill="1" applyBorder="1">
      <alignment vertical="center"/>
    </xf>
    <xf numFmtId="184" fontId="125" fillId="0" borderId="9" xfId="0" applyNumberFormat="1" applyFont="1" applyBorder="1" applyAlignment="1">
      <alignment horizontal="center" vertical="center"/>
    </xf>
    <xf numFmtId="38" fontId="125" fillId="23" borderId="9" xfId="0" applyNumberFormat="1" applyFont="1" applyFill="1" applyBorder="1">
      <alignment vertical="center"/>
    </xf>
    <xf numFmtId="184" fontId="125" fillId="23" borderId="9" xfId="0" applyNumberFormat="1" applyFont="1" applyFill="1" applyBorder="1" applyAlignment="1">
      <alignment horizontal="center" vertical="center"/>
    </xf>
    <xf numFmtId="38" fontId="125" fillId="30" borderId="9" xfId="0" applyNumberFormat="1" applyFont="1" applyFill="1" applyBorder="1">
      <alignment vertical="center"/>
    </xf>
    <xf numFmtId="184" fontId="125" fillId="30" borderId="9" xfId="0" applyNumberFormat="1" applyFont="1" applyFill="1" applyBorder="1" applyAlignment="1">
      <alignment horizontal="center" vertical="center"/>
    </xf>
    <xf numFmtId="184" fontId="125" fillId="36" borderId="9" xfId="0" applyNumberFormat="1" applyFont="1" applyFill="1" applyBorder="1" applyAlignment="1">
      <alignment horizontal="center" vertical="center"/>
    </xf>
    <xf numFmtId="38" fontId="121" fillId="0" borderId="9" xfId="0" applyNumberFormat="1" applyFont="1" applyBorder="1" applyAlignment="1">
      <alignment horizontal="center" vertical="center"/>
    </xf>
    <xf numFmtId="38" fontId="121" fillId="0" borderId="8" xfId="0" applyNumberFormat="1" applyFont="1" applyBorder="1" applyAlignment="1">
      <alignment horizontal="right" vertical="center" shrinkToFit="1"/>
    </xf>
    <xf numFmtId="38" fontId="121" fillId="0" borderId="8" xfId="0" applyNumberFormat="1" applyFont="1" applyBorder="1" applyAlignment="1">
      <alignment vertical="center" shrinkToFit="1"/>
    </xf>
    <xf numFmtId="184" fontId="121" fillId="0" borderId="9" xfId="0" applyNumberFormat="1" applyFont="1" applyBorder="1" applyAlignment="1">
      <alignment horizontal="center" vertical="center" shrinkToFit="1"/>
    </xf>
    <xf numFmtId="38" fontId="121" fillId="0" borderId="9" xfId="0" applyNumberFormat="1" applyFont="1" applyBorder="1" applyAlignment="1">
      <alignment horizontal="right" vertical="center" shrinkToFit="1"/>
    </xf>
    <xf numFmtId="38" fontId="121" fillId="0" borderId="9" xfId="0" applyNumberFormat="1" applyFont="1" applyBorder="1" applyAlignment="1">
      <alignment vertical="center" shrinkToFit="1"/>
    </xf>
    <xf numFmtId="38" fontId="105" fillId="39" borderId="9" xfId="0" applyNumberFormat="1" applyFont="1" applyFill="1" applyBorder="1" applyAlignment="1">
      <alignment horizontal="center" vertical="center"/>
    </xf>
    <xf numFmtId="38" fontId="105" fillId="39" borderId="9" xfId="0" applyNumberFormat="1" applyFont="1" applyFill="1" applyBorder="1">
      <alignment vertical="center"/>
    </xf>
    <xf numFmtId="38" fontId="105" fillId="30" borderId="9" xfId="0" applyNumberFormat="1" applyFont="1" applyFill="1" applyBorder="1" applyAlignment="1">
      <alignment horizontal="center" vertical="center"/>
    </xf>
    <xf numFmtId="184" fontId="117" fillId="22" borderId="9" xfId="0" applyNumberFormat="1" applyFont="1" applyFill="1" applyBorder="1" applyAlignment="1">
      <alignment horizontal="center" vertical="center"/>
    </xf>
    <xf numFmtId="38" fontId="117" fillId="39" borderId="9" xfId="0" applyNumberFormat="1" applyFont="1" applyFill="1" applyBorder="1" applyAlignment="1">
      <alignment horizontal="center" vertical="center"/>
    </xf>
    <xf numFmtId="38" fontId="117" fillId="39" borderId="9" xfId="0" applyNumberFormat="1" applyFont="1" applyFill="1" applyBorder="1">
      <alignment vertical="center"/>
    </xf>
    <xf numFmtId="38" fontId="117" fillId="30" borderId="9" xfId="0" applyNumberFormat="1" applyFont="1" applyFill="1" applyBorder="1" applyAlignment="1">
      <alignment horizontal="center" vertical="center"/>
    </xf>
    <xf numFmtId="38" fontId="177" fillId="0" borderId="9" xfId="0" applyNumberFormat="1" applyFont="1" applyBorder="1" applyAlignment="1">
      <alignment horizontal="center" vertical="center"/>
    </xf>
    <xf numFmtId="38" fontId="177" fillId="0" borderId="8" xfId="0" applyNumberFormat="1" applyFont="1" applyBorder="1" applyAlignment="1">
      <alignment horizontal="right" vertical="center" shrinkToFit="1"/>
    </xf>
    <xf numFmtId="38" fontId="177" fillId="0" borderId="8" xfId="0" applyNumberFormat="1" applyFont="1" applyBorder="1" applyAlignment="1">
      <alignment vertical="center" shrinkToFit="1"/>
    </xf>
    <xf numFmtId="184" fontId="177" fillId="0" borderId="9" xfId="0" applyNumberFormat="1" applyFont="1" applyBorder="1" applyAlignment="1">
      <alignment horizontal="center" vertical="center" shrinkToFit="1"/>
    </xf>
    <xf numFmtId="38" fontId="177" fillId="0" borderId="9" xfId="0" applyNumberFormat="1" applyFont="1" applyBorder="1" applyAlignment="1">
      <alignment horizontal="right" vertical="center" shrinkToFit="1"/>
    </xf>
    <xf numFmtId="38" fontId="177" fillId="0" borderId="9" xfId="0" applyNumberFormat="1" applyFont="1" applyBorder="1" applyAlignment="1">
      <alignment vertical="center" shrinkToFit="1"/>
    </xf>
    <xf numFmtId="184" fontId="177" fillId="0" borderId="11" xfId="0" applyNumberFormat="1" applyFont="1" applyBorder="1" applyAlignment="1">
      <alignment horizontal="center" vertical="center"/>
    </xf>
    <xf numFmtId="38" fontId="177" fillId="36" borderId="9" xfId="0" applyNumberFormat="1" applyFont="1" applyFill="1" applyBorder="1">
      <alignment vertical="center"/>
    </xf>
    <xf numFmtId="184" fontId="177" fillId="0" borderId="9" xfId="0" applyNumberFormat="1" applyFont="1" applyBorder="1" applyAlignment="1">
      <alignment horizontal="center" vertical="center"/>
    </xf>
    <xf numFmtId="38" fontId="177" fillId="23" borderId="9" xfId="0" applyNumberFormat="1" applyFont="1" applyFill="1" applyBorder="1">
      <alignment vertical="center"/>
    </xf>
    <xf numFmtId="184" fontId="177" fillId="23" borderId="9" xfId="0" applyNumberFormat="1" applyFont="1" applyFill="1" applyBorder="1" applyAlignment="1">
      <alignment horizontal="center" vertical="center"/>
    </xf>
    <xf numFmtId="38" fontId="177" fillId="30" borderId="9" xfId="0" applyNumberFormat="1" applyFont="1" applyFill="1" applyBorder="1">
      <alignment vertical="center"/>
    </xf>
    <xf numFmtId="184" fontId="177" fillId="30" borderId="9" xfId="0" applyNumberFormat="1" applyFont="1" applyFill="1" applyBorder="1" applyAlignment="1">
      <alignment horizontal="center" vertical="center"/>
    </xf>
    <xf numFmtId="38" fontId="177" fillId="39" borderId="9" xfId="0" applyNumberFormat="1" applyFont="1" applyFill="1" applyBorder="1" applyAlignment="1">
      <alignment horizontal="center" vertical="center"/>
    </xf>
    <xf numFmtId="38" fontId="177" fillId="39" borderId="9" xfId="0" applyNumberFormat="1" applyFont="1" applyFill="1" applyBorder="1">
      <alignment vertical="center"/>
    </xf>
    <xf numFmtId="38" fontId="177" fillId="30" borderId="9" xfId="0" applyNumberFormat="1" applyFont="1" applyFill="1" applyBorder="1" applyAlignment="1">
      <alignment horizontal="center" vertical="center"/>
    </xf>
    <xf numFmtId="38" fontId="177" fillId="0" borderId="0" xfId="0" applyNumberFormat="1" applyFont="1">
      <alignment vertical="center"/>
    </xf>
    <xf numFmtId="38" fontId="214" fillId="0" borderId="9" xfId="0" applyNumberFormat="1" applyFont="1" applyBorder="1">
      <alignment vertical="center"/>
    </xf>
    <xf numFmtId="37" fontId="215" fillId="0" borderId="9" xfId="0" applyNumberFormat="1" applyFont="1" applyBorder="1" applyAlignment="1">
      <alignment horizontal="left" vertical="center"/>
    </xf>
    <xf numFmtId="38" fontId="117" fillId="22" borderId="9" xfId="0" applyNumberFormat="1" applyFont="1" applyFill="1" applyBorder="1">
      <alignment vertical="center"/>
    </xf>
    <xf numFmtId="38" fontId="105" fillId="0" borderId="8" xfId="0" applyNumberFormat="1" applyFont="1" applyBorder="1" applyAlignment="1">
      <alignment horizontal="center" vertical="center"/>
    </xf>
    <xf numFmtId="38" fontId="117" fillId="28" borderId="9" xfId="0" applyNumberFormat="1" applyFont="1" applyFill="1" applyBorder="1">
      <alignment vertical="center"/>
    </xf>
    <xf numFmtId="38" fontId="105" fillId="28" borderId="9" xfId="0" applyNumberFormat="1" applyFont="1" applyFill="1" applyBorder="1">
      <alignment vertical="center"/>
    </xf>
    <xf numFmtId="184" fontId="105" fillId="28" borderId="9" xfId="0" applyNumberFormat="1" applyFont="1" applyFill="1" applyBorder="1" applyAlignment="1">
      <alignment horizontal="center" vertical="center"/>
    </xf>
    <xf numFmtId="37" fontId="105" fillId="0" borderId="1" xfId="0" applyNumberFormat="1" applyFont="1" applyBorder="1" applyAlignment="1">
      <alignment horizontal="left" vertical="center"/>
    </xf>
    <xf numFmtId="37" fontId="105" fillId="0" borderId="31" xfId="0" applyNumberFormat="1" applyFont="1" applyBorder="1">
      <alignment vertical="center"/>
    </xf>
    <xf numFmtId="38" fontId="105" fillId="0" borderId="13" xfId="0" applyNumberFormat="1" applyFont="1" applyBorder="1" applyAlignment="1">
      <alignment horizontal="center" vertical="center"/>
    </xf>
    <xf numFmtId="38" fontId="105" fillId="0" borderId="13" xfId="0" applyNumberFormat="1" applyFont="1" applyBorder="1" applyAlignment="1">
      <alignment horizontal="right" vertical="center" shrinkToFit="1"/>
    </xf>
    <xf numFmtId="38" fontId="105" fillId="0" borderId="13" xfId="0" applyNumberFormat="1" applyFont="1" applyBorder="1" applyAlignment="1">
      <alignment vertical="center" shrinkToFit="1"/>
    </xf>
    <xf numFmtId="184" fontId="105" fillId="0" borderId="10" xfId="0" applyNumberFormat="1" applyFont="1" applyBorder="1" applyAlignment="1">
      <alignment horizontal="center" vertical="center" shrinkToFit="1"/>
    </xf>
    <xf numFmtId="38" fontId="105" fillId="0" borderId="10" xfId="0" applyNumberFormat="1" applyFont="1" applyBorder="1" applyAlignment="1">
      <alignment horizontal="right" vertical="center" shrinkToFit="1"/>
    </xf>
    <xf numFmtId="38" fontId="105" fillId="0" borderId="10" xfId="0" applyNumberFormat="1" applyFont="1" applyBorder="1" applyAlignment="1">
      <alignment vertical="center" shrinkToFit="1"/>
    </xf>
    <xf numFmtId="184" fontId="105" fillId="0" borderId="48" xfId="0" applyNumberFormat="1" applyFont="1" applyBorder="1" applyAlignment="1">
      <alignment horizontal="center" vertical="center"/>
    </xf>
    <xf numFmtId="38" fontId="105" fillId="36" borderId="10" xfId="0" applyNumberFormat="1" applyFont="1" applyFill="1" applyBorder="1">
      <alignment vertical="center"/>
    </xf>
    <xf numFmtId="184" fontId="105" fillId="0" borderId="10" xfId="0" applyNumberFormat="1" applyFont="1" applyBorder="1" applyAlignment="1">
      <alignment horizontal="center" vertical="center"/>
    </xf>
    <xf numFmtId="38" fontId="105" fillId="23" borderId="10" xfId="0" applyNumberFormat="1" applyFont="1" applyFill="1" applyBorder="1">
      <alignment vertical="center"/>
    </xf>
    <xf numFmtId="184" fontId="105" fillId="23" borderId="10" xfId="0" applyNumberFormat="1" applyFont="1" applyFill="1" applyBorder="1" applyAlignment="1">
      <alignment horizontal="center" vertical="center"/>
    </xf>
    <xf numFmtId="38" fontId="105" fillId="30" borderId="10" xfId="0" applyNumberFormat="1" applyFont="1" applyFill="1" applyBorder="1">
      <alignment vertical="center"/>
    </xf>
    <xf numFmtId="184" fontId="105" fillId="30" borderId="10" xfId="0" applyNumberFormat="1" applyFont="1" applyFill="1" applyBorder="1" applyAlignment="1">
      <alignment horizontal="center" vertical="center"/>
    </xf>
    <xf numFmtId="184" fontId="105" fillId="36" borderId="10" xfId="0" applyNumberFormat="1" applyFont="1" applyFill="1" applyBorder="1" applyAlignment="1">
      <alignment horizontal="center" vertical="center"/>
    </xf>
    <xf numFmtId="38" fontId="105" fillId="28" borderId="10" xfId="0" applyNumberFormat="1" applyFont="1" applyFill="1" applyBorder="1">
      <alignment vertical="center"/>
    </xf>
    <xf numFmtId="184" fontId="105" fillId="28" borderId="10" xfId="0" applyNumberFormat="1" applyFont="1" applyFill="1" applyBorder="1" applyAlignment="1">
      <alignment horizontal="center" vertical="center"/>
    </xf>
    <xf numFmtId="38" fontId="107" fillId="23" borderId="53" xfId="0" applyNumberFormat="1" applyFont="1" applyFill="1" applyBorder="1">
      <alignment vertical="center"/>
    </xf>
    <xf numFmtId="38" fontId="107" fillId="23" borderId="54" xfId="0" applyNumberFormat="1" applyFont="1" applyFill="1" applyBorder="1" applyAlignment="1">
      <alignment horizontal="center" vertical="center"/>
    </xf>
    <xf numFmtId="38" fontId="107" fillId="23" borderId="54" xfId="0" applyNumberFormat="1" applyFont="1" applyFill="1" applyBorder="1" applyAlignment="1">
      <alignment horizontal="right" vertical="center"/>
    </xf>
    <xf numFmtId="184" fontId="105" fillId="23" borderId="55" xfId="0" applyNumberFormat="1" applyFont="1" applyFill="1" applyBorder="1" applyAlignment="1">
      <alignment horizontal="center" vertical="center" shrinkToFit="1"/>
    </xf>
    <xf numFmtId="38" fontId="107" fillId="23" borderId="55" xfId="0" applyNumberFormat="1" applyFont="1" applyFill="1" applyBorder="1" applyAlignment="1">
      <alignment horizontal="right" vertical="center" shrinkToFit="1"/>
    </xf>
    <xf numFmtId="184" fontId="107" fillId="23" borderId="55" xfId="0" applyNumberFormat="1" applyFont="1" applyFill="1" applyBorder="1" applyAlignment="1">
      <alignment horizontal="center" vertical="center" shrinkToFit="1"/>
    </xf>
    <xf numFmtId="38" fontId="105" fillId="0" borderId="11" xfId="0" applyNumberFormat="1" applyFont="1" applyBorder="1">
      <alignment vertical="center"/>
    </xf>
    <xf numFmtId="38" fontId="105" fillId="0" borderId="11" xfId="0" applyNumberFormat="1" applyFont="1" applyBorder="1" applyAlignment="1">
      <alignment horizontal="left" vertical="center"/>
    </xf>
    <xf numFmtId="38" fontId="105" fillId="0" borderId="11" xfId="0" applyNumberFormat="1" applyFont="1" applyBorder="1" applyAlignment="1">
      <alignment horizontal="center" vertical="center"/>
    </xf>
    <xf numFmtId="38" fontId="105" fillId="0" borderId="11" xfId="0" applyNumberFormat="1" applyFont="1" applyBorder="1" applyAlignment="1">
      <alignment horizontal="right" vertical="center" shrinkToFit="1"/>
    </xf>
    <xf numFmtId="38" fontId="105" fillId="0" borderId="11" xfId="0" applyNumberFormat="1" applyFont="1" applyBorder="1" applyAlignment="1">
      <alignment vertical="center" shrinkToFit="1"/>
    </xf>
    <xf numFmtId="184" fontId="105" fillId="0" borderId="11" xfId="0" applyNumberFormat="1" applyFont="1" applyBorder="1" applyAlignment="1">
      <alignment horizontal="center" vertical="center" shrinkToFit="1"/>
    </xf>
    <xf numFmtId="38" fontId="121" fillId="36" borderId="9" xfId="0" applyNumberFormat="1" applyFont="1" applyFill="1" applyBorder="1">
      <alignment vertical="center"/>
    </xf>
    <xf numFmtId="38" fontId="105" fillId="23" borderId="11" xfId="0" applyNumberFormat="1" applyFont="1" applyFill="1" applyBorder="1">
      <alignment vertical="center"/>
    </xf>
    <xf numFmtId="184" fontId="105" fillId="23" borderId="11" xfId="0" applyNumberFormat="1" applyFont="1" applyFill="1" applyBorder="1" applyAlignment="1">
      <alignment horizontal="center" vertical="center"/>
    </xf>
    <xf numFmtId="38" fontId="105" fillId="30" borderId="11" xfId="0" applyNumberFormat="1" applyFont="1" applyFill="1" applyBorder="1">
      <alignment vertical="center"/>
    </xf>
    <xf numFmtId="184" fontId="105" fillId="30" borderId="11" xfId="0" applyNumberFormat="1" applyFont="1" applyFill="1" applyBorder="1" applyAlignment="1">
      <alignment horizontal="center" vertical="center"/>
    </xf>
    <xf numFmtId="38" fontId="105" fillId="36" borderId="11" xfId="0" applyNumberFormat="1" applyFont="1" applyFill="1" applyBorder="1">
      <alignment vertical="center"/>
    </xf>
    <xf numFmtId="184" fontId="105" fillId="36" borderId="11" xfId="0" applyNumberFormat="1" applyFont="1" applyFill="1" applyBorder="1" applyAlignment="1">
      <alignment horizontal="center" vertical="center"/>
    </xf>
    <xf numFmtId="38" fontId="117" fillId="30" borderId="11" xfId="0" applyNumberFormat="1" applyFont="1" applyFill="1" applyBorder="1">
      <alignment vertical="center"/>
    </xf>
    <xf numFmtId="38" fontId="125" fillId="0" borderId="9" xfId="0" applyNumberFormat="1" applyFont="1" applyBorder="1" applyAlignment="1">
      <alignment horizontal="left" vertical="center"/>
    </xf>
    <xf numFmtId="38" fontId="125" fillId="30" borderId="11" xfId="0" applyNumberFormat="1" applyFont="1" applyFill="1" applyBorder="1">
      <alignment vertical="center"/>
    </xf>
    <xf numFmtId="38" fontId="214" fillId="0" borderId="9" xfId="0" applyNumberFormat="1" applyFont="1" applyBorder="1" applyAlignment="1">
      <alignment horizontal="center" vertical="center"/>
    </xf>
    <xf numFmtId="38" fontId="214" fillId="0" borderId="9" xfId="0" applyNumberFormat="1" applyFont="1" applyBorder="1" applyAlignment="1">
      <alignment vertical="center" shrinkToFit="1"/>
    </xf>
    <xf numFmtId="184" fontId="121" fillId="0" borderId="11" xfId="0" applyNumberFormat="1" applyFont="1" applyBorder="1" applyAlignment="1">
      <alignment horizontal="center" vertical="center"/>
    </xf>
    <xf numFmtId="184" fontId="121" fillId="0" borderId="9" xfId="0" applyNumberFormat="1" applyFont="1" applyBorder="1" applyAlignment="1">
      <alignment horizontal="center" vertical="center"/>
    </xf>
    <xf numFmtId="184" fontId="121" fillId="23" borderId="9" xfId="0" applyNumberFormat="1" applyFont="1" applyFill="1" applyBorder="1" applyAlignment="1">
      <alignment horizontal="center" vertical="center"/>
    </xf>
    <xf numFmtId="38" fontId="121" fillId="30" borderId="9" xfId="0" applyNumberFormat="1" applyFont="1" applyFill="1" applyBorder="1">
      <alignment vertical="center"/>
    </xf>
    <xf numFmtId="184" fontId="121" fillId="30" borderId="9" xfId="0" applyNumberFormat="1" applyFont="1" applyFill="1" applyBorder="1" applyAlignment="1">
      <alignment horizontal="center" vertical="center"/>
    </xf>
    <xf numFmtId="184" fontId="121" fillId="36" borderId="9" xfId="0" applyNumberFormat="1" applyFont="1" applyFill="1" applyBorder="1" applyAlignment="1">
      <alignment horizontal="center" vertical="center"/>
    </xf>
    <xf numFmtId="38" fontId="121" fillId="28" borderId="9" xfId="0" applyNumberFormat="1" applyFont="1" applyFill="1" applyBorder="1">
      <alignment vertical="center"/>
    </xf>
    <xf numFmtId="184" fontId="121" fillId="28" borderId="9" xfId="0" applyNumberFormat="1" applyFont="1" applyFill="1" applyBorder="1" applyAlignment="1">
      <alignment horizontal="center" vertical="center"/>
    </xf>
    <xf numFmtId="37" fontId="105" fillId="0" borderId="10" xfId="0" applyNumberFormat="1" applyFont="1" applyBorder="1">
      <alignment vertical="center"/>
    </xf>
    <xf numFmtId="38" fontId="105" fillId="0" borderId="10" xfId="0" applyNumberFormat="1" applyFont="1" applyBorder="1" applyAlignment="1">
      <alignment horizontal="center" vertical="center"/>
    </xf>
    <xf numFmtId="38" fontId="121" fillId="0" borderId="10" xfId="0" applyNumberFormat="1" applyFont="1" applyBorder="1" applyAlignment="1">
      <alignment vertical="center" shrinkToFit="1"/>
    </xf>
    <xf numFmtId="38" fontId="121" fillId="30" borderId="10" xfId="0" applyNumberFormat="1" applyFont="1" applyFill="1" applyBorder="1">
      <alignment vertical="center"/>
    </xf>
    <xf numFmtId="184" fontId="121" fillId="30" borderId="10" xfId="0" applyNumberFormat="1" applyFont="1" applyFill="1" applyBorder="1" applyAlignment="1">
      <alignment horizontal="center" vertical="center"/>
    </xf>
    <xf numFmtId="9" fontId="196" fillId="23" borderId="55" xfId="2" applyFont="1" applyFill="1" applyBorder="1">
      <alignment vertical="center"/>
    </xf>
    <xf numFmtId="38" fontId="107" fillId="47" borderId="16" xfId="0" applyNumberFormat="1" applyFont="1" applyFill="1" applyBorder="1">
      <alignment vertical="center"/>
    </xf>
    <xf numFmtId="38" fontId="107" fillId="47" borderId="17" xfId="0" applyNumberFormat="1" applyFont="1" applyFill="1" applyBorder="1" applyAlignment="1">
      <alignment horizontal="center" vertical="center"/>
    </xf>
    <xf numFmtId="38" fontId="107" fillId="47" borderId="11" xfId="0" applyNumberFormat="1" applyFont="1" applyFill="1" applyBorder="1" applyAlignment="1">
      <alignment horizontal="right" vertical="center" shrinkToFit="1"/>
    </xf>
    <xf numFmtId="184" fontId="107" fillId="47" borderId="11" xfId="0" applyNumberFormat="1" applyFont="1" applyFill="1" applyBorder="1" applyAlignment="1">
      <alignment horizontal="center" vertical="center" shrinkToFit="1"/>
    </xf>
    <xf numFmtId="38" fontId="107" fillId="47" borderId="11" xfId="0" applyNumberFormat="1" applyFont="1" applyFill="1" applyBorder="1" applyAlignment="1">
      <alignment horizontal="right" vertical="center"/>
    </xf>
    <xf numFmtId="184" fontId="107" fillId="47" borderId="11" xfId="0" applyNumberFormat="1" applyFont="1" applyFill="1" applyBorder="1" applyAlignment="1">
      <alignment horizontal="right" vertical="center"/>
    </xf>
    <xf numFmtId="184" fontId="107" fillId="47" borderId="11" xfId="0" applyNumberFormat="1" applyFont="1" applyFill="1" applyBorder="1" applyAlignment="1">
      <alignment horizontal="center" vertical="center"/>
    </xf>
    <xf numFmtId="38" fontId="105" fillId="36" borderId="9" xfId="0" applyNumberFormat="1" applyFont="1" applyFill="1" applyBorder="1" applyAlignment="1">
      <alignment horizontal="right" vertical="center" shrinkToFit="1"/>
    </xf>
    <xf numFmtId="38" fontId="105" fillId="36" borderId="9" xfId="0" applyNumberFormat="1" applyFont="1" applyFill="1" applyBorder="1" applyAlignment="1">
      <alignment vertical="center" shrinkToFit="1"/>
    </xf>
    <xf numFmtId="38" fontId="105" fillId="40" borderId="9" xfId="0" applyNumberFormat="1" applyFont="1" applyFill="1" applyBorder="1">
      <alignment vertical="center"/>
    </xf>
    <xf numFmtId="38" fontId="105" fillId="40" borderId="9" xfId="0" applyNumberFormat="1" applyFont="1" applyFill="1" applyBorder="1" applyAlignment="1">
      <alignment horizontal="right" vertical="center" shrinkToFit="1"/>
    </xf>
    <xf numFmtId="185" fontId="105" fillId="0" borderId="9" xfId="0" applyNumberFormat="1" applyFont="1" applyBorder="1">
      <alignment vertical="center"/>
    </xf>
    <xf numFmtId="185" fontId="105" fillId="0" borderId="9" xfId="0" applyNumberFormat="1" applyFont="1" applyBorder="1" applyAlignment="1">
      <alignment horizontal="left" vertical="center"/>
    </xf>
    <xf numFmtId="185" fontId="105" fillId="0" borderId="9" xfId="0" applyNumberFormat="1" applyFont="1" applyBorder="1" applyAlignment="1">
      <alignment horizontal="right" vertical="center" shrinkToFit="1"/>
    </xf>
    <xf numFmtId="185" fontId="105" fillId="0" borderId="9" xfId="0" applyNumberFormat="1" applyFont="1" applyBorder="1" applyAlignment="1">
      <alignment vertical="center" shrinkToFit="1"/>
    </xf>
    <xf numFmtId="185" fontId="105" fillId="0" borderId="9" xfId="0" applyNumberFormat="1" applyFont="1" applyBorder="1" applyAlignment="1">
      <alignment horizontal="center" vertical="center" shrinkToFit="1"/>
    </xf>
    <xf numFmtId="185" fontId="105" fillId="0" borderId="9" xfId="0" applyNumberFormat="1" applyFont="1" applyBorder="1" applyAlignment="1">
      <alignment horizontal="center" vertical="center"/>
    </xf>
    <xf numFmtId="185" fontId="105" fillId="36" borderId="9" xfId="0" applyNumberFormat="1" applyFont="1" applyFill="1" applyBorder="1" applyAlignment="1">
      <alignment horizontal="right" vertical="center" shrinkToFit="1"/>
    </xf>
    <xf numFmtId="185" fontId="105" fillId="36" borderId="9" xfId="0" applyNumberFormat="1" applyFont="1" applyFill="1" applyBorder="1" applyAlignment="1">
      <alignment vertical="center" shrinkToFit="1"/>
    </xf>
    <xf numFmtId="185" fontId="105" fillId="0" borderId="9" xfId="0" applyNumberFormat="1" applyFont="1" applyBorder="1" applyAlignment="1">
      <alignment horizontal="right" vertical="center"/>
    </xf>
    <xf numFmtId="185" fontId="105" fillId="40" borderId="9" xfId="0" applyNumberFormat="1" applyFont="1" applyFill="1" applyBorder="1">
      <alignment vertical="center"/>
    </xf>
    <xf numFmtId="185" fontId="105" fillId="30" borderId="9" xfId="0" applyNumberFormat="1" applyFont="1" applyFill="1" applyBorder="1" applyAlignment="1">
      <alignment horizontal="center" vertical="center"/>
    </xf>
    <xf numFmtId="185" fontId="105" fillId="23" borderId="9" xfId="0" applyNumberFormat="1" applyFont="1" applyFill="1" applyBorder="1">
      <alignment vertical="center"/>
    </xf>
    <xf numFmtId="185" fontId="105" fillId="30" borderId="9" xfId="0" applyNumberFormat="1" applyFont="1" applyFill="1" applyBorder="1">
      <alignment vertical="center"/>
    </xf>
    <xf numFmtId="38" fontId="105" fillId="36" borderId="9" xfId="0" applyNumberFormat="1" applyFont="1" applyFill="1" applyBorder="1" applyAlignment="1">
      <alignment horizontal="center" vertical="center"/>
    </xf>
    <xf numFmtId="185" fontId="105" fillId="0" borderId="0" xfId="0" applyNumberFormat="1" applyFont="1">
      <alignment vertical="center"/>
    </xf>
    <xf numFmtId="38" fontId="107" fillId="47" borderId="6" xfId="0" applyNumberFormat="1" applyFont="1" applyFill="1" applyBorder="1">
      <alignment vertical="center"/>
    </xf>
    <xf numFmtId="38" fontId="107" fillId="47" borderId="8" xfId="0" applyNumberFormat="1" applyFont="1" applyFill="1" applyBorder="1" applyAlignment="1">
      <alignment horizontal="center" vertical="center"/>
    </xf>
    <xf numFmtId="38" fontId="107" fillId="47" borderId="9" xfId="0" applyNumberFormat="1" applyFont="1" applyFill="1" applyBorder="1" applyAlignment="1">
      <alignment horizontal="right" vertical="center" shrinkToFit="1"/>
    </xf>
    <xf numFmtId="184" fontId="107" fillId="47" borderId="9" xfId="0" applyNumberFormat="1" applyFont="1" applyFill="1" applyBorder="1" applyAlignment="1">
      <alignment horizontal="center" vertical="center" shrinkToFit="1"/>
    </xf>
    <xf numFmtId="38" fontId="107" fillId="47" borderId="9" xfId="0" applyNumberFormat="1" applyFont="1" applyFill="1" applyBorder="1" applyAlignment="1">
      <alignment horizontal="right" vertical="center"/>
    </xf>
    <xf numFmtId="38" fontId="107" fillId="47" borderId="9" xfId="0" applyNumberFormat="1" applyFont="1" applyFill="1" applyBorder="1" applyAlignment="1">
      <alignment horizontal="center" vertical="center"/>
    </xf>
    <xf numFmtId="38" fontId="107" fillId="35" borderId="6" xfId="0" applyNumberFormat="1" applyFont="1" applyFill="1" applyBorder="1">
      <alignment vertical="center"/>
    </xf>
    <xf numFmtId="38" fontId="107" fillId="35" borderId="8" xfId="0" applyNumberFormat="1" applyFont="1" applyFill="1" applyBorder="1" applyAlignment="1">
      <alignment horizontal="center" vertical="center"/>
    </xf>
    <xf numFmtId="38" fontId="107" fillId="35" borderId="9" xfId="0" applyNumberFormat="1" applyFont="1" applyFill="1" applyBorder="1" applyAlignment="1">
      <alignment horizontal="right" vertical="center" shrinkToFit="1"/>
    </xf>
    <xf numFmtId="184" fontId="107" fillId="35" borderId="9" xfId="0" applyNumberFormat="1" applyFont="1" applyFill="1" applyBorder="1" applyAlignment="1">
      <alignment horizontal="center" vertical="center" shrinkToFit="1"/>
    </xf>
    <xf numFmtId="38" fontId="107" fillId="35" borderId="9" xfId="0" applyNumberFormat="1" applyFont="1" applyFill="1" applyBorder="1" applyAlignment="1">
      <alignment horizontal="right" vertical="center"/>
    </xf>
    <xf numFmtId="38" fontId="107" fillId="35" borderId="9" xfId="0" applyNumberFormat="1" applyFont="1" applyFill="1" applyBorder="1" applyAlignment="1">
      <alignment horizontal="center" vertical="center"/>
    </xf>
    <xf numFmtId="38" fontId="117" fillId="0" borderId="0" xfId="0" applyNumberFormat="1" applyFont="1" applyAlignment="1">
      <alignment horizontal="right" vertical="center"/>
    </xf>
    <xf numFmtId="184" fontId="117" fillId="0" borderId="0" xfId="0" applyNumberFormat="1" applyFont="1" applyAlignment="1">
      <alignment horizontal="center" vertical="center"/>
    </xf>
    <xf numFmtId="38" fontId="121" fillId="0" borderId="0" xfId="0" applyNumberFormat="1" applyFont="1" applyAlignment="1">
      <alignment horizontal="right" vertical="center"/>
    </xf>
    <xf numFmtId="184" fontId="121" fillId="0" borderId="0" xfId="0" applyNumberFormat="1" applyFont="1" applyAlignment="1">
      <alignment horizontal="center" vertical="center"/>
    </xf>
    <xf numFmtId="38" fontId="106" fillId="38" borderId="0" xfId="0" applyNumberFormat="1" applyFont="1" applyFill="1">
      <alignment vertical="center"/>
    </xf>
    <xf numFmtId="38" fontId="105" fillId="0" borderId="0" xfId="0" quotePrefix="1" applyNumberFormat="1" applyFont="1" applyAlignment="1">
      <alignment horizontal="center" vertical="center"/>
    </xf>
    <xf numFmtId="38" fontId="107" fillId="22" borderId="0" xfId="0" applyNumberFormat="1" applyFont="1" applyFill="1">
      <alignment vertical="center"/>
    </xf>
    <xf numFmtId="38" fontId="125" fillId="0" borderId="2" xfId="0" applyNumberFormat="1" applyFont="1" applyBorder="1" applyAlignment="1">
      <alignment horizontal="center" vertical="center"/>
    </xf>
    <xf numFmtId="0" fontId="105" fillId="0" borderId="2" xfId="0" applyFont="1" applyBorder="1" applyAlignment="1">
      <alignment horizontal="center" vertical="center"/>
    </xf>
    <xf numFmtId="192" fontId="105" fillId="0" borderId="0" xfId="1" applyNumberFormat="1" applyFont="1" applyBorder="1" applyAlignment="1">
      <alignment horizontal="right" vertical="center"/>
    </xf>
    <xf numFmtId="38" fontId="107" fillId="48" borderId="0" xfId="0" applyNumberFormat="1" applyFont="1" applyFill="1">
      <alignment vertical="center"/>
    </xf>
    <xf numFmtId="38" fontId="105" fillId="36" borderId="0" xfId="0" applyNumberFormat="1" applyFont="1" applyFill="1">
      <alignment vertical="center"/>
    </xf>
    <xf numFmtId="38" fontId="105" fillId="43" borderId="0" xfId="0" applyNumberFormat="1" applyFont="1" applyFill="1">
      <alignment vertical="center"/>
    </xf>
    <xf numFmtId="38" fontId="105" fillId="43" borderId="0" xfId="0" quotePrefix="1" applyNumberFormat="1" applyFont="1" applyFill="1">
      <alignment vertical="center"/>
    </xf>
    <xf numFmtId="38" fontId="105" fillId="43" borderId="0" xfId="0" applyNumberFormat="1" applyFont="1" applyFill="1" applyAlignment="1">
      <alignment horizontal="right" vertical="center"/>
    </xf>
    <xf numFmtId="38" fontId="105" fillId="43" borderId="0" xfId="0" applyNumberFormat="1" applyFont="1" applyFill="1" applyAlignment="1">
      <alignment horizontal="center" vertical="center"/>
    </xf>
    <xf numFmtId="192" fontId="105" fillId="43" borderId="0" xfId="1" applyNumberFormat="1" applyFont="1" applyFill="1" applyBorder="1" applyAlignment="1">
      <alignment horizontal="right" vertical="center"/>
    </xf>
    <xf numFmtId="193" fontId="105" fillId="43" borderId="0" xfId="1" applyNumberFormat="1" applyFont="1" applyFill="1">
      <alignment vertical="center"/>
    </xf>
    <xf numFmtId="184" fontId="105" fillId="43" borderId="0" xfId="0" applyNumberFormat="1" applyFont="1" applyFill="1" applyAlignment="1">
      <alignment horizontal="center" vertical="center"/>
    </xf>
    <xf numFmtId="194" fontId="105" fillId="0" borderId="0" xfId="0" quotePrefix="1" applyNumberFormat="1" applyFont="1" applyAlignment="1">
      <alignment horizontal="left" vertical="center"/>
    </xf>
    <xf numFmtId="38" fontId="117" fillId="43" borderId="0" xfId="0" applyNumberFormat="1" applyFont="1" applyFill="1" applyAlignment="1">
      <alignment horizontal="center" vertical="center"/>
    </xf>
    <xf numFmtId="38" fontId="214" fillId="43" borderId="0" xfId="0" applyNumberFormat="1" applyFont="1" applyFill="1" applyAlignment="1">
      <alignment horizontal="center" vertical="center"/>
    </xf>
    <xf numFmtId="193" fontId="105" fillId="22" borderId="0" xfId="1" applyNumberFormat="1" applyFont="1" applyFill="1">
      <alignment vertical="center"/>
    </xf>
    <xf numFmtId="38" fontId="105" fillId="35" borderId="0" xfId="0" applyNumberFormat="1" applyFont="1" applyFill="1">
      <alignment vertical="center"/>
    </xf>
    <xf numFmtId="38" fontId="106" fillId="35" borderId="0" xfId="0" applyNumberFormat="1" applyFont="1" applyFill="1">
      <alignment vertical="center"/>
    </xf>
    <xf numFmtId="38" fontId="105" fillId="35" borderId="0" xfId="0" applyNumberFormat="1" applyFont="1" applyFill="1" applyAlignment="1">
      <alignment horizontal="right" vertical="center"/>
    </xf>
    <xf numFmtId="192" fontId="105" fillId="35" borderId="0" xfId="1" applyNumberFormat="1" applyFont="1" applyFill="1" applyBorder="1" applyAlignment="1">
      <alignment horizontal="right" vertical="center"/>
    </xf>
    <xf numFmtId="184" fontId="105" fillId="35" borderId="0" xfId="0" applyNumberFormat="1" applyFont="1" applyFill="1" applyAlignment="1">
      <alignment horizontal="center" vertical="center"/>
    </xf>
    <xf numFmtId="38" fontId="105" fillId="36" borderId="0" xfId="0" quotePrefix="1" applyNumberFormat="1" applyFont="1" applyFill="1">
      <alignment vertical="center"/>
    </xf>
    <xf numFmtId="38" fontId="105" fillId="40" borderId="0" xfId="0" applyNumberFormat="1" applyFont="1" applyFill="1">
      <alignment vertical="center"/>
    </xf>
    <xf numFmtId="38" fontId="216" fillId="40" borderId="0" xfId="0" applyNumberFormat="1" applyFont="1" applyFill="1">
      <alignment vertical="center"/>
    </xf>
    <xf numFmtId="38" fontId="105" fillId="40" borderId="0" xfId="0" applyNumberFormat="1" applyFont="1" applyFill="1" applyAlignment="1">
      <alignment horizontal="right" vertical="center"/>
    </xf>
    <xf numFmtId="38" fontId="105" fillId="40" borderId="0" xfId="0" applyNumberFormat="1" applyFont="1" applyFill="1" applyAlignment="1">
      <alignment horizontal="center" vertical="center"/>
    </xf>
    <xf numFmtId="184" fontId="105" fillId="40" borderId="0" xfId="0" applyNumberFormat="1" applyFont="1" applyFill="1" applyAlignment="1">
      <alignment horizontal="center" vertical="center"/>
    </xf>
    <xf numFmtId="38" fontId="105" fillId="25" borderId="0" xfId="0" applyNumberFormat="1" applyFont="1" applyFill="1">
      <alignment vertical="center"/>
    </xf>
    <xf numFmtId="38" fontId="105" fillId="25" borderId="0" xfId="0" applyNumberFormat="1" applyFont="1" applyFill="1" applyAlignment="1">
      <alignment horizontal="right" vertical="center"/>
    </xf>
    <xf numFmtId="38" fontId="105" fillId="25" borderId="0" xfId="0" applyNumberFormat="1" applyFont="1" applyFill="1" applyAlignment="1">
      <alignment horizontal="center" vertical="center"/>
    </xf>
    <xf numFmtId="17" fontId="105" fillId="25" borderId="0" xfId="0" applyNumberFormat="1" applyFont="1" applyFill="1" applyAlignment="1">
      <alignment horizontal="center" vertical="center"/>
    </xf>
    <xf numFmtId="184" fontId="105" fillId="25" borderId="0" xfId="0" applyNumberFormat="1" applyFont="1" applyFill="1" applyAlignment="1">
      <alignment horizontal="center" vertical="center"/>
    </xf>
    <xf numFmtId="38" fontId="105" fillId="0" borderId="0" xfId="0" applyNumberFormat="1" applyFont="1" applyAlignment="1">
      <alignment vertical="center" wrapText="1"/>
    </xf>
    <xf numFmtId="0" fontId="125" fillId="0" borderId="0" xfId="0" applyFont="1" applyAlignment="1">
      <alignment horizontal="left" vertical="center"/>
    </xf>
    <xf numFmtId="0" fontId="125" fillId="0" borderId="0" xfId="0" quotePrefix="1" applyFont="1" applyAlignment="1">
      <alignment horizontal="center" vertical="center"/>
    </xf>
    <xf numFmtId="195" fontId="110" fillId="0" borderId="0" xfId="0" applyNumberFormat="1" applyFont="1" applyAlignment="1">
      <alignment horizontal="left" vertical="center"/>
    </xf>
    <xf numFmtId="0" fontId="125" fillId="29" borderId="0" xfId="0" applyFont="1" applyFill="1">
      <alignment vertical="center"/>
    </xf>
    <xf numFmtId="181" fontId="117" fillId="36" borderId="9" xfId="1" applyFont="1" applyFill="1" applyBorder="1" applyAlignment="1">
      <alignment horizontal="center" vertical="center"/>
    </xf>
    <xf numFmtId="0" fontId="76" fillId="0" borderId="0" xfId="0" applyFont="1">
      <alignment vertical="center"/>
    </xf>
    <xf numFmtId="0" fontId="125" fillId="36" borderId="0" xfId="0" applyFont="1" applyFill="1">
      <alignment vertical="center"/>
    </xf>
    <xf numFmtId="179" fontId="107" fillId="0" borderId="13" xfId="0" applyNumberFormat="1" applyFont="1" applyBorder="1" applyAlignment="1">
      <alignment vertical="center" wrapText="1"/>
    </xf>
    <xf numFmtId="179" fontId="107" fillId="0" borderId="10" xfId="0" applyNumberFormat="1" applyFont="1" applyBorder="1" applyAlignment="1">
      <alignment vertical="center" wrapText="1"/>
    </xf>
    <xf numFmtId="0" fontId="107" fillId="23" borderId="13" xfId="0" applyFont="1" applyFill="1" applyBorder="1" applyAlignment="1">
      <alignment horizontal="center" vertical="center" wrapText="1"/>
    </xf>
    <xf numFmtId="195" fontId="110" fillId="0" borderId="0" xfId="0" applyNumberFormat="1" applyFont="1" applyAlignment="1">
      <alignment horizontal="center" vertical="center"/>
    </xf>
    <xf numFmtId="195" fontId="110" fillId="0" borderId="48" xfId="0" applyNumberFormat="1" applyFont="1" applyBorder="1" applyAlignment="1">
      <alignment horizontal="center" vertical="center"/>
    </xf>
    <xf numFmtId="187" fontId="125" fillId="23" borderId="10" xfId="0" quotePrefix="1" applyNumberFormat="1" applyFont="1" applyFill="1" applyBorder="1" applyAlignment="1">
      <alignment horizontal="center" vertical="center"/>
    </xf>
    <xf numFmtId="188" fontId="107" fillId="0" borderId="15" xfId="0" applyNumberFormat="1" applyFont="1" applyBorder="1" applyAlignment="1">
      <alignment horizontal="center" wrapText="1"/>
    </xf>
    <xf numFmtId="188" fontId="107" fillId="0" borderId="48" xfId="0" applyNumberFormat="1" applyFont="1" applyBorder="1" applyAlignment="1">
      <alignment horizontal="center" wrapText="1"/>
    </xf>
    <xf numFmtId="179" fontId="107" fillId="23" borderId="48" xfId="0" applyNumberFormat="1" applyFont="1" applyFill="1" applyBorder="1" applyAlignment="1">
      <alignment horizontal="center" vertical="center" wrapText="1"/>
    </xf>
    <xf numFmtId="0" fontId="107" fillId="23" borderId="17" xfId="0" applyFont="1" applyFill="1" applyBorder="1" applyAlignment="1">
      <alignment horizontal="center"/>
    </xf>
    <xf numFmtId="179" fontId="107" fillId="0" borderId="16" xfId="0" applyNumberFormat="1" applyFont="1" applyBorder="1" applyAlignment="1">
      <alignment horizontal="center"/>
    </xf>
    <xf numFmtId="179" fontId="107" fillId="0" borderId="11" xfId="0" applyNumberFormat="1" applyFont="1" applyBorder="1" applyAlignment="1">
      <alignment horizontal="center"/>
    </xf>
    <xf numFmtId="179" fontId="107" fillId="0" borderId="17" xfId="0" applyNumberFormat="1" applyFont="1" applyBorder="1" applyAlignment="1">
      <alignment horizontal="center"/>
    </xf>
    <xf numFmtId="179" fontId="105" fillId="0" borderId="9" xfId="0" applyNumberFormat="1" applyFont="1" applyBorder="1" applyAlignment="1">
      <alignment horizontal="center" vertical="center"/>
    </xf>
    <xf numFmtId="179" fontId="105" fillId="0" borderId="6" xfId="0" applyNumberFormat="1" applyFont="1" applyBorder="1" applyAlignment="1">
      <alignment horizontal="center" vertical="center"/>
    </xf>
    <xf numFmtId="181" fontId="105" fillId="24" borderId="10" xfId="1" applyFont="1" applyFill="1" applyBorder="1">
      <alignment vertical="center"/>
    </xf>
    <xf numFmtId="179" fontId="125" fillId="32" borderId="48" xfId="0" applyNumberFormat="1" applyFont="1" applyFill="1" applyBorder="1">
      <alignment vertical="center"/>
    </xf>
    <xf numFmtId="181" fontId="105" fillId="24" borderId="48" xfId="1" applyFont="1" applyFill="1" applyBorder="1">
      <alignment vertical="center"/>
    </xf>
    <xf numFmtId="37" fontId="158" fillId="0" borderId="22" xfId="0" applyNumberFormat="1" applyFont="1" applyBorder="1" applyAlignment="1">
      <alignment horizontal="left" vertical="center"/>
    </xf>
    <xf numFmtId="179" fontId="117" fillId="0" borderId="9" xfId="0" applyNumberFormat="1" applyFont="1" applyBorder="1" applyAlignment="1">
      <alignment horizontal="center" vertical="center"/>
    </xf>
    <xf numFmtId="179" fontId="117" fillId="0" borderId="6" xfId="0" applyNumberFormat="1" applyFont="1" applyBorder="1" applyAlignment="1">
      <alignment horizontal="center" vertical="center"/>
    </xf>
    <xf numFmtId="181" fontId="117" fillId="0" borderId="9" xfId="1" applyFont="1" applyBorder="1" applyAlignment="1">
      <alignment horizontal="center" vertical="center"/>
    </xf>
    <xf numFmtId="181" fontId="117" fillId="23" borderId="11" xfId="1" applyFont="1" applyFill="1" applyBorder="1">
      <alignment vertical="center"/>
    </xf>
    <xf numFmtId="181" fontId="117" fillId="24" borderId="48" xfId="1" applyFont="1" applyFill="1" applyBorder="1">
      <alignment vertical="center"/>
    </xf>
    <xf numFmtId="179" fontId="117" fillId="32" borderId="48" xfId="0" applyNumberFormat="1" applyFont="1" applyFill="1" applyBorder="1">
      <alignment vertical="center"/>
    </xf>
    <xf numFmtId="37" fontId="125" fillId="0" borderId="22" xfId="0" applyNumberFormat="1" applyFont="1" applyBorder="1" applyAlignment="1">
      <alignment horizontal="left" vertical="center"/>
    </xf>
    <xf numFmtId="179" fontId="125" fillId="0" borderId="9" xfId="0" applyNumberFormat="1" applyFont="1" applyBorder="1" applyAlignment="1">
      <alignment horizontal="center" vertical="center"/>
    </xf>
    <xf numFmtId="181" fontId="125" fillId="0" borderId="9" xfId="1" applyFont="1" applyBorder="1" applyAlignment="1">
      <alignment horizontal="center" vertical="center"/>
    </xf>
    <xf numFmtId="181" fontId="125" fillId="24" borderId="48" xfId="1" applyFont="1" applyFill="1" applyBorder="1">
      <alignment vertical="center"/>
    </xf>
    <xf numFmtId="37" fontId="117" fillId="0" borderId="22" xfId="0" applyNumberFormat="1" applyFont="1" applyBorder="1" applyAlignment="1">
      <alignment horizontal="left" vertical="center"/>
    </xf>
    <xf numFmtId="179" fontId="121" fillId="0" borderId="9" xfId="0" applyNumberFormat="1" applyFont="1" applyBorder="1" applyAlignment="1">
      <alignment horizontal="center" vertical="center"/>
    </xf>
    <xf numFmtId="181" fontId="121" fillId="0" borderId="9" xfId="1" applyFont="1" applyBorder="1" applyAlignment="1">
      <alignment horizontal="center" vertical="center"/>
    </xf>
    <xf numFmtId="181" fontId="121" fillId="24" borderId="48" xfId="1" applyFont="1" applyFill="1" applyBorder="1">
      <alignment vertical="center"/>
    </xf>
    <xf numFmtId="179" fontId="121" fillId="32" borderId="48" xfId="0" applyNumberFormat="1" applyFont="1" applyFill="1" applyBorder="1">
      <alignment vertical="center"/>
    </xf>
    <xf numFmtId="181" fontId="105" fillId="29" borderId="11" xfId="1" applyFont="1" applyFill="1" applyBorder="1">
      <alignment vertical="center"/>
    </xf>
    <xf numFmtId="179" fontId="105" fillId="32" borderId="48" xfId="0" applyNumberFormat="1" applyFont="1" applyFill="1" applyBorder="1">
      <alignment vertical="center"/>
    </xf>
    <xf numFmtId="181" fontId="117" fillId="29" borderId="11" xfId="1" applyFont="1" applyFill="1" applyBorder="1">
      <alignment vertical="center"/>
    </xf>
    <xf numFmtId="37" fontId="214" fillId="0" borderId="22" xfId="0" applyNumberFormat="1" applyFont="1" applyBorder="1" applyAlignment="1">
      <alignment horizontal="left" vertical="center"/>
    </xf>
    <xf numFmtId="37" fontId="214" fillId="0" borderId="9" xfId="0" applyNumberFormat="1" applyFont="1" applyBorder="1">
      <alignment vertical="center"/>
    </xf>
    <xf numFmtId="181" fontId="214" fillId="0" borderId="0" xfId="1" applyFont="1">
      <alignment vertical="center"/>
    </xf>
    <xf numFmtId="181" fontId="121" fillId="29" borderId="11" xfId="1" applyFont="1" applyFill="1" applyBorder="1">
      <alignment vertical="center"/>
    </xf>
    <xf numFmtId="181" fontId="214" fillId="23" borderId="0" xfId="1" applyFont="1" applyFill="1">
      <alignment vertical="center"/>
    </xf>
    <xf numFmtId="181" fontId="214" fillId="0" borderId="6" xfId="1" applyFont="1" applyBorder="1" applyAlignment="1">
      <alignment horizontal="center" vertical="center"/>
    </xf>
    <xf numFmtId="179" fontId="214" fillId="0" borderId="9" xfId="0" applyNumberFormat="1" applyFont="1" applyBorder="1" applyAlignment="1">
      <alignment horizontal="center" vertical="center"/>
    </xf>
    <xf numFmtId="0" fontId="214" fillId="0" borderId="0" xfId="0" applyFont="1">
      <alignment vertical="center"/>
    </xf>
    <xf numFmtId="37" fontId="218" fillId="0" borderId="9" xfId="0" applyNumberFormat="1" applyFont="1" applyBorder="1" applyAlignment="1">
      <alignment horizontal="left" vertical="center"/>
    </xf>
    <xf numFmtId="179" fontId="121" fillId="0" borderId="7" xfId="0" applyNumberFormat="1" applyFont="1" applyBorder="1" applyAlignment="1">
      <alignment horizontal="center" vertical="center"/>
    </xf>
    <xf numFmtId="181" fontId="121" fillId="23" borderId="11" xfId="1" applyFont="1" applyFill="1" applyBorder="1">
      <alignment vertical="center"/>
    </xf>
    <xf numFmtId="37" fontId="219" fillId="0" borderId="9" xfId="0" applyNumberFormat="1" applyFont="1" applyBorder="1" applyAlignment="1">
      <alignment horizontal="left" vertical="center"/>
    </xf>
    <xf numFmtId="181" fontId="170" fillId="0" borderId="0" xfId="1" applyFont="1">
      <alignment vertical="center"/>
    </xf>
    <xf numFmtId="181" fontId="170" fillId="32" borderId="11" xfId="1" applyFont="1" applyFill="1" applyBorder="1">
      <alignment vertical="center"/>
    </xf>
    <xf numFmtId="181" fontId="170" fillId="23" borderId="0" xfId="1" applyFont="1" applyFill="1">
      <alignment vertical="center"/>
    </xf>
    <xf numFmtId="181" fontId="170" fillId="0" borderId="6" xfId="1" applyFont="1" applyBorder="1" applyAlignment="1">
      <alignment horizontal="center" vertical="center"/>
    </xf>
    <xf numFmtId="179" fontId="170" fillId="0" borderId="9" xfId="0" applyNumberFormat="1" applyFont="1" applyBorder="1" applyAlignment="1">
      <alignment horizontal="center" vertical="center"/>
    </xf>
    <xf numFmtId="179" fontId="170" fillId="0" borderId="7" xfId="0" applyNumberFormat="1" applyFont="1" applyBorder="1" applyAlignment="1">
      <alignment horizontal="center" vertical="center"/>
    </xf>
    <xf numFmtId="181" fontId="170" fillId="0" borderId="9" xfId="1" applyFont="1" applyBorder="1" applyAlignment="1">
      <alignment horizontal="center" vertical="center"/>
    </xf>
    <xf numFmtId="0" fontId="170" fillId="0" borderId="0" xfId="0" applyFont="1">
      <alignment vertical="center"/>
    </xf>
    <xf numFmtId="181" fontId="170" fillId="24" borderId="48" xfId="1" applyFont="1" applyFill="1" applyBorder="1">
      <alignment vertical="center"/>
    </xf>
    <xf numFmtId="179" fontId="170" fillId="32" borderId="48" xfId="0" applyNumberFormat="1" applyFont="1" applyFill="1" applyBorder="1">
      <alignment vertical="center"/>
    </xf>
    <xf numFmtId="37" fontId="170" fillId="0" borderId="22" xfId="0" applyNumberFormat="1" applyFont="1" applyBorder="1" applyAlignment="1">
      <alignment horizontal="left" vertical="center"/>
    </xf>
    <xf numFmtId="179" fontId="170" fillId="0" borderId="6" xfId="0" applyNumberFormat="1" applyFont="1" applyBorder="1" applyAlignment="1">
      <alignment horizontal="center" vertical="center"/>
    </xf>
    <xf numFmtId="181" fontId="170" fillId="0" borderId="9" xfId="1" applyFont="1" applyBorder="1">
      <alignment vertical="center"/>
    </xf>
    <xf numFmtId="181" fontId="170" fillId="24" borderId="11" xfId="1" applyFont="1" applyFill="1" applyBorder="1">
      <alignment vertical="center"/>
    </xf>
    <xf numFmtId="37" fontId="107" fillId="28" borderId="20" xfId="0" applyNumberFormat="1" applyFont="1" applyFill="1" applyBorder="1">
      <alignment vertical="center"/>
    </xf>
    <xf numFmtId="181" fontId="148" fillId="28" borderId="0" xfId="1" applyFont="1" applyFill="1">
      <alignment vertical="center"/>
    </xf>
    <xf numFmtId="181" fontId="105" fillId="28" borderId="0" xfId="1" applyFont="1" applyFill="1" applyBorder="1">
      <alignment vertical="center"/>
    </xf>
    <xf numFmtId="181" fontId="105" fillId="30" borderId="9" xfId="1" applyFont="1" applyFill="1" applyBorder="1">
      <alignment vertical="center"/>
    </xf>
    <xf numFmtId="179" fontId="117" fillId="0" borderId="7" xfId="0" applyNumberFormat="1" applyFont="1" applyBorder="1" applyAlignment="1">
      <alignment horizontal="center" vertical="center"/>
    </xf>
    <xf numFmtId="0" fontId="170" fillId="24" borderId="48" xfId="0" applyFont="1" applyFill="1" applyBorder="1">
      <alignment vertical="center"/>
    </xf>
    <xf numFmtId="37" fontId="105" fillId="0" borderId="20" xfId="0" applyNumberFormat="1" applyFont="1" applyBorder="1" applyAlignment="1">
      <alignment horizontal="center" vertical="center"/>
    </xf>
    <xf numFmtId="181" fontId="132" fillId="23" borderId="0" xfId="1" applyFont="1" applyFill="1">
      <alignment vertical="center"/>
    </xf>
    <xf numFmtId="0" fontId="125" fillId="24" borderId="48" xfId="0" applyFont="1" applyFill="1" applyBorder="1">
      <alignment vertical="center"/>
    </xf>
    <xf numFmtId="0" fontId="125" fillId="24" borderId="11" xfId="0" applyFont="1" applyFill="1" applyBorder="1">
      <alignment vertical="center"/>
    </xf>
    <xf numFmtId="179" fontId="105" fillId="28" borderId="9" xfId="0" applyNumberFormat="1" applyFont="1" applyFill="1" applyBorder="1" applyAlignment="1">
      <alignment horizontal="center" vertical="center"/>
    </xf>
    <xf numFmtId="179" fontId="105" fillId="28" borderId="7" xfId="0" applyNumberFormat="1" applyFont="1" applyFill="1" applyBorder="1" applyAlignment="1">
      <alignment horizontal="center" vertical="center"/>
    </xf>
    <xf numFmtId="38" fontId="107" fillId="37" borderId="9" xfId="0" applyNumberFormat="1" applyFont="1" applyFill="1" applyBorder="1">
      <alignment vertical="center"/>
    </xf>
    <xf numFmtId="181" fontId="105" fillId="37" borderId="0" xfId="1" applyFont="1" applyFill="1">
      <alignment vertical="center"/>
    </xf>
    <xf numFmtId="181" fontId="105" fillId="37" borderId="6" xfId="1" applyFont="1" applyFill="1" applyBorder="1" applyAlignment="1">
      <alignment horizontal="center" vertical="center"/>
    </xf>
    <xf numFmtId="181" fontId="105" fillId="37" borderId="9" xfId="1" applyFont="1" applyFill="1" applyBorder="1">
      <alignment vertical="center"/>
    </xf>
    <xf numFmtId="181" fontId="105" fillId="37" borderId="9" xfId="1" applyFont="1" applyFill="1" applyBorder="1" applyAlignment="1">
      <alignment horizontal="center" vertical="center"/>
    </xf>
    <xf numFmtId="0" fontId="105" fillId="38" borderId="10" xfId="0" applyFont="1" applyFill="1" applyBorder="1" applyAlignment="1">
      <alignment horizontal="center" vertical="top" wrapText="1"/>
    </xf>
    <xf numFmtId="179" fontId="107" fillId="38" borderId="9" xfId="0" applyNumberFormat="1" applyFont="1" applyFill="1" applyBorder="1" applyAlignment="1">
      <alignment horizontal="center" vertical="center"/>
    </xf>
    <xf numFmtId="179" fontId="107" fillId="38" borderId="12" xfId="0" applyNumberFormat="1" applyFont="1" applyFill="1" applyBorder="1" applyAlignment="1">
      <alignment vertical="center" wrapText="1"/>
    </xf>
    <xf numFmtId="179" fontId="107" fillId="38" borderId="10" xfId="0" applyNumberFormat="1" applyFont="1" applyFill="1" applyBorder="1" applyAlignment="1">
      <alignment vertical="center" wrapText="1"/>
    </xf>
    <xf numFmtId="179" fontId="107" fillId="38" borderId="13" xfId="0" applyNumberFormat="1" applyFont="1" applyFill="1" applyBorder="1" applyAlignment="1">
      <alignment vertical="center" wrapText="1"/>
    </xf>
    <xf numFmtId="0" fontId="107" fillId="38" borderId="13" xfId="0" applyFont="1" applyFill="1" applyBorder="1" applyAlignment="1">
      <alignment horizontal="center" vertical="center" wrapText="1"/>
    </xf>
    <xf numFmtId="0" fontId="107" fillId="38" borderId="10" xfId="0" applyFont="1" applyFill="1" applyBorder="1" applyAlignment="1">
      <alignment horizontal="center" vertical="center" wrapText="1"/>
    </xf>
    <xf numFmtId="187" fontId="125" fillId="38" borderId="10" xfId="0" quotePrefix="1" applyNumberFormat="1" applyFont="1" applyFill="1" applyBorder="1" applyAlignment="1">
      <alignment horizontal="center" vertical="center"/>
    </xf>
    <xf numFmtId="0" fontId="107" fillId="38" borderId="1" xfId="0" applyFont="1" applyFill="1" applyBorder="1" applyAlignment="1">
      <alignment horizontal="center" wrapText="1"/>
    </xf>
    <xf numFmtId="179" fontId="107" fillId="38" borderId="12" xfId="0" applyNumberFormat="1" applyFont="1" applyFill="1" applyBorder="1" applyAlignment="1">
      <alignment horizontal="center" vertical="center"/>
    </xf>
    <xf numFmtId="188" fontId="107" fillId="38" borderId="14" xfId="0" applyNumberFormat="1" applyFont="1" applyFill="1" applyBorder="1" applyAlignment="1">
      <alignment horizontal="center" wrapText="1"/>
    </xf>
    <xf numFmtId="188" fontId="107" fillId="38" borderId="48" xfId="0" applyNumberFormat="1" applyFont="1" applyFill="1" applyBorder="1" applyAlignment="1">
      <alignment horizontal="center" wrapText="1"/>
    </xf>
    <xf numFmtId="188" fontId="107" fillId="38" borderId="15" xfId="0" applyNumberFormat="1" applyFont="1" applyFill="1" applyBorder="1" applyAlignment="1">
      <alignment horizontal="center" wrapText="1"/>
    </xf>
    <xf numFmtId="0" fontId="107" fillId="38" borderId="17" xfId="0" applyFont="1" applyFill="1" applyBorder="1" applyAlignment="1">
      <alignment horizontal="center"/>
    </xf>
    <xf numFmtId="0" fontId="107" fillId="38" borderId="16" xfId="0" applyFont="1" applyFill="1" applyBorder="1" applyAlignment="1">
      <alignment horizontal="center"/>
    </xf>
    <xf numFmtId="0" fontId="121" fillId="38" borderId="11" xfId="0" applyFont="1" applyFill="1" applyBorder="1" applyAlignment="1">
      <alignment horizontal="center"/>
    </xf>
    <xf numFmtId="0" fontId="125" fillId="38" borderId="11" xfId="0" applyFont="1" applyFill="1" applyBorder="1" applyAlignment="1">
      <alignment horizontal="center"/>
    </xf>
    <xf numFmtId="0" fontId="107" fillId="38" borderId="2" xfId="0" applyFont="1" applyFill="1" applyBorder="1" applyAlignment="1">
      <alignment horizontal="center"/>
    </xf>
    <xf numFmtId="0" fontId="107" fillId="38" borderId="11" xfId="0" applyFont="1" applyFill="1" applyBorder="1" applyAlignment="1">
      <alignment horizontal="center"/>
    </xf>
    <xf numFmtId="0" fontId="105" fillId="38" borderId="11" xfId="0" applyFont="1" applyFill="1" applyBorder="1" applyAlignment="1">
      <alignment horizontal="center"/>
    </xf>
    <xf numFmtId="49" fontId="107" fillId="38" borderId="16" xfId="0" applyNumberFormat="1" applyFont="1" applyFill="1" applyBorder="1" applyAlignment="1">
      <alignment horizontal="center" vertical="center" wrapText="1"/>
    </xf>
    <xf numFmtId="179" fontId="107" fillId="38" borderId="16" xfId="0" applyNumberFormat="1" applyFont="1" applyFill="1" applyBorder="1" applyAlignment="1">
      <alignment horizontal="center"/>
    </xf>
    <xf numFmtId="179" fontId="107" fillId="38" borderId="11" xfId="0" applyNumberFormat="1" applyFont="1" applyFill="1" applyBorder="1" applyAlignment="1">
      <alignment horizontal="center"/>
    </xf>
    <xf numFmtId="179" fontId="107" fillId="38" borderId="17" xfId="0" applyNumberFormat="1" applyFont="1" applyFill="1" applyBorder="1" applyAlignment="1">
      <alignment horizontal="center"/>
    </xf>
    <xf numFmtId="37" fontId="110" fillId="0" borderId="22" xfId="0" applyNumberFormat="1" applyFont="1" applyBorder="1" applyAlignment="1">
      <alignment horizontal="left" vertical="center"/>
    </xf>
    <xf numFmtId="37" fontId="110" fillId="0" borderId="9" xfId="0" applyNumberFormat="1" applyFont="1" applyBorder="1" applyAlignment="1">
      <alignment horizontal="left" vertical="center"/>
    </xf>
    <xf numFmtId="181" fontId="110" fillId="0" borderId="0" xfId="1" applyFont="1">
      <alignment vertical="center"/>
    </xf>
    <xf numFmtId="181" fontId="110" fillId="32" borderId="11" xfId="1" applyFont="1" applyFill="1" applyBorder="1">
      <alignment vertical="center"/>
    </xf>
    <xf numFmtId="181" fontId="110" fillId="38" borderId="0" xfId="1" applyFont="1" applyFill="1">
      <alignment vertical="center"/>
    </xf>
    <xf numFmtId="181" fontId="110" fillId="0" borderId="0" xfId="1" applyFont="1" applyAlignment="1">
      <alignment horizontal="center" vertical="center"/>
    </xf>
    <xf numFmtId="179" fontId="110" fillId="0" borderId="9" xfId="0" applyNumberFormat="1" applyFont="1" applyBorder="1" applyAlignment="1">
      <alignment horizontal="center" vertical="center"/>
    </xf>
    <xf numFmtId="179" fontId="110" fillId="0" borderId="6" xfId="0" applyNumberFormat="1" applyFont="1" applyBorder="1" applyAlignment="1">
      <alignment horizontal="center" vertical="center"/>
    </xf>
    <xf numFmtId="181" fontId="110" fillId="0" borderId="9" xfId="1" applyFont="1" applyBorder="1" applyAlignment="1">
      <alignment horizontal="center" vertical="center"/>
    </xf>
    <xf numFmtId="181" fontId="110" fillId="38" borderId="11" xfId="1" applyFont="1" applyFill="1" applyBorder="1">
      <alignment vertical="center"/>
    </xf>
    <xf numFmtId="181" fontId="110" fillId="38" borderId="9" xfId="1" applyFont="1" applyFill="1" applyBorder="1">
      <alignment vertical="center"/>
    </xf>
    <xf numFmtId="181" fontId="110" fillId="24" borderId="10" xfId="1" applyFont="1" applyFill="1" applyBorder="1">
      <alignment vertical="center"/>
    </xf>
    <xf numFmtId="179" fontId="110" fillId="32" borderId="48" xfId="0" applyNumberFormat="1" applyFont="1" applyFill="1" applyBorder="1">
      <alignment vertical="center"/>
    </xf>
    <xf numFmtId="181" fontId="105" fillId="38" borderId="0" xfId="1" applyFont="1" applyFill="1">
      <alignment vertical="center"/>
    </xf>
    <xf numFmtId="181" fontId="105" fillId="0" borderId="0" xfId="1" applyFont="1" applyAlignment="1">
      <alignment horizontal="center" vertical="center"/>
    </xf>
    <xf numFmtId="181" fontId="105" fillId="38" borderId="11" xfId="1" applyFont="1" applyFill="1" applyBorder="1">
      <alignment vertical="center"/>
    </xf>
    <xf numFmtId="181" fontId="105" fillId="38" borderId="9" xfId="1" applyFont="1" applyFill="1" applyBorder="1">
      <alignment vertical="center"/>
    </xf>
    <xf numFmtId="37" fontId="110" fillId="0" borderId="9" xfId="0" applyNumberFormat="1" applyFont="1" applyBorder="1">
      <alignment vertical="center"/>
    </xf>
    <xf numFmtId="181" fontId="110" fillId="24" borderId="48" xfId="1" applyFont="1" applyFill="1" applyBorder="1">
      <alignment vertical="center"/>
    </xf>
    <xf numFmtId="181" fontId="117" fillId="38" borderId="0" xfId="1" applyFont="1" applyFill="1">
      <alignment vertical="center"/>
    </xf>
    <xf numFmtId="181" fontId="117" fillId="0" borderId="0" xfId="1" applyFont="1" applyAlignment="1">
      <alignment horizontal="center" vertical="center"/>
    </xf>
    <xf numFmtId="181" fontId="117" fillId="38" borderId="11" xfId="1" applyFont="1" applyFill="1" applyBorder="1">
      <alignment vertical="center"/>
    </xf>
    <xf numFmtId="181" fontId="117" fillId="38" borderId="9" xfId="1" applyFont="1" applyFill="1" applyBorder="1">
      <alignment vertical="center"/>
    </xf>
    <xf numFmtId="37" fontId="121" fillId="0" borderId="22" xfId="0" applyNumberFormat="1" applyFont="1" applyBorder="1" applyAlignment="1">
      <alignment horizontal="left" vertical="center"/>
    </xf>
    <xf numFmtId="181" fontId="121" fillId="38" borderId="0" xfId="1" applyFont="1" applyFill="1">
      <alignment vertical="center"/>
    </xf>
    <xf numFmtId="181" fontId="121" fillId="0" borderId="0" xfId="1" applyFont="1" applyAlignment="1">
      <alignment horizontal="center" vertical="center"/>
    </xf>
    <xf numFmtId="181" fontId="214" fillId="38" borderId="0" xfId="1" applyFont="1" applyFill="1">
      <alignment vertical="center"/>
    </xf>
    <xf numFmtId="181" fontId="214" fillId="0" borderId="0" xfId="1" applyFont="1" applyAlignment="1">
      <alignment horizontal="center" vertical="center"/>
    </xf>
    <xf numFmtId="181" fontId="121" fillId="38" borderId="11" xfId="1" applyFont="1" applyFill="1" applyBorder="1">
      <alignment vertical="center"/>
    </xf>
    <xf numFmtId="181" fontId="121" fillId="38" borderId="9" xfId="1" applyFont="1" applyFill="1" applyBorder="1">
      <alignment vertical="center"/>
    </xf>
    <xf numFmtId="181" fontId="132" fillId="0" borderId="0" xfId="1" applyFont="1">
      <alignment vertical="center"/>
    </xf>
    <xf numFmtId="181" fontId="132" fillId="32" borderId="11" xfId="1" applyFont="1" applyFill="1" applyBorder="1">
      <alignment vertical="center"/>
    </xf>
    <xf numFmtId="181" fontId="132" fillId="38" borderId="0" xfId="1" applyFont="1" applyFill="1">
      <alignment vertical="center"/>
    </xf>
    <xf numFmtId="181" fontId="132" fillId="0" borderId="0" xfId="1" applyFont="1" applyAlignment="1">
      <alignment horizontal="center" vertical="center"/>
    </xf>
    <xf numFmtId="179" fontId="132" fillId="0" borderId="9" xfId="0" applyNumberFormat="1" applyFont="1" applyBorder="1" applyAlignment="1">
      <alignment horizontal="center" vertical="center"/>
    </xf>
    <xf numFmtId="181" fontId="132" fillId="0" borderId="9" xfId="1" applyFont="1" applyBorder="1" applyAlignment="1">
      <alignment horizontal="center" vertical="center"/>
    </xf>
    <xf numFmtId="0" fontId="132" fillId="0" borderId="0" xfId="0" applyFont="1">
      <alignment vertical="center"/>
    </xf>
    <xf numFmtId="181" fontId="105" fillId="28" borderId="0" xfId="1" applyFont="1" applyFill="1" applyAlignment="1">
      <alignment horizontal="center" vertical="center"/>
    </xf>
    <xf numFmtId="181" fontId="105" fillId="30" borderId="0" xfId="1" applyFont="1" applyFill="1">
      <alignment vertical="center"/>
    </xf>
    <xf numFmtId="0" fontId="110" fillId="38" borderId="0" xfId="1" applyNumberFormat="1" applyFont="1" applyFill="1">
      <alignment vertical="center"/>
    </xf>
    <xf numFmtId="181" fontId="170" fillId="38" borderId="0" xfId="1" applyFont="1" applyFill="1">
      <alignment vertical="center"/>
    </xf>
    <xf numFmtId="181" fontId="170" fillId="38" borderId="11" xfId="1" applyFont="1" applyFill="1" applyBorder="1">
      <alignment vertical="center"/>
    </xf>
    <xf numFmtId="181" fontId="170" fillId="38" borderId="9" xfId="1" applyFont="1" applyFill="1" applyBorder="1">
      <alignment vertical="center"/>
    </xf>
    <xf numFmtId="37" fontId="105" fillId="0" borderId="22" xfId="0" applyNumberFormat="1" applyFont="1" applyBorder="1" applyAlignment="1">
      <alignment horizontal="center" vertical="center"/>
    </xf>
    <xf numFmtId="181" fontId="105" fillId="37" borderId="0" xfId="1" applyFont="1" applyFill="1" applyAlignment="1">
      <alignment horizontal="center" vertical="center"/>
    </xf>
    <xf numFmtId="179" fontId="125" fillId="36" borderId="0" xfId="0" applyNumberFormat="1" applyFont="1" applyFill="1">
      <alignment vertical="center"/>
    </xf>
    <xf numFmtId="0" fontId="125" fillId="22" borderId="0" xfId="0" applyFont="1" applyFill="1">
      <alignment vertical="center"/>
    </xf>
    <xf numFmtId="0" fontId="105" fillId="25" borderId="9" xfId="0" applyFont="1" applyFill="1" applyBorder="1" applyAlignment="1">
      <alignment horizontal="center" vertical="top" wrapText="1"/>
    </xf>
    <xf numFmtId="179" fontId="107" fillId="25" borderId="8" xfId="0" applyNumberFormat="1" applyFont="1" applyFill="1" applyBorder="1" applyAlignment="1">
      <alignment horizontal="center" vertical="center"/>
    </xf>
    <xf numFmtId="179" fontId="107" fillId="25" borderId="12" xfId="0" applyNumberFormat="1" applyFont="1" applyFill="1" applyBorder="1" applyAlignment="1">
      <alignment vertical="center" wrapText="1"/>
    </xf>
    <xf numFmtId="179" fontId="107" fillId="25" borderId="10" xfId="0" applyNumberFormat="1" applyFont="1" applyFill="1" applyBorder="1" applyAlignment="1">
      <alignment vertical="center" wrapText="1"/>
    </xf>
    <xf numFmtId="179" fontId="107" fillId="25" borderId="13" xfId="0" applyNumberFormat="1" applyFont="1" applyFill="1" applyBorder="1" applyAlignment="1">
      <alignment vertical="center" wrapText="1"/>
    </xf>
    <xf numFmtId="179" fontId="107" fillId="25" borderId="10" xfId="0" applyNumberFormat="1" applyFont="1" applyFill="1" applyBorder="1" applyAlignment="1">
      <alignment horizontal="center" vertical="center" wrapText="1"/>
    </xf>
    <xf numFmtId="0" fontId="107" fillId="25" borderId="48" xfId="0" applyFont="1" applyFill="1" applyBorder="1" applyAlignment="1">
      <alignment horizontal="center" vertical="center" wrapText="1"/>
    </xf>
    <xf numFmtId="0" fontId="107" fillId="25" borderId="15" xfId="0" applyFont="1" applyFill="1" applyBorder="1" applyAlignment="1">
      <alignment horizontal="center" vertical="center" wrapText="1"/>
    </xf>
    <xf numFmtId="187" fontId="125" fillId="25" borderId="48" xfId="0" quotePrefix="1" applyNumberFormat="1" applyFont="1" applyFill="1" applyBorder="1" applyAlignment="1">
      <alignment horizontal="center" vertical="center"/>
    </xf>
    <xf numFmtId="0" fontId="107" fillId="25" borderId="0" xfId="0" applyFont="1" applyFill="1" applyAlignment="1">
      <alignment horizontal="center" wrapText="1"/>
    </xf>
    <xf numFmtId="0" fontId="107" fillId="25" borderId="10" xfId="0" applyFont="1" applyFill="1" applyBorder="1" applyAlignment="1">
      <alignment horizontal="center" vertical="center" wrapText="1"/>
    </xf>
    <xf numFmtId="0" fontId="107" fillId="25" borderId="13" xfId="0" applyFont="1" applyFill="1" applyBorder="1" applyAlignment="1">
      <alignment horizontal="center" wrapText="1"/>
    </xf>
    <xf numFmtId="179" fontId="107" fillId="25" borderId="1" xfId="0" applyNumberFormat="1" applyFont="1" applyFill="1" applyBorder="1" applyAlignment="1">
      <alignment horizontal="center" vertical="center"/>
    </xf>
    <xf numFmtId="188" fontId="107" fillId="25" borderId="14" xfId="0" applyNumberFormat="1" applyFont="1" applyFill="1" applyBorder="1" applyAlignment="1">
      <alignment horizontal="center" wrapText="1"/>
    </xf>
    <xf numFmtId="188" fontId="107" fillId="25" borderId="48" xfId="0" applyNumberFormat="1" applyFont="1" applyFill="1" applyBorder="1" applyAlignment="1">
      <alignment horizontal="center" wrapText="1"/>
    </xf>
    <xf numFmtId="188" fontId="107" fillId="25" borderId="15" xfId="0" applyNumberFormat="1" applyFont="1" applyFill="1" applyBorder="1" applyAlignment="1">
      <alignment horizontal="center" wrapText="1"/>
    </xf>
    <xf numFmtId="0" fontId="107" fillId="25" borderId="17" xfId="0" applyFont="1" applyFill="1" applyBorder="1" applyAlignment="1">
      <alignment horizontal="center"/>
    </xf>
    <xf numFmtId="0" fontId="107" fillId="25" borderId="16" xfId="0" applyFont="1" applyFill="1" applyBorder="1" applyAlignment="1">
      <alignment horizontal="center"/>
    </xf>
    <xf numFmtId="0" fontId="121" fillId="25" borderId="11" xfId="0" applyFont="1" applyFill="1" applyBorder="1" applyAlignment="1">
      <alignment horizontal="center"/>
    </xf>
    <xf numFmtId="0" fontId="125" fillId="25" borderId="11" xfId="0" applyFont="1" applyFill="1" applyBorder="1" applyAlignment="1">
      <alignment horizontal="center"/>
    </xf>
    <xf numFmtId="0" fontId="107" fillId="25" borderId="2" xfId="0" applyFont="1" applyFill="1" applyBorder="1" applyAlignment="1">
      <alignment horizontal="center"/>
    </xf>
    <xf numFmtId="0" fontId="107" fillId="25" borderId="11" xfId="0" applyFont="1" applyFill="1" applyBorder="1" applyAlignment="1">
      <alignment horizontal="center"/>
    </xf>
    <xf numFmtId="0" fontId="105" fillId="25" borderId="11" xfId="0" applyFont="1" applyFill="1" applyBorder="1" applyAlignment="1">
      <alignment horizontal="center"/>
    </xf>
    <xf numFmtId="49" fontId="107" fillId="25" borderId="2" xfId="0" applyNumberFormat="1" applyFont="1" applyFill="1" applyBorder="1" applyAlignment="1">
      <alignment horizontal="center" vertical="center" wrapText="1"/>
    </xf>
    <xf numFmtId="179" fontId="107" fillId="25" borderId="16" xfId="0" applyNumberFormat="1" applyFont="1" applyFill="1" applyBorder="1" applyAlignment="1">
      <alignment horizontal="center"/>
    </xf>
    <xf numFmtId="179" fontId="107" fillId="25" borderId="11" xfId="0" applyNumberFormat="1" applyFont="1" applyFill="1" applyBorder="1" applyAlignment="1">
      <alignment horizontal="center"/>
    </xf>
    <xf numFmtId="179" fontId="107" fillId="25" borderId="17" xfId="0" applyNumberFormat="1" applyFont="1" applyFill="1" applyBorder="1" applyAlignment="1">
      <alignment horizontal="center"/>
    </xf>
    <xf numFmtId="181" fontId="105" fillId="25" borderId="9" xfId="1" applyFont="1" applyFill="1" applyBorder="1">
      <alignment vertical="center"/>
    </xf>
    <xf numFmtId="181" fontId="105" fillId="25" borderId="0" xfId="1" applyFont="1" applyFill="1">
      <alignment vertical="center"/>
    </xf>
    <xf numFmtId="181" fontId="105" fillId="0" borderId="8" xfId="1" applyFont="1" applyBorder="1" applyAlignment="1">
      <alignment horizontal="center" vertical="center"/>
    </xf>
    <xf numFmtId="181" fontId="105" fillId="25" borderId="11" xfId="1" applyFont="1" applyFill="1" applyBorder="1">
      <alignment vertical="center"/>
    </xf>
    <xf numFmtId="181" fontId="117" fillId="32" borderId="9" xfId="1" applyFont="1" applyFill="1" applyBorder="1">
      <alignment vertical="center"/>
    </xf>
    <xf numFmtId="181" fontId="117" fillId="25" borderId="9" xfId="1" applyFont="1" applyFill="1" applyBorder="1">
      <alignment vertical="center"/>
    </xf>
    <xf numFmtId="181" fontId="117" fillId="25" borderId="0" xfId="1" applyFont="1" applyFill="1">
      <alignment vertical="center"/>
    </xf>
    <xf numFmtId="181" fontId="117" fillId="0" borderId="8" xfId="1" applyFont="1" applyBorder="1" applyAlignment="1">
      <alignment horizontal="center" vertical="center"/>
    </xf>
    <xf numFmtId="181" fontId="117" fillId="25" borderId="11" xfId="1" applyFont="1" applyFill="1" applyBorder="1">
      <alignment vertical="center"/>
    </xf>
    <xf numFmtId="181" fontId="121" fillId="25" borderId="9" xfId="1" applyFont="1" applyFill="1" applyBorder="1">
      <alignment vertical="center"/>
    </xf>
    <xf numFmtId="181" fontId="121" fillId="25" borderId="0" xfId="1" applyFont="1" applyFill="1">
      <alignment vertical="center"/>
    </xf>
    <xf numFmtId="181" fontId="121" fillId="0" borderId="8" xfId="1" applyFont="1" applyBorder="1" applyAlignment="1">
      <alignment horizontal="center" vertical="center"/>
    </xf>
    <xf numFmtId="181" fontId="105" fillId="29" borderId="9" xfId="1" applyFont="1" applyFill="1" applyBorder="1">
      <alignment vertical="center"/>
    </xf>
    <xf numFmtId="181" fontId="117" fillId="29" borderId="9" xfId="1" applyFont="1" applyFill="1" applyBorder="1">
      <alignment vertical="center"/>
    </xf>
    <xf numFmtId="181" fontId="214" fillId="0" borderId="9" xfId="1" applyFont="1" applyBorder="1">
      <alignment vertical="center"/>
    </xf>
    <xf numFmtId="181" fontId="214" fillId="25" borderId="9" xfId="1" applyFont="1" applyFill="1" applyBorder="1">
      <alignment vertical="center"/>
    </xf>
    <xf numFmtId="181" fontId="214" fillId="25" borderId="0" xfId="1" applyFont="1" applyFill="1">
      <alignment vertical="center"/>
    </xf>
    <xf numFmtId="181" fontId="214" fillId="0" borderId="8" xfId="1" applyFont="1" applyBorder="1" applyAlignment="1">
      <alignment horizontal="center" vertical="center"/>
    </xf>
    <xf numFmtId="181" fontId="121" fillId="32" borderId="9" xfId="1" applyFont="1" applyFill="1" applyBorder="1">
      <alignment vertical="center"/>
    </xf>
    <xf numFmtId="181" fontId="132" fillId="0" borderId="9" xfId="1" applyFont="1" applyBorder="1">
      <alignment vertical="center"/>
    </xf>
    <xf numFmtId="181" fontId="132" fillId="25" borderId="9" xfId="1" applyFont="1" applyFill="1" applyBorder="1">
      <alignment vertical="center"/>
    </xf>
    <xf numFmtId="181" fontId="132" fillId="25" borderId="0" xfId="1" applyFont="1" applyFill="1">
      <alignment vertical="center"/>
    </xf>
    <xf numFmtId="181" fontId="132" fillId="0" borderId="8" xfId="1" applyFont="1" applyBorder="1" applyAlignment="1">
      <alignment horizontal="center" vertical="center"/>
    </xf>
    <xf numFmtId="0" fontId="132" fillId="24" borderId="48" xfId="0" applyFont="1" applyFill="1" applyBorder="1">
      <alignment vertical="center"/>
    </xf>
    <xf numFmtId="181" fontId="132" fillId="32" borderId="9" xfId="1" applyFont="1" applyFill="1" applyBorder="1">
      <alignment vertical="center"/>
    </xf>
    <xf numFmtId="37" fontId="132" fillId="0" borderId="20" xfId="0" applyNumberFormat="1" applyFont="1" applyBorder="1" applyAlignment="1">
      <alignment horizontal="left" vertical="center"/>
    </xf>
    <xf numFmtId="37" fontId="132" fillId="0" borderId="9" xfId="0" applyNumberFormat="1" applyFont="1" applyBorder="1">
      <alignment vertical="center"/>
    </xf>
    <xf numFmtId="181" fontId="132" fillId="25" borderId="6" xfId="1" applyFont="1" applyFill="1" applyBorder="1">
      <alignment vertical="center"/>
    </xf>
    <xf numFmtId="37" fontId="132" fillId="0" borderId="7" xfId="0" applyNumberFormat="1" applyFont="1" applyBorder="1">
      <alignment vertical="center"/>
    </xf>
    <xf numFmtId="37" fontId="107" fillId="49" borderId="20" xfId="0" applyNumberFormat="1" applyFont="1" applyFill="1" applyBorder="1">
      <alignment vertical="center"/>
    </xf>
    <xf numFmtId="181" fontId="105" fillId="49" borderId="9" xfId="1" applyFont="1" applyFill="1" applyBorder="1">
      <alignment vertical="center"/>
    </xf>
    <xf numFmtId="181" fontId="148" fillId="49" borderId="9" xfId="1" applyFont="1" applyFill="1" applyBorder="1">
      <alignment vertical="center"/>
    </xf>
    <xf numFmtId="181" fontId="121" fillId="49" borderId="9" xfId="1" applyFont="1" applyFill="1" applyBorder="1">
      <alignment vertical="center"/>
    </xf>
    <xf numFmtId="181" fontId="105" fillId="49" borderId="6" xfId="1" applyFont="1" applyFill="1" applyBorder="1">
      <alignment vertical="center"/>
    </xf>
    <xf numFmtId="181" fontId="105" fillId="49" borderId="8" xfId="1" applyFont="1" applyFill="1" applyBorder="1">
      <alignment vertical="center"/>
    </xf>
    <xf numFmtId="181" fontId="105" fillId="49" borderId="0" xfId="1" applyFont="1" applyFill="1" applyBorder="1">
      <alignment vertical="center"/>
    </xf>
    <xf numFmtId="181" fontId="117" fillId="25" borderId="6" xfId="1" applyFont="1" applyFill="1" applyBorder="1">
      <alignment vertical="center"/>
    </xf>
    <xf numFmtId="181" fontId="125" fillId="32" borderId="9" xfId="1" applyFont="1" applyFill="1" applyBorder="1">
      <alignment vertical="center"/>
    </xf>
    <xf numFmtId="181" fontId="125" fillId="25" borderId="9" xfId="1" applyFont="1" applyFill="1" applyBorder="1">
      <alignment vertical="center"/>
    </xf>
    <xf numFmtId="181" fontId="125" fillId="25" borderId="6" xfId="1" applyFont="1" applyFill="1" applyBorder="1">
      <alignment vertical="center"/>
    </xf>
    <xf numFmtId="181" fontId="125" fillId="0" borderId="8" xfId="1" applyFont="1" applyBorder="1" applyAlignment="1">
      <alignment horizontal="center" vertical="center"/>
    </xf>
    <xf numFmtId="181" fontId="105" fillId="25" borderId="6" xfId="1" applyFont="1" applyFill="1" applyBorder="1">
      <alignment vertical="center"/>
    </xf>
    <xf numFmtId="181" fontId="214" fillId="25" borderId="6" xfId="1" applyFont="1" applyFill="1" applyBorder="1">
      <alignment vertical="center"/>
    </xf>
    <xf numFmtId="181" fontId="214" fillId="24" borderId="48" xfId="1" applyFont="1" applyFill="1" applyBorder="1">
      <alignment vertical="center"/>
    </xf>
    <xf numFmtId="181" fontId="121" fillId="25" borderId="6" xfId="1" applyFont="1" applyFill="1" applyBorder="1">
      <alignment vertical="center"/>
    </xf>
    <xf numFmtId="0" fontId="121" fillId="24" borderId="48" xfId="0" applyFont="1" applyFill="1" applyBorder="1">
      <alignment vertical="center"/>
    </xf>
    <xf numFmtId="181" fontId="170" fillId="32" borderId="9" xfId="1" applyFont="1" applyFill="1" applyBorder="1">
      <alignment vertical="center"/>
    </xf>
    <xf numFmtId="181" fontId="170" fillId="25" borderId="9" xfId="1" applyFont="1" applyFill="1" applyBorder="1">
      <alignment vertical="center"/>
    </xf>
    <xf numFmtId="181" fontId="170" fillId="25" borderId="6" xfId="1" applyFont="1" applyFill="1" applyBorder="1">
      <alignment vertical="center"/>
    </xf>
    <xf numFmtId="181" fontId="170" fillId="0" borderId="8" xfId="1" applyFont="1" applyBorder="1" applyAlignment="1">
      <alignment horizontal="center" vertical="center"/>
    </xf>
    <xf numFmtId="37" fontId="107" fillId="49" borderId="9" xfId="0" applyNumberFormat="1" applyFont="1" applyFill="1" applyBorder="1">
      <alignment vertical="center"/>
    </xf>
    <xf numFmtId="38" fontId="107" fillId="50" borderId="9" xfId="0" applyNumberFormat="1" applyFont="1" applyFill="1" applyBorder="1">
      <alignment vertical="center"/>
    </xf>
    <xf numFmtId="181" fontId="105" fillId="50" borderId="9" xfId="1" applyFont="1" applyFill="1" applyBorder="1">
      <alignment vertical="center"/>
    </xf>
    <xf numFmtId="181" fontId="105" fillId="50" borderId="6" xfId="1" applyFont="1" applyFill="1" applyBorder="1">
      <alignment vertical="center"/>
    </xf>
    <xf numFmtId="0" fontId="125" fillId="22" borderId="23" xfId="0" applyFont="1" applyFill="1" applyBorder="1">
      <alignment vertical="center"/>
    </xf>
    <xf numFmtId="0" fontId="125" fillId="0" borderId="23" xfId="0" applyFont="1" applyBorder="1">
      <alignment vertical="center"/>
    </xf>
    <xf numFmtId="179" fontId="107" fillId="23" borderId="42" xfId="0" quotePrefix="1" applyNumberFormat="1" applyFont="1" applyFill="1" applyBorder="1" applyAlignment="1">
      <alignment horizontal="center" vertical="center"/>
    </xf>
    <xf numFmtId="179" fontId="107" fillId="23" borderId="16" xfId="0" applyNumberFormat="1" applyFont="1" applyFill="1" applyBorder="1" applyAlignment="1">
      <alignment horizontal="left" vertical="center"/>
    </xf>
    <xf numFmtId="38" fontId="107" fillId="23" borderId="2" xfId="0" applyNumberFormat="1" applyFont="1" applyFill="1" applyBorder="1" applyAlignment="1">
      <alignment horizontal="center" vertical="center"/>
    </xf>
    <xf numFmtId="179" fontId="107" fillId="23" borderId="2" xfId="0" applyNumberFormat="1" applyFont="1" applyFill="1" applyBorder="1">
      <alignment vertical="center"/>
    </xf>
    <xf numFmtId="179" fontId="105" fillId="23" borderId="2" xfId="0" applyNumberFormat="1" applyFont="1" applyFill="1" applyBorder="1">
      <alignment vertical="center"/>
    </xf>
    <xf numFmtId="179" fontId="107" fillId="23" borderId="2" xfId="0" applyNumberFormat="1" applyFont="1" applyFill="1" applyBorder="1" applyAlignment="1">
      <alignment horizontal="center" vertical="center"/>
    </xf>
    <xf numFmtId="187" fontId="125" fillId="23" borderId="48" xfId="0" quotePrefix="1" applyNumberFormat="1" applyFont="1" applyFill="1" applyBorder="1" applyAlignment="1">
      <alignment horizontal="center" vertical="center"/>
    </xf>
    <xf numFmtId="179" fontId="107" fillId="23" borderId="14" xfId="0" applyNumberFormat="1" applyFont="1" applyFill="1" applyBorder="1" applyAlignment="1">
      <alignment horizontal="center" vertical="center" wrapText="1"/>
    </xf>
    <xf numFmtId="49" fontId="107" fillId="23" borderId="14" xfId="0" applyNumberFormat="1" applyFont="1" applyFill="1" applyBorder="1" applyAlignment="1">
      <alignment horizontal="center" vertical="center" wrapText="1"/>
    </xf>
    <xf numFmtId="196" fontId="107" fillId="23" borderId="14" xfId="0" applyNumberFormat="1" applyFont="1" applyFill="1" applyBorder="1" applyAlignment="1">
      <alignment horizontal="center" vertical="center" wrapText="1"/>
    </xf>
    <xf numFmtId="179" fontId="107" fillId="23" borderId="57" xfId="0" applyNumberFormat="1" applyFont="1" applyFill="1" applyBorder="1" applyAlignment="1">
      <alignment horizontal="center" vertical="center" wrapText="1"/>
    </xf>
    <xf numFmtId="0" fontId="217" fillId="24" borderId="9" xfId="0" applyFont="1" applyFill="1" applyBorder="1">
      <alignment vertical="center"/>
    </xf>
    <xf numFmtId="185" fontId="125" fillId="23" borderId="22" xfId="0" applyNumberFormat="1" applyFont="1" applyFill="1" applyBorder="1">
      <alignment vertical="center"/>
    </xf>
    <xf numFmtId="185" fontId="220" fillId="23" borderId="6" xfId="0" applyNumberFormat="1" applyFont="1" applyFill="1" applyBorder="1">
      <alignment vertical="center"/>
    </xf>
    <xf numFmtId="185" fontId="125" fillId="23" borderId="7" xfId="0" applyNumberFormat="1" applyFont="1" applyFill="1" applyBorder="1">
      <alignment vertical="center"/>
    </xf>
    <xf numFmtId="185" fontId="125" fillId="23" borderId="8" xfId="0" applyNumberFormat="1" applyFont="1" applyFill="1" applyBorder="1">
      <alignment vertical="center"/>
    </xf>
    <xf numFmtId="185" fontId="106" fillId="23" borderId="9" xfId="0" applyNumberFormat="1" applyFont="1" applyFill="1" applyBorder="1">
      <alignment vertical="center"/>
    </xf>
    <xf numFmtId="185" fontId="125" fillId="23" borderId="9" xfId="0" applyNumberFormat="1" applyFont="1" applyFill="1" applyBorder="1">
      <alignment vertical="center"/>
    </xf>
    <xf numFmtId="185" fontId="105" fillId="23" borderId="21" xfId="0" applyNumberFormat="1" applyFont="1" applyFill="1" applyBorder="1">
      <alignment vertical="center"/>
    </xf>
    <xf numFmtId="185" fontId="125" fillId="0" borderId="0" xfId="0" applyNumberFormat="1" applyFont="1">
      <alignment vertical="center"/>
    </xf>
    <xf numFmtId="185" fontId="125" fillId="36" borderId="48" xfId="1" applyNumberFormat="1" applyFont="1" applyFill="1" applyBorder="1">
      <alignment vertical="center"/>
    </xf>
    <xf numFmtId="179" fontId="106" fillId="23" borderId="22" xfId="0" applyNumberFormat="1" applyFont="1" applyFill="1" applyBorder="1">
      <alignment vertical="center"/>
    </xf>
    <xf numFmtId="179" fontId="106" fillId="23" borderId="6" xfId="0" applyNumberFormat="1" applyFont="1" applyFill="1" applyBorder="1">
      <alignment vertical="center"/>
    </xf>
    <xf numFmtId="179" fontId="106" fillId="23" borderId="7" xfId="0" applyNumberFormat="1" applyFont="1" applyFill="1" applyBorder="1">
      <alignment vertical="center"/>
    </xf>
    <xf numFmtId="179" fontId="106" fillId="23" borderId="8" xfId="0" applyNumberFormat="1" applyFont="1" applyFill="1" applyBorder="1">
      <alignment vertical="center"/>
    </xf>
    <xf numFmtId="179" fontId="106" fillId="23" borderId="9" xfId="0" applyNumberFormat="1" applyFont="1" applyFill="1" applyBorder="1">
      <alignment vertical="center"/>
    </xf>
    <xf numFmtId="179" fontId="107" fillId="23" borderId="9" xfId="0" applyNumberFormat="1" applyFont="1" applyFill="1" applyBorder="1">
      <alignment vertical="center"/>
    </xf>
    <xf numFmtId="179" fontId="107" fillId="23" borderId="21" xfId="0" applyNumberFormat="1" applyFont="1" applyFill="1" applyBorder="1">
      <alignment vertical="center"/>
    </xf>
    <xf numFmtId="181" fontId="106" fillId="36" borderId="9" xfId="1" applyFont="1" applyFill="1" applyBorder="1">
      <alignment vertical="center"/>
    </xf>
    <xf numFmtId="179" fontId="125" fillId="25" borderId="22" xfId="0" applyNumberFormat="1" applyFont="1" applyFill="1" applyBorder="1" applyAlignment="1">
      <alignment horizontal="center" vertical="center"/>
    </xf>
    <xf numFmtId="179" fontId="125" fillId="25" borderId="6" xfId="0" applyNumberFormat="1" applyFont="1" applyFill="1" applyBorder="1" applyAlignment="1">
      <alignment horizontal="left" vertical="center"/>
    </xf>
    <xf numFmtId="179" fontId="125" fillId="25" borderId="7" xfId="0" applyNumberFormat="1" applyFont="1" applyFill="1" applyBorder="1">
      <alignment vertical="center"/>
    </xf>
    <xf numFmtId="179" fontId="125" fillId="25" borderId="9" xfId="0" applyNumberFormat="1" applyFont="1" applyFill="1" applyBorder="1">
      <alignment vertical="center"/>
    </xf>
    <xf numFmtId="179" fontId="105" fillId="25" borderId="9" xfId="0" applyNumberFormat="1" applyFont="1" applyFill="1" applyBorder="1">
      <alignment vertical="center"/>
    </xf>
    <xf numFmtId="179" fontId="105" fillId="25" borderId="21" xfId="0" applyNumberFormat="1" applyFont="1" applyFill="1" applyBorder="1">
      <alignment vertical="center"/>
    </xf>
    <xf numFmtId="179" fontId="125" fillId="39" borderId="22" xfId="0" applyNumberFormat="1" applyFont="1" applyFill="1" applyBorder="1">
      <alignment vertical="center"/>
    </xf>
    <xf numFmtId="179" fontId="125" fillId="39" borderId="6" xfId="0" applyNumberFormat="1" applyFont="1" applyFill="1" applyBorder="1">
      <alignment vertical="center"/>
    </xf>
    <xf numFmtId="179" fontId="125" fillId="39" borderId="7" xfId="0" applyNumberFormat="1" applyFont="1" applyFill="1" applyBorder="1">
      <alignment vertical="center"/>
    </xf>
    <xf numFmtId="179" fontId="125" fillId="39" borderId="9" xfId="0" applyNumberFormat="1" applyFont="1" applyFill="1" applyBorder="1">
      <alignment vertical="center"/>
    </xf>
    <xf numFmtId="179" fontId="125" fillId="39" borderId="21" xfId="0" applyNumberFormat="1" applyFont="1" applyFill="1" applyBorder="1">
      <alignment vertical="center"/>
    </xf>
    <xf numFmtId="181" fontId="125" fillId="36" borderId="9" xfId="1" applyFont="1" applyFill="1" applyBorder="1">
      <alignment vertical="center"/>
    </xf>
    <xf numFmtId="185" fontId="125" fillId="39" borderId="22" xfId="0" applyNumberFormat="1" applyFont="1" applyFill="1" applyBorder="1">
      <alignment vertical="center"/>
    </xf>
    <xf numFmtId="185" fontId="220" fillId="39" borderId="6" xfId="0" applyNumberFormat="1" applyFont="1" applyFill="1" applyBorder="1">
      <alignment vertical="center"/>
    </xf>
    <xf numFmtId="185" fontId="125" fillId="39" borderId="7" xfId="0" applyNumberFormat="1" applyFont="1" applyFill="1" applyBorder="1">
      <alignment vertical="center"/>
    </xf>
    <xf numFmtId="185" fontId="125" fillId="39" borderId="9" xfId="0" applyNumberFormat="1" applyFont="1" applyFill="1" applyBorder="1">
      <alignment vertical="center"/>
    </xf>
    <xf numFmtId="185" fontId="125" fillId="39" borderId="21" xfId="0" applyNumberFormat="1" applyFont="1" applyFill="1" applyBorder="1">
      <alignment vertical="center"/>
    </xf>
    <xf numFmtId="185" fontId="125" fillId="24" borderId="48" xfId="1" applyNumberFormat="1" applyFont="1" applyFill="1" applyBorder="1">
      <alignment vertical="center"/>
    </xf>
    <xf numFmtId="179" fontId="125" fillId="39" borderId="0" xfId="0" applyNumberFormat="1" applyFont="1" applyFill="1">
      <alignment vertical="center"/>
    </xf>
    <xf numFmtId="179" fontId="105" fillId="39" borderId="6" xfId="0" applyNumberFormat="1" applyFont="1" applyFill="1" applyBorder="1">
      <alignment vertical="center"/>
    </xf>
    <xf numFmtId="179" fontId="125" fillId="39" borderId="45" xfId="0" applyNumberFormat="1" applyFont="1" applyFill="1" applyBorder="1">
      <alignment vertical="center"/>
    </xf>
    <xf numFmtId="185" fontId="125" fillId="39" borderId="45" xfId="0" applyNumberFormat="1" applyFont="1" applyFill="1" applyBorder="1">
      <alignment vertical="center"/>
    </xf>
    <xf numFmtId="185" fontId="220" fillId="39" borderId="14" xfId="0" applyNumberFormat="1" applyFont="1" applyFill="1" applyBorder="1">
      <alignment vertical="center"/>
    </xf>
    <xf numFmtId="185" fontId="125" fillId="39" borderId="0" xfId="0" applyNumberFormat="1" applyFont="1" applyFill="1">
      <alignment vertical="center"/>
    </xf>
    <xf numFmtId="185" fontId="125" fillId="39" borderId="1" xfId="0" applyNumberFormat="1" applyFont="1" applyFill="1" applyBorder="1">
      <alignment vertical="center"/>
    </xf>
    <xf numFmtId="185" fontId="221" fillId="39" borderId="6" xfId="0" applyNumberFormat="1" applyFont="1" applyFill="1" applyBorder="1">
      <alignment vertical="center"/>
    </xf>
    <xf numFmtId="185" fontId="125" fillId="39" borderId="8" xfId="0" applyNumberFormat="1" applyFont="1" applyFill="1" applyBorder="1">
      <alignment vertical="center"/>
    </xf>
    <xf numFmtId="179" fontId="125" fillId="51" borderId="30" xfId="0" applyNumberFormat="1" applyFont="1" applyFill="1" applyBorder="1">
      <alignment vertical="center"/>
    </xf>
    <xf numFmtId="179" fontId="125" fillId="51" borderId="58" xfId="0" applyNumberFormat="1" applyFont="1" applyFill="1" applyBorder="1">
      <alignment vertical="center"/>
    </xf>
    <xf numFmtId="179" fontId="125" fillId="51" borderId="23" xfId="0" applyNumberFormat="1" applyFont="1" applyFill="1" applyBorder="1">
      <alignment vertical="center"/>
    </xf>
    <xf numFmtId="179" fontId="105" fillId="51" borderId="31" xfId="0" applyNumberFormat="1" applyFont="1" applyFill="1" applyBorder="1">
      <alignment vertical="center"/>
    </xf>
    <xf numFmtId="179" fontId="105" fillId="51" borderId="32" xfId="0" applyNumberFormat="1" applyFont="1" applyFill="1" applyBorder="1">
      <alignment vertical="center"/>
    </xf>
    <xf numFmtId="179" fontId="105" fillId="0" borderId="12" xfId="0" applyNumberFormat="1" applyFont="1" applyBorder="1">
      <alignment vertical="center"/>
    </xf>
    <xf numFmtId="179" fontId="125" fillId="0" borderId="1" xfId="0" applyNumberFormat="1" applyFont="1" applyBorder="1">
      <alignment vertical="center"/>
    </xf>
    <xf numFmtId="179" fontId="222" fillId="0" borderId="1" xfId="0" applyNumberFormat="1" applyFont="1" applyBorder="1">
      <alignment vertical="center"/>
    </xf>
    <xf numFmtId="179" fontId="132" fillId="0" borderId="1" xfId="0" applyNumberFormat="1" applyFont="1" applyBorder="1">
      <alignment vertical="center"/>
    </xf>
    <xf numFmtId="179" fontId="132" fillId="0" borderId="13" xfId="0" applyNumberFormat="1" applyFont="1" applyBorder="1">
      <alignment vertical="center"/>
    </xf>
    <xf numFmtId="179" fontId="125" fillId="0" borderId="9" xfId="0" applyNumberFormat="1" applyFont="1" applyBorder="1">
      <alignment vertical="center"/>
    </xf>
    <xf numFmtId="0" fontId="125" fillId="0" borderId="9" xfId="0" applyFont="1" applyBorder="1">
      <alignment vertical="center"/>
    </xf>
    <xf numFmtId="0" fontId="125" fillId="0" borderId="6" xfId="0" applyFont="1" applyBorder="1">
      <alignment vertical="center"/>
    </xf>
    <xf numFmtId="179" fontId="132" fillId="0" borderId="14" xfId="0" applyNumberFormat="1" applyFont="1" applyBorder="1">
      <alignment vertical="center"/>
    </xf>
    <xf numFmtId="181" fontId="125" fillId="24" borderId="10" xfId="1" applyFont="1" applyFill="1" applyBorder="1">
      <alignment vertical="center"/>
    </xf>
    <xf numFmtId="179" fontId="125" fillId="0" borderId="6" xfId="0" applyNumberFormat="1" applyFont="1" applyBorder="1">
      <alignment vertical="center"/>
    </xf>
    <xf numFmtId="179" fontId="125" fillId="0" borderId="7" xfId="0" applyNumberFormat="1" applyFont="1" applyBorder="1">
      <alignment vertical="center"/>
    </xf>
    <xf numFmtId="179" fontId="222" fillId="0" borderId="7" xfId="0" applyNumberFormat="1" applyFont="1" applyBorder="1">
      <alignment vertical="center"/>
    </xf>
    <xf numFmtId="179" fontId="125" fillId="0" borderId="8" xfId="0" applyNumberFormat="1" applyFont="1" applyBorder="1">
      <alignment vertical="center"/>
    </xf>
    <xf numFmtId="179" fontId="125" fillId="51" borderId="16" xfId="0" applyNumberFormat="1" applyFont="1" applyFill="1" applyBorder="1">
      <alignment vertical="center"/>
    </xf>
    <xf numFmtId="179" fontId="125" fillId="51" borderId="2" xfId="0" applyNumberFormat="1" applyFont="1" applyFill="1" applyBorder="1">
      <alignment vertical="center"/>
    </xf>
    <xf numFmtId="179" fontId="125" fillId="51" borderId="17" xfId="0" applyNumberFormat="1" applyFont="1" applyFill="1" applyBorder="1">
      <alignment vertical="center"/>
    </xf>
    <xf numFmtId="179" fontId="125" fillId="51" borderId="9" xfId="0" applyNumberFormat="1" applyFont="1" applyFill="1" applyBorder="1">
      <alignment vertical="center"/>
    </xf>
    <xf numFmtId="179" fontId="105" fillId="51" borderId="9" xfId="0" applyNumberFormat="1" applyFont="1" applyFill="1" applyBorder="1">
      <alignment vertical="center"/>
    </xf>
    <xf numFmtId="179" fontId="105" fillId="51" borderId="6" xfId="0" applyNumberFormat="1" applyFont="1" applyFill="1" applyBorder="1">
      <alignment vertical="center"/>
    </xf>
    <xf numFmtId="179" fontId="105" fillId="0" borderId="14" xfId="0" applyNumberFormat="1" applyFont="1" applyBorder="1">
      <alignment vertical="center"/>
    </xf>
    <xf numFmtId="179" fontId="125" fillId="36" borderId="6" xfId="0" applyNumberFormat="1" applyFont="1" applyFill="1" applyBorder="1">
      <alignment vertical="center"/>
    </xf>
    <xf numFmtId="179" fontId="125" fillId="36" borderId="7" xfId="0" applyNumberFormat="1" applyFont="1" applyFill="1" applyBorder="1">
      <alignment vertical="center"/>
    </xf>
    <xf numFmtId="179" fontId="222" fillId="36" borderId="7" xfId="0" applyNumberFormat="1" applyFont="1" applyFill="1" applyBorder="1">
      <alignment vertical="center"/>
    </xf>
    <xf numFmtId="179" fontId="125" fillId="36" borderId="8" xfId="0" applyNumberFormat="1" applyFont="1" applyFill="1" applyBorder="1">
      <alignment vertical="center"/>
    </xf>
    <xf numFmtId="179" fontId="125" fillId="36" borderId="9" xfId="0" applyNumberFormat="1" applyFont="1" applyFill="1" applyBorder="1">
      <alignment vertical="center"/>
    </xf>
    <xf numFmtId="179" fontId="105" fillId="36" borderId="9" xfId="0" applyNumberFormat="1" applyFont="1" applyFill="1" applyBorder="1">
      <alignment vertical="center"/>
    </xf>
    <xf numFmtId="179" fontId="105" fillId="36" borderId="6" xfId="0" applyNumberFormat="1" applyFont="1" applyFill="1" applyBorder="1">
      <alignment vertical="center"/>
    </xf>
    <xf numFmtId="179" fontId="125" fillId="51" borderId="6" xfId="0" applyNumberFormat="1" applyFont="1" applyFill="1" applyBorder="1">
      <alignment vertical="center"/>
    </xf>
    <xf numFmtId="179" fontId="125" fillId="51" borderId="7" xfId="0" applyNumberFormat="1" applyFont="1" applyFill="1" applyBorder="1">
      <alignment vertical="center"/>
    </xf>
    <xf numFmtId="179" fontId="125" fillId="51" borderId="8" xfId="0" applyNumberFormat="1" applyFont="1" applyFill="1" applyBorder="1">
      <alignment vertical="center"/>
    </xf>
    <xf numFmtId="179" fontId="125" fillId="40" borderId="2" xfId="0" applyNumberFormat="1" applyFont="1" applyFill="1" applyBorder="1">
      <alignment vertical="center"/>
    </xf>
    <xf numFmtId="179" fontId="105" fillId="0" borderId="2" xfId="0" applyNumberFormat="1" applyFont="1" applyBorder="1">
      <alignment vertical="center"/>
    </xf>
    <xf numFmtId="179" fontId="125" fillId="52" borderId="2" xfId="0" applyNumberFormat="1" applyFont="1" applyFill="1" applyBorder="1" applyAlignment="1">
      <alignment horizontal="center" vertical="center"/>
    </xf>
    <xf numFmtId="179" fontId="110" fillId="40" borderId="2" xfId="0" applyNumberFormat="1" applyFont="1" applyFill="1" applyBorder="1">
      <alignment vertical="center"/>
    </xf>
    <xf numFmtId="179" fontId="125" fillId="40" borderId="2" xfId="0" applyNumberFormat="1" applyFont="1" applyFill="1" applyBorder="1" applyAlignment="1">
      <alignment horizontal="center" vertical="center"/>
    </xf>
    <xf numFmtId="179" fontId="125" fillId="0" borderId="2" xfId="0" applyNumberFormat="1" applyFont="1" applyBorder="1" applyAlignment="1">
      <alignment horizontal="center" vertical="center"/>
    </xf>
    <xf numFmtId="179" fontId="105" fillId="0" borderId="0" xfId="0" quotePrefix="1" applyNumberFormat="1" applyFont="1">
      <alignment vertical="center"/>
    </xf>
    <xf numFmtId="179" fontId="125" fillId="40" borderId="0" xfId="0" applyNumberFormat="1" applyFont="1" applyFill="1">
      <alignment vertical="center"/>
    </xf>
    <xf numFmtId="179" fontId="125" fillId="33" borderId="0" xfId="0" applyNumberFormat="1" applyFont="1" applyFill="1" applyAlignment="1">
      <alignment horizontal="center" vertical="center"/>
    </xf>
    <xf numFmtId="0" fontId="223" fillId="53" borderId="0" xfId="0" applyFont="1" applyFill="1">
      <alignment vertical="center"/>
    </xf>
    <xf numFmtId="0" fontId="125" fillId="53" borderId="0" xfId="0" applyFont="1" applyFill="1">
      <alignment vertical="center"/>
    </xf>
    <xf numFmtId="179" fontId="125" fillId="53" borderId="0" xfId="0" applyNumberFormat="1" applyFont="1" applyFill="1">
      <alignment vertical="center"/>
    </xf>
    <xf numFmtId="179" fontId="105" fillId="53" borderId="0" xfId="0" applyNumberFormat="1" applyFont="1" applyFill="1">
      <alignment vertical="center"/>
    </xf>
    <xf numFmtId="0" fontId="125" fillId="53" borderId="0" xfId="0" applyFont="1" applyFill="1" applyAlignment="1">
      <alignment horizontal="center" vertical="center"/>
    </xf>
    <xf numFmtId="197" fontId="125" fillId="0" borderId="0" xfId="0" applyNumberFormat="1" applyFont="1">
      <alignment vertical="center"/>
    </xf>
    <xf numFmtId="179" fontId="107" fillId="23" borderId="40" xfId="0" applyNumberFormat="1" applyFont="1" applyFill="1" applyBorder="1">
      <alignment vertical="center"/>
    </xf>
    <xf numFmtId="179" fontId="105" fillId="23" borderId="40" xfId="0" applyNumberFormat="1" applyFont="1" applyFill="1" applyBorder="1">
      <alignment vertical="center"/>
    </xf>
    <xf numFmtId="179" fontId="107" fillId="23" borderId="38" xfId="0" applyNumberFormat="1" applyFont="1" applyFill="1" applyBorder="1" applyAlignment="1">
      <alignment horizontal="center" vertical="center"/>
    </xf>
    <xf numFmtId="179" fontId="107" fillId="23" borderId="59" xfId="0" applyNumberFormat="1" applyFont="1" applyFill="1" applyBorder="1" applyAlignment="1">
      <alignment horizontal="center" vertical="center" wrapText="1"/>
    </xf>
    <xf numFmtId="179" fontId="107" fillId="23" borderId="25" xfId="0" applyNumberFormat="1" applyFont="1" applyFill="1" applyBorder="1" applyAlignment="1">
      <alignment horizontal="center" vertical="center" wrapText="1"/>
    </xf>
    <xf numFmtId="179" fontId="107" fillId="23" borderId="40" xfId="0" applyNumberFormat="1" applyFont="1" applyFill="1" applyBorder="1" applyAlignment="1">
      <alignment horizontal="center" vertical="center" wrapText="1"/>
    </xf>
    <xf numFmtId="179" fontId="107" fillId="23" borderId="41" xfId="0" applyNumberFormat="1" applyFont="1" applyFill="1" applyBorder="1" applyAlignment="1">
      <alignment horizontal="center" vertical="center" wrapText="1"/>
    </xf>
    <xf numFmtId="179" fontId="107" fillId="23" borderId="59" xfId="0" applyNumberFormat="1" applyFont="1" applyFill="1" applyBorder="1">
      <alignment vertical="center"/>
    </xf>
    <xf numFmtId="179" fontId="107" fillId="23" borderId="38" xfId="0" applyNumberFormat="1" applyFont="1" applyFill="1" applyBorder="1">
      <alignment vertical="center"/>
    </xf>
    <xf numFmtId="179" fontId="107" fillId="23" borderId="60" xfId="0" applyNumberFormat="1" applyFont="1" applyFill="1" applyBorder="1">
      <alignment vertical="center"/>
    </xf>
    <xf numFmtId="179" fontId="107" fillId="0" borderId="38" xfId="0" applyNumberFormat="1" applyFont="1" applyBorder="1" applyAlignment="1">
      <alignment horizontal="center" vertical="center"/>
    </xf>
    <xf numFmtId="179" fontId="107" fillId="0" borderId="61" xfId="0" applyNumberFormat="1" applyFont="1" applyBorder="1">
      <alignment vertical="center"/>
    </xf>
    <xf numFmtId="179" fontId="107" fillId="0" borderId="37" xfId="0" applyNumberFormat="1" applyFont="1" applyBorder="1">
      <alignment vertical="center"/>
    </xf>
    <xf numFmtId="179" fontId="107" fillId="23" borderId="48" xfId="0" quotePrefix="1" applyNumberFormat="1" applyFont="1" applyFill="1" applyBorder="1" applyAlignment="1">
      <alignment horizontal="center" wrapText="1"/>
    </xf>
    <xf numFmtId="195" fontId="110" fillId="23" borderId="0" xfId="0" applyNumberFormat="1" applyFont="1" applyFill="1" applyAlignment="1">
      <alignment horizontal="center" vertical="center"/>
    </xf>
    <xf numFmtId="195" fontId="110" fillId="23" borderId="10" xfId="0" applyNumberFormat="1" applyFont="1" applyFill="1" applyBorder="1" applyAlignment="1">
      <alignment horizontal="center" vertical="center"/>
    </xf>
    <xf numFmtId="187" fontId="125" fillId="23" borderId="10" xfId="0" applyNumberFormat="1" applyFont="1" applyFill="1" applyBorder="1" applyAlignment="1">
      <alignment horizontal="center" vertical="center"/>
    </xf>
    <xf numFmtId="179" fontId="107" fillId="23" borderId="14" xfId="0" applyNumberFormat="1" applyFont="1" applyFill="1" applyBorder="1" applyAlignment="1">
      <alignment horizontal="center" wrapText="1"/>
    </xf>
    <xf numFmtId="179" fontId="107" fillId="0" borderId="48" xfId="0" applyNumberFormat="1" applyFont="1" applyBorder="1" applyAlignment="1">
      <alignment horizontal="center" vertical="center" wrapText="1"/>
    </xf>
    <xf numFmtId="179" fontId="107" fillId="0" borderId="57" xfId="0" applyNumberFormat="1" applyFont="1" applyBorder="1" applyAlignment="1">
      <alignment horizontal="center" wrapText="1"/>
    </xf>
    <xf numFmtId="179" fontId="107" fillId="0" borderId="11" xfId="0" applyNumberFormat="1" applyFont="1" applyBorder="1" applyAlignment="1">
      <alignment horizontal="center" vertical="center" wrapText="1"/>
    </xf>
    <xf numFmtId="179" fontId="107" fillId="0" borderId="2" xfId="0" applyNumberFormat="1" applyFont="1" applyBorder="1" applyAlignment="1">
      <alignment horizontal="center"/>
    </xf>
    <xf numFmtId="179" fontId="107" fillId="0" borderId="43" xfId="0" applyNumberFormat="1" applyFont="1" applyBorder="1" applyAlignment="1">
      <alignment horizontal="center"/>
    </xf>
    <xf numFmtId="179" fontId="105" fillId="0" borderId="18" xfId="0" applyNumberFormat="1" applyFont="1" applyBorder="1">
      <alignment vertical="center"/>
    </xf>
    <xf numFmtId="0" fontId="105" fillId="0" borderId="22" xfId="0" applyFont="1" applyBorder="1">
      <alignment vertical="center"/>
    </xf>
    <xf numFmtId="179" fontId="105" fillId="0" borderId="9" xfId="0" applyNumberFormat="1" applyFont="1" applyBorder="1" applyAlignment="1">
      <alignment vertical="center" shrinkToFit="1"/>
    </xf>
    <xf numFmtId="179" fontId="105" fillId="23" borderId="9" xfId="0" applyNumberFormat="1" applyFont="1" applyFill="1" applyBorder="1" applyAlignment="1">
      <alignment vertical="center" shrinkToFit="1"/>
    </xf>
    <xf numFmtId="3" fontId="105" fillId="0" borderId="9" xfId="0" applyNumberFormat="1" applyFont="1" applyBorder="1" applyAlignment="1">
      <alignment horizontal="right" vertical="center" wrapText="1"/>
    </xf>
    <xf numFmtId="179" fontId="121" fillId="0" borderId="9" xfId="0" applyNumberFormat="1" applyFont="1" applyBorder="1" applyAlignment="1">
      <alignment vertical="center" shrinkToFit="1"/>
    </xf>
    <xf numFmtId="0" fontId="105" fillId="0" borderId="7" xfId="0" applyFont="1" applyBorder="1" applyAlignment="1">
      <alignment horizontal="center" vertical="center"/>
    </xf>
    <xf numFmtId="0" fontId="105" fillId="0" borderId="21" xfId="0" applyFont="1" applyBorder="1" applyAlignment="1">
      <alignment horizontal="center" vertical="center"/>
    </xf>
    <xf numFmtId="179" fontId="105" fillId="0" borderId="6" xfId="0" applyNumberFormat="1" applyFont="1" applyBorder="1">
      <alignment vertical="center"/>
    </xf>
    <xf numFmtId="179" fontId="105" fillId="39" borderId="1" xfId="0" applyNumberFormat="1" applyFont="1" applyFill="1" applyBorder="1" applyAlignment="1">
      <alignment horizontal="center" vertical="center"/>
    </xf>
    <xf numFmtId="185" fontId="125" fillId="0" borderId="9" xfId="0" applyNumberFormat="1" applyFont="1" applyBorder="1" applyAlignment="1">
      <alignment vertical="center" shrinkToFit="1"/>
    </xf>
    <xf numFmtId="3" fontId="125" fillId="0" borderId="9" xfId="0" applyNumberFormat="1" applyFont="1" applyBorder="1" applyAlignment="1">
      <alignment horizontal="right" vertical="center" wrapText="1"/>
    </xf>
    <xf numFmtId="179" fontId="125" fillId="0" borderId="9" xfId="0" applyNumberFormat="1" applyFont="1" applyBorder="1" applyAlignment="1">
      <alignment vertical="center" shrinkToFit="1"/>
    </xf>
    <xf numFmtId="179" fontId="125" fillId="23" borderId="9" xfId="0" applyNumberFormat="1" applyFont="1" applyFill="1" applyBorder="1" applyAlignment="1">
      <alignment vertical="center" shrinkToFit="1"/>
    </xf>
    <xf numFmtId="0" fontId="125" fillId="0" borderId="7" xfId="0" applyFont="1" applyBorder="1" applyAlignment="1">
      <alignment horizontal="center" vertical="center"/>
    </xf>
    <xf numFmtId="0" fontId="125" fillId="0" borderId="21" xfId="0" applyFont="1" applyBorder="1" applyAlignment="1">
      <alignment horizontal="center" vertical="center"/>
    </xf>
    <xf numFmtId="185" fontId="170" fillId="0" borderId="9" xfId="0" applyNumberFormat="1" applyFont="1" applyBorder="1" applyAlignment="1">
      <alignment vertical="center" shrinkToFit="1"/>
    </xf>
    <xf numFmtId="179" fontId="105" fillId="0" borderId="9" xfId="0" applyNumberFormat="1" applyFont="1" applyBorder="1" applyAlignment="1">
      <alignment horizontal="right" vertical="center" wrapText="1"/>
    </xf>
    <xf numFmtId="179" fontId="105" fillId="0" borderId="21" xfId="0" applyNumberFormat="1" applyFont="1" applyBorder="1" applyAlignment="1">
      <alignment horizontal="center" vertical="center"/>
    </xf>
    <xf numFmtId="179" fontId="105" fillId="0" borderId="9" xfId="0" applyNumberFormat="1" applyFont="1" applyBorder="1">
      <alignment vertical="center"/>
    </xf>
    <xf numFmtId="179" fontId="121" fillId="0" borderId="9" xfId="0" applyNumberFormat="1" applyFont="1" applyBorder="1">
      <alignment vertical="center"/>
    </xf>
    <xf numFmtId="179" fontId="105" fillId="22" borderId="9" xfId="0" applyNumberFormat="1" applyFont="1" applyFill="1" applyBorder="1">
      <alignment vertical="center"/>
    </xf>
    <xf numFmtId="179" fontId="214" fillId="0" borderId="7" xfId="0" applyNumberFormat="1" applyFont="1" applyBorder="1" applyAlignment="1">
      <alignment horizontal="center" vertical="center"/>
    </xf>
    <xf numFmtId="179" fontId="125" fillId="0" borderId="6" xfId="0" applyNumberFormat="1" applyFont="1" applyBorder="1" applyAlignment="1">
      <alignment horizontal="right" vertical="center" wrapText="1"/>
    </xf>
    <xf numFmtId="179" fontId="125" fillId="0" borderId="6" xfId="0" applyNumberFormat="1" applyFont="1" applyBorder="1" applyAlignment="1">
      <alignment horizontal="center" vertical="center"/>
    </xf>
    <xf numFmtId="179" fontId="125" fillId="0" borderId="21" xfId="0" applyNumberFormat="1" applyFont="1" applyBorder="1" applyAlignment="1">
      <alignment horizontal="center" vertical="center"/>
    </xf>
    <xf numFmtId="179" fontId="105" fillId="0" borderId="6" xfId="0" applyNumberFormat="1" applyFont="1" applyBorder="1" applyAlignment="1">
      <alignment horizontal="right" vertical="center" wrapText="1"/>
    </xf>
    <xf numFmtId="185" fontId="132" fillId="0" borderId="9" xfId="0" applyNumberFormat="1" applyFont="1" applyBorder="1" applyAlignment="1">
      <alignment vertical="center" shrinkToFit="1"/>
    </xf>
    <xf numFmtId="181" fontId="132" fillId="23" borderId="9" xfId="1" applyFont="1" applyFill="1" applyBorder="1">
      <alignment vertical="center"/>
    </xf>
    <xf numFmtId="179" fontId="105" fillId="0" borderId="6" xfId="0" applyNumberFormat="1" applyFont="1" applyBorder="1" applyAlignment="1">
      <alignment vertical="center" shrinkToFit="1"/>
    </xf>
    <xf numFmtId="179" fontId="105" fillId="23" borderId="10" xfId="0" applyNumberFormat="1" applyFont="1" applyFill="1" applyBorder="1">
      <alignment vertical="center"/>
    </xf>
    <xf numFmtId="179" fontId="105" fillId="0" borderId="12" xfId="0" applyNumberFormat="1" applyFont="1" applyBorder="1" applyAlignment="1">
      <alignment vertical="center" shrinkToFit="1"/>
    </xf>
    <xf numFmtId="179" fontId="121" fillId="0" borderId="10" xfId="0" applyNumberFormat="1" applyFont="1" applyBorder="1" applyAlignment="1">
      <alignment vertical="center" shrinkToFit="1"/>
    </xf>
    <xf numFmtId="179" fontId="125" fillId="0" borderId="10" xfId="0" applyNumberFormat="1" applyFont="1" applyBorder="1" applyAlignment="1">
      <alignment vertical="center" shrinkToFit="1"/>
    </xf>
    <xf numFmtId="179" fontId="105" fillId="0" borderId="10" xfId="0" applyNumberFormat="1" applyFont="1" applyBorder="1">
      <alignment vertical="center"/>
    </xf>
    <xf numFmtId="179" fontId="105" fillId="0" borderId="10" xfId="0" applyNumberFormat="1" applyFont="1" applyBorder="1" applyAlignment="1">
      <alignment horizontal="center" vertical="center"/>
    </xf>
    <xf numFmtId="179" fontId="105" fillId="0" borderId="47" xfId="0" applyNumberFormat="1" applyFont="1" applyBorder="1" applyAlignment="1">
      <alignment horizontal="center" vertical="center"/>
    </xf>
    <xf numFmtId="179" fontId="107" fillId="35" borderId="33" xfId="0" applyNumberFormat="1" applyFont="1" applyFill="1" applyBorder="1">
      <alignment vertical="center"/>
    </xf>
    <xf numFmtId="179" fontId="107" fillId="35" borderId="31" xfId="0" applyNumberFormat="1" applyFont="1" applyFill="1" applyBorder="1">
      <alignment vertical="center"/>
    </xf>
    <xf numFmtId="179" fontId="107" fillId="35" borderId="63" xfId="0" applyNumberFormat="1" applyFont="1" applyFill="1" applyBorder="1">
      <alignment vertical="center"/>
    </xf>
    <xf numFmtId="179" fontId="107" fillId="35" borderId="32" xfId="0" applyNumberFormat="1" applyFont="1" applyFill="1" applyBorder="1">
      <alignment vertical="center"/>
    </xf>
    <xf numFmtId="179" fontId="107" fillId="35" borderId="6" xfId="0" applyNumberFormat="1" applyFont="1" applyFill="1" applyBorder="1">
      <alignment vertical="center"/>
    </xf>
    <xf numFmtId="181" fontId="125" fillId="24" borderId="9" xfId="1" applyFont="1" applyFill="1" applyBorder="1">
      <alignment vertical="center"/>
    </xf>
    <xf numFmtId="41" fontId="125" fillId="0" borderId="0" xfId="0" applyNumberFormat="1" applyFont="1">
      <alignment vertical="center"/>
    </xf>
    <xf numFmtId="41" fontId="214" fillId="0" borderId="0" xfId="0" applyNumberFormat="1" applyFont="1">
      <alignment vertical="center"/>
    </xf>
    <xf numFmtId="41" fontId="105" fillId="0" borderId="0" xfId="0" applyNumberFormat="1" applyFont="1">
      <alignment vertical="center"/>
    </xf>
    <xf numFmtId="38" fontId="107" fillId="38" borderId="40" xfId="0" applyNumberFormat="1" applyFont="1" applyFill="1" applyBorder="1" applyAlignment="1">
      <alignment horizontal="center" vertical="center"/>
    </xf>
    <xf numFmtId="179" fontId="107" fillId="38" borderId="40" xfId="0" applyNumberFormat="1" applyFont="1" applyFill="1" applyBorder="1">
      <alignment vertical="center"/>
    </xf>
    <xf numFmtId="179" fontId="105" fillId="38" borderId="40" xfId="0" applyNumberFormat="1" applyFont="1" applyFill="1" applyBorder="1">
      <alignment vertical="center"/>
    </xf>
    <xf numFmtId="179" fontId="107" fillId="38" borderId="38" xfId="0" applyNumberFormat="1" applyFont="1" applyFill="1" applyBorder="1" applyAlignment="1">
      <alignment horizontal="center" vertical="center"/>
    </xf>
    <xf numFmtId="179" fontId="107" fillId="38" borderId="59" xfId="0" applyNumberFormat="1" applyFont="1" applyFill="1" applyBorder="1" applyAlignment="1">
      <alignment horizontal="center" vertical="center" wrapText="1"/>
    </xf>
    <xf numFmtId="179" fontId="107" fillId="38" borderId="25" xfId="0" applyNumberFormat="1" applyFont="1" applyFill="1" applyBorder="1" applyAlignment="1">
      <alignment horizontal="center" vertical="center" wrapText="1"/>
    </xf>
    <xf numFmtId="179" fontId="107" fillId="38" borderId="40" xfId="0" applyNumberFormat="1" applyFont="1" applyFill="1" applyBorder="1" applyAlignment="1">
      <alignment horizontal="center" vertical="center" wrapText="1"/>
    </xf>
    <xf numFmtId="179" fontId="107" fillId="38" borderId="41" xfId="0" applyNumberFormat="1" applyFont="1" applyFill="1" applyBorder="1" applyAlignment="1">
      <alignment horizontal="center" vertical="center" wrapText="1"/>
    </xf>
    <xf numFmtId="179" fontId="107" fillId="38" borderId="59" xfId="0" applyNumberFormat="1" applyFont="1" applyFill="1" applyBorder="1">
      <alignment vertical="center"/>
    </xf>
    <xf numFmtId="179" fontId="107" fillId="38" borderId="38" xfId="0" applyNumberFormat="1" applyFont="1" applyFill="1" applyBorder="1">
      <alignment vertical="center"/>
    </xf>
    <xf numFmtId="179" fontId="107" fillId="38" borderId="60" xfId="0" applyNumberFormat="1" applyFont="1" applyFill="1" applyBorder="1">
      <alignment vertical="center"/>
    </xf>
    <xf numFmtId="179" fontId="107" fillId="38" borderId="48" xfId="0" quotePrefix="1" applyNumberFormat="1" applyFont="1" applyFill="1" applyBorder="1" applyAlignment="1">
      <alignment horizontal="center" wrapText="1"/>
    </xf>
    <xf numFmtId="179" fontId="107" fillId="38" borderId="48" xfId="0" applyNumberFormat="1" applyFont="1" applyFill="1" applyBorder="1" applyAlignment="1">
      <alignment horizontal="center" vertical="center" wrapText="1"/>
    </xf>
    <xf numFmtId="195" fontId="110" fillId="38" borderId="0" xfId="0" applyNumberFormat="1" applyFont="1" applyFill="1" applyAlignment="1">
      <alignment horizontal="center" vertical="center"/>
    </xf>
    <xf numFmtId="195" fontId="110" fillId="38" borderId="10" xfId="0" applyNumberFormat="1" applyFont="1" applyFill="1" applyBorder="1" applyAlignment="1">
      <alignment horizontal="center" vertical="center"/>
    </xf>
    <xf numFmtId="179" fontId="107" fillId="38" borderId="14" xfId="0" applyNumberFormat="1" applyFont="1" applyFill="1" applyBorder="1" applyAlignment="1">
      <alignment horizontal="center" wrapText="1"/>
    </xf>
    <xf numFmtId="188" fontId="107" fillId="38" borderId="10" xfId="0" applyNumberFormat="1" applyFont="1" applyFill="1" applyBorder="1" applyAlignment="1">
      <alignment horizontal="center" wrapText="1"/>
    </xf>
    <xf numFmtId="179" fontId="105" fillId="38" borderId="16" xfId="0" applyNumberFormat="1" applyFont="1" applyFill="1" applyBorder="1" applyAlignment="1">
      <alignment horizontal="center"/>
    </xf>
    <xf numFmtId="179" fontId="105" fillId="38" borderId="11" xfId="0" applyNumberFormat="1" applyFont="1" applyFill="1" applyBorder="1" applyAlignment="1">
      <alignment horizontal="center"/>
    </xf>
    <xf numFmtId="179" fontId="105" fillId="38" borderId="9" xfId="0" applyNumberFormat="1" applyFont="1" applyFill="1" applyBorder="1">
      <alignment vertical="center"/>
    </xf>
    <xf numFmtId="179" fontId="105" fillId="38" borderId="9" xfId="0" applyNumberFormat="1" applyFont="1" applyFill="1" applyBorder="1" applyAlignment="1">
      <alignment vertical="center" shrinkToFit="1"/>
    </xf>
    <xf numFmtId="179" fontId="125" fillId="38" borderId="9" xfId="0" applyNumberFormat="1" applyFont="1" applyFill="1" applyBorder="1" applyAlignment="1">
      <alignment vertical="center" shrinkToFit="1"/>
    </xf>
    <xf numFmtId="185" fontId="170" fillId="0" borderId="6" xfId="0" applyNumberFormat="1" applyFont="1" applyBorder="1" applyAlignment="1">
      <alignment vertical="center" shrinkToFit="1"/>
    </xf>
    <xf numFmtId="181" fontId="214" fillId="38" borderId="9" xfId="1" applyFont="1" applyFill="1" applyBorder="1">
      <alignment vertical="center"/>
    </xf>
    <xf numFmtId="179" fontId="125" fillId="38" borderId="9" xfId="0" applyNumberFormat="1" applyFont="1" applyFill="1" applyBorder="1">
      <alignment vertical="center"/>
    </xf>
    <xf numFmtId="181" fontId="125" fillId="38" borderId="9" xfId="1" applyFont="1" applyFill="1" applyBorder="1">
      <alignment vertical="center"/>
    </xf>
    <xf numFmtId="179" fontId="105" fillId="38" borderId="10" xfId="0" applyNumberFormat="1" applyFont="1" applyFill="1" applyBorder="1">
      <alignment vertical="center"/>
    </xf>
    <xf numFmtId="179" fontId="105" fillId="0" borderId="10" xfId="0" applyNumberFormat="1" applyFont="1" applyBorder="1" applyAlignment="1">
      <alignment vertical="center" shrinkToFit="1"/>
    </xf>
    <xf numFmtId="179" fontId="105" fillId="38" borderId="10" xfId="0" applyNumberFormat="1" applyFont="1" applyFill="1" applyBorder="1" applyAlignment="1">
      <alignment vertical="center" shrinkToFit="1"/>
    </xf>
    <xf numFmtId="38" fontId="107" fillId="25" borderId="40" xfId="0" applyNumberFormat="1" applyFont="1" applyFill="1" applyBorder="1" applyAlignment="1">
      <alignment horizontal="center" vertical="center"/>
    </xf>
    <xf numFmtId="179" fontId="107" fillId="25" borderId="40" xfId="0" applyNumberFormat="1" applyFont="1" applyFill="1" applyBorder="1">
      <alignment vertical="center"/>
    </xf>
    <xf numFmtId="179" fontId="105" fillId="25" borderId="40" xfId="0" applyNumberFormat="1" applyFont="1" applyFill="1" applyBorder="1">
      <alignment vertical="center"/>
    </xf>
    <xf numFmtId="179" fontId="107" fillId="25" borderId="38" xfId="0" applyNumberFormat="1" applyFont="1" applyFill="1" applyBorder="1" applyAlignment="1">
      <alignment horizontal="center" vertical="center"/>
    </xf>
    <xf numFmtId="179" fontId="107" fillId="25" borderId="59" xfId="0" applyNumberFormat="1" applyFont="1" applyFill="1" applyBorder="1" applyAlignment="1">
      <alignment horizontal="center" vertical="center" wrapText="1"/>
    </xf>
    <xf numFmtId="179" fontId="107" fillId="25" borderId="25" xfId="0" applyNumberFormat="1" applyFont="1" applyFill="1" applyBorder="1" applyAlignment="1">
      <alignment horizontal="center" vertical="center" wrapText="1"/>
    </xf>
    <xf numFmtId="179" fontId="107" fillId="25" borderId="40" xfId="0" applyNumberFormat="1" applyFont="1" applyFill="1" applyBorder="1" applyAlignment="1">
      <alignment horizontal="center" vertical="center" wrapText="1"/>
    </xf>
    <xf numFmtId="179" fontId="107" fillId="25" borderId="41" xfId="0" applyNumberFormat="1" applyFont="1" applyFill="1" applyBorder="1" applyAlignment="1">
      <alignment horizontal="center" vertical="center" wrapText="1"/>
    </xf>
    <xf numFmtId="179" fontId="107" fillId="25" borderId="59" xfId="0" applyNumberFormat="1" applyFont="1" applyFill="1" applyBorder="1">
      <alignment vertical="center"/>
    </xf>
    <xf numFmtId="179" fontId="107" fillId="25" borderId="38" xfId="0" applyNumberFormat="1" applyFont="1" applyFill="1" applyBorder="1">
      <alignment vertical="center"/>
    </xf>
    <xf numFmtId="179" fontId="107" fillId="25" borderId="60" xfId="0" applyNumberFormat="1" applyFont="1" applyFill="1" applyBorder="1">
      <alignment vertical="center"/>
    </xf>
    <xf numFmtId="179" fontId="107" fillId="25" borderId="48" xfId="0" quotePrefix="1" applyNumberFormat="1" applyFont="1" applyFill="1" applyBorder="1" applyAlignment="1">
      <alignment horizontal="center" wrapText="1"/>
    </xf>
    <xf numFmtId="179" fontId="107" fillId="25" borderId="48" xfId="0" applyNumberFormat="1" applyFont="1" applyFill="1" applyBorder="1" applyAlignment="1">
      <alignment horizontal="center" vertical="center" wrapText="1"/>
    </xf>
    <xf numFmtId="195" fontId="110" fillId="25" borderId="0" xfId="0" applyNumberFormat="1" applyFont="1" applyFill="1" applyAlignment="1">
      <alignment horizontal="center" vertical="center"/>
    </xf>
    <xf numFmtId="195" fontId="110" fillId="25" borderId="10" xfId="0" applyNumberFormat="1" applyFont="1" applyFill="1" applyBorder="1" applyAlignment="1">
      <alignment horizontal="center" vertical="center"/>
    </xf>
    <xf numFmtId="0" fontId="107" fillId="25" borderId="1" xfId="0" applyFont="1" applyFill="1" applyBorder="1" applyAlignment="1">
      <alignment horizontal="center" wrapText="1"/>
    </xf>
    <xf numFmtId="179" fontId="107" fillId="25" borderId="14" xfId="0" applyNumberFormat="1" applyFont="1" applyFill="1" applyBorder="1" applyAlignment="1">
      <alignment horizontal="center" wrapText="1"/>
    </xf>
    <xf numFmtId="188" fontId="107" fillId="25" borderId="10" xfId="0" applyNumberFormat="1" applyFont="1" applyFill="1" applyBorder="1" applyAlignment="1">
      <alignment horizontal="center" wrapText="1"/>
    </xf>
    <xf numFmtId="179" fontId="105" fillId="25" borderId="16" xfId="0" applyNumberFormat="1" applyFont="1" applyFill="1" applyBorder="1" applyAlignment="1">
      <alignment horizontal="center"/>
    </xf>
    <xf numFmtId="179" fontId="105" fillId="25" borderId="11" xfId="0" applyNumberFormat="1" applyFont="1" applyFill="1" applyBorder="1" applyAlignment="1">
      <alignment horizontal="center"/>
    </xf>
    <xf numFmtId="179" fontId="105" fillId="0" borderId="64" xfId="0" applyNumberFormat="1" applyFont="1" applyBorder="1">
      <alignment vertical="center"/>
    </xf>
    <xf numFmtId="179" fontId="105" fillId="0" borderId="61" xfId="0" applyNumberFormat="1" applyFont="1" applyBorder="1">
      <alignment vertical="center"/>
    </xf>
    <xf numFmtId="0" fontId="125" fillId="0" borderId="19" xfId="0" applyFont="1" applyBorder="1">
      <alignment vertical="center"/>
    </xf>
    <xf numFmtId="179" fontId="105" fillId="25" borderId="9" xfId="0" applyNumberFormat="1" applyFont="1" applyFill="1" applyBorder="1" applyAlignment="1">
      <alignment vertical="center" shrinkToFit="1"/>
    </xf>
    <xf numFmtId="185" fontId="125" fillId="0" borderId="22" xfId="0" applyNumberFormat="1" applyFont="1" applyBorder="1" applyAlignment="1">
      <alignment vertical="center" shrinkToFit="1"/>
    </xf>
    <xf numFmtId="185" fontId="105" fillId="0" borderId="22" xfId="0" applyNumberFormat="1" applyFont="1" applyBorder="1" applyAlignment="1">
      <alignment vertical="center" shrinkToFit="1"/>
    </xf>
    <xf numFmtId="185" fontId="170" fillId="0" borderId="22" xfId="0" applyNumberFormat="1" applyFont="1" applyBorder="1" applyAlignment="1">
      <alignment vertical="center" shrinkToFit="1"/>
    </xf>
    <xf numFmtId="179" fontId="125" fillId="25" borderId="9" xfId="0" applyNumberFormat="1" applyFont="1" applyFill="1" applyBorder="1" applyAlignment="1">
      <alignment vertical="center" shrinkToFit="1"/>
    </xf>
    <xf numFmtId="179" fontId="121" fillId="0" borderId="6" xfId="0" applyNumberFormat="1" applyFont="1" applyBorder="1" applyAlignment="1">
      <alignment vertical="center" shrinkToFit="1"/>
    </xf>
    <xf numFmtId="185" fontId="170" fillId="0" borderId="30" xfId="0" applyNumberFormat="1" applyFont="1" applyBorder="1" applyAlignment="1">
      <alignment vertical="center" shrinkToFit="1"/>
    </xf>
    <xf numFmtId="185" fontId="170" fillId="0" borderId="31" xfId="0" applyNumberFormat="1" applyFont="1" applyBorder="1" applyAlignment="1">
      <alignment vertical="center" shrinkToFit="1"/>
    </xf>
    <xf numFmtId="179" fontId="105" fillId="25" borderId="31" xfId="0" applyNumberFormat="1" applyFont="1" applyFill="1" applyBorder="1">
      <alignment vertical="center"/>
    </xf>
    <xf numFmtId="179" fontId="105" fillId="0" borderId="63" xfId="0" applyNumberFormat="1" applyFont="1" applyBorder="1" applyAlignment="1">
      <alignment vertical="center" shrinkToFit="1"/>
    </xf>
    <xf numFmtId="179" fontId="121" fillId="0" borderId="63" xfId="0" applyNumberFormat="1" applyFont="1" applyBorder="1" applyAlignment="1">
      <alignment vertical="center" shrinkToFit="1"/>
    </xf>
    <xf numFmtId="179" fontId="105" fillId="0" borderId="31" xfId="0" applyNumberFormat="1" applyFont="1" applyBorder="1" applyAlignment="1">
      <alignment horizontal="center" vertical="center"/>
    </xf>
    <xf numFmtId="179" fontId="105" fillId="0" borderId="32" xfId="0" applyNumberFormat="1" applyFont="1" applyBorder="1" applyAlignment="1">
      <alignment horizontal="center" vertical="center"/>
    </xf>
    <xf numFmtId="179" fontId="107" fillId="35" borderId="67" xfId="0" applyNumberFormat="1" applyFont="1" applyFill="1" applyBorder="1">
      <alignment vertical="center"/>
    </xf>
    <xf numFmtId="179" fontId="107" fillId="35" borderId="50" xfId="0" applyNumberFormat="1" applyFont="1" applyFill="1" applyBorder="1">
      <alignment vertical="center"/>
    </xf>
    <xf numFmtId="179" fontId="157" fillId="35" borderId="50" xfId="0" applyNumberFormat="1" applyFont="1" applyFill="1" applyBorder="1">
      <alignment vertical="center"/>
    </xf>
    <xf numFmtId="179" fontId="107" fillId="35" borderId="58" xfId="0" applyNumberFormat="1" applyFont="1" applyFill="1" applyBorder="1">
      <alignment vertical="center"/>
    </xf>
    <xf numFmtId="179" fontId="107" fillId="35" borderId="68" xfId="0" applyNumberFormat="1" applyFont="1" applyFill="1" applyBorder="1">
      <alignment vertical="center"/>
    </xf>
    <xf numFmtId="185" fontId="125" fillId="0" borderId="0" xfId="0" applyNumberFormat="1" applyFont="1" applyAlignment="1">
      <alignment horizontal="center" vertical="center"/>
    </xf>
    <xf numFmtId="179" fontId="125" fillId="23" borderId="0" xfId="0" applyNumberFormat="1" applyFont="1" applyFill="1">
      <alignment vertical="center"/>
    </xf>
    <xf numFmtId="179" fontId="125" fillId="32" borderId="0" xfId="0" applyNumberFormat="1" applyFont="1" applyFill="1" applyAlignment="1">
      <alignment horizontal="center" vertical="center"/>
    </xf>
    <xf numFmtId="179" fontId="125" fillId="32" borderId="0" xfId="0" applyNumberFormat="1" applyFont="1" applyFill="1">
      <alignment vertical="center"/>
    </xf>
    <xf numFmtId="179" fontId="105" fillId="32" borderId="0" xfId="0" applyNumberFormat="1" applyFont="1" applyFill="1">
      <alignment vertical="center"/>
    </xf>
    <xf numFmtId="179" fontId="105" fillId="39" borderId="0" xfId="0" applyNumberFormat="1" applyFont="1" applyFill="1">
      <alignment vertical="center"/>
    </xf>
    <xf numFmtId="179" fontId="125" fillId="51" borderId="0" xfId="0" applyNumberFormat="1" applyFont="1" applyFill="1">
      <alignment vertical="center"/>
    </xf>
    <xf numFmtId="179" fontId="105" fillId="51" borderId="0" xfId="0" applyNumberFormat="1" applyFont="1" applyFill="1">
      <alignment vertical="center"/>
    </xf>
    <xf numFmtId="179" fontId="132" fillId="0" borderId="0" xfId="0" applyNumberFormat="1" applyFont="1" applyAlignment="1">
      <alignment horizontal="center" vertical="center"/>
    </xf>
    <xf numFmtId="185" fontId="132" fillId="0" borderId="0" xfId="0" applyNumberFormat="1" applyFont="1">
      <alignment vertical="center"/>
    </xf>
    <xf numFmtId="197" fontId="132" fillId="0" borderId="0" xfId="0" applyNumberFormat="1" applyFont="1">
      <alignment vertical="center"/>
    </xf>
    <xf numFmtId="179" fontId="107" fillId="23" borderId="39" xfId="0" quotePrefix="1" applyNumberFormat="1" applyFont="1" applyFill="1" applyBorder="1" applyAlignment="1">
      <alignment horizontal="center" vertical="center"/>
    </xf>
    <xf numFmtId="179" fontId="107" fillId="23" borderId="40" xfId="0" applyNumberFormat="1" applyFont="1" applyFill="1" applyBorder="1" applyAlignment="1">
      <alignment horizontal="left" vertical="center"/>
    </xf>
    <xf numFmtId="179" fontId="107" fillId="23" borderId="26" xfId="0" applyNumberFormat="1" applyFont="1" applyFill="1" applyBorder="1" applyAlignment="1">
      <alignment horizontal="center" vertical="center"/>
    </xf>
    <xf numFmtId="179" fontId="107" fillId="0" borderId="45" xfId="0" applyNumberFormat="1" applyFont="1" applyBorder="1" applyAlignment="1">
      <alignment horizontal="center" vertical="center" wrapText="1"/>
    </xf>
    <xf numFmtId="179" fontId="107" fillId="0" borderId="10" xfId="0" applyNumberFormat="1" applyFont="1" applyBorder="1" applyAlignment="1">
      <alignment horizontal="center" vertical="center" wrapText="1"/>
    </xf>
    <xf numFmtId="179" fontId="105" fillId="0" borderId="10" xfId="0" applyNumberFormat="1" applyFont="1" applyBorder="1" applyAlignment="1">
      <alignment horizontal="center" vertical="center" wrapText="1"/>
    </xf>
    <xf numFmtId="179" fontId="107" fillId="23" borderId="11" xfId="0" quotePrefix="1" applyNumberFormat="1" applyFont="1" applyFill="1" applyBorder="1" applyAlignment="1">
      <alignment horizontal="center" wrapText="1"/>
    </xf>
    <xf numFmtId="195" fontId="110" fillId="0" borderId="2" xfId="0" applyNumberFormat="1" applyFont="1" applyBorder="1" applyAlignment="1">
      <alignment horizontal="center" vertical="center"/>
    </xf>
    <xf numFmtId="195" fontId="110" fillId="0" borderId="43" xfId="0" applyNumberFormat="1" applyFont="1" applyBorder="1" applyAlignment="1">
      <alignment horizontal="center" vertical="center"/>
    </xf>
    <xf numFmtId="179" fontId="107" fillId="23" borderId="17" xfId="0" applyNumberFormat="1" applyFont="1" applyFill="1" applyBorder="1" applyAlignment="1">
      <alignment horizontal="center" vertical="center" wrapText="1"/>
    </xf>
    <xf numFmtId="179" fontId="107" fillId="0" borderId="17" xfId="0" applyNumberFormat="1" applyFont="1" applyBorder="1" applyAlignment="1">
      <alignment horizontal="center" wrapText="1"/>
    </xf>
    <xf numFmtId="179" fontId="107" fillId="0" borderId="11" xfId="0" applyNumberFormat="1" applyFont="1" applyBorder="1" applyAlignment="1">
      <alignment horizontal="center" wrapText="1"/>
    </xf>
    <xf numFmtId="179" fontId="107" fillId="23" borderId="11" xfId="0" quotePrefix="1" applyNumberFormat="1" applyFont="1" applyFill="1" applyBorder="1" applyAlignment="1">
      <alignment horizontal="center" vertical="center" wrapText="1"/>
    </xf>
    <xf numFmtId="196" fontId="107" fillId="23" borderId="11" xfId="0" quotePrefix="1" applyNumberFormat="1" applyFont="1" applyFill="1" applyBorder="1" applyAlignment="1">
      <alignment horizontal="center" wrapText="1"/>
    </xf>
    <xf numFmtId="196" fontId="107" fillId="23" borderId="11" xfId="0" applyNumberFormat="1" applyFont="1" applyFill="1" applyBorder="1" applyAlignment="1">
      <alignment horizontal="center" wrapText="1"/>
    </xf>
    <xf numFmtId="179" fontId="107" fillId="0" borderId="2" xfId="0" applyNumberFormat="1" applyFont="1" applyBorder="1" applyAlignment="1">
      <alignment horizontal="center" wrapText="1"/>
    </xf>
    <xf numFmtId="179" fontId="107" fillId="0" borderId="43" xfId="0" applyNumberFormat="1" applyFont="1" applyBorder="1" applyAlignment="1">
      <alignment horizontal="center" wrapText="1"/>
    </xf>
    <xf numFmtId="179" fontId="105" fillId="0" borderId="0" xfId="0" applyNumberFormat="1" applyFont="1" applyAlignment="1">
      <alignment vertical="center" shrinkToFit="1"/>
    </xf>
    <xf numFmtId="3" fontId="105" fillId="0" borderId="6" xfId="0" applyNumberFormat="1" applyFont="1" applyBorder="1" applyAlignment="1">
      <alignment horizontal="right" vertical="center" wrapText="1"/>
    </xf>
    <xf numFmtId="3" fontId="105" fillId="0" borderId="21" xfId="0" applyNumberFormat="1" applyFont="1" applyBorder="1" applyAlignment="1">
      <alignment horizontal="right" vertical="center" wrapText="1"/>
    </xf>
    <xf numFmtId="179" fontId="105" fillId="23" borderId="8" xfId="0" applyNumberFormat="1" applyFont="1" applyFill="1" applyBorder="1">
      <alignment vertical="center"/>
    </xf>
    <xf numFmtId="185" fontId="107" fillId="0" borderId="0" xfId="0" applyNumberFormat="1" applyFont="1">
      <alignment vertical="center"/>
    </xf>
    <xf numFmtId="0" fontId="105" fillId="30" borderId="22" xfId="0" applyFont="1" applyFill="1" applyBorder="1" applyAlignment="1">
      <alignment horizontal="right" vertical="center"/>
    </xf>
    <xf numFmtId="0" fontId="105" fillId="30" borderId="9" xfId="0" applyFont="1" applyFill="1" applyBorder="1">
      <alignment vertical="center"/>
    </xf>
    <xf numFmtId="179" fontId="105" fillId="30" borderId="9" xfId="0" applyNumberFormat="1" applyFont="1" applyFill="1" applyBorder="1" applyAlignment="1">
      <alignment vertical="center" shrinkToFit="1"/>
    </xf>
    <xf numFmtId="179" fontId="105" fillId="30" borderId="6" xfId="0" applyNumberFormat="1" applyFont="1" applyFill="1" applyBorder="1">
      <alignment vertical="center"/>
    </xf>
    <xf numFmtId="179" fontId="105" fillId="30" borderId="9" xfId="0" applyNumberFormat="1" applyFont="1" applyFill="1" applyBorder="1">
      <alignment vertical="center"/>
    </xf>
    <xf numFmtId="3" fontId="105" fillId="30" borderId="6" xfId="0" applyNumberFormat="1" applyFont="1" applyFill="1" applyBorder="1" applyAlignment="1">
      <alignment horizontal="right" vertical="center" wrapText="1"/>
    </xf>
    <xf numFmtId="3" fontId="105" fillId="30" borderId="21" xfId="0" applyNumberFormat="1" applyFont="1" applyFill="1" applyBorder="1" applyAlignment="1">
      <alignment horizontal="right" vertical="center" wrapText="1"/>
    </xf>
    <xf numFmtId="179" fontId="105" fillId="30" borderId="8" xfId="0" applyNumberFormat="1" applyFont="1" applyFill="1" applyBorder="1">
      <alignment vertical="center"/>
    </xf>
    <xf numFmtId="0" fontId="105" fillId="30" borderId="30" xfId="0" applyFont="1" applyFill="1" applyBorder="1" applyAlignment="1">
      <alignment horizontal="right" vertical="center"/>
    </xf>
    <xf numFmtId="0" fontId="105" fillId="30" borderId="31" xfId="0" applyFont="1" applyFill="1" applyBorder="1">
      <alignment vertical="center"/>
    </xf>
    <xf numFmtId="179" fontId="105" fillId="30" borderId="31" xfId="0" applyNumberFormat="1" applyFont="1" applyFill="1" applyBorder="1" applyAlignment="1">
      <alignment vertical="center" shrinkToFit="1"/>
    </xf>
    <xf numFmtId="179" fontId="105" fillId="30" borderId="63" xfId="0" applyNumberFormat="1" applyFont="1" applyFill="1" applyBorder="1">
      <alignment vertical="center"/>
    </xf>
    <xf numFmtId="179" fontId="105" fillId="30" borderId="31" xfId="0" applyNumberFormat="1" applyFont="1" applyFill="1" applyBorder="1">
      <alignment vertical="center"/>
    </xf>
    <xf numFmtId="3" fontId="105" fillId="30" borderId="63" xfId="0" applyNumberFormat="1" applyFont="1" applyFill="1" applyBorder="1" applyAlignment="1">
      <alignment horizontal="right" vertical="center" wrapText="1"/>
    </xf>
    <xf numFmtId="3" fontId="105" fillId="30" borderId="32" xfId="0" applyNumberFormat="1" applyFont="1" applyFill="1" applyBorder="1" applyAlignment="1">
      <alignment horizontal="right" vertical="center" wrapText="1"/>
    </xf>
    <xf numFmtId="179" fontId="105" fillId="30" borderId="34" xfId="0" applyNumberFormat="1" applyFont="1" applyFill="1" applyBorder="1">
      <alignment vertical="center"/>
    </xf>
    <xf numFmtId="0" fontId="105" fillId="0" borderId="4" xfId="0" applyFont="1" applyBorder="1" applyAlignment="1">
      <alignment horizontal="center" vertical="center"/>
    </xf>
    <xf numFmtId="0" fontId="105" fillId="0" borderId="32" xfId="0" applyFont="1" applyBorder="1" applyAlignment="1">
      <alignment horizontal="center" vertical="center"/>
    </xf>
    <xf numFmtId="0" fontId="105" fillId="0" borderId="42" xfId="0" applyFont="1" applyBorder="1">
      <alignment vertical="center"/>
    </xf>
    <xf numFmtId="0" fontId="105" fillId="0" borderId="11" xfId="0" applyFont="1" applyBorder="1">
      <alignment vertical="center"/>
    </xf>
    <xf numFmtId="179" fontId="105" fillId="0" borderId="11" xfId="0" applyNumberFormat="1" applyFont="1" applyBorder="1" applyAlignment="1">
      <alignment vertical="center" shrinkToFit="1"/>
    </xf>
    <xf numFmtId="179" fontId="105" fillId="0" borderId="16" xfId="0" applyNumberFormat="1" applyFont="1" applyBorder="1">
      <alignment vertical="center"/>
    </xf>
    <xf numFmtId="3" fontId="105" fillId="0" borderId="16" xfId="0" applyNumberFormat="1" applyFont="1" applyBorder="1" applyAlignment="1">
      <alignment horizontal="right" vertical="center" wrapText="1"/>
    </xf>
    <xf numFmtId="3" fontId="105" fillId="0" borderId="43" xfId="0" applyNumberFormat="1" applyFont="1" applyBorder="1" applyAlignment="1">
      <alignment horizontal="right" vertical="center" wrapText="1"/>
    </xf>
    <xf numFmtId="179" fontId="105" fillId="23" borderId="17" xfId="0" applyNumberFormat="1" applyFont="1" applyFill="1" applyBorder="1">
      <alignment vertical="center"/>
    </xf>
    <xf numFmtId="179" fontId="105" fillId="0" borderId="11" xfId="0" applyNumberFormat="1" applyFont="1" applyBorder="1" applyAlignment="1">
      <alignment horizontal="center" vertical="center"/>
    </xf>
    <xf numFmtId="0" fontId="105" fillId="0" borderId="43" xfId="0" applyFont="1" applyBorder="1" applyAlignment="1">
      <alignment horizontal="center" vertical="center"/>
    </xf>
    <xf numFmtId="197" fontId="107" fillId="0" borderId="0" xfId="0" applyNumberFormat="1" applyFont="1">
      <alignment vertical="center"/>
    </xf>
    <xf numFmtId="185" fontId="107" fillId="0" borderId="0" xfId="0" applyNumberFormat="1" applyFont="1" applyAlignment="1">
      <alignment horizontal="center" vertical="center"/>
    </xf>
    <xf numFmtId="3" fontId="105" fillId="30" borderId="16" xfId="0" applyNumberFormat="1" applyFont="1" applyFill="1" applyBorder="1" applyAlignment="1">
      <alignment horizontal="right" vertical="center" wrapText="1"/>
    </xf>
    <xf numFmtId="3" fontId="105" fillId="30" borderId="43" xfId="0" applyNumberFormat="1" applyFont="1" applyFill="1" applyBorder="1" applyAlignment="1">
      <alignment horizontal="right" vertical="center" wrapText="1"/>
    </xf>
    <xf numFmtId="197" fontId="107" fillId="0" borderId="0" xfId="0" applyNumberFormat="1" applyFont="1" applyAlignment="1">
      <alignment horizontal="center" vertical="center"/>
    </xf>
    <xf numFmtId="0" fontId="223" fillId="0" borderId="2" xfId="0" applyFont="1" applyBorder="1">
      <alignment vertical="center"/>
    </xf>
    <xf numFmtId="179" fontId="125" fillId="0" borderId="2" xfId="0" applyNumberFormat="1" applyFont="1" applyBorder="1">
      <alignment vertical="center"/>
    </xf>
    <xf numFmtId="179" fontId="107" fillId="0" borderId="56" xfId="0" applyNumberFormat="1" applyFont="1" applyBorder="1" applyAlignment="1">
      <alignment horizontal="center" vertical="center" wrapText="1"/>
    </xf>
    <xf numFmtId="179" fontId="107" fillId="0" borderId="48" xfId="0" applyNumberFormat="1" applyFont="1" applyBorder="1" applyAlignment="1">
      <alignment horizontal="center" vertical="center"/>
    </xf>
    <xf numFmtId="179" fontId="105" fillId="0" borderId="48" xfId="0" applyNumberFormat="1" applyFont="1" applyBorder="1" applyAlignment="1">
      <alignment horizontal="center" vertical="center" wrapText="1"/>
    </xf>
    <xf numFmtId="179" fontId="107" fillId="0" borderId="15" xfId="0" applyNumberFormat="1" applyFont="1" applyBorder="1" applyAlignment="1">
      <alignment horizontal="center" wrapText="1"/>
    </xf>
    <xf numFmtId="179" fontId="107" fillId="23" borderId="48" xfId="0" quotePrefix="1" applyNumberFormat="1" applyFont="1" applyFill="1" applyBorder="1" applyAlignment="1">
      <alignment horizontal="center" vertical="center" wrapText="1"/>
    </xf>
    <xf numFmtId="179" fontId="107" fillId="0" borderId="48" xfId="0" applyNumberFormat="1" applyFont="1" applyBorder="1" applyAlignment="1">
      <alignment horizontal="center" wrapText="1"/>
    </xf>
    <xf numFmtId="196" fontId="107" fillId="23" borderId="48" xfId="0" quotePrefix="1" applyNumberFormat="1" applyFont="1" applyFill="1" applyBorder="1" applyAlignment="1">
      <alignment horizontal="center" wrapText="1"/>
    </xf>
    <xf numFmtId="196" fontId="107" fillId="23" borderId="48" xfId="0" applyNumberFormat="1" applyFont="1" applyFill="1" applyBorder="1" applyAlignment="1">
      <alignment horizontal="center" wrapText="1"/>
    </xf>
    <xf numFmtId="38" fontId="125" fillId="0" borderId="1" xfId="0" applyNumberFormat="1" applyFont="1" applyBorder="1" applyAlignment="1">
      <alignment horizontal="left" vertical="center"/>
    </xf>
    <xf numFmtId="179" fontId="105" fillId="23" borderId="10" xfId="0" applyNumberFormat="1" applyFont="1" applyFill="1" applyBorder="1" applyAlignment="1">
      <alignment vertical="center" shrinkToFit="1"/>
    </xf>
    <xf numFmtId="0" fontId="105" fillId="0" borderId="1" xfId="0" applyFont="1" applyBorder="1" applyAlignment="1">
      <alignment horizontal="center" vertical="center"/>
    </xf>
    <xf numFmtId="0" fontId="105" fillId="0" borderId="47" xfId="0" applyFont="1" applyBorder="1" applyAlignment="1">
      <alignment horizontal="center" vertical="center"/>
    </xf>
    <xf numFmtId="198" fontId="102" fillId="0" borderId="2" xfId="1" applyNumberFormat="1" applyFont="1" applyBorder="1" applyAlignment="1">
      <alignment horizontal="left"/>
    </xf>
    <xf numFmtId="38" fontId="105" fillId="0" borderId="2" xfId="1" applyNumberFormat="1" applyFont="1" applyBorder="1" applyAlignment="1">
      <alignment horizontal="center"/>
    </xf>
    <xf numFmtId="38" fontId="180" fillId="36" borderId="2" xfId="1" applyNumberFormat="1" applyFont="1" applyFill="1" applyBorder="1" applyAlignment="1">
      <alignment horizontal="center"/>
    </xf>
    <xf numFmtId="38" fontId="125" fillId="0" borderId="2" xfId="1" applyNumberFormat="1" applyFont="1" applyBorder="1" applyAlignment="1">
      <alignment horizontal="center"/>
    </xf>
    <xf numFmtId="179" fontId="190" fillId="0" borderId="7" xfId="0" applyNumberFormat="1" applyFont="1" applyBorder="1">
      <alignment vertical="center"/>
    </xf>
    <xf numFmtId="10" fontId="107" fillId="23" borderId="22" xfId="1" applyNumberFormat="1" applyFont="1" applyFill="1" applyBorder="1" applyAlignment="1">
      <alignment horizontal="center" vertical="center" wrapText="1"/>
    </xf>
    <xf numFmtId="10" fontId="107" fillId="23" borderId="9" xfId="1" applyNumberFormat="1" applyFont="1" applyFill="1" applyBorder="1" applyAlignment="1">
      <alignment horizontal="center" vertical="center" wrapText="1"/>
    </xf>
    <xf numFmtId="10" fontId="107" fillId="23" borderId="21" xfId="1" applyNumberFormat="1" applyFont="1" applyFill="1" applyBorder="1" applyAlignment="1">
      <alignment horizontal="center" vertical="center" wrapText="1"/>
    </xf>
    <xf numFmtId="10" fontId="107" fillId="23" borderId="8" xfId="1" applyNumberFormat="1" applyFont="1" applyFill="1" applyBorder="1" applyAlignment="1">
      <alignment horizontal="center" vertical="center" wrapText="1"/>
    </xf>
    <xf numFmtId="38" fontId="105" fillId="0" borderId="9" xfId="1" applyNumberFormat="1" applyFont="1" applyBorder="1" applyAlignment="1">
      <alignment horizontal="right" vertical="center" shrinkToFit="1"/>
    </xf>
    <xf numFmtId="0" fontId="125" fillId="0" borderId="9" xfId="0" applyFont="1" applyBorder="1" applyAlignment="1">
      <alignment horizontal="center" vertical="center" shrinkToFit="1"/>
    </xf>
    <xf numFmtId="38" fontId="105" fillId="54" borderId="9" xfId="1" applyNumberFormat="1" applyFont="1" applyFill="1" applyBorder="1" applyAlignment="1">
      <alignment horizontal="right" vertical="center" shrinkToFit="1"/>
    </xf>
    <xf numFmtId="0" fontId="105" fillId="0" borderId="9" xfId="0" applyFont="1" applyBorder="1" applyAlignment="1">
      <alignment horizontal="center" vertical="center" shrinkToFit="1"/>
    </xf>
    <xf numFmtId="38" fontId="105" fillId="0" borderId="0" xfId="1" applyNumberFormat="1" applyFont="1" applyBorder="1" applyAlignment="1">
      <alignment horizontal="left" vertical="center" shrinkToFit="1"/>
    </xf>
    <xf numFmtId="0" fontId="105" fillId="23" borderId="21" xfId="0" applyFont="1" applyFill="1" applyBorder="1" applyAlignment="1">
      <alignment horizontal="center" vertical="center"/>
    </xf>
    <xf numFmtId="0" fontId="105" fillId="24" borderId="21" xfId="0" applyFont="1" applyFill="1" applyBorder="1" applyAlignment="1">
      <alignment horizontal="center" vertical="center"/>
    </xf>
    <xf numFmtId="38" fontId="117" fillId="0" borderId="9" xfId="1" applyNumberFormat="1" applyFont="1" applyBorder="1" applyAlignment="1">
      <alignment horizontal="right" vertical="center" shrinkToFit="1"/>
    </xf>
    <xf numFmtId="38" fontId="117" fillId="54" borderId="9" xfId="1" applyNumberFormat="1" applyFont="1" applyFill="1" applyBorder="1" applyAlignment="1">
      <alignment horizontal="right" vertical="center" shrinkToFit="1"/>
    </xf>
    <xf numFmtId="38" fontId="117" fillId="0" borderId="0" xfId="1" applyNumberFormat="1" applyFont="1" applyBorder="1" applyAlignment="1">
      <alignment horizontal="left" vertical="center" shrinkToFit="1"/>
    </xf>
    <xf numFmtId="0" fontId="117" fillId="23" borderId="21" xfId="0" applyFont="1" applyFill="1" applyBorder="1" applyAlignment="1">
      <alignment horizontal="center" vertical="center"/>
    </xf>
    <xf numFmtId="0" fontId="117" fillId="24" borderId="21" xfId="0" applyFont="1" applyFill="1" applyBorder="1" applyAlignment="1">
      <alignment horizontal="center" vertical="center"/>
    </xf>
    <xf numFmtId="179" fontId="117" fillId="0" borderId="9" xfId="0" applyNumberFormat="1" applyFont="1" applyBorder="1">
      <alignment vertical="center"/>
    </xf>
    <xf numFmtId="0" fontId="105" fillId="23" borderId="44" xfId="0" applyFont="1" applyFill="1" applyBorder="1" applyAlignment="1">
      <alignment horizontal="center" vertical="center"/>
    </xf>
    <xf numFmtId="0" fontId="117" fillId="23" borderId="44" xfId="0" applyFont="1" applyFill="1" applyBorder="1" applyAlignment="1">
      <alignment horizontal="center" vertical="center"/>
    </xf>
    <xf numFmtId="38" fontId="121" fillId="54" borderId="9" xfId="1" applyNumberFormat="1" applyFont="1" applyFill="1" applyBorder="1" applyAlignment="1">
      <alignment horizontal="right" vertical="center" shrinkToFit="1"/>
    </xf>
    <xf numFmtId="38" fontId="121" fillId="0" borderId="0" xfId="1" applyNumberFormat="1" applyFont="1" applyBorder="1" applyAlignment="1">
      <alignment horizontal="left" vertical="center" shrinkToFit="1"/>
    </xf>
    <xf numFmtId="0" fontId="121" fillId="23" borderId="44" xfId="0" applyFont="1" applyFill="1" applyBorder="1" applyAlignment="1">
      <alignment horizontal="center" vertical="center"/>
    </xf>
    <xf numFmtId="0" fontId="121" fillId="24" borderId="21" xfId="0" applyFont="1" applyFill="1" applyBorder="1" applyAlignment="1">
      <alignment horizontal="center" vertical="center"/>
    </xf>
    <xf numFmtId="38" fontId="105" fillId="36" borderId="9" xfId="1" applyNumberFormat="1" applyFont="1" applyFill="1" applyBorder="1" applyAlignment="1">
      <alignment horizontal="right" vertical="center" shrinkToFit="1"/>
    </xf>
    <xf numFmtId="38" fontId="117" fillId="36" borderId="9" xfId="1" applyNumberFormat="1" applyFont="1" applyFill="1" applyBorder="1" applyAlignment="1">
      <alignment horizontal="right" vertical="center" shrinkToFit="1"/>
    </xf>
    <xf numFmtId="179" fontId="117" fillId="36" borderId="9" xfId="0" applyNumberFormat="1" applyFont="1" applyFill="1" applyBorder="1">
      <alignment vertical="center"/>
    </xf>
    <xf numFmtId="38" fontId="105" fillId="47" borderId="0" xfId="1" applyNumberFormat="1" applyFont="1" applyFill="1" applyBorder="1" applyAlignment="1">
      <alignment horizontal="left" vertical="center" shrinkToFit="1"/>
    </xf>
    <xf numFmtId="38" fontId="105" fillId="22" borderId="9" xfId="1" applyNumberFormat="1" applyFont="1" applyFill="1" applyBorder="1" applyAlignment="1">
      <alignment horizontal="right" vertical="center" shrinkToFit="1"/>
    </xf>
    <xf numFmtId="0" fontId="106" fillId="28" borderId="9" xfId="0" applyFont="1" applyFill="1" applyBorder="1" applyAlignment="1">
      <alignment horizontal="center" vertical="center" shrinkToFit="1"/>
    </xf>
    <xf numFmtId="181" fontId="107" fillId="31" borderId="65" xfId="1" applyFont="1" applyFill="1" applyBorder="1" applyAlignment="1">
      <alignment horizontal="left" vertical="center" shrinkToFit="1"/>
    </xf>
    <xf numFmtId="10" fontId="125" fillId="0" borderId="9" xfId="0" applyNumberFormat="1" applyFont="1" applyBorder="1" applyAlignment="1">
      <alignment horizontal="center" vertical="center" shrinkToFit="1"/>
    </xf>
    <xf numFmtId="0" fontId="121" fillId="23" borderId="21" xfId="0" applyFont="1" applyFill="1" applyBorder="1" applyAlignment="1">
      <alignment horizontal="center" vertical="center"/>
    </xf>
    <xf numFmtId="0" fontId="107" fillId="39" borderId="9" xfId="0" applyFont="1" applyFill="1" applyBorder="1" applyAlignment="1">
      <alignment horizontal="center" vertical="center" shrinkToFit="1"/>
    </xf>
    <xf numFmtId="181" fontId="107" fillId="31" borderId="20" xfId="1" applyFont="1" applyFill="1" applyBorder="1" applyAlignment="1">
      <alignment horizontal="left" vertical="center" shrinkToFit="1"/>
    </xf>
    <xf numFmtId="181" fontId="107" fillId="31" borderId="21" xfId="1" applyFont="1" applyFill="1" applyBorder="1" applyAlignment="1">
      <alignment horizontal="left" vertical="center" shrinkToFit="1"/>
    </xf>
    <xf numFmtId="181" fontId="107" fillId="34" borderId="33" xfId="1" applyFont="1" applyFill="1" applyBorder="1" applyAlignment="1">
      <alignment horizontal="left" vertical="center" shrinkToFit="1"/>
    </xf>
    <xf numFmtId="0" fontId="107" fillId="24" borderId="21" xfId="0" applyFont="1" applyFill="1" applyBorder="1" applyAlignment="1">
      <alignment horizontal="center" vertical="center"/>
    </xf>
    <xf numFmtId="10" fontId="188" fillId="0" borderId="0" xfId="1" applyNumberFormat="1" applyFont="1" applyBorder="1" applyAlignment="1">
      <alignment horizontal="center" vertical="center" shrinkToFit="1"/>
    </xf>
    <xf numFmtId="179" fontId="170" fillId="0" borderId="0" xfId="0" applyNumberFormat="1" applyFont="1">
      <alignment vertical="center"/>
    </xf>
    <xf numFmtId="184" fontId="125" fillId="0" borderId="0" xfId="0" applyNumberFormat="1" applyFont="1" applyAlignment="1">
      <alignment horizontal="center" vertical="center"/>
    </xf>
    <xf numFmtId="9" fontId="107" fillId="0" borderId="0" xfId="1" applyNumberFormat="1" applyFont="1" applyBorder="1" applyAlignment="1">
      <alignment horizontal="center" vertical="center" shrinkToFit="1"/>
    </xf>
    <xf numFmtId="10" fontId="107" fillId="0" borderId="0" xfId="1" applyNumberFormat="1" applyFont="1" applyBorder="1" applyAlignment="1">
      <alignment horizontal="center" vertical="center" shrinkToFit="1"/>
    </xf>
    <xf numFmtId="38" fontId="105" fillId="0" borderId="0" xfId="1" applyNumberFormat="1" applyFont="1" applyBorder="1" applyAlignment="1">
      <alignment horizontal="right" vertical="center" shrinkToFit="1"/>
    </xf>
    <xf numFmtId="9" fontId="105" fillId="0" borderId="0" xfId="1" applyNumberFormat="1" applyFont="1" applyBorder="1" applyAlignment="1">
      <alignment horizontal="center" vertical="center" shrinkToFit="1"/>
    </xf>
    <xf numFmtId="181" fontId="107" fillId="23" borderId="20" xfId="1" applyFont="1" applyFill="1" applyBorder="1" applyAlignment="1">
      <alignment horizontal="center" vertical="center" wrapText="1"/>
    </xf>
    <xf numFmtId="181" fontId="107" fillId="23" borderId="9" xfId="1" applyFont="1" applyFill="1" applyBorder="1" applyAlignment="1">
      <alignment horizontal="center" vertical="center" wrapText="1"/>
    </xf>
    <xf numFmtId="181" fontId="107" fillId="23" borderId="44" xfId="1" applyFont="1" applyFill="1" applyBorder="1" applyAlignment="1">
      <alignment horizontal="center" vertical="center" wrapText="1"/>
    </xf>
    <xf numFmtId="181" fontId="107" fillId="23" borderId="22" xfId="1" applyFont="1" applyFill="1" applyBorder="1" applyAlignment="1">
      <alignment horizontal="center" vertical="center" wrapText="1"/>
    </xf>
    <xf numFmtId="181" fontId="107" fillId="23" borderId="21" xfId="1" applyFont="1" applyFill="1" applyBorder="1" applyAlignment="1">
      <alignment horizontal="center" vertical="center" wrapText="1"/>
    </xf>
    <xf numFmtId="9" fontId="105" fillId="0" borderId="0" xfId="1" applyNumberFormat="1" applyFont="1" applyBorder="1" applyAlignment="1">
      <alignment horizontal="right" vertical="center" shrinkToFit="1"/>
    </xf>
    <xf numFmtId="9" fontId="105" fillId="0" borderId="0" xfId="1" applyNumberFormat="1" applyFont="1" applyBorder="1" applyAlignment="1">
      <alignment horizontal="right" shrinkToFit="1"/>
    </xf>
    <xf numFmtId="37" fontId="105" fillId="0" borderId="0" xfId="1" applyNumberFormat="1" applyFont="1" applyBorder="1" applyAlignment="1">
      <alignment horizontal="right" shrinkToFit="1"/>
    </xf>
    <xf numFmtId="37" fontId="105" fillId="0" borderId="0" xfId="1" applyNumberFormat="1" applyFont="1" applyBorder="1" applyAlignment="1">
      <alignment horizontal="center" shrinkToFit="1"/>
    </xf>
    <xf numFmtId="179" fontId="105" fillId="23" borderId="44" xfId="0" applyNumberFormat="1" applyFont="1" applyFill="1" applyBorder="1" applyAlignment="1">
      <alignment horizontal="center" vertical="center"/>
    </xf>
    <xf numFmtId="179" fontId="105" fillId="24" borderId="21" xfId="0" applyNumberFormat="1" applyFont="1" applyFill="1" applyBorder="1" applyAlignment="1">
      <alignment horizontal="center" vertical="center"/>
    </xf>
    <xf numFmtId="9" fontId="107" fillId="0" borderId="0" xfId="1" applyNumberFormat="1" applyFont="1" applyBorder="1" applyAlignment="1">
      <alignment horizontal="right" shrinkToFit="1"/>
    </xf>
    <xf numFmtId="37" fontId="107" fillId="0" borderId="0" xfId="1" applyNumberFormat="1" applyFont="1" applyBorder="1" applyAlignment="1">
      <alignment horizontal="right" shrinkToFit="1"/>
    </xf>
    <xf numFmtId="37" fontId="107" fillId="0" borderId="0" xfId="1" applyNumberFormat="1" applyFont="1" applyBorder="1" applyAlignment="1">
      <alignment horizontal="center" shrinkToFit="1"/>
    </xf>
    <xf numFmtId="179" fontId="107" fillId="33" borderId="44" xfId="0" applyNumberFormat="1" applyFont="1" applyFill="1" applyBorder="1" applyAlignment="1">
      <alignment horizontal="center" vertical="center"/>
    </xf>
    <xf numFmtId="10" fontId="76" fillId="0" borderId="9" xfId="0" applyNumberFormat="1" applyFont="1" applyBorder="1" applyAlignment="1">
      <alignment horizontal="center" vertical="center" shrinkToFit="1"/>
    </xf>
    <xf numFmtId="179" fontId="105" fillId="33" borderId="44" xfId="0" applyNumberFormat="1" applyFont="1" applyFill="1" applyBorder="1" applyAlignment="1">
      <alignment horizontal="center" vertical="center"/>
    </xf>
    <xf numFmtId="179" fontId="107" fillId="34" borderId="44" xfId="0" applyNumberFormat="1" applyFont="1" applyFill="1" applyBorder="1" applyAlignment="1">
      <alignment horizontal="center" vertical="center"/>
    </xf>
    <xf numFmtId="179" fontId="107" fillId="34" borderId="32" xfId="0" applyNumberFormat="1" applyFont="1" applyFill="1" applyBorder="1" applyAlignment="1">
      <alignment horizontal="center" vertical="center"/>
    </xf>
    <xf numFmtId="192" fontId="100" fillId="0" borderId="0" xfId="1" applyNumberFormat="1" applyBorder="1" applyAlignment="1">
      <alignment horizontal="right" vertical="center"/>
    </xf>
    <xf numFmtId="184" fontId="129" fillId="0" borderId="0" xfId="0" applyNumberFormat="1" applyFont="1" applyAlignment="1">
      <alignment horizontal="center" vertical="center"/>
    </xf>
    <xf numFmtId="192" fontId="100" fillId="43" borderId="0" xfId="1" applyNumberFormat="1" applyFill="1" applyBorder="1" applyAlignment="1">
      <alignment horizontal="right" vertical="center"/>
    </xf>
    <xf numFmtId="192" fontId="100" fillId="35" borderId="0" xfId="1" applyNumberFormat="1" applyFill="1" applyBorder="1" applyAlignment="1">
      <alignment horizontal="right" vertical="center"/>
    </xf>
    <xf numFmtId="192" fontId="100" fillId="22" borderId="0" xfId="1" applyNumberFormat="1" applyFill="1" applyBorder="1" applyAlignment="1">
      <alignment horizontal="left" vertical="center"/>
    </xf>
    <xf numFmtId="192" fontId="100" fillId="22" borderId="0" xfId="1" applyNumberFormat="1" applyFill="1" applyBorder="1" applyAlignment="1">
      <alignment horizontal="right" vertical="center"/>
    </xf>
    <xf numFmtId="9" fontId="87" fillId="0" borderId="0" xfId="2" applyFont="1">
      <alignment vertical="center"/>
    </xf>
    <xf numFmtId="14" fontId="102" fillId="0" borderId="64" xfId="1" applyNumberFormat="1" applyFont="1" applyBorder="1" applyAlignment="1">
      <alignment horizontal="left"/>
    </xf>
    <xf numFmtId="185" fontId="102" fillId="0" borderId="61" xfId="0" applyNumberFormat="1" applyFont="1" applyBorder="1">
      <alignment vertical="center"/>
    </xf>
    <xf numFmtId="185" fontId="107" fillId="0" borderId="30" xfId="0" applyNumberFormat="1" applyFont="1" applyBorder="1" applyAlignment="1">
      <alignment horizontal="center" vertical="center" wrapText="1"/>
    </xf>
    <xf numFmtId="185" fontId="107" fillId="0" borderId="63" xfId="0" applyNumberFormat="1" applyFont="1" applyBorder="1" applyAlignment="1">
      <alignment horizontal="center" vertical="center" wrapText="1"/>
    </xf>
    <xf numFmtId="185" fontId="107" fillId="46" borderId="69" xfId="0" applyNumberFormat="1" applyFont="1" applyFill="1" applyBorder="1" applyAlignment="1">
      <alignment horizontal="center" vertical="center" wrapText="1"/>
    </xf>
    <xf numFmtId="185" fontId="107" fillId="46" borderId="70" xfId="0" applyNumberFormat="1" applyFont="1" applyFill="1" applyBorder="1" applyAlignment="1">
      <alignment horizontal="center" vertical="center" wrapText="1"/>
    </xf>
    <xf numFmtId="185" fontId="125" fillId="46" borderId="70" xfId="0" applyNumberFormat="1" applyFont="1" applyFill="1" applyBorder="1" applyAlignment="1">
      <alignment horizontal="center" vertical="center" wrapText="1"/>
    </xf>
    <xf numFmtId="185" fontId="125" fillId="58" borderId="70" xfId="0" applyNumberFormat="1" applyFont="1" applyFill="1" applyBorder="1" applyAlignment="1">
      <alignment horizontal="center" vertical="center" wrapText="1"/>
    </xf>
    <xf numFmtId="185" fontId="125" fillId="58" borderId="71" xfId="0" applyNumberFormat="1" applyFont="1" applyFill="1" applyBorder="1" applyAlignment="1">
      <alignment horizontal="center" vertical="center" wrapText="1"/>
    </xf>
    <xf numFmtId="185" fontId="125" fillId="58" borderId="69" xfId="0" applyNumberFormat="1" applyFont="1" applyFill="1" applyBorder="1" applyAlignment="1">
      <alignment horizontal="center" vertical="center" wrapText="1"/>
    </xf>
    <xf numFmtId="185" fontId="125" fillId="55" borderId="70" xfId="0" applyNumberFormat="1" applyFont="1" applyFill="1" applyBorder="1" applyAlignment="1">
      <alignment horizontal="center" vertical="center" wrapText="1"/>
    </xf>
    <xf numFmtId="185" fontId="125" fillId="55" borderId="71" xfId="0" applyNumberFormat="1" applyFont="1" applyFill="1" applyBorder="1" applyAlignment="1">
      <alignment horizontal="center" vertical="center" wrapText="1"/>
    </xf>
    <xf numFmtId="185" fontId="125" fillId="36" borderId="64" xfId="0" applyNumberFormat="1" applyFont="1" applyFill="1" applyBorder="1" applyAlignment="1">
      <alignment horizontal="center" vertical="center" wrapText="1"/>
    </xf>
    <xf numFmtId="185" fontId="125" fillId="36" borderId="61" xfId="0" applyNumberFormat="1" applyFont="1" applyFill="1" applyBorder="1" applyAlignment="1">
      <alignment horizontal="center" vertical="center" wrapText="1"/>
    </xf>
    <xf numFmtId="185" fontId="125" fillId="36" borderId="72" xfId="0" applyNumberFormat="1" applyFont="1" applyFill="1" applyBorder="1" applyAlignment="1">
      <alignment horizontal="center" vertical="center" wrapText="1"/>
    </xf>
    <xf numFmtId="185" fontId="125" fillId="0" borderId="0" xfId="0" applyNumberFormat="1" applyFont="1" applyAlignment="1">
      <alignment horizontal="center" vertical="center" wrapText="1"/>
    </xf>
    <xf numFmtId="185" fontId="105" fillId="0" borderId="11" xfId="0" applyNumberFormat="1" applyFont="1" applyBorder="1" applyAlignment="1">
      <alignment horizontal="left" vertical="center"/>
    </xf>
    <xf numFmtId="185" fontId="105" fillId="0" borderId="16" xfId="0" applyNumberFormat="1" applyFont="1" applyBorder="1" applyAlignment="1">
      <alignment vertical="center" shrinkToFit="1"/>
    </xf>
    <xf numFmtId="185" fontId="105" fillId="0" borderId="18" xfId="0" applyNumberFormat="1" applyFont="1" applyBorder="1" applyAlignment="1">
      <alignment vertical="center" shrinkToFit="1"/>
    </xf>
    <xf numFmtId="185" fontId="105" fillId="0" borderId="0" xfId="0" applyNumberFormat="1" applyFont="1" applyAlignment="1">
      <alignment vertical="center" shrinkToFit="1"/>
    </xf>
    <xf numFmtId="185" fontId="125" fillId="0" borderId="0" xfId="3" applyNumberFormat="1" applyFont="1" applyBorder="1">
      <alignment vertical="center"/>
    </xf>
    <xf numFmtId="185" fontId="125" fillId="0" borderId="19" xfId="3" applyNumberFormat="1" applyFont="1" applyBorder="1">
      <alignment vertical="center"/>
    </xf>
    <xf numFmtId="185" fontId="125" fillId="0" borderId="18" xfId="3" applyNumberFormat="1" applyFont="1" applyBorder="1">
      <alignment vertical="center"/>
    </xf>
    <xf numFmtId="185" fontId="125" fillId="0" borderId="73" xfId="3" applyNumberFormat="1" applyFont="1" applyBorder="1">
      <alignment vertical="center"/>
    </xf>
    <xf numFmtId="185" fontId="125" fillId="0" borderId="19" xfId="0" applyNumberFormat="1" applyFont="1" applyBorder="1">
      <alignment vertical="center"/>
    </xf>
    <xf numFmtId="185" fontId="105" fillId="0" borderId="6" xfId="0" applyNumberFormat="1" applyFont="1" applyBorder="1" applyAlignment="1">
      <alignment vertical="center" shrinkToFit="1"/>
    </xf>
    <xf numFmtId="185" fontId="117" fillId="0" borderId="9" xfId="0" applyNumberFormat="1" applyFont="1" applyBorder="1" applyAlignment="1">
      <alignment horizontal="left" vertical="center"/>
    </xf>
    <xf numFmtId="185" fontId="117" fillId="0" borderId="6" xfId="2" applyNumberFormat="1" applyFont="1" applyBorder="1" applyAlignment="1">
      <alignment horizontal="left" vertical="center"/>
    </xf>
    <xf numFmtId="185" fontId="105" fillId="0" borderId="6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horizontal="left" vertical="center"/>
    </xf>
    <xf numFmtId="185" fontId="121" fillId="0" borderId="9" xfId="0" applyNumberFormat="1" applyFont="1" applyBorder="1" applyAlignment="1">
      <alignment horizontal="left" vertical="center"/>
    </xf>
    <xf numFmtId="185" fontId="121" fillId="0" borderId="6" xfId="0" applyNumberFormat="1" applyFont="1" applyBorder="1" applyAlignment="1">
      <alignment horizontal="left" vertical="center"/>
    </xf>
    <xf numFmtId="185" fontId="117" fillId="0" borderId="6" xfId="0" applyNumberFormat="1" applyFont="1" applyBorder="1" applyAlignment="1">
      <alignment vertical="center" shrinkToFit="1"/>
    </xf>
    <xf numFmtId="185" fontId="107" fillId="23" borderId="9" xfId="0" applyNumberFormat="1" applyFont="1" applyFill="1" applyBorder="1">
      <alignment vertical="center"/>
    </xf>
    <xf numFmtId="185" fontId="107" fillId="23" borderId="6" xfId="0" applyNumberFormat="1" applyFont="1" applyFill="1" applyBorder="1">
      <alignment vertical="center"/>
    </xf>
    <xf numFmtId="185" fontId="107" fillId="23" borderId="18" xfId="3" applyNumberFormat="1" applyFont="1" applyFill="1" applyBorder="1">
      <alignment vertical="center"/>
    </xf>
    <xf numFmtId="185" fontId="107" fillId="23" borderId="0" xfId="3" applyNumberFormat="1" applyFont="1" applyFill="1" applyBorder="1">
      <alignment vertical="center"/>
    </xf>
    <xf numFmtId="185" fontId="107" fillId="23" borderId="19" xfId="3" applyNumberFormat="1" applyFont="1" applyFill="1" applyBorder="1">
      <alignment vertical="center"/>
    </xf>
    <xf numFmtId="185" fontId="107" fillId="23" borderId="73" xfId="3" applyNumberFormat="1" applyFont="1" applyFill="1" applyBorder="1">
      <alignment vertical="center"/>
    </xf>
    <xf numFmtId="185" fontId="158" fillId="0" borderId="9" xfId="0" applyNumberFormat="1" applyFont="1" applyBorder="1" applyAlignment="1">
      <alignment horizontal="left" vertical="center"/>
    </xf>
    <xf numFmtId="185" fontId="158" fillId="0" borderId="6" xfId="0" applyNumberFormat="1" applyFont="1" applyBorder="1">
      <alignment vertical="center"/>
    </xf>
    <xf numFmtId="185" fontId="105" fillId="0" borderId="6" xfId="0" applyNumberFormat="1" applyFont="1" applyBorder="1">
      <alignment vertical="center"/>
    </xf>
    <xf numFmtId="185" fontId="186" fillId="0" borderId="9" xfId="0" applyNumberFormat="1" applyFont="1" applyBorder="1" applyAlignment="1">
      <alignment horizontal="left" vertical="center"/>
    </xf>
    <xf numFmtId="185" fontId="186" fillId="0" borderId="6" xfId="0" applyNumberFormat="1" applyFont="1" applyBorder="1">
      <alignment vertical="center"/>
    </xf>
    <xf numFmtId="185" fontId="117" fillId="0" borderId="6" xfId="0" applyNumberFormat="1" applyFont="1" applyBorder="1">
      <alignment vertical="center"/>
    </xf>
    <xf numFmtId="185" fontId="121" fillId="0" borderId="9" xfId="0" applyNumberFormat="1" applyFont="1" applyBorder="1">
      <alignment vertical="center"/>
    </xf>
    <xf numFmtId="185" fontId="121" fillId="0" borderId="6" xfId="0" applyNumberFormat="1" applyFont="1" applyBorder="1">
      <alignment vertical="center"/>
    </xf>
    <xf numFmtId="185" fontId="125" fillId="0" borderId="9" xfId="0" applyNumberFormat="1" applyFont="1" applyBorder="1" applyAlignment="1">
      <alignment horizontal="left" vertical="center"/>
    </xf>
    <xf numFmtId="185" fontId="125" fillId="0" borderId="6" xfId="0" applyNumberFormat="1" applyFont="1" applyBorder="1" applyAlignment="1">
      <alignment horizontal="left" vertical="center"/>
    </xf>
    <xf numFmtId="185" fontId="107" fillId="25" borderId="9" xfId="0" applyNumberFormat="1" applyFont="1" applyFill="1" applyBorder="1">
      <alignment vertical="center"/>
    </xf>
    <xf numFmtId="185" fontId="107" fillId="25" borderId="6" xfId="0" applyNumberFormat="1" applyFont="1" applyFill="1" applyBorder="1">
      <alignment vertical="center"/>
    </xf>
    <xf numFmtId="185" fontId="107" fillId="23" borderId="18" xfId="0" applyNumberFormat="1" applyFont="1" applyFill="1" applyBorder="1">
      <alignment vertical="center"/>
    </xf>
    <xf numFmtId="185" fontId="107" fillId="23" borderId="0" xfId="0" applyNumberFormat="1" applyFont="1" applyFill="1">
      <alignment vertical="center"/>
    </xf>
    <xf numFmtId="185" fontId="107" fillId="23" borderId="19" xfId="0" applyNumberFormat="1" applyFont="1" applyFill="1" applyBorder="1">
      <alignment vertical="center"/>
    </xf>
    <xf numFmtId="185" fontId="107" fillId="23" borderId="73" xfId="0" applyNumberFormat="1" applyFont="1" applyFill="1" applyBorder="1">
      <alignment vertical="center"/>
    </xf>
    <xf numFmtId="185" fontId="107" fillId="34" borderId="8" xfId="0" applyNumberFormat="1" applyFont="1" applyFill="1" applyBorder="1">
      <alignment vertical="center"/>
    </xf>
    <xf numFmtId="185" fontId="107" fillId="34" borderId="7" xfId="0" applyNumberFormat="1" applyFont="1" applyFill="1" applyBorder="1">
      <alignment vertical="center"/>
    </xf>
    <xf numFmtId="185" fontId="107" fillId="34" borderId="67" xfId="0" applyNumberFormat="1" applyFont="1" applyFill="1" applyBorder="1">
      <alignment vertical="center"/>
    </xf>
    <xf numFmtId="185" fontId="107" fillId="34" borderId="23" xfId="0" applyNumberFormat="1" applyFont="1" applyFill="1" applyBorder="1">
      <alignment vertical="center"/>
    </xf>
    <xf numFmtId="185" fontId="107" fillId="34" borderId="74" xfId="0" applyNumberFormat="1" applyFont="1" applyFill="1" applyBorder="1">
      <alignment vertical="center"/>
    </xf>
    <xf numFmtId="185" fontId="107" fillId="34" borderId="75" xfId="0" applyNumberFormat="1" applyFont="1" applyFill="1" applyBorder="1">
      <alignment vertical="center"/>
    </xf>
    <xf numFmtId="185" fontId="125" fillId="0" borderId="0" xfId="0" applyNumberFormat="1" applyFont="1" applyAlignment="1">
      <alignment horizontal="right" vertical="center"/>
    </xf>
    <xf numFmtId="185" fontId="125" fillId="58" borderId="0" xfId="0" applyNumberFormat="1" applyFont="1" applyFill="1">
      <alignment vertical="center"/>
    </xf>
    <xf numFmtId="14" fontId="125" fillId="0" borderId="0" xfId="0" applyNumberFormat="1" applyFont="1">
      <alignment vertical="center"/>
    </xf>
    <xf numFmtId="185" fontId="102" fillId="0" borderId="69" xfId="3" applyNumberFormat="1" applyFont="1" applyFill="1" applyBorder="1" applyAlignment="1">
      <alignment vertical="center"/>
    </xf>
    <xf numFmtId="185" fontId="102" fillId="0" borderId="71" xfId="3" applyNumberFormat="1" applyFont="1" applyFill="1" applyBorder="1" applyAlignment="1">
      <alignment vertical="center"/>
    </xf>
    <xf numFmtId="185" fontId="125" fillId="55" borderId="64" xfId="0" applyNumberFormat="1" applyFont="1" applyFill="1" applyBorder="1" applyAlignment="1">
      <alignment horizontal="center" vertical="center"/>
    </xf>
    <xf numFmtId="185" fontId="125" fillId="36" borderId="64" xfId="0" applyNumberFormat="1" applyFont="1" applyFill="1" applyBorder="1" applyAlignment="1">
      <alignment horizontal="center" vertical="center"/>
    </xf>
    <xf numFmtId="185" fontId="125" fillId="36" borderId="61" xfId="0" applyNumberFormat="1" applyFont="1" applyFill="1" applyBorder="1" applyAlignment="1">
      <alignment horizontal="center" vertical="center"/>
    </xf>
    <xf numFmtId="185" fontId="125" fillId="36" borderId="72" xfId="0" applyNumberFormat="1" applyFont="1" applyFill="1" applyBorder="1" applyAlignment="1">
      <alignment horizontal="center" vertical="center"/>
    </xf>
    <xf numFmtId="185" fontId="105" fillId="22" borderId="9" xfId="0" applyNumberFormat="1" applyFont="1" applyFill="1" applyBorder="1" applyAlignment="1">
      <alignment horizontal="left" vertical="center"/>
    </xf>
    <xf numFmtId="185" fontId="105" fillId="22" borderId="6" xfId="0" applyNumberFormat="1" applyFont="1" applyFill="1" applyBorder="1" applyAlignment="1">
      <alignment vertical="center" shrinkToFit="1"/>
    </xf>
    <xf numFmtId="185" fontId="105" fillId="22" borderId="18" xfId="0" applyNumberFormat="1" applyFont="1" applyFill="1" applyBorder="1" applyAlignment="1">
      <alignment vertical="center" shrinkToFit="1"/>
    </xf>
    <xf numFmtId="185" fontId="105" fillId="22" borderId="0" xfId="0" applyNumberFormat="1" applyFont="1" applyFill="1" applyAlignment="1">
      <alignment vertical="center" shrinkToFit="1"/>
    </xf>
    <xf numFmtId="185" fontId="125" fillId="22" borderId="0" xfId="3" applyNumberFormat="1" applyFont="1" applyFill="1" applyBorder="1">
      <alignment vertical="center"/>
    </xf>
    <xf numFmtId="185" fontId="125" fillId="22" borderId="64" xfId="3" applyNumberFormat="1" applyFont="1" applyFill="1" applyBorder="1">
      <alignment vertical="center"/>
    </xf>
    <xf numFmtId="185" fontId="125" fillId="22" borderId="66" xfId="3" applyNumberFormat="1" applyFont="1" applyFill="1" applyBorder="1">
      <alignment vertical="center"/>
    </xf>
    <xf numFmtId="185" fontId="125" fillId="22" borderId="61" xfId="3" applyNumberFormat="1" applyFont="1" applyFill="1" applyBorder="1">
      <alignment vertical="center"/>
    </xf>
    <xf numFmtId="185" fontId="125" fillId="22" borderId="72" xfId="3" applyNumberFormat="1" applyFont="1" applyFill="1" applyBorder="1">
      <alignment vertical="center"/>
    </xf>
    <xf numFmtId="185" fontId="125" fillId="22" borderId="64" xfId="0" applyNumberFormat="1" applyFont="1" applyFill="1" applyBorder="1">
      <alignment vertical="center"/>
    </xf>
    <xf numFmtId="185" fontId="125" fillId="22" borderId="72" xfId="0" applyNumberFormat="1" applyFont="1" applyFill="1" applyBorder="1">
      <alignment vertical="center"/>
    </xf>
    <xf numFmtId="185" fontId="125" fillId="0" borderId="18" xfId="0" applyNumberFormat="1" applyFont="1" applyBorder="1">
      <alignment vertical="center"/>
    </xf>
    <xf numFmtId="185" fontId="125" fillId="0" borderId="73" xfId="0" applyNumberFormat="1" applyFont="1" applyBorder="1">
      <alignment vertical="center"/>
    </xf>
    <xf numFmtId="185" fontId="105" fillId="22" borderId="6" xfId="0" applyNumberFormat="1" applyFont="1" applyFill="1" applyBorder="1" applyAlignment="1">
      <alignment horizontal="left" vertical="center"/>
    </xf>
    <xf numFmtId="185" fontId="125" fillId="22" borderId="67" xfId="3" applyNumberFormat="1" applyFont="1" applyFill="1" applyBorder="1">
      <alignment vertical="center"/>
    </xf>
    <xf numFmtId="185" fontId="125" fillId="22" borderId="74" xfId="3" applyNumberFormat="1" applyFont="1" applyFill="1" applyBorder="1">
      <alignment vertical="center"/>
    </xf>
    <xf numFmtId="185" fontId="125" fillId="22" borderId="23" xfId="3" applyNumberFormat="1" applyFont="1" applyFill="1" applyBorder="1">
      <alignment vertical="center"/>
    </xf>
    <xf numFmtId="185" fontId="125" fillId="22" borderId="75" xfId="3" applyNumberFormat="1" applyFont="1" applyFill="1" applyBorder="1">
      <alignment vertical="center"/>
    </xf>
    <xf numFmtId="185" fontId="125" fillId="22" borderId="67" xfId="0" applyNumberFormat="1" applyFont="1" applyFill="1" applyBorder="1">
      <alignment vertical="center"/>
    </xf>
    <xf numFmtId="185" fontId="125" fillId="22" borderId="75" xfId="0" applyNumberFormat="1" applyFont="1" applyFill="1" applyBorder="1">
      <alignment vertical="center"/>
    </xf>
    <xf numFmtId="185" fontId="125" fillId="0" borderId="67" xfId="3" applyNumberFormat="1" applyFont="1" applyBorder="1">
      <alignment vertical="center"/>
    </xf>
    <xf numFmtId="185" fontId="125" fillId="0" borderId="74" xfId="3" applyNumberFormat="1" applyFont="1" applyBorder="1">
      <alignment vertical="center"/>
    </xf>
    <xf numFmtId="185" fontId="125" fillId="0" borderId="23" xfId="3" applyNumberFormat="1" applyFont="1" applyBorder="1">
      <alignment vertical="center"/>
    </xf>
    <xf numFmtId="185" fontId="125" fillId="0" borderId="75" xfId="3" applyNumberFormat="1" applyFont="1" applyBorder="1">
      <alignment vertical="center"/>
    </xf>
    <xf numFmtId="185" fontId="125" fillId="0" borderId="67" xfId="0" applyNumberFormat="1" applyFont="1" applyBorder="1">
      <alignment vertical="center"/>
    </xf>
    <xf numFmtId="185" fontId="125" fillId="0" borderId="75" xfId="0" applyNumberFormat="1" applyFont="1" applyBorder="1">
      <alignment vertical="center"/>
    </xf>
    <xf numFmtId="185" fontId="125" fillId="0" borderId="0" xfId="0" quotePrefix="1" applyNumberFormat="1" applyFont="1">
      <alignment vertical="center"/>
    </xf>
    <xf numFmtId="38" fontId="76" fillId="0" borderId="0" xfId="0" applyNumberFormat="1" applyFont="1">
      <alignment vertical="center"/>
    </xf>
    <xf numFmtId="184" fontId="125" fillId="22" borderId="9" xfId="0" applyNumberFormat="1" applyFont="1" applyFill="1" applyBorder="1" applyAlignment="1">
      <alignment horizontal="center" vertical="center"/>
    </xf>
    <xf numFmtId="38" fontId="125" fillId="39" borderId="9" xfId="0" applyNumberFormat="1" applyFont="1" applyFill="1" applyBorder="1" applyAlignment="1">
      <alignment horizontal="center" vertical="center"/>
    </xf>
    <xf numFmtId="38" fontId="125" fillId="39" borderId="9" xfId="0" applyNumberFormat="1" applyFont="1" applyFill="1" applyBorder="1">
      <alignment vertical="center"/>
    </xf>
    <xf numFmtId="38" fontId="125" fillId="30" borderId="9" xfId="0" applyNumberFormat="1" applyFont="1" applyFill="1" applyBorder="1" applyAlignment="1">
      <alignment horizontal="center" vertical="center"/>
    </xf>
    <xf numFmtId="38" fontId="177" fillId="30" borderId="11" xfId="0" applyNumberFormat="1" applyFont="1" applyFill="1" applyBorder="1">
      <alignment vertical="center"/>
    </xf>
    <xf numFmtId="176" fontId="2" fillId="0" borderId="0" xfId="0" applyNumberFormat="1" applyFont="1" applyAlignment="1"/>
    <xf numFmtId="0" fontId="107" fillId="48" borderId="10" xfId="0" applyFont="1" applyFill="1" applyBorder="1" applyAlignment="1">
      <alignment horizontal="center" vertical="center" wrapText="1"/>
    </xf>
    <xf numFmtId="0" fontId="107" fillId="48" borderId="16" xfId="0" applyFont="1" applyFill="1" applyBorder="1" applyAlignment="1">
      <alignment horizontal="center"/>
    </xf>
    <xf numFmtId="181" fontId="105" fillId="48" borderId="0" xfId="1" applyFont="1" applyFill="1">
      <alignment vertical="center"/>
    </xf>
    <xf numFmtId="181" fontId="107" fillId="48" borderId="9" xfId="1" applyFont="1" applyFill="1" applyBorder="1">
      <alignment vertical="center"/>
    </xf>
    <xf numFmtId="0" fontId="107" fillId="0" borderId="10" xfId="0" applyFont="1" applyBorder="1" applyAlignment="1">
      <alignment horizontal="center" vertical="center" wrapText="1"/>
    </xf>
    <xf numFmtId="0" fontId="107" fillId="0" borderId="16" xfId="0" applyFont="1" applyBorder="1" applyAlignment="1">
      <alignment horizontal="center"/>
    </xf>
    <xf numFmtId="181" fontId="107" fillId="0" borderId="0" xfId="1" applyFont="1">
      <alignment vertical="center"/>
    </xf>
    <xf numFmtId="0" fontId="107" fillId="0" borderId="11" xfId="0" applyFont="1" applyBorder="1" applyAlignment="1">
      <alignment horizontal="center"/>
    </xf>
    <xf numFmtId="0" fontId="107" fillId="0" borderId="2" xfId="0" applyFont="1" applyBorder="1" applyAlignment="1">
      <alignment horizontal="center"/>
    </xf>
    <xf numFmtId="181" fontId="105" fillId="0" borderId="6" xfId="1" applyFont="1" applyBorder="1">
      <alignment vertical="center"/>
    </xf>
    <xf numFmtId="181" fontId="107" fillId="48" borderId="5" xfId="1" applyFont="1" applyFill="1" applyBorder="1">
      <alignment vertical="center"/>
    </xf>
    <xf numFmtId="181" fontId="107" fillId="48" borderId="3" xfId="1" applyFont="1" applyFill="1" applyBorder="1">
      <alignment vertical="center"/>
    </xf>
    <xf numFmtId="0" fontId="107" fillId="58" borderId="10" xfId="0" applyFont="1" applyFill="1" applyBorder="1" applyAlignment="1">
      <alignment horizontal="center" vertical="center" wrapText="1"/>
    </xf>
    <xf numFmtId="0" fontId="107" fillId="58" borderId="16" xfId="0" applyFont="1" applyFill="1" applyBorder="1" applyAlignment="1">
      <alignment horizontal="center"/>
    </xf>
    <xf numFmtId="181" fontId="105" fillId="58" borderId="0" xfId="1" applyFont="1" applyFill="1">
      <alignment vertical="center"/>
    </xf>
    <xf numFmtId="181" fontId="107" fillId="58" borderId="9" xfId="1" applyFont="1" applyFill="1" applyBorder="1">
      <alignment vertical="center"/>
    </xf>
    <xf numFmtId="181" fontId="107" fillId="58" borderId="3" xfId="1" applyFont="1" applyFill="1" applyBorder="1">
      <alignment vertical="center"/>
    </xf>
    <xf numFmtId="181" fontId="107" fillId="58" borderId="5" xfId="1" applyFont="1" applyFill="1" applyBorder="1">
      <alignment vertical="center"/>
    </xf>
    <xf numFmtId="181" fontId="154" fillId="22" borderId="5" xfId="1" applyFont="1" applyFill="1" applyBorder="1">
      <alignment vertical="center"/>
    </xf>
    <xf numFmtId="0" fontId="110" fillId="22" borderId="0" xfId="0" applyFont="1" applyFill="1">
      <alignment vertical="center"/>
    </xf>
    <xf numFmtId="176" fontId="2" fillId="0" borderId="0" xfId="0" applyNumberFormat="1" applyFont="1" applyAlignment="1">
      <alignment horizontal="right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45" fillId="6" borderId="0" xfId="0" applyNumberFormat="1" applyFont="1" applyFill="1" applyAlignment="1">
      <alignment horizontal="center" vertical="center"/>
    </xf>
    <xf numFmtId="176" fontId="45" fillId="0" borderId="6" xfId="0" applyNumberFormat="1" applyFont="1" applyBorder="1" applyAlignment="1">
      <alignment horizontal="center" vertical="center" wrapText="1"/>
    </xf>
    <xf numFmtId="176" fontId="45" fillId="0" borderId="8" xfId="0" applyNumberFormat="1" applyFont="1" applyBorder="1" applyAlignment="1">
      <alignment horizontal="center" vertical="center" wrapText="1"/>
    </xf>
    <xf numFmtId="176" fontId="2" fillId="4" borderId="6" xfId="0" applyNumberFormat="1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56" fillId="0" borderId="6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left" vertical="top" wrapText="1"/>
    </xf>
    <xf numFmtId="0" fontId="154" fillId="39" borderId="0" xfId="0" applyFont="1" applyFill="1" applyAlignment="1">
      <alignment horizontal="center" vertical="center" wrapText="1"/>
    </xf>
    <xf numFmtId="0" fontId="154" fillId="39" borderId="2" xfId="0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center" vertical="center"/>
    </xf>
    <xf numFmtId="0" fontId="107" fillId="23" borderId="7" xfId="0" applyFont="1" applyFill="1" applyBorder="1" applyAlignment="1">
      <alignment horizontal="center" vertical="center"/>
    </xf>
    <xf numFmtId="49" fontId="107" fillId="23" borderId="7" xfId="0" applyNumberFormat="1" applyFont="1" applyFill="1" applyBorder="1" applyAlignment="1">
      <alignment horizontal="center" vertical="center" wrapText="1"/>
    </xf>
    <xf numFmtId="49" fontId="107" fillId="23" borderId="6" xfId="0" applyNumberFormat="1" applyFont="1" applyFill="1" applyBorder="1" applyAlignment="1">
      <alignment horizontal="center" vertical="center" wrapText="1"/>
    </xf>
    <xf numFmtId="0" fontId="107" fillId="23" borderId="48" xfId="0" applyFont="1" applyFill="1" applyBorder="1" applyAlignment="1">
      <alignment horizontal="center" vertical="center" wrapText="1"/>
    </xf>
    <xf numFmtId="0" fontId="107" fillId="23" borderId="11" xfId="0" applyFont="1" applyFill="1" applyBorder="1" applyAlignment="1">
      <alignment horizontal="center" vertical="center" wrapText="1"/>
    </xf>
    <xf numFmtId="179" fontId="107" fillId="23" borderId="45" xfId="0" applyNumberFormat="1" applyFont="1" applyFill="1" applyBorder="1" applyAlignment="1">
      <alignment horizontal="center" vertical="center" wrapText="1"/>
    </xf>
    <xf numFmtId="179" fontId="107" fillId="23" borderId="42" xfId="0" applyNumberFormat="1" applyFont="1" applyFill="1" applyBorder="1" applyAlignment="1">
      <alignment horizontal="center" vertical="center" wrapText="1"/>
    </xf>
    <xf numFmtId="179" fontId="107" fillId="23" borderId="10" xfId="0" applyNumberFormat="1" applyFont="1" applyFill="1" applyBorder="1" applyAlignment="1">
      <alignment horizontal="center" vertical="center"/>
    </xf>
    <xf numFmtId="179" fontId="107" fillId="23" borderId="11" xfId="0" applyNumberFormat="1" applyFont="1" applyFill="1" applyBorder="1" applyAlignment="1">
      <alignment horizontal="center" vertical="center"/>
    </xf>
    <xf numFmtId="0" fontId="107" fillId="23" borderId="10" xfId="0" applyFont="1" applyFill="1" applyBorder="1" applyAlignment="1">
      <alignment horizontal="center" vertical="center" wrapText="1"/>
    </xf>
    <xf numFmtId="0" fontId="107" fillId="23" borderId="12" xfId="0" applyFont="1" applyFill="1" applyBorder="1" applyAlignment="1">
      <alignment horizontal="center" vertical="center" wrapText="1"/>
    </xf>
    <xf numFmtId="0" fontId="107" fillId="23" borderId="16" xfId="0" applyFont="1" applyFill="1" applyBorder="1" applyAlignment="1">
      <alignment horizontal="center" vertical="center" wrapText="1"/>
    </xf>
    <xf numFmtId="49" fontId="107" fillId="23" borderId="48" xfId="0" applyNumberFormat="1" applyFont="1" applyFill="1" applyBorder="1" applyAlignment="1">
      <alignment horizontal="center" vertical="center" wrapText="1"/>
    </xf>
    <xf numFmtId="49" fontId="107" fillId="23" borderId="11" xfId="0" applyNumberFormat="1" applyFont="1" applyFill="1" applyBorder="1" applyAlignment="1">
      <alignment horizontal="center" vertical="center" wrapText="1"/>
    </xf>
    <xf numFmtId="49" fontId="107" fillId="23" borderId="48" xfId="0" applyNumberFormat="1" applyFont="1" applyFill="1" applyBorder="1" applyAlignment="1">
      <alignment horizontal="center" vertical="center"/>
    </xf>
    <xf numFmtId="49" fontId="107" fillId="23" borderId="11" xfId="0" applyNumberFormat="1" applyFont="1" applyFill="1" applyBorder="1" applyAlignment="1">
      <alignment horizontal="center" vertical="center"/>
    </xf>
    <xf numFmtId="0" fontId="107" fillId="23" borderId="9" xfId="0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center" vertical="center" wrapText="1"/>
    </xf>
    <xf numFmtId="49" fontId="107" fillId="23" borderId="8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 wrapText="1"/>
    </xf>
    <xf numFmtId="49" fontId="107" fillId="23" borderId="10" xfId="0" applyNumberFormat="1" applyFont="1" applyFill="1" applyBorder="1" applyAlignment="1">
      <alignment horizontal="center" vertical="center"/>
    </xf>
    <xf numFmtId="179" fontId="154" fillId="46" borderId="0" xfId="0" applyNumberFormat="1" applyFont="1" applyFill="1" applyAlignment="1">
      <alignment horizontal="left" vertical="center"/>
    </xf>
    <xf numFmtId="179" fontId="107" fillId="23" borderId="10" xfId="0" applyNumberFormat="1" applyFont="1" applyFill="1" applyBorder="1" applyAlignment="1">
      <alignment horizontal="center" vertical="center" wrapText="1"/>
    </xf>
    <xf numFmtId="179" fontId="107" fillId="23" borderId="11" xfId="0" applyNumberFormat="1" applyFont="1" applyFill="1" applyBorder="1" applyAlignment="1">
      <alignment horizontal="center" vertical="center" wrapText="1"/>
    </xf>
    <xf numFmtId="0" fontId="217" fillId="32" borderId="10" xfId="0" applyFont="1" applyFill="1" applyBorder="1" applyAlignment="1">
      <alignment horizontal="center" vertical="center"/>
    </xf>
    <xf numFmtId="0" fontId="217" fillId="32" borderId="48" xfId="0" applyFont="1" applyFill="1" applyBorder="1" applyAlignment="1">
      <alignment horizontal="center" vertical="center"/>
    </xf>
    <xf numFmtId="49" fontId="107" fillId="23" borderId="56" xfId="0" applyNumberFormat="1" applyFont="1" applyFill="1" applyBorder="1" applyAlignment="1">
      <alignment horizontal="center" vertical="center" wrapText="1"/>
    </xf>
    <xf numFmtId="49" fontId="107" fillId="23" borderId="42" xfId="0" applyNumberFormat="1" applyFont="1" applyFill="1" applyBorder="1" applyAlignment="1">
      <alignment horizontal="center" vertical="center" wrapText="1"/>
    </xf>
    <xf numFmtId="0" fontId="107" fillId="23" borderId="6" xfId="0" applyFont="1" applyFill="1" applyBorder="1" applyAlignment="1">
      <alignment horizontal="left" vertical="center"/>
    </xf>
    <xf numFmtId="0" fontId="107" fillId="23" borderId="7" xfId="0" applyFont="1" applyFill="1" applyBorder="1" applyAlignment="1">
      <alignment horizontal="left" vertical="center"/>
    </xf>
    <xf numFmtId="179" fontId="107" fillId="23" borderId="6" xfId="0" applyNumberFormat="1" applyFont="1" applyFill="1" applyBorder="1" applyAlignment="1">
      <alignment horizontal="center" vertical="center" wrapText="1"/>
    </xf>
    <xf numFmtId="179" fontId="107" fillId="23" borderId="7" xfId="0" applyNumberFormat="1" applyFont="1" applyFill="1" applyBorder="1" applyAlignment="1">
      <alignment horizontal="center" vertical="center" wrapText="1"/>
    </xf>
    <xf numFmtId="179" fontId="107" fillId="23" borderId="48" xfId="0" applyNumberFormat="1" applyFont="1" applyFill="1" applyBorder="1" applyAlignment="1">
      <alignment horizontal="center" vertical="center" wrapText="1"/>
    </xf>
    <xf numFmtId="0" fontId="217" fillId="24" borderId="10" xfId="0" applyFont="1" applyFill="1" applyBorder="1" applyAlignment="1">
      <alignment horizontal="center" vertical="center"/>
    </xf>
    <xf numFmtId="0" fontId="217" fillId="24" borderId="48" xfId="0" applyFont="1" applyFill="1" applyBorder="1" applyAlignment="1">
      <alignment horizontal="center" vertical="center"/>
    </xf>
    <xf numFmtId="0" fontId="217" fillId="32" borderId="11" xfId="0" applyFont="1" applyFill="1" applyBorder="1" applyAlignment="1">
      <alignment horizontal="center" vertical="center"/>
    </xf>
    <xf numFmtId="49" fontId="107" fillId="38" borderId="56" xfId="0" applyNumberFormat="1" applyFont="1" applyFill="1" applyBorder="1" applyAlignment="1">
      <alignment horizontal="center" vertical="center" wrapText="1"/>
    </xf>
    <xf numFmtId="49" fontId="107" fillId="38" borderId="42" xfId="0" applyNumberFormat="1" applyFont="1" applyFill="1" applyBorder="1" applyAlignment="1">
      <alignment horizontal="center" vertical="center" wrapText="1"/>
    </xf>
    <xf numFmtId="49" fontId="107" fillId="38" borderId="48" xfId="0" applyNumberFormat="1" applyFont="1" applyFill="1" applyBorder="1" applyAlignment="1">
      <alignment horizontal="center" vertical="center"/>
    </xf>
    <xf numFmtId="49" fontId="107" fillId="38" borderId="11" xfId="0" applyNumberFormat="1" applyFont="1" applyFill="1" applyBorder="1" applyAlignment="1">
      <alignment horizontal="center" vertical="center"/>
    </xf>
    <xf numFmtId="0" fontId="107" fillId="38" borderId="11" xfId="0" applyFont="1" applyFill="1" applyBorder="1" applyAlignment="1">
      <alignment horizontal="center" vertical="center" wrapText="1"/>
    </xf>
    <xf numFmtId="0" fontId="107" fillId="38" borderId="9" xfId="0" applyFont="1" applyFill="1" applyBorder="1" applyAlignment="1">
      <alignment horizontal="center" vertical="center" wrapText="1"/>
    </xf>
    <xf numFmtId="0" fontId="107" fillId="38" borderId="16" xfId="0" applyFont="1" applyFill="1" applyBorder="1" applyAlignment="1">
      <alignment horizontal="center" vertical="center" wrapText="1"/>
    </xf>
    <xf numFmtId="0" fontId="107" fillId="38" borderId="6" xfId="0" applyFont="1" applyFill="1" applyBorder="1" applyAlignment="1">
      <alignment horizontal="center" vertical="center" wrapText="1"/>
    </xf>
    <xf numFmtId="0" fontId="107" fillId="38" borderId="48" xfId="0" applyFont="1" applyFill="1" applyBorder="1" applyAlignment="1">
      <alignment horizontal="center" vertical="center" wrapText="1"/>
    </xf>
    <xf numFmtId="0" fontId="107" fillId="38" borderId="6" xfId="0" applyFont="1" applyFill="1" applyBorder="1" applyAlignment="1">
      <alignment horizontal="left" vertical="center"/>
    </xf>
    <xf numFmtId="0" fontId="107" fillId="38" borderId="7" xfId="0" applyFont="1" applyFill="1" applyBorder="1" applyAlignment="1">
      <alignment horizontal="left" vertical="center"/>
    </xf>
    <xf numFmtId="49" fontId="107" fillId="38" borderId="7" xfId="0" applyNumberFormat="1" applyFont="1" applyFill="1" applyBorder="1" applyAlignment="1">
      <alignment horizontal="center" vertical="center" wrapText="1"/>
    </xf>
    <xf numFmtId="49" fontId="107" fillId="38" borderId="8" xfId="0" applyNumberFormat="1" applyFont="1" applyFill="1" applyBorder="1" applyAlignment="1">
      <alignment horizontal="center" vertical="center" wrapText="1"/>
    </xf>
    <xf numFmtId="49" fontId="107" fillId="38" borderId="6" xfId="0" applyNumberFormat="1" applyFont="1" applyFill="1" applyBorder="1" applyAlignment="1">
      <alignment horizontal="center" vertical="center" wrapText="1"/>
    </xf>
    <xf numFmtId="179" fontId="107" fillId="38" borderId="6" xfId="0" applyNumberFormat="1" applyFont="1" applyFill="1" applyBorder="1" applyAlignment="1">
      <alignment horizontal="center" vertical="center" wrapText="1"/>
    </xf>
    <xf numFmtId="179" fontId="107" fillId="38" borderId="7" xfId="0" applyNumberFormat="1" applyFont="1" applyFill="1" applyBorder="1" applyAlignment="1">
      <alignment horizontal="center" vertical="center" wrapText="1"/>
    </xf>
    <xf numFmtId="179" fontId="107" fillId="38" borderId="8" xfId="0" applyNumberFormat="1" applyFont="1" applyFill="1" applyBorder="1" applyAlignment="1">
      <alignment horizontal="center" vertical="center" wrapText="1"/>
    </xf>
    <xf numFmtId="188" fontId="107" fillId="38" borderId="13" xfId="0" applyNumberFormat="1" applyFont="1" applyFill="1" applyBorder="1" applyAlignment="1">
      <alignment horizontal="center" wrapText="1"/>
    </xf>
    <xf numFmtId="188" fontId="107" fillId="38" borderId="48" xfId="0" applyNumberFormat="1" applyFont="1" applyFill="1" applyBorder="1" applyAlignment="1">
      <alignment horizontal="center" wrapText="1"/>
    </xf>
    <xf numFmtId="0" fontId="217" fillId="24" borderId="11" xfId="0" applyFont="1" applyFill="1" applyBorder="1" applyAlignment="1">
      <alignment horizontal="center" vertical="center"/>
    </xf>
    <xf numFmtId="49" fontId="107" fillId="25" borderId="56" xfId="0" applyNumberFormat="1" applyFont="1" applyFill="1" applyBorder="1" applyAlignment="1">
      <alignment horizontal="center" vertical="center" wrapText="1"/>
    </xf>
    <xf numFmtId="49" fontId="107" fillId="25" borderId="42" xfId="0" applyNumberFormat="1" applyFont="1" applyFill="1" applyBorder="1" applyAlignment="1">
      <alignment horizontal="center" vertical="center" wrapText="1"/>
    </xf>
    <xf numFmtId="49" fontId="107" fillId="25" borderId="48" xfId="0" applyNumberFormat="1" applyFont="1" applyFill="1" applyBorder="1" applyAlignment="1">
      <alignment horizontal="center" vertical="center"/>
    </xf>
    <xf numFmtId="49" fontId="107" fillId="25" borderId="11" xfId="0" applyNumberFormat="1" applyFont="1" applyFill="1" applyBorder="1" applyAlignment="1">
      <alignment horizontal="center" vertical="center"/>
    </xf>
    <xf numFmtId="0" fontId="107" fillId="25" borderId="11" xfId="0" applyFont="1" applyFill="1" applyBorder="1" applyAlignment="1">
      <alignment horizontal="center" vertical="center" wrapText="1"/>
    </xf>
    <xf numFmtId="0" fontId="107" fillId="25" borderId="9" xfId="0" applyFont="1" applyFill="1" applyBorder="1" applyAlignment="1">
      <alignment horizontal="center" vertical="center" wrapText="1"/>
    </xf>
    <xf numFmtId="0" fontId="107" fillId="25" borderId="6" xfId="0" applyFont="1" applyFill="1" applyBorder="1" applyAlignment="1">
      <alignment horizontal="left" vertical="center"/>
    </xf>
    <xf numFmtId="0" fontId="107" fillId="25" borderId="7" xfId="0" applyFont="1" applyFill="1" applyBorder="1" applyAlignment="1">
      <alignment horizontal="left" vertical="center"/>
    </xf>
    <xf numFmtId="49" fontId="107" fillId="25" borderId="7" xfId="0" applyNumberFormat="1" applyFont="1" applyFill="1" applyBorder="1" applyAlignment="1">
      <alignment horizontal="center" vertical="center" wrapText="1"/>
    </xf>
    <xf numFmtId="49" fontId="107" fillId="25" borderId="8" xfId="0" applyNumberFormat="1" applyFont="1" applyFill="1" applyBorder="1" applyAlignment="1">
      <alignment horizontal="center" vertical="center" wrapText="1"/>
    </xf>
    <xf numFmtId="49" fontId="107" fillId="25" borderId="6" xfId="0" applyNumberFormat="1" applyFont="1" applyFill="1" applyBorder="1" applyAlignment="1">
      <alignment horizontal="center" vertical="center" wrapText="1"/>
    </xf>
    <xf numFmtId="179" fontId="107" fillId="25" borderId="6" xfId="0" applyNumberFormat="1" applyFont="1" applyFill="1" applyBorder="1" applyAlignment="1">
      <alignment horizontal="center" vertical="center" wrapText="1"/>
    </xf>
    <xf numFmtId="179" fontId="107" fillId="25" borderId="7" xfId="0" applyNumberFormat="1" applyFont="1" applyFill="1" applyBorder="1" applyAlignment="1">
      <alignment horizontal="center" vertical="center" wrapText="1"/>
    </xf>
    <xf numFmtId="0" fontId="107" fillId="25" borderId="16" xfId="0" applyFont="1" applyFill="1" applyBorder="1" applyAlignment="1">
      <alignment horizontal="center" vertical="center" wrapText="1"/>
    </xf>
    <xf numFmtId="0" fontId="107" fillId="25" borderId="6" xfId="0" applyFont="1" applyFill="1" applyBorder="1" applyAlignment="1">
      <alignment horizontal="center" vertical="center" wrapText="1"/>
    </xf>
    <xf numFmtId="0" fontId="107" fillId="25" borderId="48" xfId="0" applyFont="1" applyFill="1" applyBorder="1" applyAlignment="1">
      <alignment horizontal="center" vertical="center" wrapText="1"/>
    </xf>
    <xf numFmtId="179" fontId="107" fillId="23" borderId="39" xfId="0" applyNumberFormat="1" applyFont="1" applyFill="1" applyBorder="1" applyAlignment="1">
      <alignment horizontal="left" vertical="top"/>
    </xf>
    <xf numFmtId="179" fontId="107" fillId="23" borderId="40" xfId="0" applyNumberFormat="1" applyFont="1" applyFill="1" applyBorder="1" applyAlignment="1">
      <alignment horizontal="left" vertical="top"/>
    </xf>
    <xf numFmtId="179" fontId="107" fillId="23" borderId="25" xfId="0" applyNumberFormat="1" applyFont="1" applyFill="1" applyBorder="1" applyAlignment="1">
      <alignment horizontal="center" vertical="center" wrapText="1"/>
    </xf>
    <xf numFmtId="179" fontId="107" fillId="23" borderId="40" xfId="0" applyNumberFormat="1" applyFont="1" applyFill="1" applyBorder="1" applyAlignment="1">
      <alignment horizontal="center" vertical="center" wrapText="1"/>
    </xf>
    <xf numFmtId="179" fontId="107" fillId="23" borderId="41" xfId="0" applyNumberFormat="1" applyFont="1" applyFill="1" applyBorder="1" applyAlignment="1">
      <alignment horizontal="center" vertical="center" wrapText="1"/>
    </xf>
    <xf numFmtId="179" fontId="107" fillId="23" borderId="8" xfId="0" applyNumberFormat="1" applyFont="1" applyFill="1" applyBorder="1" applyAlignment="1">
      <alignment horizontal="center" vertical="center" wrapText="1"/>
    </xf>
    <xf numFmtId="179" fontId="107" fillId="38" borderId="39" xfId="0" applyNumberFormat="1" applyFont="1" applyFill="1" applyBorder="1" applyAlignment="1">
      <alignment horizontal="left" vertical="top"/>
    </xf>
    <xf numFmtId="179" fontId="107" fillId="38" borderId="40" xfId="0" applyNumberFormat="1" applyFont="1" applyFill="1" applyBorder="1" applyAlignment="1">
      <alignment horizontal="left" vertical="top"/>
    </xf>
    <xf numFmtId="179" fontId="107" fillId="38" borderId="25" xfId="0" applyNumberFormat="1" applyFont="1" applyFill="1" applyBorder="1" applyAlignment="1">
      <alignment horizontal="center" vertical="center" wrapText="1"/>
    </xf>
    <xf numFmtId="179" fontId="107" fillId="38" borderId="40" xfId="0" applyNumberFormat="1" applyFont="1" applyFill="1" applyBorder="1" applyAlignment="1">
      <alignment horizontal="center" vertical="center" wrapText="1"/>
    </xf>
    <xf numFmtId="179" fontId="107" fillId="38" borderId="41" xfId="0" applyNumberFormat="1" applyFont="1" applyFill="1" applyBorder="1" applyAlignment="1">
      <alignment horizontal="center" vertical="center" wrapText="1"/>
    </xf>
    <xf numFmtId="179" fontId="107" fillId="38" borderId="9" xfId="0" applyNumberFormat="1" applyFont="1" applyFill="1" applyBorder="1" applyAlignment="1">
      <alignment horizontal="center" vertical="center" wrapText="1"/>
    </xf>
    <xf numFmtId="179" fontId="107" fillId="23" borderId="62" xfId="0" applyNumberFormat="1" applyFont="1" applyFill="1" applyBorder="1" applyAlignment="1">
      <alignment horizontal="center" vertical="center" wrapText="1"/>
    </xf>
    <xf numFmtId="179" fontId="107" fillId="23" borderId="49" xfId="0" applyNumberFormat="1" applyFont="1" applyFill="1" applyBorder="1" applyAlignment="1">
      <alignment horizontal="center" vertical="center" wrapText="1"/>
    </xf>
    <xf numFmtId="179" fontId="107" fillId="23" borderId="9" xfId="0" applyNumberFormat="1" applyFont="1" applyFill="1" applyBorder="1" applyAlignment="1">
      <alignment horizontal="center" vertical="center" wrapText="1"/>
    </xf>
    <xf numFmtId="179" fontId="107" fillId="38" borderId="62" xfId="0" applyNumberFormat="1" applyFont="1" applyFill="1" applyBorder="1" applyAlignment="1">
      <alignment horizontal="center" vertical="center" wrapText="1"/>
    </xf>
    <xf numFmtId="179" fontId="107" fillId="38" borderId="49" xfId="0" applyNumberFormat="1" applyFont="1" applyFill="1" applyBorder="1" applyAlignment="1">
      <alignment horizontal="center" vertical="center" wrapText="1"/>
    </xf>
    <xf numFmtId="179" fontId="107" fillId="25" borderId="39" xfId="0" applyNumberFormat="1" applyFont="1" applyFill="1" applyBorder="1" applyAlignment="1">
      <alignment horizontal="left" vertical="top"/>
    </xf>
    <xf numFmtId="179" fontId="107" fillId="25" borderId="40" xfId="0" applyNumberFormat="1" applyFont="1" applyFill="1" applyBorder="1" applyAlignment="1">
      <alignment horizontal="left" vertical="top"/>
    </xf>
    <xf numFmtId="179" fontId="107" fillId="25" borderId="25" xfId="0" applyNumberFormat="1" applyFont="1" applyFill="1" applyBorder="1" applyAlignment="1">
      <alignment horizontal="center" vertical="center" wrapText="1"/>
    </xf>
    <xf numFmtId="179" fontId="107" fillId="25" borderId="40" xfId="0" applyNumberFormat="1" applyFont="1" applyFill="1" applyBorder="1" applyAlignment="1">
      <alignment horizontal="center" vertical="center" wrapText="1"/>
    </xf>
    <xf numFmtId="179" fontId="107" fillId="25" borderId="41" xfId="0" applyNumberFormat="1" applyFont="1" applyFill="1" applyBorder="1" applyAlignment="1">
      <alignment horizontal="center" vertical="center" wrapText="1"/>
    </xf>
    <xf numFmtId="179" fontId="107" fillId="25" borderId="9" xfId="0" applyNumberFormat="1" applyFont="1" applyFill="1" applyBorder="1" applyAlignment="1">
      <alignment horizontal="center" vertical="center" wrapText="1"/>
    </xf>
    <xf numFmtId="179" fontId="107" fillId="25" borderId="45" xfId="0" applyNumberFormat="1" applyFont="1" applyFill="1" applyBorder="1" applyAlignment="1">
      <alignment horizontal="center" vertical="center" wrapText="1"/>
    </xf>
    <xf numFmtId="179" fontId="107" fillId="25" borderId="42" xfId="0" applyNumberFormat="1" applyFont="1" applyFill="1" applyBorder="1" applyAlignment="1">
      <alignment horizontal="center" vertical="center" wrapText="1"/>
    </xf>
    <xf numFmtId="179" fontId="105" fillId="22" borderId="23" xfId="0" applyNumberFormat="1" applyFont="1" applyFill="1" applyBorder="1" applyAlignment="1">
      <alignment horizontal="center" vertical="center"/>
    </xf>
    <xf numFmtId="38" fontId="110" fillId="23" borderId="2" xfId="0" applyNumberFormat="1" applyFont="1" applyFill="1" applyBorder="1" applyAlignment="1">
      <alignment horizontal="center" vertical="center"/>
    </xf>
    <xf numFmtId="38" fontId="111" fillId="0" borderId="10" xfId="1" applyNumberFormat="1" applyFont="1" applyBorder="1" applyAlignment="1" applyProtection="1">
      <alignment horizontal="center" vertical="center" wrapText="1"/>
    </xf>
    <xf numFmtId="38" fontId="111" fillId="0" borderId="11" xfId="1" applyNumberFormat="1" applyFont="1" applyBorder="1" applyAlignment="1" applyProtection="1">
      <alignment horizontal="center" vertical="center" wrapText="1"/>
    </xf>
    <xf numFmtId="38" fontId="105" fillId="21" borderId="2" xfId="1" applyNumberFormat="1" applyFont="1" applyFill="1" applyBorder="1" applyAlignment="1">
      <alignment horizontal="center"/>
    </xf>
    <xf numFmtId="37" fontId="105" fillId="0" borderId="0" xfId="0" applyNumberFormat="1" applyFont="1" applyAlignment="1">
      <alignment horizontal="center" vertical="center"/>
    </xf>
    <xf numFmtId="179" fontId="107" fillId="23" borderId="37" xfId="1" applyNumberFormat="1" applyFont="1" applyFill="1" applyBorder="1" applyAlignment="1" applyProtection="1">
      <alignment horizontal="center" vertical="center" wrapText="1"/>
    </xf>
    <xf numFmtId="179" fontId="107" fillId="23" borderId="43" xfId="1" applyNumberFormat="1" applyFont="1" applyFill="1" applyBorder="1" applyAlignment="1" applyProtection="1">
      <alignment horizontal="center" vertical="center" wrapText="1"/>
    </xf>
    <xf numFmtId="38" fontId="138" fillId="0" borderId="6" xfId="0" applyNumberFormat="1" applyFont="1" applyBorder="1" applyAlignment="1">
      <alignment horizontal="center" vertical="center"/>
    </xf>
    <xf numFmtId="38" fontId="107" fillId="0" borderId="7" xfId="0" applyNumberFormat="1" applyFont="1" applyBorder="1" applyAlignment="1">
      <alignment horizontal="center" vertical="center"/>
    </xf>
    <xf numFmtId="38" fontId="107" fillId="0" borderId="8" xfId="0" applyNumberFormat="1" applyFont="1" applyBorder="1" applyAlignment="1">
      <alignment horizontal="center" vertical="center"/>
    </xf>
    <xf numFmtId="179" fontId="107" fillId="0" borderId="9" xfId="0" applyNumberFormat="1" applyFont="1" applyBorder="1" applyAlignment="1">
      <alignment horizontal="center" vertical="center"/>
    </xf>
    <xf numFmtId="10" fontId="107" fillId="0" borderId="9" xfId="2" applyNumberFormat="1" applyFont="1" applyBorder="1" applyAlignment="1" applyProtection="1">
      <alignment horizontal="center" vertical="center" wrapText="1"/>
    </xf>
    <xf numFmtId="38" fontId="107" fillId="23" borderId="9" xfId="0" applyNumberFormat="1" applyFont="1" applyFill="1" applyBorder="1" applyAlignment="1">
      <alignment horizontal="center" vertical="center"/>
    </xf>
    <xf numFmtId="38" fontId="107" fillId="0" borderId="6" xfId="0" applyNumberFormat="1" applyFont="1" applyBorder="1" applyAlignment="1">
      <alignment horizontal="center" vertical="center"/>
    </xf>
    <xf numFmtId="38" fontId="138" fillId="0" borderId="9" xfId="0" applyNumberFormat="1" applyFont="1" applyBorder="1" applyAlignment="1">
      <alignment horizontal="center" vertical="center"/>
    </xf>
    <xf numFmtId="38" fontId="107" fillId="0" borderId="9" xfId="0" applyNumberFormat="1" applyFont="1" applyBorder="1" applyAlignment="1">
      <alignment horizontal="center" vertical="center"/>
    </xf>
    <xf numFmtId="179" fontId="107" fillId="23" borderId="36" xfId="1" applyNumberFormat="1" applyFont="1" applyFill="1" applyBorder="1" applyAlignment="1" applyProtection="1">
      <alignment horizontal="center" vertical="center" wrapText="1"/>
    </xf>
    <xf numFmtId="179" fontId="107" fillId="23" borderId="42" xfId="1" applyNumberFormat="1" applyFont="1" applyFill="1" applyBorder="1" applyAlignment="1" applyProtection="1">
      <alignment horizontal="center" vertical="center" wrapText="1"/>
    </xf>
    <xf numFmtId="37" fontId="107" fillId="0" borderId="9" xfId="0" applyNumberFormat="1" applyFont="1" applyBorder="1" applyAlignment="1">
      <alignment horizontal="left" vertical="center"/>
    </xf>
    <xf numFmtId="37" fontId="107" fillId="0" borderId="9" xfId="0" applyNumberFormat="1" applyFont="1" applyBorder="1" applyAlignment="1">
      <alignment horizontal="center" vertical="center"/>
    </xf>
    <xf numFmtId="38" fontId="107" fillId="0" borderId="9" xfId="1" applyNumberFormat="1" applyFont="1" applyBorder="1" applyAlignment="1" applyProtection="1">
      <alignment horizontal="center" vertical="center" wrapText="1"/>
    </xf>
    <xf numFmtId="38" fontId="107" fillId="0" borderId="9" xfId="1" applyNumberFormat="1" applyFont="1" applyBorder="1" applyAlignment="1" applyProtection="1">
      <alignment horizontal="center" vertical="center"/>
    </xf>
    <xf numFmtId="38" fontId="111" fillId="0" borderId="9" xfId="0" applyNumberFormat="1" applyFont="1" applyBorder="1" applyAlignment="1">
      <alignment horizontal="center" vertical="center" wrapText="1"/>
    </xf>
    <xf numFmtId="38" fontId="107" fillId="0" borderId="9" xfId="0" applyNumberFormat="1" applyFont="1" applyBorder="1" applyAlignment="1">
      <alignment horizontal="center" vertical="center" wrapText="1"/>
    </xf>
    <xf numFmtId="38" fontId="111" fillId="0" borderId="9" xfId="1" applyNumberFormat="1" applyFont="1" applyBorder="1" applyAlignment="1" applyProtection="1">
      <alignment horizontal="center" vertical="center" wrapText="1"/>
    </xf>
    <xf numFmtId="179" fontId="107" fillId="23" borderId="38" xfId="0" applyNumberFormat="1" applyFont="1" applyFill="1" applyBorder="1" applyAlignment="1">
      <alignment horizontal="center" vertical="center" wrapText="1"/>
    </xf>
    <xf numFmtId="179" fontId="107" fillId="23" borderId="38" xfId="1" applyNumberFormat="1" applyFont="1" applyFill="1" applyBorder="1" applyAlignment="1" applyProtection="1">
      <alignment horizontal="center" vertical="center" wrapText="1"/>
    </xf>
    <xf numFmtId="179" fontId="107" fillId="23" borderId="11" xfId="1" applyNumberFormat="1" applyFont="1" applyFill="1" applyBorder="1" applyAlignment="1" applyProtection="1">
      <alignment horizontal="center" vertical="center" wrapText="1"/>
    </xf>
    <xf numFmtId="38" fontId="107" fillId="25" borderId="6" xfId="0" applyNumberFormat="1" applyFont="1" applyFill="1" applyBorder="1" applyAlignment="1">
      <alignment horizontal="center" vertical="center"/>
    </xf>
    <xf numFmtId="38" fontId="107" fillId="25" borderId="7" xfId="0" applyNumberFormat="1" applyFont="1" applyFill="1" applyBorder="1" applyAlignment="1">
      <alignment horizontal="center" vertical="center"/>
    </xf>
    <xf numFmtId="38" fontId="107" fillId="25" borderId="8" xfId="0" applyNumberFormat="1" applyFont="1" applyFill="1" applyBorder="1" applyAlignment="1">
      <alignment horizontal="center" vertical="center"/>
    </xf>
    <xf numFmtId="179" fontId="107" fillId="23" borderId="39" xfId="1" applyNumberFormat="1" applyFont="1" applyFill="1" applyBorder="1" applyAlignment="1" applyProtection="1">
      <alignment horizontal="center" vertical="center" wrapText="1"/>
    </xf>
    <xf numFmtId="179" fontId="107" fillId="23" borderId="40" xfId="1" applyNumberFormat="1" applyFont="1" applyFill="1" applyBorder="1" applyAlignment="1" applyProtection="1">
      <alignment horizontal="center" vertical="center" wrapText="1"/>
    </xf>
    <xf numFmtId="179" fontId="107" fillId="23" borderId="29" xfId="1" applyNumberFormat="1" applyFont="1" applyFill="1" applyBorder="1" applyAlignment="1" applyProtection="1">
      <alignment horizontal="center" vertical="center" wrapText="1"/>
    </xf>
    <xf numFmtId="179" fontId="107" fillId="23" borderId="39" xfId="0" applyNumberFormat="1" applyFont="1" applyFill="1" applyBorder="1" applyAlignment="1">
      <alignment horizontal="center" vertical="center"/>
    </xf>
    <xf numFmtId="179" fontId="107" fillId="23" borderId="40" xfId="0" applyNumberFormat="1" applyFont="1" applyFill="1" applyBorder="1" applyAlignment="1">
      <alignment horizontal="center" vertical="center"/>
    </xf>
    <xf numFmtId="179" fontId="107" fillId="23" borderId="29" xfId="0" applyNumberFormat="1" applyFont="1" applyFill="1" applyBorder="1" applyAlignment="1">
      <alignment horizontal="center" vertical="center"/>
    </xf>
    <xf numFmtId="179" fontId="107" fillId="24" borderId="39" xfId="0" applyNumberFormat="1" applyFont="1" applyFill="1" applyBorder="1" applyAlignment="1">
      <alignment horizontal="center" vertical="center"/>
    </xf>
    <xf numFmtId="179" fontId="107" fillId="24" borderId="40" xfId="0" applyNumberFormat="1" applyFont="1" applyFill="1" applyBorder="1" applyAlignment="1">
      <alignment horizontal="center" vertical="center"/>
    </xf>
    <xf numFmtId="179" fontId="107" fillId="24" borderId="41" xfId="0" applyNumberFormat="1" applyFont="1" applyFill="1" applyBorder="1" applyAlignment="1">
      <alignment horizontal="center" vertical="center"/>
    </xf>
    <xf numFmtId="10" fontId="77" fillId="0" borderId="9" xfId="2" applyNumberFormat="1" applyFont="1" applyBorder="1" applyAlignment="1" applyProtection="1">
      <alignment horizontal="center" vertical="center" wrapText="1"/>
    </xf>
    <xf numFmtId="38" fontId="107" fillId="25" borderId="10" xfId="1" applyNumberFormat="1" applyFont="1" applyFill="1" applyBorder="1" applyAlignment="1" applyProtection="1">
      <alignment horizontal="center" vertical="center" wrapText="1"/>
    </xf>
    <xf numFmtId="38" fontId="107" fillId="25" borderId="11" xfId="1" applyNumberFormat="1" applyFont="1" applyFill="1" applyBorder="1" applyAlignment="1" applyProtection="1">
      <alignment horizontal="center" vertical="center" wrapText="1"/>
    </xf>
    <xf numFmtId="38" fontId="107" fillId="25" borderId="10" xfId="0" applyNumberFormat="1" applyFont="1" applyFill="1" applyBorder="1" applyAlignment="1">
      <alignment horizontal="center" vertical="center" wrapText="1"/>
    </xf>
    <xf numFmtId="38" fontId="107" fillId="25" borderId="11" xfId="0" applyNumberFormat="1" applyFont="1" applyFill="1" applyBorder="1" applyAlignment="1">
      <alignment horizontal="center" vertical="center" wrapText="1"/>
    </xf>
    <xf numFmtId="38" fontId="105" fillId="25" borderId="10" xfId="1" applyNumberFormat="1" applyFont="1" applyFill="1" applyBorder="1" applyAlignment="1" applyProtection="1">
      <alignment horizontal="center" vertical="center" wrapText="1"/>
    </xf>
    <xf numFmtId="38" fontId="105" fillId="25" borderId="11" xfId="1" applyNumberFormat="1" applyFont="1" applyFill="1" applyBorder="1" applyAlignment="1" applyProtection="1">
      <alignment horizontal="center" vertical="center" wrapText="1"/>
    </xf>
    <xf numFmtId="179" fontId="105" fillId="0" borderId="2" xfId="0" applyNumberFormat="1" applyFont="1" applyBorder="1" applyAlignment="1">
      <alignment horizontal="center" vertical="center"/>
    </xf>
    <xf numFmtId="179" fontId="107" fillId="24" borderId="29" xfId="0" applyNumberFormat="1" applyFont="1" applyFill="1" applyBorder="1" applyAlignment="1">
      <alignment horizontal="center" vertical="center"/>
    </xf>
    <xf numFmtId="38" fontId="105" fillId="0" borderId="0" xfId="0" applyNumberFormat="1" applyFont="1" applyAlignment="1">
      <alignment horizontal="center" vertical="center"/>
    </xf>
    <xf numFmtId="38" fontId="105" fillId="0" borderId="2" xfId="0" quotePrefix="1" applyNumberFormat="1" applyFont="1" applyBorder="1" applyAlignment="1">
      <alignment horizontal="center" vertical="center"/>
    </xf>
    <xf numFmtId="38" fontId="107" fillId="36" borderId="6" xfId="0" quotePrefix="1" applyNumberFormat="1" applyFont="1" applyFill="1" applyBorder="1" applyAlignment="1">
      <alignment horizontal="center" vertical="center"/>
    </xf>
    <xf numFmtId="38" fontId="107" fillId="36" borderId="7" xfId="0" quotePrefix="1" applyNumberFormat="1" applyFont="1" applyFill="1" applyBorder="1" applyAlignment="1">
      <alignment horizontal="center" vertical="center"/>
    </xf>
    <xf numFmtId="38" fontId="107" fillId="36" borderId="8" xfId="0" quotePrefix="1" applyNumberFormat="1" applyFont="1" applyFill="1" applyBorder="1" applyAlignment="1">
      <alignment horizontal="center" vertical="center"/>
    </xf>
    <xf numFmtId="38" fontId="107" fillId="30" borderId="6" xfId="0" applyNumberFormat="1" applyFont="1" applyFill="1" applyBorder="1" applyAlignment="1">
      <alignment horizontal="center" vertical="center"/>
    </xf>
    <xf numFmtId="38" fontId="107" fillId="30" borderId="7" xfId="0" applyNumberFormat="1" applyFont="1" applyFill="1" applyBorder="1" applyAlignment="1">
      <alignment horizontal="center" vertical="center"/>
    </xf>
    <xf numFmtId="38" fontId="107" fillId="30" borderId="8" xfId="0" applyNumberFormat="1" applyFont="1" applyFill="1" applyBorder="1" applyAlignment="1">
      <alignment horizontal="center" vertical="center"/>
    </xf>
    <xf numFmtId="38" fontId="138" fillId="30" borderId="6" xfId="0" applyNumberFormat="1" applyFont="1" applyFill="1" applyBorder="1" applyAlignment="1">
      <alignment horizontal="center" vertical="center"/>
    </xf>
    <xf numFmtId="38" fontId="107" fillId="23" borderId="6" xfId="0" applyNumberFormat="1" applyFont="1" applyFill="1" applyBorder="1" applyAlignment="1">
      <alignment horizontal="center" vertical="center"/>
    </xf>
    <xf numFmtId="38" fontId="107" fillId="23" borderId="7" xfId="0" applyNumberFormat="1" applyFont="1" applyFill="1" applyBorder="1" applyAlignment="1">
      <alignment horizontal="center" vertical="center"/>
    </xf>
    <xf numFmtId="38" fontId="107" fillId="23" borderId="8" xfId="0" applyNumberFormat="1" applyFont="1" applyFill="1" applyBorder="1" applyAlignment="1">
      <alignment horizontal="center" vertical="center"/>
    </xf>
    <xf numFmtId="38" fontId="107" fillId="0" borderId="6" xfId="0" quotePrefix="1" applyNumberFormat="1" applyFont="1" applyBorder="1" applyAlignment="1">
      <alignment horizontal="center" vertical="center"/>
    </xf>
    <xf numFmtId="38" fontId="107" fillId="0" borderId="7" xfId="0" quotePrefix="1" applyNumberFormat="1" applyFont="1" applyBorder="1" applyAlignment="1">
      <alignment horizontal="center" vertical="center"/>
    </xf>
    <xf numFmtId="38" fontId="107" fillId="0" borderId="8" xfId="0" quotePrefix="1" applyNumberFormat="1" applyFont="1" applyBorder="1" applyAlignment="1">
      <alignment horizontal="center" vertical="center"/>
    </xf>
    <xf numFmtId="38" fontId="107" fillId="23" borderId="6" xfId="0" quotePrefix="1" applyNumberFormat="1" applyFont="1" applyFill="1" applyBorder="1" applyAlignment="1">
      <alignment horizontal="center" vertical="center"/>
    </xf>
    <xf numFmtId="38" fontId="107" fillId="23" borderId="7" xfId="0" quotePrefix="1" applyNumberFormat="1" applyFont="1" applyFill="1" applyBorder="1" applyAlignment="1">
      <alignment horizontal="center" vertical="center"/>
    </xf>
    <xf numFmtId="38" fontId="107" fillId="23" borderId="8" xfId="0" quotePrefix="1" applyNumberFormat="1" applyFont="1" applyFill="1" applyBorder="1" applyAlignment="1">
      <alignment horizontal="center" vertical="center"/>
    </xf>
    <xf numFmtId="38" fontId="105" fillId="28" borderId="6" xfId="0" applyNumberFormat="1" applyFont="1" applyFill="1" applyBorder="1" applyAlignment="1">
      <alignment horizontal="center" vertical="center"/>
    </xf>
    <xf numFmtId="38" fontId="105" fillId="28" borderId="7" xfId="0" applyNumberFormat="1" applyFont="1" applyFill="1" applyBorder="1" applyAlignment="1">
      <alignment horizontal="center" vertical="center"/>
    </xf>
    <xf numFmtId="38" fontId="105" fillId="30" borderId="6" xfId="0" applyNumberFormat="1" applyFont="1" applyFill="1" applyBorder="1" applyAlignment="1">
      <alignment horizontal="center" vertical="center"/>
    </xf>
    <xf numFmtId="38" fontId="105" fillId="30" borderId="7" xfId="0" applyNumberFormat="1" applyFont="1" applyFill="1" applyBorder="1" applyAlignment="1">
      <alignment horizontal="center" vertical="center"/>
    </xf>
    <xf numFmtId="38" fontId="105" fillId="30" borderId="8" xfId="0" applyNumberFormat="1" applyFont="1" applyFill="1" applyBorder="1" applyAlignment="1">
      <alignment horizontal="center" vertical="center"/>
    </xf>
    <xf numFmtId="38" fontId="105" fillId="0" borderId="6" xfId="0" applyNumberFormat="1" applyFont="1" applyBorder="1" applyAlignment="1">
      <alignment horizontal="center" vertical="center" wrapText="1"/>
    </xf>
    <xf numFmtId="38" fontId="105" fillId="0" borderId="7" xfId="0" applyNumberFormat="1" applyFont="1" applyBorder="1" applyAlignment="1">
      <alignment horizontal="center" vertical="center" wrapText="1"/>
    </xf>
    <xf numFmtId="38" fontId="105" fillId="0" borderId="8" xfId="0" applyNumberFormat="1" applyFont="1" applyBorder="1" applyAlignment="1">
      <alignment horizontal="center" vertical="center" wrapText="1"/>
    </xf>
    <xf numFmtId="179" fontId="125" fillId="0" borderId="9" xfId="0" applyNumberFormat="1" applyFont="1" applyBorder="1" applyAlignment="1">
      <alignment horizontal="center" vertical="center"/>
    </xf>
    <xf numFmtId="38" fontId="129" fillId="0" borderId="0" xfId="0" applyNumberFormat="1" applyFont="1" applyAlignment="1">
      <alignment horizontal="center" vertical="center"/>
    </xf>
    <xf numFmtId="198" fontId="107" fillId="24" borderId="64" xfId="0" applyNumberFormat="1" applyFont="1" applyFill="1" applyBorder="1" applyAlignment="1">
      <alignment horizontal="right" vertical="center"/>
    </xf>
    <xf numFmtId="198" fontId="107" fillId="24" borderId="61" xfId="0" applyNumberFormat="1" applyFont="1" applyFill="1" applyBorder="1" applyAlignment="1">
      <alignment horizontal="right" vertical="center"/>
    </xf>
    <xf numFmtId="38" fontId="192" fillId="0" borderId="2" xfId="0" applyNumberFormat="1" applyFont="1" applyBorder="1" applyAlignment="1">
      <alignment horizontal="center" vertical="center"/>
    </xf>
    <xf numFmtId="38" fontId="129" fillId="0" borderId="0" xfId="0" quotePrefix="1" applyNumberFormat="1" applyFont="1" applyAlignment="1">
      <alignment horizontal="center" vertical="center"/>
    </xf>
    <xf numFmtId="38" fontId="129" fillId="0" borderId="1" xfId="0" quotePrefix="1" applyNumberFormat="1" applyFont="1" applyBorder="1" applyAlignment="1">
      <alignment horizontal="center" vertical="center"/>
    </xf>
    <xf numFmtId="181" fontId="107" fillId="23" borderId="38" xfId="1" applyFont="1" applyFill="1" applyBorder="1" applyAlignment="1">
      <alignment horizontal="center" vertical="center" wrapText="1"/>
    </xf>
    <xf numFmtId="181" fontId="107" fillId="23" borderId="11" xfId="1" applyFont="1" applyFill="1" applyBorder="1" applyAlignment="1">
      <alignment horizontal="center" vertical="center" wrapText="1"/>
    </xf>
    <xf numFmtId="9" fontId="107" fillId="23" borderId="37" xfId="1" applyNumberFormat="1" applyFont="1" applyFill="1" applyBorder="1" applyAlignment="1">
      <alignment horizontal="center" vertical="center" wrapText="1"/>
    </xf>
    <xf numFmtId="9" fontId="107" fillId="23" borderId="43" xfId="1" applyNumberFormat="1" applyFont="1" applyFill="1" applyBorder="1" applyAlignment="1">
      <alignment horizontal="center" vertical="center" wrapText="1"/>
    </xf>
    <xf numFmtId="181" fontId="107" fillId="23" borderId="39" xfId="1" applyFont="1" applyFill="1" applyBorder="1" applyAlignment="1">
      <alignment horizontal="center" vertical="center" wrapText="1"/>
    </xf>
    <xf numFmtId="181" fontId="107" fillId="23" borderId="40" xfId="1" applyFont="1" applyFill="1" applyBorder="1" applyAlignment="1">
      <alignment horizontal="center" vertical="center" wrapText="1"/>
    </xf>
    <xf numFmtId="181" fontId="107" fillId="23" borderId="29" xfId="1" applyFont="1" applyFill="1" applyBorder="1" applyAlignment="1">
      <alignment horizontal="center" vertical="center" wrapText="1"/>
    </xf>
    <xf numFmtId="181" fontId="107" fillId="23" borderId="36" xfId="1" applyFont="1" applyFill="1" applyBorder="1" applyAlignment="1">
      <alignment horizontal="center" vertical="center" wrapText="1"/>
    </xf>
    <xf numFmtId="181" fontId="107" fillId="23" borderId="42" xfId="1" applyFont="1" applyFill="1" applyBorder="1" applyAlignment="1">
      <alignment horizontal="center" vertical="center" wrapText="1"/>
    </xf>
    <xf numFmtId="181" fontId="107" fillId="23" borderId="37" xfId="1" applyFont="1" applyFill="1" applyBorder="1" applyAlignment="1">
      <alignment horizontal="center" vertical="center" wrapText="1"/>
    </xf>
    <xf numFmtId="181" fontId="107" fillId="23" borderId="43" xfId="1" applyFont="1" applyFill="1" applyBorder="1" applyAlignment="1">
      <alignment horizontal="center" vertical="center" wrapText="1"/>
    </xf>
    <xf numFmtId="181" fontId="107" fillId="23" borderId="36" xfId="1" applyFont="1" applyFill="1" applyBorder="1" applyAlignment="1">
      <alignment horizontal="right" vertical="center" wrapText="1"/>
    </xf>
    <xf numFmtId="181" fontId="107" fillId="23" borderId="42" xfId="1" applyFont="1" applyFill="1" applyBorder="1" applyAlignment="1">
      <alignment horizontal="right" vertical="center" wrapText="1"/>
    </xf>
    <xf numFmtId="38" fontId="107" fillId="23" borderId="40" xfId="0" applyNumberFormat="1" applyFont="1" applyFill="1" applyBorder="1" applyAlignment="1">
      <alignment horizontal="center" vertical="center"/>
    </xf>
    <xf numFmtId="38" fontId="107" fillId="23" borderId="29" xfId="0" applyNumberFormat="1" applyFont="1" applyFill="1" applyBorder="1" applyAlignment="1">
      <alignment horizontal="center" vertical="center"/>
    </xf>
    <xf numFmtId="38" fontId="107" fillId="0" borderId="9" xfId="1" applyNumberFormat="1" applyFont="1" applyBorder="1" applyAlignment="1">
      <alignment horizontal="center" vertical="center" wrapText="1"/>
    </xf>
    <xf numFmtId="38" fontId="107" fillId="0" borderId="9" xfId="1" applyNumberFormat="1" applyFont="1" applyBorder="1" applyAlignment="1">
      <alignment horizontal="center" vertical="center"/>
    </xf>
    <xf numFmtId="38" fontId="111" fillId="0" borderId="9" xfId="1" applyNumberFormat="1" applyFont="1" applyBorder="1" applyAlignment="1">
      <alignment horizontal="center" vertical="center" wrapText="1"/>
    </xf>
    <xf numFmtId="10" fontId="109" fillId="0" borderId="9" xfId="0" applyNumberFormat="1" applyFont="1" applyBorder="1" applyAlignment="1">
      <alignment horizontal="center" vertical="center" wrapText="1"/>
    </xf>
    <xf numFmtId="10" fontId="106" fillId="0" borderId="9" xfId="0" applyNumberFormat="1" applyFont="1" applyBorder="1" applyAlignment="1">
      <alignment horizontal="center" vertical="center" wrapText="1"/>
    </xf>
    <xf numFmtId="38" fontId="107" fillId="23" borderId="26" xfId="1" applyNumberFormat="1" applyFont="1" applyFill="1" applyBorder="1" applyAlignment="1">
      <alignment horizontal="center" vertical="center" wrapText="1"/>
    </xf>
    <xf numFmtId="38" fontId="107" fillId="23" borderId="9" xfId="1" applyNumberFormat="1" applyFont="1" applyFill="1" applyBorder="1" applyAlignment="1">
      <alignment horizontal="center" vertical="center"/>
    </xf>
    <xf numFmtId="9" fontId="107" fillId="23" borderId="25" xfId="1" applyNumberFormat="1" applyFont="1" applyFill="1" applyBorder="1" applyAlignment="1">
      <alignment horizontal="center" vertical="center" wrapText="1"/>
    </xf>
    <xf numFmtId="9" fontId="107" fillId="23" borderId="6" xfId="1" applyNumberFormat="1" applyFont="1" applyFill="1" applyBorder="1" applyAlignment="1">
      <alignment horizontal="center" vertical="center" wrapText="1"/>
    </xf>
    <xf numFmtId="10" fontId="107" fillId="23" borderId="24" xfId="1" applyNumberFormat="1" applyFont="1" applyFill="1" applyBorder="1" applyAlignment="1">
      <alignment horizontal="center" vertical="center" wrapText="1"/>
    </xf>
    <xf numFmtId="10" fontId="107" fillId="23" borderId="26" xfId="1" applyNumberFormat="1" applyFont="1" applyFill="1" applyBorder="1" applyAlignment="1">
      <alignment horizontal="center" vertical="center" wrapText="1"/>
    </xf>
    <xf numFmtId="10" fontId="107" fillId="23" borderId="27" xfId="1" applyNumberFormat="1" applyFont="1" applyFill="1" applyBorder="1" applyAlignment="1">
      <alignment horizontal="center" vertical="center" wrapText="1"/>
    </xf>
    <xf numFmtId="10" fontId="107" fillId="23" borderId="41" xfId="1" applyNumberFormat="1" applyFont="1" applyFill="1" applyBorder="1" applyAlignment="1">
      <alignment horizontal="center" vertical="center" wrapText="1"/>
    </xf>
    <xf numFmtId="38" fontId="107" fillId="23" borderId="24" xfId="0" applyNumberFormat="1" applyFont="1" applyFill="1" applyBorder="1" applyAlignment="1">
      <alignment horizontal="center" vertical="center"/>
    </xf>
    <xf numFmtId="38" fontId="107" fillId="23" borderId="26" xfId="0" applyNumberFormat="1" applyFont="1" applyFill="1" applyBorder="1" applyAlignment="1">
      <alignment horizontal="center" vertical="center"/>
    </xf>
    <xf numFmtId="38" fontId="107" fillId="23" borderId="25" xfId="0" applyNumberFormat="1" applyFont="1" applyFill="1" applyBorder="1" applyAlignment="1">
      <alignment horizontal="center" vertical="center"/>
    </xf>
    <xf numFmtId="38" fontId="107" fillId="23" borderId="27" xfId="0" applyNumberFormat="1" applyFont="1" applyFill="1" applyBorder="1" applyAlignment="1">
      <alignment horizontal="center" vertical="center"/>
    </xf>
    <xf numFmtId="38" fontId="107" fillId="23" borderId="26" xfId="0" applyNumberFormat="1" applyFont="1" applyFill="1" applyBorder="1" applyAlignment="1">
      <alignment horizontal="center" vertical="center" wrapText="1"/>
    </xf>
    <xf numFmtId="38" fontId="107" fillId="23" borderId="9" xfId="0" applyNumberFormat="1" applyFont="1" applyFill="1" applyBorder="1" applyAlignment="1">
      <alignment horizontal="center" vertical="center" wrapText="1"/>
    </xf>
    <xf numFmtId="38" fontId="111" fillId="0" borderId="9" xfId="0" applyNumberFormat="1" applyFont="1" applyBorder="1" applyAlignment="1">
      <alignment horizontal="center" vertical="center"/>
    </xf>
    <xf numFmtId="184" fontId="106" fillId="0" borderId="9" xfId="0" applyNumberFormat="1" applyFont="1" applyBorder="1" applyAlignment="1">
      <alignment horizontal="center" vertical="center" wrapText="1"/>
    </xf>
    <xf numFmtId="38" fontId="107" fillId="43" borderId="9" xfId="0" applyNumberFormat="1" applyFont="1" applyFill="1" applyBorder="1" applyAlignment="1">
      <alignment horizontal="center" vertical="center"/>
    </xf>
    <xf numFmtId="9" fontId="107" fillId="40" borderId="9" xfId="0" applyNumberFormat="1" applyFont="1" applyFill="1" applyBorder="1" applyAlignment="1">
      <alignment horizontal="center" vertical="center"/>
    </xf>
    <xf numFmtId="37" fontId="111" fillId="0" borderId="10" xfId="0" applyNumberFormat="1" applyFont="1" applyBorder="1" applyAlignment="1">
      <alignment horizontal="center" vertical="center" wrapText="1"/>
    </xf>
    <xf numFmtId="37" fontId="107" fillId="0" borderId="11" xfId="0" applyNumberFormat="1" applyFont="1" applyBorder="1" applyAlignment="1">
      <alignment horizontal="center" vertical="center"/>
    </xf>
    <xf numFmtId="38" fontId="107" fillId="23" borderId="24" xfId="1" applyNumberFormat="1" applyFont="1" applyFill="1" applyBorder="1" applyAlignment="1">
      <alignment horizontal="center" vertical="center" wrapText="1"/>
    </xf>
    <xf numFmtId="38" fontId="107" fillId="23" borderId="22" xfId="1" applyNumberFormat="1" applyFont="1" applyFill="1" applyBorder="1" applyAlignment="1">
      <alignment horizontal="center" vertical="center"/>
    </xf>
    <xf numFmtId="38" fontId="107" fillId="23" borderId="27" xfId="1" applyNumberFormat="1" applyFont="1" applyFill="1" applyBorder="1" applyAlignment="1">
      <alignment horizontal="center" vertical="center" wrapText="1"/>
    </xf>
    <xf numFmtId="38" fontId="107" fillId="23" borderId="21" xfId="1" applyNumberFormat="1" applyFont="1" applyFill="1" applyBorder="1" applyAlignment="1">
      <alignment horizontal="center" vertical="center"/>
    </xf>
    <xf numFmtId="38" fontId="107" fillId="23" borderId="24" xfId="1" applyNumberFormat="1" applyFont="1" applyFill="1" applyBorder="1" applyAlignment="1">
      <alignment horizontal="right" vertical="center" wrapText="1"/>
    </xf>
    <xf numFmtId="38" fontId="107" fillId="23" borderId="22" xfId="1" applyNumberFormat="1" applyFont="1" applyFill="1" applyBorder="1" applyAlignment="1">
      <alignment horizontal="right" vertical="center"/>
    </xf>
    <xf numFmtId="185" fontId="129" fillId="38" borderId="72" xfId="3" applyNumberFormat="1" applyFont="1" applyFill="1" applyBorder="1" applyAlignment="1">
      <alignment horizontal="center" vertical="center"/>
    </xf>
    <xf numFmtId="185" fontId="129" fillId="38" borderId="73" xfId="3" applyNumberFormat="1" applyFont="1" applyFill="1" applyBorder="1" applyAlignment="1">
      <alignment horizontal="center" vertical="center"/>
    </xf>
    <xf numFmtId="185" fontId="102" fillId="0" borderId="70" xfId="3" applyNumberFormat="1" applyFont="1" applyBorder="1" applyAlignment="1">
      <alignment horizontal="center" vertical="center"/>
    </xf>
    <xf numFmtId="185" fontId="102" fillId="0" borderId="71" xfId="3" applyNumberFormat="1" applyFont="1" applyBorder="1" applyAlignment="1">
      <alignment horizontal="center" vertical="center"/>
    </xf>
    <xf numFmtId="185" fontId="129" fillId="38" borderId="72" xfId="3" quotePrefix="1" applyNumberFormat="1" applyFont="1" applyFill="1" applyBorder="1" applyAlignment="1">
      <alignment horizontal="center" vertical="center"/>
    </xf>
    <xf numFmtId="185" fontId="102" fillId="0" borderId="69" xfId="3" applyNumberFormat="1" applyFont="1" applyBorder="1" applyAlignment="1">
      <alignment horizontal="center" vertical="center" wrapText="1"/>
    </xf>
    <xf numFmtId="185" fontId="102" fillId="0" borderId="70" xfId="3" applyNumberFormat="1" applyFont="1" applyBorder="1" applyAlignment="1">
      <alignment horizontal="center" vertical="center" wrapText="1"/>
    </xf>
    <xf numFmtId="185" fontId="102" fillId="0" borderId="71" xfId="3" applyNumberFormat="1" applyFont="1" applyBorder="1" applyAlignment="1">
      <alignment horizontal="center" vertical="center" wrapText="1"/>
    </xf>
    <xf numFmtId="185" fontId="102" fillId="0" borderId="69" xfId="3" applyNumberFormat="1" applyFont="1" applyFill="1" applyBorder="1" applyAlignment="1">
      <alignment horizontal="center" vertical="center"/>
    </xf>
    <xf numFmtId="185" fontId="102" fillId="0" borderId="70" xfId="3" applyNumberFormat="1" applyFont="1" applyFill="1" applyBorder="1" applyAlignment="1">
      <alignment horizontal="center" vertical="center"/>
    </xf>
    <xf numFmtId="185" fontId="102" fillId="0" borderId="71" xfId="3" applyNumberFormat="1" applyFont="1" applyFill="1" applyBorder="1" applyAlignment="1">
      <alignment horizontal="center" vertical="center"/>
    </xf>
    <xf numFmtId="180" fontId="40" fillId="0" borderId="9" xfId="0" applyNumberFormat="1" applyFont="1" applyBorder="1">
      <alignment vertical="center"/>
    </xf>
    <xf numFmtId="180" fontId="40" fillId="0" borderId="9" xfId="0" applyNumberFormat="1" applyFont="1" applyBorder="1" applyAlignment="1">
      <alignment horizontal="center" vertical="center"/>
    </xf>
    <xf numFmtId="176" fontId="40" fillId="0" borderId="9" xfId="0" applyNumberFormat="1" applyFont="1" applyBorder="1" applyAlignment="1">
      <alignment horizontal="center" vertical="center" wrapText="1"/>
    </xf>
    <xf numFmtId="176" fontId="40" fillId="0" borderId="9" xfId="0" applyNumberFormat="1" applyFont="1" applyBorder="1" applyAlignment="1">
      <alignment horizontal="center" vertical="center"/>
    </xf>
    <xf numFmtId="10" fontId="40" fillId="13" borderId="9" xfId="0" applyNumberFormat="1" applyFont="1" applyFill="1" applyBorder="1" applyAlignment="1">
      <alignment horizontal="center" vertical="center" wrapText="1"/>
    </xf>
    <xf numFmtId="176" fontId="41" fillId="17" borderId="9" xfId="0" applyNumberFormat="1" applyFont="1" applyFill="1" applyBorder="1" applyAlignment="1">
      <alignment horizontal="center" vertical="center"/>
    </xf>
    <xf numFmtId="176" fontId="40" fillId="17" borderId="9" xfId="0" applyNumberFormat="1" applyFont="1" applyFill="1" applyBorder="1" applyAlignment="1">
      <alignment horizontal="center" vertical="center"/>
    </xf>
    <xf numFmtId="176" fontId="41" fillId="4" borderId="24" xfId="0" applyNumberFormat="1" applyFont="1" applyFill="1" applyBorder="1" applyAlignment="1">
      <alignment horizontal="center" vertical="center" wrapText="1"/>
    </xf>
    <xf numFmtId="176" fontId="41" fillId="4" borderId="25" xfId="0" applyNumberFormat="1" applyFont="1" applyFill="1" applyBorder="1" applyAlignment="1">
      <alignment horizontal="center" vertical="center" wrapText="1"/>
    </xf>
    <xf numFmtId="176" fontId="41" fillId="4" borderId="26" xfId="0" applyNumberFormat="1" applyFont="1" applyFill="1" applyBorder="1" applyAlignment="1">
      <alignment horizontal="center" vertical="center" wrapText="1"/>
    </xf>
    <xf numFmtId="10" fontId="41" fillId="4" borderId="27" xfId="0" applyNumberFormat="1" applyFont="1" applyFill="1" applyBorder="1" applyAlignment="1">
      <alignment horizontal="center" vertical="center" wrapText="1"/>
    </xf>
    <xf numFmtId="10" fontId="41" fillId="4" borderId="28" xfId="0" applyNumberFormat="1" applyFont="1" applyFill="1" applyBorder="1" applyAlignment="1">
      <alignment horizontal="center" vertical="center" wrapText="1"/>
    </xf>
    <xf numFmtId="176" fontId="41" fillId="4" borderId="29" xfId="0" applyNumberFormat="1" applyFont="1" applyFill="1" applyBorder="1" applyAlignment="1">
      <alignment horizontal="center" vertical="center"/>
    </xf>
    <xf numFmtId="176" fontId="41" fillId="4" borderId="28" xfId="0" applyNumberFormat="1" applyFont="1" applyFill="1" applyBorder="1" applyAlignment="1">
      <alignment horizontal="center" vertical="center"/>
    </xf>
    <xf numFmtId="176" fontId="41" fillId="18" borderId="28" xfId="0" applyNumberFormat="1" applyFont="1" applyFill="1" applyBorder="1" applyAlignment="1">
      <alignment horizontal="center" vertical="center"/>
    </xf>
    <xf numFmtId="180" fontId="40" fillId="19" borderId="9" xfId="0" applyNumberFormat="1" applyFont="1" applyFill="1" applyBorder="1" applyAlignment="1">
      <alignment horizontal="center" vertical="center"/>
    </xf>
    <xf numFmtId="180" fontId="40" fillId="20" borderId="9" xfId="0" applyNumberFormat="1" applyFont="1" applyFill="1" applyBorder="1" applyAlignment="1">
      <alignment horizontal="center" vertical="center"/>
    </xf>
    <xf numFmtId="184" fontId="40" fillId="13" borderId="9" xfId="2" applyNumberFormat="1" applyFont="1" applyFill="1" applyBorder="1" applyAlignment="1" applyProtection="1">
      <alignment horizontal="center" vertical="center" wrapText="1"/>
    </xf>
    <xf numFmtId="176" fontId="45" fillId="0" borderId="0" xfId="0" applyNumberFormat="1" applyFont="1" applyFill="1">
      <alignment vertical="center"/>
    </xf>
    <xf numFmtId="176" fontId="56" fillId="0" borderId="0" xfId="0" applyNumberFormat="1" applyFont="1" applyFill="1">
      <alignment vertical="center"/>
    </xf>
    <xf numFmtId="176" fontId="45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>
      <alignment vertical="center"/>
    </xf>
    <xf numFmtId="0" fontId="105" fillId="0" borderId="0" xfId="0" applyFont="1" applyBorder="1" applyAlignment="1">
      <alignment horizontal="center" vertical="center"/>
    </xf>
    <xf numFmtId="38" fontId="105" fillId="0" borderId="0" xfId="0" applyNumberFormat="1" applyFont="1" applyBorder="1">
      <alignment vertical="center"/>
    </xf>
    <xf numFmtId="176" fontId="45" fillId="0" borderId="0" xfId="0" quotePrefix="1" applyNumberFormat="1" applyFont="1" applyAlignment="1">
      <alignment horizontal="center"/>
    </xf>
    <xf numFmtId="49" fontId="45" fillId="0" borderId="0" xfId="0" applyNumberFormat="1" applyFont="1" applyFill="1">
      <alignment vertical="center"/>
    </xf>
    <xf numFmtId="0" fontId="187" fillId="0" borderId="0" xfId="0" applyFont="1" applyAlignment="1">
      <alignment horizontal="left" vertical="center"/>
    </xf>
    <xf numFmtId="38" fontId="87" fillId="0" borderId="0" xfId="0" applyNumberFormat="1" applyFont="1">
      <alignment vertical="center"/>
    </xf>
    <xf numFmtId="176" fontId="45" fillId="0" borderId="0" xfId="0" applyNumberFormat="1" applyFont="1" applyFill="1" applyBorder="1">
      <alignment vertical="center"/>
    </xf>
    <xf numFmtId="176" fontId="45" fillId="0" borderId="0" xfId="0" applyNumberFormat="1" applyFont="1" applyFill="1" applyBorder="1" applyAlignment="1">
      <alignment horizontal="center" vertical="center"/>
    </xf>
    <xf numFmtId="0" fontId="187" fillId="0" borderId="0" xfId="0" applyFont="1" applyFill="1" applyBorder="1" applyAlignment="1">
      <alignment horizontal="left" vertical="center"/>
    </xf>
    <xf numFmtId="38" fontId="87" fillId="0" borderId="0" xfId="0" applyNumberFormat="1" applyFont="1" applyFill="1" applyBorder="1">
      <alignment vertical="center"/>
    </xf>
    <xf numFmtId="38" fontId="87" fillId="0" borderId="0" xfId="0" quotePrefix="1" applyNumberFormat="1" applyFont="1">
      <alignment vertical="center"/>
    </xf>
    <xf numFmtId="176" fontId="2" fillId="59" borderId="0" xfId="0" applyNumberFormat="1" applyFont="1" applyFill="1">
      <alignment vertical="center"/>
    </xf>
    <xf numFmtId="176" fontId="9" fillId="59" borderId="0" xfId="0" applyNumberFormat="1" applyFont="1" applyFill="1">
      <alignment vertical="center"/>
    </xf>
    <xf numFmtId="176" fontId="2" fillId="60" borderId="0" xfId="0" applyNumberFormat="1" applyFont="1" applyFill="1">
      <alignment vertical="center"/>
    </xf>
    <xf numFmtId="176" fontId="2" fillId="61" borderId="0" xfId="0" applyNumberFormat="1" applyFont="1" applyFill="1">
      <alignment vertical="center"/>
    </xf>
    <xf numFmtId="176" fontId="9" fillId="61" borderId="0" xfId="0" applyNumberFormat="1" applyFont="1" applyFill="1">
      <alignment vertical="center"/>
    </xf>
    <xf numFmtId="176" fontId="226" fillId="35" borderId="0" xfId="0" applyNumberFormat="1" applyFont="1" applyFill="1">
      <alignment vertical="center"/>
    </xf>
    <xf numFmtId="176" fontId="45" fillId="35" borderId="0" xfId="0" applyNumberFormat="1" applyFont="1" applyFill="1">
      <alignment vertical="center"/>
    </xf>
    <xf numFmtId="176" fontId="45" fillId="35" borderId="0" xfId="0" applyNumberFormat="1" applyFont="1" applyFill="1" applyBorder="1">
      <alignment vertical="center"/>
    </xf>
    <xf numFmtId="176" fontId="45" fillId="38" borderId="0" xfId="0" applyNumberFormat="1" applyFont="1" applyFill="1" applyBorder="1">
      <alignment vertical="center"/>
    </xf>
    <xf numFmtId="176" fontId="45" fillId="41" borderId="0" xfId="0" applyNumberFormat="1" applyFont="1" applyFill="1">
      <alignment vertical="center"/>
    </xf>
    <xf numFmtId="200" fontId="0" fillId="0" borderId="0" xfId="0" applyNumberFormat="1" applyAlignment="1"/>
    <xf numFmtId="0" fontId="0" fillId="0" borderId="0" xfId="0" applyAlignment="1"/>
    <xf numFmtId="176" fontId="45" fillId="6" borderId="0" xfId="0" applyNumberFormat="1" applyFont="1" applyFill="1" applyAlignment="1">
      <alignment vertical="center"/>
    </xf>
    <xf numFmtId="0" fontId="187" fillId="0" borderId="14" xfId="0" applyFont="1" applyFill="1" applyBorder="1" applyAlignment="1">
      <alignment horizontal="left" vertical="center"/>
    </xf>
    <xf numFmtId="0" fontId="187" fillId="0" borderId="0" xfId="0" applyFont="1" applyFill="1">
      <alignment vertical="center"/>
    </xf>
    <xf numFmtId="0" fontId="187" fillId="0" borderId="16" xfId="0" applyFont="1" applyFill="1" applyBorder="1" applyAlignment="1">
      <alignment horizontal="left" vertical="center"/>
    </xf>
    <xf numFmtId="176" fontId="41" fillId="0" borderId="0" xfId="0" applyNumberFormat="1" applyFont="1" applyFill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187" fillId="0" borderId="0" xfId="0" applyFont="1" applyFill="1" applyBorder="1">
      <alignment vertical="center"/>
    </xf>
    <xf numFmtId="176" fontId="41" fillId="0" borderId="0" xfId="0" applyNumberFormat="1" applyFont="1" applyFill="1" applyBorder="1">
      <alignment vertical="center"/>
    </xf>
    <xf numFmtId="176" fontId="45" fillId="0" borderId="0" xfId="0" applyNumberFormat="1" applyFont="1" applyBorder="1">
      <alignment vertical="center"/>
    </xf>
    <xf numFmtId="38" fontId="125" fillId="0" borderId="2" xfId="0" applyNumberFormat="1" applyFont="1" applyBorder="1">
      <alignment vertical="center"/>
    </xf>
    <xf numFmtId="38" fontId="105" fillId="0" borderId="0" xfId="0" applyNumberFormat="1" applyFont="1" applyFill="1" applyBorder="1">
      <alignment vertical="center"/>
    </xf>
    <xf numFmtId="38" fontId="125" fillId="0" borderId="0" xfId="0" applyNumberFormat="1" applyFont="1" applyFill="1">
      <alignment vertical="center"/>
    </xf>
    <xf numFmtId="38" fontId="105" fillId="0" borderId="0" xfId="0" applyNumberFormat="1" applyFont="1" applyFill="1">
      <alignment vertical="center"/>
    </xf>
    <xf numFmtId="38" fontId="105" fillId="0" borderId="2" xfId="0" applyNumberFormat="1" applyFont="1" applyFill="1" applyBorder="1">
      <alignment vertical="center"/>
    </xf>
    <xf numFmtId="182" fontId="2" fillId="0" borderId="0" xfId="0" applyNumberFormat="1" applyFont="1" applyFill="1">
      <alignment vertical="center"/>
    </xf>
    <xf numFmtId="176" fontId="3" fillId="0" borderId="0" xfId="0" applyNumberFormat="1" applyFont="1" applyFill="1">
      <alignment vertical="center"/>
    </xf>
    <xf numFmtId="38" fontId="121" fillId="0" borderId="0" xfId="0" applyNumberFormat="1" applyFont="1" applyFill="1">
      <alignment vertical="center"/>
    </xf>
    <xf numFmtId="176" fontId="72" fillId="0" borderId="0" xfId="0" applyNumberFormat="1" applyFont="1" applyFill="1">
      <alignment vertical="center"/>
    </xf>
    <xf numFmtId="49" fontId="105" fillId="0" borderId="2" xfId="0" applyNumberFormat="1" applyFont="1" applyFill="1" applyBorder="1">
      <alignment vertical="center"/>
    </xf>
    <xf numFmtId="49" fontId="41" fillId="0" borderId="0" xfId="0" applyNumberFormat="1" applyFont="1" applyFill="1">
      <alignment vertical="center"/>
    </xf>
    <xf numFmtId="176" fontId="59" fillId="0" borderId="0" xfId="0" applyNumberFormat="1" applyFont="1" applyFill="1" applyAlignment="1">
      <alignment horizontal="left" vertical="center"/>
    </xf>
    <xf numFmtId="0" fontId="187" fillId="0" borderId="2" xfId="0" applyFont="1" applyFill="1" applyBorder="1" applyAlignment="1">
      <alignment horizontal="left" vertical="center"/>
    </xf>
    <xf numFmtId="0" fontId="227" fillId="0" borderId="0" xfId="0" applyFont="1" applyFill="1" applyAlignment="1">
      <alignment horizontal="left" vertical="center"/>
    </xf>
    <xf numFmtId="176" fontId="45" fillId="0" borderId="2" xfId="0" applyNumberFormat="1" applyFont="1" applyFill="1" applyBorder="1">
      <alignment vertical="center"/>
    </xf>
    <xf numFmtId="38" fontId="125" fillId="0" borderId="0" xfId="0" applyNumberFormat="1" applyFont="1" applyFill="1" applyBorder="1">
      <alignment vertical="center"/>
    </xf>
    <xf numFmtId="38" fontId="121" fillId="0" borderId="0" xfId="0" applyNumberFormat="1" applyFont="1" applyFill="1" applyBorder="1">
      <alignment vertical="center"/>
    </xf>
    <xf numFmtId="176" fontId="40" fillId="0" borderId="23" xfId="0" applyNumberFormat="1" applyFont="1" applyBorder="1">
      <alignment vertical="center"/>
    </xf>
    <xf numFmtId="0" fontId="187" fillId="35" borderId="0" xfId="0" applyFont="1" applyFill="1">
      <alignment vertical="center"/>
    </xf>
    <xf numFmtId="176" fontId="80" fillId="35" borderId="0" xfId="0" applyNumberFormat="1" applyFont="1" applyFill="1">
      <alignment vertical="center"/>
    </xf>
    <xf numFmtId="176" fontId="2" fillId="57" borderId="0" xfId="0" applyNumberFormat="1" applyFont="1" applyFill="1">
      <alignment vertical="center"/>
    </xf>
    <xf numFmtId="49" fontId="2" fillId="57" borderId="0" xfId="0" applyNumberFormat="1" applyFont="1" applyFill="1">
      <alignment vertical="center"/>
    </xf>
    <xf numFmtId="0" fontId="87" fillId="0" borderId="0" xfId="0" applyFont="1" applyFill="1" applyBorder="1" applyAlignment="1">
      <alignment horizontal="left" vertical="center"/>
    </xf>
    <xf numFmtId="0" fontId="228" fillId="0" borderId="0" xfId="0" applyFont="1">
      <alignment vertical="center"/>
    </xf>
    <xf numFmtId="49" fontId="105" fillId="0" borderId="0" xfId="0" applyNumberFormat="1" applyFont="1" applyFill="1" applyBorder="1">
      <alignment vertical="center"/>
    </xf>
    <xf numFmtId="176" fontId="72" fillId="0" borderId="2" xfId="0" applyNumberFormat="1" applyFont="1" applyBorder="1">
      <alignment vertical="center"/>
    </xf>
    <xf numFmtId="183" fontId="2" fillId="0" borderId="0" xfId="0" applyNumberFormat="1" applyFont="1" applyFill="1">
      <alignment vertical="center"/>
    </xf>
    <xf numFmtId="176" fontId="2" fillId="0" borderId="2" xfId="0" applyNumberFormat="1" applyFont="1" applyFill="1" applyBorder="1">
      <alignment vertical="center"/>
    </xf>
    <xf numFmtId="176" fontId="89" fillId="0" borderId="0" xfId="0" applyNumberFormat="1" applyFont="1" applyFill="1">
      <alignment vertical="center"/>
    </xf>
  </cellXfs>
  <cellStyles count="4">
    <cellStyle name="一般" xfId="0" builtinId="0"/>
    <cellStyle name="千分位" xfId="1" builtinId="3"/>
    <cellStyle name="千分位[0]" xfId="3" builtinId="6"/>
    <cellStyle name="百分比" xfId="2" builtinId="5"/>
  </cellStyles>
  <dxfs count="193"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008000"/>
      </font>
    </dxf>
    <dxf>
      <font>
        <b/>
        <i val="0"/>
        <color rgb="FF0000FF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b val="0"/>
        <i val="0"/>
        <condense val="0"/>
        <extend val="0"/>
        <color indexed="17"/>
      </font>
    </dxf>
    <dxf>
      <font>
        <b/>
        <i val="0"/>
        <condense val="0"/>
        <extend val="0"/>
        <color indexed="12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ill>
        <patternFill>
          <bgColor indexed="53"/>
        </patternFill>
      </fill>
    </dxf>
    <dxf>
      <font>
        <color rgb="FF008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D6DCE5"/>
      <rgbColor rgb="FF9C0006"/>
      <rgbColor rgb="FF008000"/>
      <rgbColor rgb="FF000080"/>
      <rgbColor rgb="FF806000"/>
      <rgbColor rgb="FF800080"/>
      <rgbColor rgb="FF00B050"/>
      <rgbColor rgb="FFC0C0C0"/>
      <rgbColor rgb="FF808080"/>
      <rgbColor rgb="FFB4C7E7"/>
      <rgbColor rgb="FF7030A0"/>
      <rgbColor rgb="FFFFF2CC"/>
      <rgbColor rgb="FFDEEBF7"/>
      <rgbColor rgb="FF660066"/>
      <rgbColor rgb="FFD0CECE"/>
      <rgbColor rgb="FF0070C0"/>
      <rgbColor rgb="FFBDD7EE"/>
      <rgbColor rgb="FF000080"/>
      <rgbColor rgb="FFFF00FF"/>
      <rgbColor rgb="FFFFE699"/>
      <rgbColor rgb="FFEDEDED"/>
      <rgbColor rgb="FF800080"/>
      <rgbColor rgb="FFC00000"/>
      <rgbColor rgb="FF008080"/>
      <rgbColor rgb="FF0000FF"/>
      <rgbColor rgb="FF00B0F0"/>
      <rgbColor rgb="FFDAE3F3"/>
      <rgbColor rgb="FFE2F0D9"/>
      <rgbColor rgb="FFFFFF66"/>
      <rgbColor rgb="FF9DC3E6"/>
      <rgbColor rgb="FFFFC7CE"/>
      <rgbColor rgb="FFBFBFBF"/>
      <rgbColor rgb="FFF8CBAD"/>
      <rgbColor rgb="FFFBE5D6"/>
      <rgbColor rgb="FFA9D18E"/>
      <rgbColor rgb="FF92D050"/>
      <rgbColor rgb="FFFFD966"/>
      <rgbColor rgb="FFC5E0B4"/>
      <rgbColor rgb="FFC55A11"/>
      <rgbColor rgb="FF595959"/>
      <rgbColor rgb="FFA6A6A6"/>
      <rgbColor rgb="FF003366"/>
      <rgbColor rgb="FF548235"/>
      <rgbColor rgb="FF003300"/>
      <rgbColor rgb="FF333300"/>
      <rgbColor rgb="FF993300"/>
      <rgbColor rgb="FF9933FF"/>
      <rgbColor rgb="FF0033CC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9360</xdr:colOff>
      <xdr:row>13</xdr:row>
      <xdr:rowOff>81000</xdr:rowOff>
    </xdr:from>
    <xdr:to>
      <xdr:col>11</xdr:col>
      <xdr:colOff>258840</xdr:colOff>
      <xdr:row>24</xdr:row>
      <xdr:rowOff>122040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9560" y="2895480"/>
          <a:ext cx="8993520" cy="2241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54428</xdr:colOff>
      <xdr:row>10</xdr:row>
      <xdr:rowOff>95250</xdr:rowOff>
    </xdr:from>
    <xdr:to>
      <xdr:col>78</xdr:col>
      <xdr:colOff>613591</xdr:colOff>
      <xdr:row>32</xdr:row>
      <xdr:rowOff>119179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C0B25D-321E-4FFA-AB98-DEF2D37B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2" cy="4443529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A4D2815-FA70-44CC-AD28-A1DF877D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  <xdr:twoCellAnchor editAs="oneCell">
    <xdr:from>
      <xdr:col>65</xdr:col>
      <xdr:colOff>54428</xdr:colOff>
      <xdr:row>10</xdr:row>
      <xdr:rowOff>95250</xdr:rowOff>
    </xdr:from>
    <xdr:to>
      <xdr:col>78</xdr:col>
      <xdr:colOff>613589</xdr:colOff>
      <xdr:row>32</xdr:row>
      <xdr:rowOff>117274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E04B0BB-D5DE-418B-B2D0-E12B6621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9853" y="2476500"/>
          <a:ext cx="9474561" cy="44416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8751E50-D828-4CE4-9156-68F1E7D78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88</xdr:row>
      <xdr:rowOff>204107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97A035E-1B49-4F45-9D15-AE91E82CA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  <xdr:twoCellAnchor editAs="oneCell">
    <xdr:from>
      <xdr:col>63</xdr:col>
      <xdr:colOff>952499</xdr:colOff>
      <xdr:row>129</xdr:row>
      <xdr:rowOff>225136</xdr:rowOff>
    </xdr:from>
    <xdr:to>
      <xdr:col>72</xdr:col>
      <xdr:colOff>1436</xdr:colOff>
      <xdr:row>140</xdr:row>
      <xdr:rowOff>73136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E25A9D7-3831-4A93-BBB1-280BE60E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22899" y="33010186"/>
          <a:ext cx="10307487" cy="2886476"/>
        </a:xfrm>
        <a:prstGeom prst="rect">
          <a:avLst/>
        </a:prstGeom>
      </xdr:spPr>
    </xdr:pic>
    <xdr:clientData/>
  </xdr:twoCellAnchor>
  <xdr:twoCellAnchor editAs="oneCell">
    <xdr:from>
      <xdr:col>0</xdr:col>
      <xdr:colOff>54428</xdr:colOff>
      <xdr:row>68</xdr:row>
      <xdr:rowOff>176892</xdr:rowOff>
    </xdr:from>
    <xdr:to>
      <xdr:col>8</xdr:col>
      <xdr:colOff>555</xdr:colOff>
      <xdr:row>86</xdr:row>
      <xdr:rowOff>184381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78B84B0-F5F5-4CF0-8E45-C4B1B5C4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28" y="18322017"/>
          <a:ext cx="9937852" cy="497953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7</xdr:row>
      <xdr:rowOff>28575</xdr:rowOff>
    </xdr:from>
    <xdr:to>
      <xdr:col>22</xdr:col>
      <xdr:colOff>135197</xdr:colOff>
      <xdr:row>41</xdr:row>
      <xdr:rowOff>162938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465059-BF5D-B0D5-1AB4-A562BCE2B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1495425"/>
          <a:ext cx="13232072" cy="72590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Relationship Id="rId1" Type="http://schemas.openxmlformats.org/officeDocument/2006/relationships/externalLinkPath" Target="file:///C:\Users\12062327\Downloads\2027_BIM%20&#38928;&#31639;%20(&#33258;202608&#31649;&#22577;&#35079;&#35069;&#65292;&#21512;&#32004;&#12289;&#25104;&#26412;&#24050;&#25913;&#28858;&#38928;&#31639;&#35722;&#26356;&#24460;&#37329;&#38989;)%20(14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clcltd-my.sharepoint.com/personal/twcec-od-sys-all_continental-engineering_com/Documents/TH60A/60.02&#26371;&#35336;/60.02.05&#38928;&#31639;/2027&#24180;/02%20BIM/01%20BIM&#38928;&#31639;&#22577;&#34920;/2027%20BIM&#38928;&#31639;%200916%207PM%20.xlsx" TargetMode="External"/><Relationship Id="rId1" Type="http://schemas.openxmlformats.org/officeDocument/2006/relationships/externalLinkPath" Target="2027%20BIM&#38928;&#31639;%200916%207PM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  <sheetName val="Step 2 3.1 26 Last Exp (底) "/>
      <sheetName val="02 2026新取得"/>
      <sheetName val="2026分月預算"/>
      <sheetName val="預算IS"/>
      <sheetName val="5Yrs IS_月"/>
      <sheetName val="Summary"/>
      <sheetName val="BS彙整"/>
      <sheetName val="BS M分月"/>
      <sheetName val="BS 分年"/>
      <sheetName val="問題9"/>
      <sheetName val="Dec 問"/>
      <sheetName val="01 Actual vs Fst"/>
      <sheetName val="BU KPI(查看各單位淨利)"/>
      <sheetName val="3.P&amp;L"/>
      <sheetName val="3.1 Exp"/>
      <sheetName val="問題8"/>
      <sheetName val="02 25新取得"/>
      <sheetName val="A1 BIM"/>
      <sheetName val="A1 Last BIM"/>
      <sheetName val="2026分月預算(備用)"/>
      <sheetName val="6 NEW WORK"/>
      <sheetName val="02 新取得"/>
      <sheetName val="02 新取得2027"/>
      <sheetName val="RD"/>
      <sheetName val="01 收入底稿"/>
      <sheetName val="01 成本底稿"/>
      <sheetName val="Nov問"/>
      <sheetName val="3.1 5年IT"/>
      <sheetName val="3.1 2025 IT&amp;固資 "/>
      <sheetName val="CHECK"/>
      <sheetName val="Step 3 03c OH_BIM"/>
      <sheetName val="25Exp(26預算版本)Ref."/>
      <sheetName val="Step 2 3.1 26Last Exp (底)"/>
      <sheetName val="01 毛利底稿"/>
      <sheetName val="3.3 人月"/>
      <sheetName val="3.3 收入人月"/>
      <sheetName val="3.3 成本人月"/>
      <sheetName val="3.1 2027 IT "/>
      <sheetName val="3.1 2026 IT "/>
      <sheetName val="3.1 5年度IT"/>
      <sheetName val="Step 2 3.1 27Exp (底)"/>
      <sheetName val="BIMY01_2027分月預算"/>
      <sheetName val="Step 2 3.2 2025~28 Exp (底)"/>
      <sheetName val="01.25 Bud "/>
      <sheetName val="BIMY01_2026"/>
      <sheetName val="Step 2 3.1 26Exp (底) "/>
      <sheetName val="B 26預算底稿(預算A1 BIM)"/>
      <sheetName val="B26 Bud收入人月"/>
      <sheetName val="B26 Bud成本人月"/>
      <sheetName val="B26 收入底稿"/>
      <sheetName val="B26 成本底稿"/>
      <sheetName val="B26 毛利底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B4">
            <v>46235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2 3.1 26 Last Exp (底) "/>
      <sheetName val="預算IS"/>
      <sheetName val="Summary"/>
      <sheetName val="BS彙整"/>
      <sheetName val="BS M分月"/>
      <sheetName val="BS 20260831"/>
      <sheetName val="BS 分年"/>
      <sheetName val="工作表2"/>
      <sheetName val="問Jun"/>
      <sheetName val="問Jue"/>
      <sheetName val="Jul問"/>
      <sheetName val="01 Act vs Fcst"/>
      <sheetName val="00 Act vs Bdgt"/>
      <sheetName val="2. Chart BU P&amp;L"/>
      <sheetName val="4. R&amp;O"/>
      <sheetName val="6 NEW WORK"/>
      <sheetName val="02 25新取得"/>
      <sheetName val="1. BU KPI"/>
      <sheetName val="3.P&amp;L"/>
      <sheetName val="02 26新取得"/>
      <sheetName val="02 2027新取得"/>
      <sheetName val="0.4 IS"/>
      <sheetName val="3.1 Exp"/>
      <sheetName val="5. Backlog"/>
      <sheetName val="02分月預測"/>
      <sheetName val="A1 BIM"/>
      <sheetName val="5Yrs IS_月"/>
      <sheetName val="2027分月預算"/>
      <sheetName val="3. 8%"/>
      <sheetName val="note"/>
      <sheetName val="backlog(from完比計算)"/>
      <sheetName val="A1 Last BIM"/>
      <sheetName val="2026分月預算(備用)"/>
      <sheetName val="完比法收入(202612起)"/>
      <sheetName val="01 收入底稿(計價收入)"/>
      <sheetName val="01 收入底稿(計價管控)"/>
      <sheetName val="01 成本底稿"/>
      <sheetName val="01 毛利底稿"/>
      <sheetName val="3.1 2026 IT "/>
      <sheetName val="3.1 2026 Last IT"/>
      <sheetName val="Nov問"/>
      <sheetName val="Aug問"/>
      <sheetName val="3.3 人月"/>
      <sheetName val="3.3 收入人月"/>
      <sheetName val="3.3 成本人月"/>
      <sheetName val="3 202512%"/>
      <sheetName val="Step 3 03c OH_BIM"/>
      <sheetName val="1. BU KPI (研發OH)"/>
      <sheetName val="Step 2 3.1 26Exp (底) "/>
      <sheetName val="3.1 2025 IT&amp;固資 "/>
      <sheetName val="Step 2 3.1 26Last Exp (底)"/>
      <sheetName val="BIMY01 26Exp"/>
      <sheetName val="CHECK"/>
      <sheetName val="25Exp(26預算版本)Ref."/>
      <sheetName val="3.1 5年IT"/>
      <sheetName val="3.1 2027 IT"/>
      <sheetName val="BIMY01 27Exp預算"/>
      <sheetName val="Step 2 3.1 27Exp (底)"/>
      <sheetName val="Step 2 3.2 2025~28 Exp (底)"/>
      <sheetName val="3.4上月收入人月"/>
      <sheetName val="3.4上月成本人月"/>
      <sheetName val="01.25 Bud "/>
      <sheetName val="B26預算底稿(預算A1 BIM)"/>
      <sheetName val="B26 Bud收入人月"/>
      <sheetName val="B26 Bud成本人月"/>
      <sheetName val="B26 收入底稿"/>
      <sheetName val="B26 毛利底稿"/>
      <sheetName val="B26 成本底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>
        <row r="6">
          <cell r="I6">
            <v>46023</v>
          </cell>
          <cell r="J6">
            <v>46054</v>
          </cell>
          <cell r="K6">
            <v>46082</v>
          </cell>
          <cell r="L6">
            <v>46113</v>
          </cell>
          <cell r="M6">
            <v>46143</v>
          </cell>
          <cell r="N6">
            <v>46174</v>
          </cell>
          <cell r="O6">
            <v>46204</v>
          </cell>
          <cell r="P6">
            <v>46235</v>
          </cell>
          <cell r="Q6">
            <v>46266</v>
          </cell>
          <cell r="R6">
            <v>46296</v>
          </cell>
          <cell r="S6">
            <v>46327</v>
          </cell>
          <cell r="T6">
            <v>46357</v>
          </cell>
        </row>
      </sheetData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7184-10F5-40C3-A163-1C4D1E1858DA}">
  <we:reference id="df76232d-21a6-4463-9d19-0518ac5aab5d" version="1.1.0.0" store="EXCatalog" storeType="EXCatalog"/>
  <we:alternateReferences>
    <we:reference id="WA200000556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BE5D6"/>
  </sheetPr>
  <dimension ref="A1:B14"/>
  <sheetViews>
    <sheetView showGridLines="0" zoomScaleNormal="100" workbookViewId="0">
      <selection activeCell="O9" sqref="O9"/>
    </sheetView>
  </sheetViews>
  <sheetFormatPr defaultColWidth="9" defaultRowHeight="15.6"/>
  <cols>
    <col min="1" max="1" width="3.44140625" style="4" customWidth="1"/>
    <col min="2" max="16384" width="9" style="4"/>
  </cols>
  <sheetData>
    <row r="1" spans="1:2" ht="16.5" customHeight="1">
      <c r="A1" s="5" t="s">
        <v>0</v>
      </c>
    </row>
    <row r="2" spans="1:2" ht="16.5" customHeight="1">
      <c r="A2" s="5"/>
    </row>
    <row r="3" spans="1:2" ht="16.5" customHeight="1">
      <c r="A3" s="4" t="s">
        <v>1</v>
      </c>
      <c r="B3" s="5" t="s">
        <v>2</v>
      </c>
    </row>
    <row r="4" spans="1:2">
      <c r="B4" s="4" t="s">
        <v>3</v>
      </c>
    </row>
    <row r="5" spans="1:2">
      <c r="B5" s="4" t="s">
        <v>4</v>
      </c>
    </row>
    <row r="6" spans="1:2">
      <c r="A6" s="4" t="s">
        <v>5</v>
      </c>
      <c r="B6" s="4" t="s">
        <v>6</v>
      </c>
    </row>
    <row r="7" spans="1:2">
      <c r="A7" s="4" t="s">
        <v>7</v>
      </c>
      <c r="B7" s="5" t="s">
        <v>8</v>
      </c>
    </row>
    <row r="14" spans="1:2">
      <c r="B14" s="5" t="s">
        <v>9</v>
      </c>
    </row>
  </sheetData>
  <phoneticPr fontId="101" type="noConversion"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44"/>
  <sheetViews>
    <sheetView showGridLines="0" zoomScale="85" zoomScaleNormal="85" workbookViewId="0">
      <pane xSplit="2" ySplit="7" topLeftCell="K8" activePane="bottomRight" state="frozen"/>
      <selection pane="topRight" activeCell="K1" sqref="K1"/>
      <selection pane="bottomLeft" activeCell="A8" sqref="A8"/>
      <selection pane="bottomRight" activeCell="Q18" sqref="Q18"/>
    </sheetView>
  </sheetViews>
  <sheetFormatPr defaultColWidth="8.88671875" defaultRowHeight="14.4" outlineLevelRow="1" outlineLevelCol="1"/>
  <cols>
    <col min="1" max="1" width="30.88671875" style="6" customWidth="1"/>
    <col min="2" max="3" width="13.109375" style="7" customWidth="1"/>
    <col min="4" max="6" width="14.44140625" style="8" customWidth="1"/>
    <col min="7" max="8" width="15.44140625" style="8" customWidth="1"/>
    <col min="9" max="20" width="15.44140625" style="8" customWidth="1" outlineLevel="1"/>
    <col min="21" max="24" width="15.44140625" style="8" customWidth="1"/>
    <col min="25" max="25" width="8.88671875" style="6"/>
    <col min="26" max="26" width="77.44140625" style="9" hidden="1" customWidth="1"/>
    <col min="27" max="16384" width="8.88671875" style="6"/>
  </cols>
  <sheetData>
    <row r="1" spans="1:26" s="8" customFormat="1" ht="21">
      <c r="A1" s="10" t="s">
        <v>10</v>
      </c>
      <c r="B1" s="7"/>
      <c r="C1" s="11">
        <v>3</v>
      </c>
      <c r="D1" s="11">
        <v>4</v>
      </c>
      <c r="E1" s="11">
        <v>5</v>
      </c>
      <c r="F1" s="11">
        <v>6</v>
      </c>
      <c r="G1" s="11">
        <v>7</v>
      </c>
      <c r="H1" s="11">
        <v>8</v>
      </c>
      <c r="I1" s="11">
        <v>9</v>
      </c>
      <c r="J1" s="11">
        <v>10</v>
      </c>
      <c r="K1" s="11">
        <v>11</v>
      </c>
      <c r="L1" s="11">
        <v>12</v>
      </c>
      <c r="M1" s="11">
        <v>13</v>
      </c>
      <c r="N1" s="11">
        <v>14</v>
      </c>
      <c r="O1" s="11">
        <v>15</v>
      </c>
      <c r="P1" s="11">
        <v>16</v>
      </c>
      <c r="Q1" s="11">
        <v>17</v>
      </c>
      <c r="R1" s="11">
        <v>18</v>
      </c>
      <c r="S1" s="11">
        <v>19</v>
      </c>
      <c r="T1" s="11">
        <v>20</v>
      </c>
      <c r="U1" s="11">
        <v>21</v>
      </c>
      <c r="V1" s="11">
        <v>22</v>
      </c>
      <c r="W1" s="11">
        <v>23</v>
      </c>
      <c r="X1" s="11">
        <v>24</v>
      </c>
      <c r="Z1" s="12" t="s">
        <v>11</v>
      </c>
    </row>
    <row r="2" spans="1:26" s="8" customFormat="1" ht="15" customHeight="1">
      <c r="A2" s="13" t="s">
        <v>12</v>
      </c>
      <c r="B2" s="7"/>
      <c r="C2" s="7"/>
      <c r="Z2" s="14" t="s">
        <v>12</v>
      </c>
    </row>
    <row r="3" spans="1:26" s="8" customFormat="1" ht="16.5" customHeight="1">
      <c r="A3" s="15" t="s">
        <v>13</v>
      </c>
      <c r="B3" s="7"/>
      <c r="C3" s="7"/>
      <c r="D3" s="16"/>
      <c r="E3" s="16"/>
      <c r="F3" s="16"/>
      <c r="G3" s="16"/>
      <c r="H3" s="17" t="e">
        <f>+H128-'A0 BS 1240在建'!#REF!</f>
        <v>#N/A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Z3" s="14" t="s">
        <v>13</v>
      </c>
    </row>
    <row r="4" spans="1:26" s="8" customFormat="1" ht="16.5" customHeight="1">
      <c r="A4" s="18" t="s">
        <v>14</v>
      </c>
      <c r="B4" s="7"/>
      <c r="C4" s="7"/>
      <c r="D4" s="19"/>
      <c r="E4" s="19">
        <f>+E139-E79</f>
        <v>-27724110</v>
      </c>
      <c r="F4" s="19"/>
      <c r="G4" s="19"/>
      <c r="H4" s="19" t="e">
        <f t="shared" ref="H4:X4" si="0">+H139-H79</f>
        <v>#N/A</v>
      </c>
      <c r="I4" s="19" t="e">
        <f t="shared" si="0"/>
        <v>#N/A</v>
      </c>
      <c r="J4" s="19" t="e">
        <f t="shared" si="0"/>
        <v>#N/A</v>
      </c>
      <c r="K4" s="19" t="e">
        <f t="shared" si="0"/>
        <v>#N/A</v>
      </c>
      <c r="L4" s="19" t="e">
        <f t="shared" si="0"/>
        <v>#N/A</v>
      </c>
      <c r="M4" s="19" t="e">
        <f t="shared" si="0"/>
        <v>#N/A</v>
      </c>
      <c r="N4" s="19" t="e">
        <f t="shared" si="0"/>
        <v>#N/A</v>
      </c>
      <c r="O4" s="19" t="e">
        <f t="shared" si="0"/>
        <v>#N/A</v>
      </c>
      <c r="P4" s="19" t="e">
        <f t="shared" si="0"/>
        <v>#N/A</v>
      </c>
      <c r="Q4" s="19" t="e">
        <f t="shared" si="0"/>
        <v>#N/A</v>
      </c>
      <c r="R4" s="19" t="e">
        <f t="shared" si="0"/>
        <v>#N/A</v>
      </c>
      <c r="S4" s="19" t="e">
        <f t="shared" si="0"/>
        <v>#N/A</v>
      </c>
      <c r="T4" s="19" t="e">
        <f t="shared" si="0"/>
        <v>#N/A</v>
      </c>
      <c r="U4" s="19" t="e">
        <f t="shared" si="0"/>
        <v>#N/A</v>
      </c>
      <c r="V4" s="19" t="e">
        <f t="shared" si="0"/>
        <v>#N/A</v>
      </c>
      <c r="W4" s="19" t="e">
        <f t="shared" si="0"/>
        <v>#N/A</v>
      </c>
      <c r="X4" s="19" t="e">
        <f t="shared" si="0"/>
        <v>#N/A</v>
      </c>
      <c r="Z4" s="20"/>
    </row>
    <row r="5" spans="1:26" s="8" customFormat="1" ht="26.25" customHeight="1">
      <c r="A5" s="21" t="s">
        <v>15</v>
      </c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Z5" s="20"/>
    </row>
    <row r="6" spans="1:26" s="8" customFormat="1" ht="16.5" customHeight="1">
      <c r="A6" s="24" t="s">
        <v>16</v>
      </c>
      <c r="C6" s="24"/>
      <c r="D6" s="25" t="s">
        <v>17</v>
      </c>
      <c r="E6" s="25" t="s">
        <v>18</v>
      </c>
      <c r="F6" s="26">
        <v>46022</v>
      </c>
      <c r="G6" s="26">
        <v>46387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Z6" s="20"/>
    </row>
    <row r="7" spans="1:26" s="31" customFormat="1" ht="15.75" customHeight="1">
      <c r="A7" s="27" t="s">
        <v>19</v>
      </c>
      <c r="B7" s="28"/>
      <c r="C7" s="28"/>
      <c r="D7" s="29">
        <v>45900</v>
      </c>
      <c r="E7" s="30" t="s">
        <v>20</v>
      </c>
      <c r="F7" s="30" t="s">
        <v>21</v>
      </c>
      <c r="G7" s="29" t="s">
        <v>22</v>
      </c>
      <c r="H7" s="30" t="s">
        <v>23</v>
      </c>
      <c r="I7" s="29">
        <v>46053</v>
      </c>
      <c r="J7" s="29">
        <v>46081</v>
      </c>
      <c r="K7" s="29">
        <v>46112</v>
      </c>
      <c r="L7" s="29">
        <v>46142</v>
      </c>
      <c r="M7" s="29">
        <v>46173</v>
      </c>
      <c r="N7" s="29">
        <v>46203</v>
      </c>
      <c r="O7" s="29">
        <v>46234</v>
      </c>
      <c r="P7" s="29">
        <v>46265</v>
      </c>
      <c r="Q7" s="29">
        <v>46295</v>
      </c>
      <c r="R7" s="29">
        <v>46326</v>
      </c>
      <c r="S7" s="29">
        <v>46356</v>
      </c>
      <c r="T7" s="29">
        <v>46387</v>
      </c>
      <c r="U7" s="29" t="s">
        <v>24</v>
      </c>
      <c r="V7" s="29" t="s">
        <v>25</v>
      </c>
      <c r="W7" s="29" t="s">
        <v>26</v>
      </c>
      <c r="X7" s="29" t="s">
        <v>27</v>
      </c>
      <c r="Z7" s="32"/>
    </row>
    <row r="8" spans="1:26" s="8" customFormat="1">
      <c r="A8" s="6"/>
      <c r="B8" s="7"/>
      <c r="C8" s="7"/>
      <c r="Z8" s="9"/>
    </row>
    <row r="9" spans="1:26" s="8" customFormat="1" ht="18">
      <c r="A9" s="33" t="s">
        <v>28</v>
      </c>
      <c r="B9" s="7"/>
      <c r="C9" s="7"/>
      <c r="Z9" s="34" t="s">
        <v>29</v>
      </c>
    </row>
    <row r="10" spans="1:26" s="8" customFormat="1" ht="15" customHeight="1">
      <c r="A10" s="6" t="s">
        <v>30</v>
      </c>
      <c r="B10" s="35" t="s">
        <v>31</v>
      </c>
      <c r="C10" s="7"/>
      <c r="E10" s="8">
        <f>SUMIF('A0 BS 1240在建'!$A$226:$A$245,$A10,'A0 BS 1240在建'!G$226:G$245)</f>
        <v>0</v>
      </c>
      <c r="F10" s="8">
        <f>SUM(D10:E10)</f>
        <v>0</v>
      </c>
      <c r="G10" s="8">
        <f>+F10+H10</f>
        <v>0</v>
      </c>
      <c r="I10" s="8">
        <f>SUMIF('A0 BS 1240在建'!$A$226:$A$245,$A10,'A0 BS 1240在建'!O$226:O$245)</f>
        <v>0</v>
      </c>
      <c r="Z10" s="9" t="s">
        <v>32</v>
      </c>
    </row>
    <row r="11" spans="1:26" s="38" customFormat="1" ht="15" customHeight="1">
      <c r="A11" s="36" t="s">
        <v>33</v>
      </c>
      <c r="B11" s="37"/>
      <c r="C11" s="37"/>
      <c r="E11" s="38">
        <f t="shared" ref="E11:X11" si="1">SUM(E12:E13)</f>
        <v>0</v>
      </c>
      <c r="F11" s="38">
        <f t="shared" si="1"/>
        <v>0</v>
      </c>
      <c r="G11" s="38">
        <f t="shared" si="1"/>
        <v>0</v>
      </c>
      <c r="H11" s="38">
        <f t="shared" si="1"/>
        <v>0</v>
      </c>
      <c r="I11" s="38">
        <f t="shared" si="1"/>
        <v>0</v>
      </c>
      <c r="J11" s="38">
        <f t="shared" si="1"/>
        <v>0</v>
      </c>
      <c r="K11" s="38">
        <f t="shared" si="1"/>
        <v>0</v>
      </c>
      <c r="L11" s="38">
        <f t="shared" si="1"/>
        <v>0</v>
      </c>
      <c r="M11" s="38">
        <f t="shared" si="1"/>
        <v>0</v>
      </c>
      <c r="N11" s="38">
        <f t="shared" si="1"/>
        <v>0</v>
      </c>
      <c r="O11" s="38">
        <f t="shared" si="1"/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  <c r="U11" s="38">
        <f t="shared" si="1"/>
        <v>0</v>
      </c>
      <c r="V11" s="38">
        <f t="shared" si="1"/>
        <v>0</v>
      </c>
      <c r="W11" s="38">
        <f t="shared" si="1"/>
        <v>0</v>
      </c>
      <c r="X11" s="38">
        <f t="shared" si="1"/>
        <v>0</v>
      </c>
      <c r="Z11" s="39" t="s">
        <v>34</v>
      </c>
    </row>
    <row r="12" spans="1:26" s="8" customFormat="1" ht="15" customHeight="1">
      <c r="A12" s="40" t="s">
        <v>35</v>
      </c>
      <c r="B12" s="35" t="s">
        <v>31</v>
      </c>
      <c r="C12" s="7"/>
      <c r="D12" s="41"/>
      <c r="E12" s="42">
        <f>SUMIF('A0 BS 1240在建'!$A$226:$A$245, $A12,'A0 BS 1240在建'!G$226:G$245)</f>
        <v>0</v>
      </c>
      <c r="F12" s="43">
        <f>SUM(D12:E12)</f>
        <v>0</v>
      </c>
      <c r="G12" s="43">
        <f t="shared" ref="G12:G31" si="2">+F12+H12</f>
        <v>0</v>
      </c>
      <c r="H12" s="43">
        <f t="shared" ref="H12:H31" si="3">SUM(I12:T12)</f>
        <v>0</v>
      </c>
      <c r="I12" s="43">
        <f>SUMIF('A0 BS 1240在建'!$A$226:$A$245,$A12,'A0 BS 1240在建'!O$226:O$245)</f>
        <v>0</v>
      </c>
      <c r="J12" s="43">
        <f>SUMIF('A0 BS 1240在建'!$A$226:$A$245,$A12,'A0 BS 1240在建'!S$226:S$245)</f>
        <v>0</v>
      </c>
      <c r="K12" s="43">
        <f>SUMIF('A0 BS 1240在建'!$A$226:$A$245,$A12,'A0 BS 1240在建'!W$226:W$245)</f>
        <v>0</v>
      </c>
      <c r="L12" s="43">
        <f>SUMIF('A0 BS 1240在建'!$A$226:$A$245,$A12,'A0 BS 1240在建'!AA$226:AA$245)</f>
        <v>0</v>
      </c>
      <c r="M12" s="43">
        <f>SUMIF('A0 BS 1240在建'!$A$226:$A$245,$A12,'A0 BS 1240在建'!AE$226:AE$245)</f>
        <v>0</v>
      </c>
      <c r="N12" s="43">
        <f>SUMIF('A0 BS 1240在建'!$A$226:$A$245,$A12,'A0 BS 1240在建'!AI$226:AI$245)</f>
        <v>0</v>
      </c>
      <c r="O12" s="43">
        <f>SUMIF('A0 BS 1240在建'!$A$226:$A$245,$A12,'A0 BS 1240在建'!AM$226:AM$245)</f>
        <v>0</v>
      </c>
      <c r="P12" s="43">
        <f>SUMIF('A0 BS 1240在建'!$A$226:$A$245,$A12,'A0 BS 1240在建'!AQ$226:AQ$245)</f>
        <v>0</v>
      </c>
      <c r="Q12" s="43">
        <f>SUMIF('A0 BS 1240在建'!$A$226:$A$245,$A12,'A0 BS 1240在建'!AU$226:AU$245)</f>
        <v>0</v>
      </c>
      <c r="R12" s="43">
        <f>SUMIF('A0 BS 1240在建'!$A$226:$A$245,$A12,'A0 BS 1240在建'!AY$226:AY$245)</f>
        <v>0</v>
      </c>
      <c r="S12" s="43">
        <f>SUMIF('A0 BS 1240在建'!$A$226:$A$245,$A12,'A0 BS 1240在建'!BC$226:BC$245)</f>
        <v>0</v>
      </c>
      <c r="T12" s="43">
        <f>SUMIF('A0 BS 1240在建'!$A$226:$A$245,$A12,'A0 BS 1240在建'!BG$226:BG$245)</f>
        <v>0</v>
      </c>
      <c r="U12" s="43">
        <f>SUMIF('A0 BS 1240在建'!$A$226:$A$245,$A12,'A0 BS 1240在建'!BS$226:BS$245)</f>
        <v>0</v>
      </c>
      <c r="V12" s="43">
        <f>SUMIF('A0 BS 1240在建'!$A$226:$A$245,$A12,'A0 BS 1240在建'!CA$226:CA$245)</f>
        <v>0</v>
      </c>
      <c r="W12" s="43">
        <f>SUMIF('A0 BS 1240在建'!$A$226:$A$245,$A12,'A0 BS 1240在建'!CB$226:CB$245)</f>
        <v>0</v>
      </c>
      <c r="X12" s="43">
        <f>SUMIF('A0 BS 1240在建'!$A$226:$A$245,$A12,'A0 BS 1240在建'!CC$226:CC$245)</f>
        <v>0</v>
      </c>
      <c r="Z12" s="9"/>
    </row>
    <row r="13" spans="1:26" s="8" customFormat="1" ht="13.5" customHeight="1">
      <c r="A13" s="40" t="s">
        <v>36</v>
      </c>
      <c r="B13" s="35" t="s">
        <v>37</v>
      </c>
      <c r="C13" s="7"/>
      <c r="D13" s="41"/>
      <c r="E13" s="42">
        <f>SUMIF('A0 BS 1240在建'!$A$226:$A$245, $A13,'A0 BS 1240在建'!G$226:G$245)</f>
        <v>0</v>
      </c>
      <c r="F13" s="43">
        <f>SUM(D13:E13)</f>
        <v>0</v>
      </c>
      <c r="G13" s="43">
        <f t="shared" si="2"/>
        <v>0</v>
      </c>
      <c r="H13" s="43">
        <f t="shared" si="3"/>
        <v>0</v>
      </c>
      <c r="I13" s="43">
        <f>SUMIF('A0 BS 1240在建'!$A$226:$A$245,$A13,'A0 BS 1240在建'!O$226:O$245)</f>
        <v>0</v>
      </c>
      <c r="J13" s="43">
        <f>SUMIF('A0 BS 1240在建'!$A$226:$A$245,$A13,'A0 BS 1240在建'!S$226:S$245)</f>
        <v>0</v>
      </c>
      <c r="K13" s="43">
        <f>SUMIF('A0 BS 1240在建'!$A$226:$A$245,$A13,'A0 BS 1240在建'!W$226:W$245)</f>
        <v>0</v>
      </c>
      <c r="L13" s="43">
        <f>SUMIF('A0 BS 1240在建'!$A$226:$A$245,$A13,'A0 BS 1240在建'!AA$226:AA$245)</f>
        <v>0</v>
      </c>
      <c r="M13" s="43">
        <f>SUMIF('A0 BS 1240在建'!$A$226:$A$245,$A13,'A0 BS 1240在建'!AE$226:AE$245)</f>
        <v>0</v>
      </c>
      <c r="N13" s="43">
        <f>SUMIF('A0 BS 1240在建'!$A$226:$A$245,$A13,'A0 BS 1240在建'!AI$226:AI$245)</f>
        <v>0</v>
      </c>
      <c r="O13" s="43">
        <f>SUMIF('A0 BS 1240在建'!$A$226:$A$245,$A13,'A0 BS 1240在建'!AM$226:AM$245)</f>
        <v>0</v>
      </c>
      <c r="P13" s="43">
        <f>SUMIF('A0 BS 1240在建'!$A$226:$A$245,$A13,'A0 BS 1240在建'!AQ$226:AQ$245)</f>
        <v>0</v>
      </c>
      <c r="Q13" s="43">
        <f>SUMIF('A0 BS 1240在建'!$A$226:$A$245,$A13,'A0 BS 1240在建'!AU$226:AU$245)</f>
        <v>0</v>
      </c>
      <c r="R13" s="43">
        <f>SUMIF('A0 BS 1240在建'!$A$226:$A$245,$A13,'A0 BS 1240在建'!AY$226:AY$245)</f>
        <v>0</v>
      </c>
      <c r="S13" s="43">
        <f>SUMIF('A0 BS 1240在建'!$A$226:$A$245,$A13,'A0 BS 1240在建'!BC$226:BC$245)</f>
        <v>0</v>
      </c>
      <c r="T13" s="43">
        <f>SUMIF('A0 BS 1240在建'!$A$226:$A$245,$A13,'A0 BS 1240在建'!BG$226:BG$245)</f>
        <v>0</v>
      </c>
      <c r="U13" s="43">
        <f>SUMIF('A0 BS 1240在建'!$A$226:$A$245,$A13,'A0 BS 1240在建'!BS$226:BS$245)</f>
        <v>0</v>
      </c>
      <c r="V13" s="43">
        <f>SUMIF('A0 BS 1240在建'!$A$226:$A$245,$A13,'A0 BS 1240在建'!CA$226:CA$245)</f>
        <v>0</v>
      </c>
      <c r="W13" s="43">
        <f>SUMIF('A0 BS 1240在建'!$A$226:$A$245,$A13,'A0 BS 1240在建'!CB$226:CB$245)</f>
        <v>0</v>
      </c>
      <c r="X13" s="43">
        <f>SUMIF('A0 BS 1240在建'!$A$226:$A$245,$A13,'A0 BS 1240在建'!CC$226:CC$245)</f>
        <v>0</v>
      </c>
      <c r="Z13" s="9"/>
    </row>
    <row r="14" spans="1:26" s="38" customFormat="1" ht="16.5" customHeight="1">
      <c r="A14" s="44" t="s">
        <v>38</v>
      </c>
      <c r="B14" s="37"/>
      <c r="C14" s="37"/>
      <c r="D14" s="45" t="e">
        <f>+#REF!</f>
        <v>#REF!</v>
      </c>
      <c r="E14" s="45">
        <f>VLOOKUP($A14,'Over Under Bill 2'!$1:$1048576,4,0)</f>
        <v>0</v>
      </c>
      <c r="F14" s="45" t="e">
        <f>+D14+E14</f>
        <v>#REF!</v>
      </c>
      <c r="G14" s="45" t="e">
        <f t="shared" si="2"/>
        <v>#REF!</v>
      </c>
      <c r="H14" s="45">
        <f t="shared" si="3"/>
        <v>0</v>
      </c>
      <c r="I14" s="45">
        <f>VLOOKUP($A14,'Over Under Bill 2'!$1:$1048576,5,0)</f>
        <v>0</v>
      </c>
      <c r="J14" s="45">
        <f>VLOOKUP($A14,'Over Under Bill 2'!$1:$1048576,6,0)</f>
        <v>0</v>
      </c>
      <c r="K14" s="45">
        <f>VLOOKUP($A14,'Over Under Bill 2'!$1:$1048576,7,0)</f>
        <v>0</v>
      </c>
      <c r="L14" s="45">
        <f>VLOOKUP($A14,'Over Under Bill 2'!$1:$1048576,8,0)</f>
        <v>0</v>
      </c>
      <c r="M14" s="45">
        <f>VLOOKUP($A14,'Over Under Bill 2'!$1:$1048576,9,0)</f>
        <v>0</v>
      </c>
      <c r="N14" s="45">
        <f>VLOOKUP($A14,'Over Under Bill 2'!$1:$1048576,10,0)</f>
        <v>0</v>
      </c>
      <c r="O14" s="45">
        <f>VLOOKUP($A14,'Over Under Bill 2'!$1:$1048576,11,0)</f>
        <v>0</v>
      </c>
      <c r="P14" s="45">
        <f>VLOOKUP($A14,'Over Under Bill 2'!$1:$1048576,12,0)</f>
        <v>0</v>
      </c>
      <c r="Q14" s="45">
        <f>VLOOKUP($A14,'Over Under Bill 2'!$1:$1048576,13,0)</f>
        <v>0</v>
      </c>
      <c r="R14" s="45">
        <f>VLOOKUP($A14,'Over Under Bill 2'!$1:$1048576,14,0)</f>
        <v>0</v>
      </c>
      <c r="S14" s="45">
        <f>VLOOKUP($A14,'Over Under Bill 2'!$1:$1048576,15,0)</f>
        <v>0</v>
      </c>
      <c r="T14" s="45">
        <f>VLOOKUP($A14,'Over Under Bill 2'!$1:$1048576,16,0)</f>
        <v>0</v>
      </c>
      <c r="U14" s="45">
        <f>VLOOKUP($A14,'Over Under Bill 2'!$1:$1048576,17,0)</f>
        <v>0</v>
      </c>
      <c r="V14" s="45">
        <f>VLOOKUP($A14,'Over Under Bill 2'!$1:$1048576,18,0)</f>
        <v>0</v>
      </c>
      <c r="W14" s="45">
        <f>VLOOKUP($A14,'Over Under Bill 2'!$1:$1048576,19,0)</f>
        <v>0</v>
      </c>
      <c r="X14" s="45">
        <f>VLOOKUP($A14,'Over Under Bill 2'!$1:$1048576,20,0)</f>
        <v>0</v>
      </c>
      <c r="Z14" s="39" t="s">
        <v>39</v>
      </c>
    </row>
    <row r="15" spans="1:26" s="8" customFormat="1" ht="15" customHeight="1" outlineLevel="1">
      <c r="A15" s="46" t="s">
        <v>40</v>
      </c>
      <c r="B15" s="7"/>
      <c r="C15" s="7"/>
      <c r="D15" s="47"/>
      <c r="E15" s="47"/>
      <c r="F15" s="47">
        <f t="shared" ref="F15:F27" si="4">SUM(D15:E15)</f>
        <v>0</v>
      </c>
      <c r="G15" s="47">
        <f t="shared" si="2"/>
        <v>0</v>
      </c>
      <c r="H15" s="47">
        <f t="shared" si="3"/>
        <v>0</v>
      </c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Z15" s="48" t="s">
        <v>41</v>
      </c>
    </row>
    <row r="16" spans="1:26" s="8" customFormat="1" ht="15" customHeight="1" outlineLevel="1">
      <c r="A16" s="46" t="s">
        <v>42</v>
      </c>
      <c r="B16" s="7"/>
      <c r="C16" s="7"/>
      <c r="D16" s="47"/>
      <c r="E16" s="47"/>
      <c r="F16" s="47">
        <f t="shared" si="4"/>
        <v>0</v>
      </c>
      <c r="G16" s="47">
        <f t="shared" si="2"/>
        <v>0</v>
      </c>
      <c r="H16" s="47">
        <f t="shared" si="3"/>
        <v>0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Z16" s="48" t="s">
        <v>43</v>
      </c>
    </row>
    <row r="17" spans="1:26" s="8" customFormat="1" ht="15" customHeight="1" outlineLevel="1">
      <c r="A17" s="46" t="s">
        <v>44</v>
      </c>
      <c r="B17" s="7"/>
      <c r="C17" s="7"/>
      <c r="D17" s="47"/>
      <c r="E17" s="47"/>
      <c r="F17" s="47">
        <f t="shared" si="4"/>
        <v>0</v>
      </c>
      <c r="G17" s="47">
        <f t="shared" si="2"/>
        <v>0</v>
      </c>
      <c r="H17" s="47">
        <f t="shared" si="3"/>
        <v>0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Z17" s="48" t="s">
        <v>45</v>
      </c>
    </row>
    <row r="18" spans="1:26" s="8" customFormat="1" ht="15" customHeight="1" outlineLevel="1">
      <c r="A18" s="46" t="s">
        <v>46</v>
      </c>
      <c r="B18" s="7"/>
      <c r="C18" s="7"/>
      <c r="D18" s="47"/>
      <c r="E18" s="47"/>
      <c r="F18" s="47">
        <f t="shared" si="4"/>
        <v>0</v>
      </c>
      <c r="G18" s="47">
        <f t="shared" si="2"/>
        <v>0</v>
      </c>
      <c r="H18" s="47">
        <f t="shared" si="3"/>
        <v>0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Z18" s="48" t="s">
        <v>47</v>
      </c>
    </row>
    <row r="19" spans="1:26" s="8" customFormat="1">
      <c r="A19" s="6" t="s">
        <v>48</v>
      </c>
      <c r="B19" s="35" t="s">
        <v>49</v>
      </c>
      <c r="C19" s="7"/>
      <c r="E19" s="8">
        <f>SUMIF('A0 BS 1240在建'!$A$226:$A$245, $A19,'A0 BS 1240在建'!G$226:G$245)</f>
        <v>0</v>
      </c>
      <c r="F19" s="8">
        <f t="shared" si="4"/>
        <v>0</v>
      </c>
      <c r="G19" s="8">
        <f t="shared" si="2"/>
        <v>0</v>
      </c>
      <c r="H19" s="8">
        <f t="shared" si="3"/>
        <v>0</v>
      </c>
      <c r="I19" s="8">
        <f>SUMIF('A0 BS 1240在建'!$A$226:$A$245,$A19,'A0 BS 1240在建'!O$226:O$245)</f>
        <v>0</v>
      </c>
      <c r="J19" s="8">
        <f>SUMIF('A0 BS 1240在建'!$A$226:$A$245,$A19,'A0 BS 1240在建'!S$226:S$245)</f>
        <v>0</v>
      </c>
      <c r="K19" s="8">
        <f>SUMIF('A0 BS 1240在建'!$A$226:$A$245,$A19,'A0 BS 1240在建'!W$226:W$245)</f>
        <v>0</v>
      </c>
      <c r="L19" s="8">
        <f>SUMIF('A0 BS 1240在建'!$A$226:$A$245,$A19,'A0 BS 1240在建'!AA$226:AA$245)</f>
        <v>0</v>
      </c>
      <c r="M19" s="8">
        <f>SUMIF('A0 BS 1240在建'!$A$226:$A$245,$A19,'A0 BS 1240在建'!AE$226:AE$245)</f>
        <v>0</v>
      </c>
      <c r="N19" s="8">
        <f>SUMIF('A0 BS 1240在建'!$A$226:$A$245,$A19,'A0 BS 1240在建'!AI$226:AI$245)</f>
        <v>0</v>
      </c>
      <c r="O19" s="8">
        <f>SUMIF('A0 BS 1240在建'!$A$226:$A$245,$A19,'A0 BS 1240在建'!AM$226:AM$245)</f>
        <v>0</v>
      </c>
      <c r="P19" s="8">
        <f>SUMIF('A0 BS 1240在建'!$A$226:$A$245,$A19,'A0 BS 1240在建'!AQ$226:AQ$245)</f>
        <v>0</v>
      </c>
      <c r="Q19" s="8">
        <f>SUMIF('A0 BS 1240在建'!$A$226:$A$245,$A19,'A0 BS 1240在建'!AU$226:AU$245)</f>
        <v>0</v>
      </c>
      <c r="R19" s="8">
        <f>SUMIF('A0 BS 1240在建'!$A$226:$A$245,$A19,'A0 BS 1240在建'!AY$226:AY$245)</f>
        <v>0</v>
      </c>
      <c r="S19" s="8">
        <f>SUMIF('A0 BS 1240在建'!$A$226:$A$245,$A19,'A0 BS 1240在建'!BC$226:BC$245)</f>
        <v>0</v>
      </c>
      <c r="T19" s="8">
        <f>SUMIF('A0 BS 1240在建'!$A$226:$A$245,$A19,'A0 BS 1240在建'!BG$226:BG$245)</f>
        <v>0</v>
      </c>
      <c r="U19" s="8">
        <f>SUMIF('A0 BS 1240在建'!$A$226:$A$245,$A19,'A0 BS 1240在建'!BS$226:BS$245)</f>
        <v>0</v>
      </c>
      <c r="V19" s="8">
        <f>SUMIF('A0 BS 1240在建'!$A$226:$A$245,$A19,'A0 BS 1240在建'!CA$226:CA$245)</f>
        <v>0</v>
      </c>
      <c r="W19" s="8">
        <f>SUMIF('A0 BS 1240在建'!$A$226:$A$245,$A19,'A0 BS 1240在建'!CI$226:CI$245)</f>
        <v>0</v>
      </c>
      <c r="X19" s="8" t="e">
        <f>SUMIF('A0 BS 1240在建'!$A$226:$A$245,$A19,'A0 BS 1240在建'!CQ$226:CQ$245)</f>
        <v>#REF!</v>
      </c>
      <c r="Z19" s="9" t="s">
        <v>50</v>
      </c>
    </row>
    <row r="20" spans="1:26" s="8" customFormat="1">
      <c r="A20" s="6" t="s">
        <v>51</v>
      </c>
      <c r="B20" s="35" t="s">
        <v>49</v>
      </c>
      <c r="C20" s="7"/>
      <c r="E20" s="8">
        <f>SUMIF('A0 BS 1240在建'!$A$226:$A$245, $A20,'A0 BS 1240在建'!G$226:G$245)</f>
        <v>0</v>
      </c>
      <c r="F20" s="8">
        <f t="shared" si="4"/>
        <v>0</v>
      </c>
      <c r="G20" s="8">
        <f t="shared" si="2"/>
        <v>0</v>
      </c>
      <c r="H20" s="8">
        <f t="shared" si="3"/>
        <v>0</v>
      </c>
      <c r="I20" s="8">
        <f>SUMIF('A0 BS 1240在建'!$A$226:$A$245,$A20,'A0 BS 1240在建'!O$226:O$245)</f>
        <v>0</v>
      </c>
      <c r="J20" s="8">
        <f>SUMIF('A0 BS 1240在建'!$A$226:$A$245,$A20,'A0 BS 1240在建'!S$226:S$245)</f>
        <v>0</v>
      </c>
      <c r="K20" s="8">
        <f>SUMIF('A0 BS 1240在建'!$A$226:$A$245,$A20,'A0 BS 1240在建'!W$226:W$245)</f>
        <v>0</v>
      </c>
      <c r="L20" s="8">
        <f>SUMIF('A0 BS 1240在建'!$A$226:$A$245,$A20,'A0 BS 1240在建'!AA$226:AA$245)</f>
        <v>0</v>
      </c>
      <c r="M20" s="8">
        <f>SUMIF('A0 BS 1240在建'!$A$226:$A$245,$A20,'A0 BS 1240在建'!AE$226:AE$245)</f>
        <v>0</v>
      </c>
      <c r="N20" s="8">
        <f>SUMIF('A0 BS 1240在建'!$A$226:$A$245,$A20,'A0 BS 1240在建'!AI$226:AI$245)</f>
        <v>0</v>
      </c>
      <c r="O20" s="8">
        <f>SUMIF('A0 BS 1240在建'!$A$226:$A$245,$A20,'A0 BS 1240在建'!AM$226:AM$245)</f>
        <v>0</v>
      </c>
      <c r="P20" s="8">
        <f>SUMIF('A0 BS 1240在建'!$A$226:$A$245,$A20,'A0 BS 1240在建'!AQ$226:AQ$245)</f>
        <v>0</v>
      </c>
      <c r="Q20" s="8">
        <f>SUMIF('A0 BS 1240在建'!$A$226:$A$245,$A20,'A0 BS 1240在建'!AU$226:AU$245)</f>
        <v>0</v>
      </c>
      <c r="R20" s="8">
        <f>SUMIF('A0 BS 1240在建'!$A$226:$A$245,$A20,'A0 BS 1240在建'!AY$226:AY$245)</f>
        <v>0</v>
      </c>
      <c r="S20" s="8">
        <f>SUMIF('A0 BS 1240在建'!$A$226:$A$245,$A20,'A0 BS 1240在建'!BC$226:BC$245)</f>
        <v>0</v>
      </c>
      <c r="T20" s="8">
        <f>SUMIF('A0 BS 1240在建'!$A$226:$A$245,$A20,'A0 BS 1240在建'!BG$226:BG$245)</f>
        <v>0</v>
      </c>
      <c r="U20" s="8">
        <f>SUMIF('A0 BS 1240在建'!$A$226:$A$245,$A20,'A0 BS 1240在建'!BS$226:BS$245)</f>
        <v>0</v>
      </c>
      <c r="V20" s="8">
        <f>SUMIF('A0 BS 1240在建'!$A$226:$A$245,$A20,'A0 BS 1240在建'!CA$226:CA$245)</f>
        <v>0</v>
      </c>
      <c r="W20" s="8">
        <f>SUMIF('A0 BS 1240在建'!$A$226:$A$245,$A20,'A0 BS 1240在建'!CI$226:CI$245)</f>
        <v>0</v>
      </c>
      <c r="X20" s="8">
        <f>SUMIF('A0 BS 1240在建'!$A$226:$A$245,$A20,'A0 BS 1240在建'!CQ$226:CQ$245)</f>
        <v>0</v>
      </c>
      <c r="Z20" s="9" t="s">
        <v>52</v>
      </c>
    </row>
    <row r="21" spans="1:26" s="8" customFormat="1">
      <c r="A21" s="6" t="s">
        <v>53</v>
      </c>
      <c r="B21" s="35" t="s">
        <v>49</v>
      </c>
      <c r="C21" s="7"/>
      <c r="E21" s="8">
        <f>SUMIF('A0 BS 1240在建'!$A$226:$A$245, $A21,'A0 BS 1240在建'!G$226:G$245)</f>
        <v>0</v>
      </c>
      <c r="F21" s="8">
        <f t="shared" si="4"/>
        <v>0</v>
      </c>
      <c r="G21" s="8">
        <f t="shared" si="2"/>
        <v>0</v>
      </c>
      <c r="H21" s="8">
        <f t="shared" si="3"/>
        <v>0</v>
      </c>
      <c r="I21" s="8">
        <f>SUMIF('A0 BS 1240在建'!$A$226:$A$245,$A21,'A0 BS 1240在建'!O$226:O$245)</f>
        <v>0</v>
      </c>
      <c r="J21" s="8">
        <f>SUMIF('A0 BS 1240在建'!$A$226:$A$245,$A21,'A0 BS 1240在建'!S$226:S$245)</f>
        <v>0</v>
      </c>
      <c r="K21" s="8">
        <f>SUMIF('A0 BS 1240在建'!$A$226:$A$245,$A21,'A0 BS 1240在建'!W$226:W$245)</f>
        <v>0</v>
      </c>
      <c r="L21" s="8">
        <f>SUMIF('A0 BS 1240在建'!$A$226:$A$245,$A21,'A0 BS 1240在建'!AA$226:AA$245)</f>
        <v>0</v>
      </c>
      <c r="M21" s="8">
        <f>SUMIF('A0 BS 1240在建'!$A$226:$A$245,$A21,'A0 BS 1240在建'!AE$226:AE$245)</f>
        <v>0</v>
      </c>
      <c r="N21" s="8">
        <f>SUMIF('A0 BS 1240在建'!$A$226:$A$245,$A21,'A0 BS 1240在建'!AI$226:AI$245)</f>
        <v>0</v>
      </c>
      <c r="O21" s="8">
        <f>SUMIF('A0 BS 1240在建'!$A$226:$A$245,$A21,'A0 BS 1240在建'!AM$226:AM$245)</f>
        <v>0</v>
      </c>
      <c r="P21" s="8">
        <f>SUMIF('A0 BS 1240在建'!$A$226:$A$245,$A21,'A0 BS 1240在建'!AQ$226:AQ$245)</f>
        <v>0</v>
      </c>
      <c r="Q21" s="8">
        <f>SUMIF('A0 BS 1240在建'!$A$226:$A$245,$A21,'A0 BS 1240在建'!AU$226:AU$245)</f>
        <v>0</v>
      </c>
      <c r="R21" s="8">
        <f>SUMIF('A0 BS 1240在建'!$A$226:$A$245,$A21,'A0 BS 1240在建'!AY$226:AY$245)</f>
        <v>0</v>
      </c>
      <c r="S21" s="8">
        <f>SUMIF('A0 BS 1240在建'!$A$226:$A$245,$A21,'A0 BS 1240在建'!BC$226:BC$245)</f>
        <v>0</v>
      </c>
      <c r="T21" s="8">
        <f>SUMIF('A0 BS 1240在建'!$A$226:$A$245,$A21,'A0 BS 1240在建'!BG$226:BG$245)</f>
        <v>0</v>
      </c>
      <c r="U21" s="8">
        <f>SUMIF('A0 BS 1240在建'!$A$226:$A$245,$A21,'A0 BS 1240在建'!BS$226:BS$245)</f>
        <v>0</v>
      </c>
      <c r="V21" s="8">
        <f>SUMIF('A0 BS 1240在建'!$A$226:$A$245,$A21,'A0 BS 1240在建'!CA$226:CA$245)</f>
        <v>0</v>
      </c>
      <c r="W21" s="8">
        <f>SUMIF('A0 BS 1240在建'!$A$226:$A$245,$A21,'A0 BS 1240在建'!CI$226:CI$245)</f>
        <v>0</v>
      </c>
      <c r="X21" s="8">
        <f>SUMIF('A0 BS 1240在建'!$A$226:$A$245,$A21,'A0 BS 1240在建'!CQ$226:CQ$245)</f>
        <v>0</v>
      </c>
      <c r="Z21" s="9" t="s">
        <v>54</v>
      </c>
    </row>
    <row r="22" spans="1:26" s="8" customFormat="1">
      <c r="A22" s="6" t="s">
        <v>55</v>
      </c>
      <c r="B22" s="35" t="s">
        <v>49</v>
      </c>
      <c r="C22" s="7"/>
      <c r="E22" s="8">
        <f>SUMIF('A0 BS 1240在建'!$A$226:$A$245, $A22,'A0 BS 1240在建'!G$226:G$245)</f>
        <v>21367000</v>
      </c>
      <c r="F22" s="8">
        <f t="shared" si="4"/>
        <v>21367000</v>
      </c>
      <c r="G22" s="8" t="e">
        <f t="shared" si="2"/>
        <v>#N/A</v>
      </c>
      <c r="H22" s="8" t="e">
        <f t="shared" si="3"/>
        <v>#N/A</v>
      </c>
      <c r="I22" s="8" t="e">
        <f>SUMIF('A0 BS 1240在建'!$A$226:$A$245,$A22,'A0 BS 1240在建'!O$226:O$245)</f>
        <v>#N/A</v>
      </c>
      <c r="J22" s="8" t="e">
        <f>SUMIF('A0 BS 1240在建'!$A$226:$A$245,$A22,'A0 BS 1240在建'!S$226:S$245)</f>
        <v>#N/A</v>
      </c>
      <c r="K22" s="8" t="e">
        <f>SUMIF('A0 BS 1240在建'!$A$226:$A$245,$A22,'A0 BS 1240在建'!W$226:W$245)</f>
        <v>#N/A</v>
      </c>
      <c r="L22" s="8" t="e">
        <f>SUMIF('A0 BS 1240在建'!$A$226:$A$245,$A22,'A0 BS 1240在建'!AA$226:AA$245)</f>
        <v>#N/A</v>
      </c>
      <c r="M22" s="8" t="e">
        <f>SUMIF('A0 BS 1240在建'!$A$226:$A$245,$A22,'A0 BS 1240在建'!AE$226:AE$245)</f>
        <v>#N/A</v>
      </c>
      <c r="N22" s="8" t="e">
        <f>SUMIF('A0 BS 1240在建'!$A$226:$A$245,$A22,'A0 BS 1240在建'!AI$226:AI$245)</f>
        <v>#N/A</v>
      </c>
      <c r="O22" s="8" t="e">
        <f>SUMIF('A0 BS 1240在建'!$A$226:$A$245,$A22,'A0 BS 1240在建'!AM$226:AM$245)</f>
        <v>#N/A</v>
      </c>
      <c r="P22" s="8" t="e">
        <f>SUMIF('A0 BS 1240在建'!$A$226:$A$245,$A22,'A0 BS 1240在建'!AQ$226:AQ$245)</f>
        <v>#N/A</v>
      </c>
      <c r="Q22" s="8" t="e">
        <f>SUMIF('A0 BS 1240在建'!$A$226:$A$245,$A22,'A0 BS 1240在建'!AU$226:AU$245)</f>
        <v>#N/A</v>
      </c>
      <c r="R22" s="8" t="e">
        <f>SUMIF('A0 BS 1240在建'!$A$226:$A$245,$A22,'A0 BS 1240在建'!AY$226:AY$245)</f>
        <v>#N/A</v>
      </c>
      <c r="S22" s="8" t="e">
        <f>SUMIF('A0 BS 1240在建'!$A$226:$A$245,$A22,'A0 BS 1240在建'!BC$226:BC$245)</f>
        <v>#N/A</v>
      </c>
      <c r="T22" s="8" t="e">
        <f>SUMIF('A0 BS 1240在建'!$A$226:$A$245,$A22,'A0 BS 1240在建'!BG$226:BG$245)</f>
        <v>#N/A</v>
      </c>
      <c r="U22" s="8" t="e">
        <f>SUMIF('A0 BS 1240在建'!$A$226:$A$245,$A22,'A0 BS 1240在建'!BS$226:BS$245)</f>
        <v>#N/A</v>
      </c>
      <c r="V22" s="8" t="e">
        <f>SUMIF('A0 BS 1240在建'!$A$226:$A$245,$A22,'A0 BS 1240在建'!CA$226:CA$245)</f>
        <v>#N/A</v>
      </c>
      <c r="W22" s="8" t="e">
        <f>SUMIF('A0 BS 1240在建'!$A$226:$A$245,$A22,'A0 BS 1240在建'!CI$226:CI$245)</f>
        <v>#N/A</v>
      </c>
      <c r="X22" s="8" t="e">
        <f>SUMIF('A0 BS 1240在建'!$A$226:$A$245,$A22,'A0 BS 1240在建'!CQ$226:CQ$245)</f>
        <v>#N/A</v>
      </c>
      <c r="Z22" s="9" t="s">
        <v>56</v>
      </c>
    </row>
    <row r="23" spans="1:26" s="8" customFormat="1" ht="15" customHeight="1">
      <c r="A23" s="6" t="s">
        <v>57</v>
      </c>
      <c r="B23" s="7"/>
      <c r="C23" s="7"/>
      <c r="E23" s="8">
        <f>SUMIF('A0 BS 1240在建'!$A$226:$A$245, $A23,'A0 BS 1240在建'!G$226:G$245)</f>
        <v>0</v>
      </c>
      <c r="F23" s="8">
        <f t="shared" si="4"/>
        <v>0</v>
      </c>
      <c r="G23" s="8">
        <f t="shared" si="2"/>
        <v>0</v>
      </c>
      <c r="H23" s="8">
        <f t="shared" si="3"/>
        <v>0</v>
      </c>
      <c r="I23" s="8">
        <f>SUMIF('A0 BS 1240在建'!$A$226:$A$245,$A23,'A0 BS 1240在建'!O$226:O$245)</f>
        <v>0</v>
      </c>
      <c r="J23" s="8">
        <f>SUMIF('A0 BS 1240在建'!$A$226:$A$245,$A23,'A0 BS 1240在建'!S$226:S$245)</f>
        <v>0</v>
      </c>
      <c r="K23" s="8">
        <f>SUMIF('A0 BS 1240在建'!$A$226:$A$245,$A23,'A0 BS 1240在建'!W$226:W$245)</f>
        <v>0</v>
      </c>
      <c r="L23" s="8">
        <f>SUMIF('A0 BS 1240在建'!$A$226:$A$245,$A23,'A0 BS 1240在建'!AA$226:AA$245)</f>
        <v>0</v>
      </c>
      <c r="M23" s="8">
        <f>SUMIF('A0 BS 1240在建'!$A$226:$A$245,$A23,'A0 BS 1240在建'!AE$226:AE$245)</f>
        <v>0</v>
      </c>
      <c r="N23" s="8">
        <f>SUMIF('A0 BS 1240在建'!$A$226:$A$245,$A23,'A0 BS 1240在建'!AI$226:AI$245)</f>
        <v>0</v>
      </c>
      <c r="O23" s="8">
        <f>SUMIF('A0 BS 1240在建'!$A$226:$A$245,$A23,'A0 BS 1240在建'!AM$226:AM$245)</f>
        <v>0</v>
      </c>
      <c r="P23" s="8">
        <f>SUMIF('A0 BS 1240在建'!$A$226:$A$245,$A23,'A0 BS 1240在建'!AQ$226:AQ$245)</f>
        <v>0</v>
      </c>
      <c r="Q23" s="8">
        <f>SUMIF('A0 BS 1240在建'!$A$226:$A$245,$A23,'A0 BS 1240在建'!AU$226:AU$245)</f>
        <v>0</v>
      </c>
      <c r="R23" s="8">
        <f>SUMIF('A0 BS 1240在建'!$A$226:$A$245,$A23,'A0 BS 1240在建'!AY$226:AY$245)</f>
        <v>0</v>
      </c>
      <c r="S23" s="8">
        <f>SUMIF('A0 BS 1240在建'!$A$226:$A$245,$A23,'A0 BS 1240在建'!BC$226:BC$245)</f>
        <v>0</v>
      </c>
      <c r="T23" s="8">
        <f>SUMIF('A0 BS 1240在建'!$A$226:$A$245,$A23,'A0 BS 1240在建'!BG$226:BG$245)</f>
        <v>0</v>
      </c>
      <c r="U23" s="8">
        <f>SUMIF('A0 BS 1240在建'!$A$226:$A$245,$A23,'A0 BS 1240在建'!BS$226:BS$245)</f>
        <v>0</v>
      </c>
      <c r="V23" s="8">
        <f>SUMIF('A0 BS 1240在建'!$A$226:$A$245,$A23,'A0 BS 1240在建'!CA$226:CA$245)</f>
        <v>0</v>
      </c>
      <c r="W23" s="8">
        <f>SUMIF('A0 BS 1240在建'!$A$226:$A$245,$A23,'A0 BS 1240在建'!CI$226:CI$245)</f>
        <v>0</v>
      </c>
      <c r="X23" s="8">
        <f>SUMIF('A0 BS 1240在建'!$A$226:$A$245,$A23,'A0 BS 1240在建'!CQ$226:CQ$245)</f>
        <v>0</v>
      </c>
      <c r="Z23" s="9" t="s">
        <v>58</v>
      </c>
    </row>
    <row r="24" spans="1:26" s="8" customFormat="1">
      <c r="A24" s="6" t="s">
        <v>59</v>
      </c>
      <c r="B24" s="35" t="s">
        <v>37</v>
      </c>
      <c r="C24" s="7"/>
      <c r="E24" s="8">
        <f>SUMIF('A0 BS 1240在建'!$A$226:$A$245, $A24,'A0 BS 1240在建'!G$226:G$245)</f>
        <v>0</v>
      </c>
      <c r="F24" s="8">
        <f t="shared" si="4"/>
        <v>0</v>
      </c>
      <c r="G24" s="8">
        <f t="shared" si="2"/>
        <v>0</v>
      </c>
      <c r="H24" s="8">
        <f t="shared" si="3"/>
        <v>0</v>
      </c>
      <c r="I24" s="8">
        <f>SUMIF('A0 BS 1240在建'!$A$226:$A$245,$A24,'A0 BS 1240在建'!O$226:O$245)</f>
        <v>0</v>
      </c>
      <c r="J24" s="8">
        <f>SUMIF('A0 BS 1240在建'!$A$226:$A$245,$A24,'A0 BS 1240在建'!S$226:S$245)</f>
        <v>0</v>
      </c>
      <c r="K24" s="8">
        <f>SUMIF('A0 BS 1240在建'!$A$226:$A$245,$A24,'A0 BS 1240在建'!W$226:W$245)</f>
        <v>0</v>
      </c>
      <c r="L24" s="8">
        <f>SUMIF('A0 BS 1240在建'!$A$226:$A$245,$A24,'A0 BS 1240在建'!AA$226:AA$245)</f>
        <v>0</v>
      </c>
      <c r="M24" s="8">
        <f>SUMIF('A0 BS 1240在建'!$A$226:$A$245,$A24,'A0 BS 1240在建'!AE$226:AE$245)</f>
        <v>0</v>
      </c>
      <c r="N24" s="8">
        <f>SUMIF('A0 BS 1240在建'!$A$226:$A$245,$A24,'A0 BS 1240在建'!AI$226:AI$245)</f>
        <v>0</v>
      </c>
      <c r="O24" s="8">
        <f>SUMIF('A0 BS 1240在建'!$A$226:$A$245,$A24,'A0 BS 1240在建'!AM$226:AM$245)</f>
        <v>0</v>
      </c>
      <c r="P24" s="8">
        <f>SUMIF('A0 BS 1240在建'!$A$226:$A$245,$A24,'A0 BS 1240在建'!AQ$226:AQ$245)</f>
        <v>0</v>
      </c>
      <c r="Q24" s="8">
        <f>SUMIF('A0 BS 1240在建'!$A$226:$A$245,$A24,'A0 BS 1240在建'!AU$226:AU$245)</f>
        <v>0</v>
      </c>
      <c r="R24" s="8">
        <f>SUMIF('A0 BS 1240在建'!$A$226:$A$245,$A24,'A0 BS 1240在建'!AY$226:AY$245)</f>
        <v>0</v>
      </c>
      <c r="S24" s="8">
        <f>SUMIF('A0 BS 1240在建'!$A$226:$A$245,$A24,'A0 BS 1240在建'!BC$226:BC$245)</f>
        <v>0</v>
      </c>
      <c r="T24" s="8">
        <f>SUMIF('A0 BS 1240在建'!$A$226:$A$245,$A24,'A0 BS 1240在建'!BG$226:BG$245)</f>
        <v>0</v>
      </c>
      <c r="U24" s="8">
        <f>SUMIF('A0 BS 1240在建'!$A$226:$A$245,$A24,'A0 BS 1240在建'!BS$226:BS$245)</f>
        <v>0</v>
      </c>
      <c r="V24" s="8">
        <f>SUMIF('A0 BS 1240在建'!$A$226:$A$245,$A24,'A0 BS 1240在建'!CA$226:CA$245)</f>
        <v>0</v>
      </c>
      <c r="W24" s="8">
        <f>SUMIF('A0 BS 1240在建'!$A$226:$A$245,$A24,'A0 BS 1240在建'!CI$226:CI$245)</f>
        <v>0</v>
      </c>
      <c r="X24" s="8">
        <f>SUMIF('A0 BS 1240在建'!$A$226:$A$245,$A24,'A0 BS 1240在建'!CQ$226:CQ$245)</f>
        <v>0</v>
      </c>
      <c r="Z24" s="9" t="s">
        <v>60</v>
      </c>
    </row>
    <row r="25" spans="1:26" s="8" customFormat="1">
      <c r="A25" s="6" t="s">
        <v>61</v>
      </c>
      <c r="B25" s="35" t="s">
        <v>37</v>
      </c>
      <c r="C25" s="7"/>
      <c r="E25" s="8">
        <f>SUMIF('A0 BS 1240在建'!$A$226:$A$245, $A25,'A0 BS 1240在建'!G$226:G$245)</f>
        <v>0</v>
      </c>
      <c r="F25" s="8">
        <f t="shared" si="4"/>
        <v>0</v>
      </c>
      <c r="G25" s="8">
        <f t="shared" si="2"/>
        <v>0</v>
      </c>
      <c r="H25" s="8">
        <f t="shared" si="3"/>
        <v>0</v>
      </c>
      <c r="I25" s="8">
        <f>SUMIF('A0 BS 1240在建'!$A$226:$A$245,$A25,'A0 BS 1240在建'!O$226:O$245)</f>
        <v>0</v>
      </c>
      <c r="J25" s="8">
        <f>SUMIF('A0 BS 1240在建'!$A$226:$A$245,$A25,'A0 BS 1240在建'!S$226:S$245)</f>
        <v>0</v>
      </c>
      <c r="K25" s="8">
        <f>SUMIF('A0 BS 1240在建'!$A$226:$A$245,$A25,'A0 BS 1240在建'!W$226:W$245)</f>
        <v>0</v>
      </c>
      <c r="L25" s="8">
        <f>SUMIF('A0 BS 1240在建'!$A$226:$A$245,$A25,'A0 BS 1240在建'!AA$226:AA$245)</f>
        <v>0</v>
      </c>
      <c r="M25" s="8">
        <f>SUMIF('A0 BS 1240在建'!$A$226:$A$245,$A25,'A0 BS 1240在建'!AE$226:AE$245)</f>
        <v>0</v>
      </c>
      <c r="N25" s="8">
        <f>SUMIF('A0 BS 1240在建'!$A$226:$A$245,$A25,'A0 BS 1240在建'!AI$226:AI$245)</f>
        <v>0</v>
      </c>
      <c r="O25" s="8">
        <f>SUMIF('A0 BS 1240在建'!$A$226:$A$245,$A25,'A0 BS 1240在建'!AM$226:AM$245)</f>
        <v>0</v>
      </c>
      <c r="P25" s="8">
        <f>SUMIF('A0 BS 1240在建'!$A$226:$A$245,$A25,'A0 BS 1240在建'!AQ$226:AQ$245)</f>
        <v>0</v>
      </c>
      <c r="Q25" s="8">
        <f>SUMIF('A0 BS 1240在建'!$A$226:$A$245,$A25,'A0 BS 1240在建'!AU$226:AU$245)</f>
        <v>0</v>
      </c>
      <c r="R25" s="8">
        <f>SUMIF('A0 BS 1240在建'!$A$226:$A$245,$A25,'A0 BS 1240在建'!AY$226:AY$245)</f>
        <v>0</v>
      </c>
      <c r="S25" s="8">
        <f>SUMIF('A0 BS 1240在建'!$A$226:$A$245,$A25,'A0 BS 1240在建'!BC$226:BC$245)</f>
        <v>0</v>
      </c>
      <c r="T25" s="8">
        <f>SUMIF('A0 BS 1240在建'!$A$226:$A$245,$A25,'A0 BS 1240在建'!BG$226:BG$245)</f>
        <v>0</v>
      </c>
      <c r="U25" s="8">
        <f>SUMIF('A0 BS 1240在建'!$A$226:$A$245,$A25,'A0 BS 1240在建'!BS$226:BS$245)</f>
        <v>0</v>
      </c>
      <c r="V25" s="8">
        <f>SUMIF('A0 BS 1240在建'!$A$226:$A$245,$A25,'A0 BS 1240在建'!CA$226:CA$245)</f>
        <v>0</v>
      </c>
      <c r="W25" s="8">
        <f>SUMIF('A0 BS 1240在建'!$A$226:$A$245,$A25,'A0 BS 1240在建'!CI$226:CI$245)</f>
        <v>0</v>
      </c>
      <c r="X25" s="8">
        <f>SUMIF('A0 BS 1240在建'!$A$226:$A$245,$A25,'A0 BS 1240在建'!CQ$226:CQ$245)</f>
        <v>0</v>
      </c>
      <c r="Z25" s="9" t="s">
        <v>62</v>
      </c>
    </row>
    <row r="26" spans="1:26" s="8" customFormat="1" ht="15" customHeight="1">
      <c r="A26" s="6" t="s">
        <v>63</v>
      </c>
      <c r="B26" s="7"/>
      <c r="C26" s="7"/>
      <c r="E26" s="8">
        <f>SUMIF('A0 BS 1240在建'!$A$226:$A$245, $A26,'A0 BS 1240在建'!G$226:G$245)</f>
        <v>0</v>
      </c>
      <c r="F26" s="8">
        <f t="shared" si="4"/>
        <v>0</v>
      </c>
      <c r="G26" s="8">
        <f t="shared" si="2"/>
        <v>0</v>
      </c>
      <c r="H26" s="8">
        <f t="shared" si="3"/>
        <v>0</v>
      </c>
      <c r="I26" s="8">
        <f>SUMIF('A0 BS 1240在建'!$A$226:$A$245,$A26,'A0 BS 1240在建'!O$226:O$245)</f>
        <v>0</v>
      </c>
      <c r="J26" s="8">
        <f>SUMIF('A0 BS 1240在建'!$A$226:$A$245,$A26,'A0 BS 1240在建'!S$226:S$245)</f>
        <v>0</v>
      </c>
      <c r="K26" s="8">
        <f>SUMIF('A0 BS 1240在建'!$A$226:$A$245,$A26,'A0 BS 1240在建'!W$226:W$245)</f>
        <v>0</v>
      </c>
      <c r="L26" s="8">
        <f>SUMIF('A0 BS 1240在建'!$A$226:$A$245,$A26,'A0 BS 1240在建'!AA$226:AA$245)</f>
        <v>0</v>
      </c>
      <c r="M26" s="8">
        <f>SUMIF('A0 BS 1240在建'!$A$226:$A$245,$A26,'A0 BS 1240在建'!AE$226:AE$245)</f>
        <v>0</v>
      </c>
      <c r="N26" s="8">
        <f>SUMIF('A0 BS 1240在建'!$A$226:$A$245,$A26,'A0 BS 1240在建'!AI$226:AI$245)</f>
        <v>0</v>
      </c>
      <c r="O26" s="8">
        <f>SUMIF('A0 BS 1240在建'!$A$226:$A$245,$A26,'A0 BS 1240在建'!AM$226:AM$245)</f>
        <v>0</v>
      </c>
      <c r="P26" s="8">
        <f>SUMIF('A0 BS 1240在建'!$A$226:$A$245,$A26,'A0 BS 1240在建'!AQ$226:AQ$245)</f>
        <v>0</v>
      </c>
      <c r="Q26" s="8">
        <f>SUMIF('A0 BS 1240在建'!$A$226:$A$245,$A26,'A0 BS 1240在建'!AU$226:AU$245)</f>
        <v>0</v>
      </c>
      <c r="R26" s="8">
        <f>SUMIF('A0 BS 1240在建'!$A$226:$A$245,$A26,'A0 BS 1240在建'!AY$226:AY$245)</f>
        <v>0</v>
      </c>
      <c r="S26" s="8">
        <f>SUMIF('A0 BS 1240在建'!$A$226:$A$245,$A26,'A0 BS 1240在建'!BC$226:BC$245)</f>
        <v>0</v>
      </c>
      <c r="T26" s="8">
        <f>SUMIF('A0 BS 1240在建'!$A$226:$A$245,$A26,'A0 BS 1240在建'!BG$226:BG$245)</f>
        <v>0</v>
      </c>
      <c r="U26" s="8">
        <f>SUMIF('A0 BS 1240在建'!$A$226:$A$245,$A26,'A0 BS 1240在建'!BS$226:BS$245)</f>
        <v>0</v>
      </c>
      <c r="V26" s="8">
        <f>SUMIF('A0 BS 1240在建'!$A$226:$A$245,$A26,'A0 BS 1240在建'!CA$226:CA$245)</f>
        <v>0</v>
      </c>
      <c r="W26" s="8">
        <f>SUMIF('A0 BS 1240在建'!$A$226:$A$245,$A26,'A0 BS 1240在建'!CI$226:CI$245)</f>
        <v>0</v>
      </c>
      <c r="X26" s="8">
        <f>SUMIF('A0 BS 1240在建'!$A$226:$A$245,$A26,'A0 BS 1240在建'!CQ$226:CQ$245)</f>
        <v>0</v>
      </c>
      <c r="Z26" s="9" t="s">
        <v>64</v>
      </c>
    </row>
    <row r="27" spans="1:26" s="8" customFormat="1">
      <c r="A27" s="6" t="s">
        <v>65</v>
      </c>
      <c r="B27" s="35" t="s">
        <v>37</v>
      </c>
      <c r="C27" s="7"/>
      <c r="E27" s="8">
        <f>SUMIF('A0 BS 1240在建'!$A$226:$A$245, $A27,'A0 BS 1240在建'!G$226:G$245)</f>
        <v>0</v>
      </c>
      <c r="F27" s="8">
        <f t="shared" si="4"/>
        <v>0</v>
      </c>
      <c r="G27" s="8">
        <f t="shared" si="2"/>
        <v>0</v>
      </c>
      <c r="H27" s="8">
        <f t="shared" si="3"/>
        <v>0</v>
      </c>
      <c r="I27" s="8">
        <f>SUMIF('A0 BS 1240在建'!$A$226:$A$245,$A27,'A0 BS 1240在建'!O$226:O$245)</f>
        <v>0</v>
      </c>
      <c r="J27" s="8">
        <f>SUMIF('A0 BS 1240在建'!$A$226:$A$245,$A27,'A0 BS 1240在建'!S$226:S$245)</f>
        <v>0</v>
      </c>
      <c r="K27" s="8">
        <f>SUMIF('A0 BS 1240在建'!$A$226:$A$245,$A27,'A0 BS 1240在建'!W$226:W$245)</f>
        <v>0</v>
      </c>
      <c r="L27" s="8">
        <f>SUMIF('A0 BS 1240在建'!$A$226:$A$245,$A27,'A0 BS 1240在建'!AA$226:AA$245)</f>
        <v>0</v>
      </c>
      <c r="M27" s="8">
        <f>SUMIF('A0 BS 1240在建'!$A$226:$A$245,$A27,'A0 BS 1240在建'!AE$226:AE$245)</f>
        <v>0</v>
      </c>
      <c r="N27" s="8">
        <f>SUMIF('A0 BS 1240在建'!$A$226:$A$245,$A27,'A0 BS 1240在建'!AI$226:AI$245)</f>
        <v>0</v>
      </c>
      <c r="O27" s="8">
        <f>SUMIF('A0 BS 1240在建'!$A$226:$A$245,$A27,'A0 BS 1240在建'!AM$226:AM$245)</f>
        <v>0</v>
      </c>
      <c r="P27" s="8">
        <f>SUMIF('A0 BS 1240在建'!$A$226:$A$245,$A27,'A0 BS 1240在建'!AQ$226:AQ$245)</f>
        <v>0</v>
      </c>
      <c r="Q27" s="8">
        <f>SUMIF('A0 BS 1240在建'!$A$226:$A$245,$A27,'A0 BS 1240在建'!AU$226:AU$245)</f>
        <v>0</v>
      </c>
      <c r="R27" s="8">
        <f>SUMIF('A0 BS 1240在建'!$A$226:$A$245,$A27,'A0 BS 1240在建'!AY$226:AY$245)</f>
        <v>0</v>
      </c>
      <c r="S27" s="8">
        <f>SUMIF('A0 BS 1240在建'!$A$226:$A$245,$A27,'A0 BS 1240在建'!BC$226:BC$245)</f>
        <v>0</v>
      </c>
      <c r="T27" s="8">
        <f>SUMIF('A0 BS 1240在建'!$A$226:$A$245,$A27,'A0 BS 1240在建'!BG$226:BG$245)</f>
        <v>0</v>
      </c>
      <c r="U27" s="8">
        <f>SUMIF('A0 BS 1240在建'!$A$226:$A$245,$A27,'A0 BS 1240在建'!BS$226:BS$245)</f>
        <v>0</v>
      </c>
      <c r="V27" s="8">
        <f>SUMIF('A0 BS 1240在建'!$A$226:$A$245,$A27,'A0 BS 1240在建'!CA$226:CA$245)</f>
        <v>0</v>
      </c>
      <c r="W27" s="8">
        <f>SUMIF('A0 BS 1240在建'!$A$226:$A$245,$A27,'A0 BS 1240在建'!CI$226:CI$245)</f>
        <v>0</v>
      </c>
      <c r="X27" s="8">
        <f>SUMIF('A0 BS 1240在建'!$A$226:$A$245,$A27,'A0 BS 1240在建'!CQ$226:CQ$245)</f>
        <v>0</v>
      </c>
      <c r="Z27" s="9" t="s">
        <v>66</v>
      </c>
    </row>
    <row r="28" spans="1:26" s="38" customFormat="1">
      <c r="A28" s="36" t="s">
        <v>67</v>
      </c>
      <c r="B28" s="37"/>
      <c r="C28" s="37"/>
      <c r="E28" s="38">
        <f>SUM(E29:E31)</f>
        <v>0</v>
      </c>
      <c r="F28" s="38">
        <f>SUM(F29:F31)</f>
        <v>0</v>
      </c>
      <c r="G28" s="38">
        <f t="shared" si="2"/>
        <v>0</v>
      </c>
      <c r="H28" s="38">
        <f t="shared" si="3"/>
        <v>0</v>
      </c>
      <c r="I28" s="38">
        <f t="shared" ref="I28:V28" si="5">SUM(I29:I31)</f>
        <v>0</v>
      </c>
      <c r="J28" s="38">
        <f t="shared" si="5"/>
        <v>0</v>
      </c>
      <c r="K28" s="38">
        <f t="shared" si="5"/>
        <v>0</v>
      </c>
      <c r="L28" s="38">
        <f t="shared" si="5"/>
        <v>0</v>
      </c>
      <c r="M28" s="38">
        <f t="shared" si="5"/>
        <v>0</v>
      </c>
      <c r="N28" s="38">
        <f t="shared" si="5"/>
        <v>0</v>
      </c>
      <c r="O28" s="38">
        <f t="shared" si="5"/>
        <v>0</v>
      </c>
      <c r="P28" s="38">
        <f t="shared" si="5"/>
        <v>0</v>
      </c>
      <c r="Q28" s="38">
        <f t="shared" si="5"/>
        <v>0</v>
      </c>
      <c r="R28" s="38">
        <f t="shared" si="5"/>
        <v>0</v>
      </c>
      <c r="S28" s="38">
        <f t="shared" si="5"/>
        <v>0</v>
      </c>
      <c r="T28" s="38">
        <f t="shared" si="5"/>
        <v>0</v>
      </c>
      <c r="U28" s="38">
        <f t="shared" si="5"/>
        <v>0</v>
      </c>
      <c r="V28" s="38">
        <f t="shared" si="5"/>
        <v>0</v>
      </c>
      <c r="W28" s="8">
        <f>SUMIF('A0 BS 1240在建'!$A$226:$A$245,$A28,'A0 BS 1240在建'!CI$226:CI$245)</f>
        <v>0</v>
      </c>
      <c r="X28" s="8">
        <f>SUMIF('A0 BS 1240在建'!$A$226:$A$245,$A28,'A0 BS 1240在建'!CQ$226:CQ$245)</f>
        <v>0</v>
      </c>
      <c r="Z28" s="39" t="s">
        <v>68</v>
      </c>
    </row>
    <row r="29" spans="1:26" s="8" customFormat="1" ht="15" customHeight="1">
      <c r="A29" s="49" t="s">
        <v>69</v>
      </c>
      <c r="B29" s="35" t="s">
        <v>31</v>
      </c>
      <c r="C29" s="7"/>
      <c r="D29" s="41"/>
      <c r="E29" s="42">
        <f>SUMIF('A0 BS 1240在建'!$A$226:$A$245, $A29,'A0 BS 1240在建'!G$226:G$245)</f>
        <v>0</v>
      </c>
      <c r="F29" s="42">
        <f>SUM(D29:E29)</f>
        <v>0</v>
      </c>
      <c r="G29" s="42">
        <f t="shared" si="2"/>
        <v>0</v>
      </c>
      <c r="H29" s="43">
        <f t="shared" si="3"/>
        <v>0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Z29" s="9"/>
    </row>
    <row r="30" spans="1:26" s="8" customFormat="1" ht="15" customHeight="1">
      <c r="A30" s="49" t="s">
        <v>70</v>
      </c>
      <c r="B30" s="35" t="s">
        <v>31</v>
      </c>
      <c r="C30" s="7"/>
      <c r="D30" s="41"/>
      <c r="E30" s="42">
        <f>SUMIF('A0 BS 1240在建'!$A$226:$A$245, $A30,'A0 BS 1240在建'!G$226:G$245)</f>
        <v>0</v>
      </c>
      <c r="F30" s="42">
        <f>SUM(D30:E30)</f>
        <v>0</v>
      </c>
      <c r="G30" s="42">
        <f t="shared" si="2"/>
        <v>0</v>
      </c>
      <c r="H30" s="43">
        <f t="shared" si="3"/>
        <v>0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Z30" s="9"/>
    </row>
    <row r="31" spans="1:26" s="8" customFormat="1" ht="15" customHeight="1">
      <c r="A31" s="49" t="s">
        <v>37</v>
      </c>
      <c r="B31" s="35" t="s">
        <v>37</v>
      </c>
      <c r="C31" s="7"/>
      <c r="D31" s="41"/>
      <c r="E31" s="42">
        <f>SUMIF('A0 BS 1240在建'!$A$226:$A$245, $A31,'A0 BS 1240在建'!G$226:G$245)</f>
        <v>0</v>
      </c>
      <c r="F31" s="42">
        <f>SUM(D31:E31)</f>
        <v>0</v>
      </c>
      <c r="G31" s="42">
        <f t="shared" si="2"/>
        <v>0</v>
      </c>
      <c r="H31" s="43">
        <f t="shared" si="3"/>
        <v>0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Z31" s="9"/>
    </row>
    <row r="32" spans="1:26" s="38" customFormat="1">
      <c r="A32" s="36" t="s">
        <v>71</v>
      </c>
      <c r="B32" s="37"/>
      <c r="C32" s="37"/>
      <c r="E32" s="38">
        <f t="shared" ref="E32:X32" si="6">SUM(E33:E40)</f>
        <v>0</v>
      </c>
      <c r="F32" s="38">
        <f t="shared" si="6"/>
        <v>0</v>
      </c>
      <c r="G32" s="38">
        <f t="shared" si="6"/>
        <v>0</v>
      </c>
      <c r="H32" s="38">
        <f t="shared" si="6"/>
        <v>0</v>
      </c>
      <c r="I32" s="38">
        <f t="shared" si="6"/>
        <v>0</v>
      </c>
      <c r="J32" s="38">
        <f t="shared" si="6"/>
        <v>0</v>
      </c>
      <c r="K32" s="38">
        <f t="shared" si="6"/>
        <v>0</v>
      </c>
      <c r="L32" s="38">
        <f t="shared" si="6"/>
        <v>0</v>
      </c>
      <c r="M32" s="38">
        <f t="shared" si="6"/>
        <v>0</v>
      </c>
      <c r="N32" s="38">
        <f t="shared" si="6"/>
        <v>0</v>
      </c>
      <c r="O32" s="38">
        <f t="shared" si="6"/>
        <v>0</v>
      </c>
      <c r="P32" s="38">
        <f t="shared" si="6"/>
        <v>0</v>
      </c>
      <c r="Q32" s="38">
        <f t="shared" si="6"/>
        <v>0</v>
      </c>
      <c r="R32" s="38">
        <f t="shared" si="6"/>
        <v>0</v>
      </c>
      <c r="S32" s="38">
        <f t="shared" si="6"/>
        <v>0</v>
      </c>
      <c r="T32" s="38">
        <f t="shared" si="6"/>
        <v>0</v>
      </c>
      <c r="U32" s="38">
        <f t="shared" si="6"/>
        <v>0</v>
      </c>
      <c r="V32" s="38">
        <f t="shared" si="6"/>
        <v>0</v>
      </c>
      <c r="W32" s="38">
        <f t="shared" si="6"/>
        <v>0</v>
      </c>
      <c r="X32" s="38">
        <f t="shared" si="6"/>
        <v>0</v>
      </c>
      <c r="Z32" s="39" t="s">
        <v>72</v>
      </c>
    </row>
    <row r="33" spans="1:26" s="8" customFormat="1" ht="14.25" customHeight="1" outlineLevel="1">
      <c r="A33" s="50" t="s">
        <v>73</v>
      </c>
      <c r="B33" s="7"/>
      <c r="C33" s="7"/>
      <c r="D33" s="47"/>
      <c r="E33" s="47"/>
      <c r="F33" s="47">
        <f t="shared" ref="F33:F40" si="7">SUM(D33:E33)</f>
        <v>0</v>
      </c>
      <c r="G33" s="47">
        <f t="shared" ref="G33:G61" si="8">+F33+H33</f>
        <v>0</v>
      </c>
      <c r="H33" s="47">
        <f t="shared" ref="H33:H61" si="9">SUM(I33:T33)</f>
        <v>0</v>
      </c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Z33" s="48" t="s">
        <v>74</v>
      </c>
    </row>
    <row r="34" spans="1:26" s="8" customFormat="1" ht="15" customHeight="1" outlineLevel="1">
      <c r="A34" s="50" t="s">
        <v>75</v>
      </c>
      <c r="B34" s="7"/>
      <c r="C34" s="7"/>
      <c r="D34" s="47"/>
      <c r="E34" s="47"/>
      <c r="F34" s="47">
        <f t="shared" si="7"/>
        <v>0</v>
      </c>
      <c r="G34" s="47">
        <f t="shared" si="8"/>
        <v>0</v>
      </c>
      <c r="H34" s="47">
        <f t="shared" si="9"/>
        <v>0</v>
      </c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Z34" s="48" t="s">
        <v>76</v>
      </c>
    </row>
    <row r="35" spans="1:26" s="8" customFormat="1" ht="15" customHeight="1" outlineLevel="1">
      <c r="A35" s="50" t="s">
        <v>77</v>
      </c>
      <c r="B35" s="7"/>
      <c r="C35" s="7"/>
      <c r="D35" s="47"/>
      <c r="E35" s="47"/>
      <c r="F35" s="47">
        <f t="shared" si="7"/>
        <v>0</v>
      </c>
      <c r="G35" s="47">
        <f t="shared" si="8"/>
        <v>0</v>
      </c>
      <c r="H35" s="47">
        <f t="shared" si="9"/>
        <v>0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Z35" s="48" t="s">
        <v>78</v>
      </c>
    </row>
    <row r="36" spans="1:26" s="8" customFormat="1" ht="15" customHeight="1" outlineLevel="1">
      <c r="A36" s="50" t="s">
        <v>79</v>
      </c>
      <c r="B36" s="7"/>
      <c r="C36" s="7"/>
      <c r="D36" s="47"/>
      <c r="E36" s="47"/>
      <c r="F36" s="47">
        <f t="shared" si="7"/>
        <v>0</v>
      </c>
      <c r="G36" s="47">
        <f t="shared" si="8"/>
        <v>0</v>
      </c>
      <c r="H36" s="47">
        <f t="shared" si="9"/>
        <v>0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Z36" s="48" t="s">
        <v>80</v>
      </c>
    </row>
    <row r="37" spans="1:26" s="8" customFormat="1" ht="15" customHeight="1" outlineLevel="1">
      <c r="A37" s="50" t="s">
        <v>81</v>
      </c>
      <c r="B37" s="7"/>
      <c r="C37" s="7"/>
      <c r="D37" s="47"/>
      <c r="E37" s="47"/>
      <c r="F37" s="47">
        <f t="shared" si="7"/>
        <v>0</v>
      </c>
      <c r="G37" s="47">
        <f t="shared" si="8"/>
        <v>0</v>
      </c>
      <c r="H37" s="47">
        <f t="shared" si="9"/>
        <v>0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Z37" s="48" t="s">
        <v>82</v>
      </c>
    </row>
    <row r="38" spans="1:26" s="8" customFormat="1" ht="15" customHeight="1" outlineLevel="1">
      <c r="A38" s="50" t="s">
        <v>83</v>
      </c>
      <c r="B38" s="7"/>
      <c r="C38" s="7"/>
      <c r="D38" s="47"/>
      <c r="E38" s="47"/>
      <c r="F38" s="47">
        <f t="shared" si="7"/>
        <v>0</v>
      </c>
      <c r="G38" s="47">
        <f t="shared" si="8"/>
        <v>0</v>
      </c>
      <c r="H38" s="47">
        <f t="shared" si="9"/>
        <v>0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Z38" s="48" t="s">
        <v>84</v>
      </c>
    </row>
    <row r="39" spans="1:26" s="8" customFormat="1" ht="15" customHeight="1" outlineLevel="1">
      <c r="A39" s="50" t="s">
        <v>85</v>
      </c>
      <c r="B39" s="7"/>
      <c r="C39" s="7"/>
      <c r="D39" s="47"/>
      <c r="E39" s="47"/>
      <c r="F39" s="47">
        <f t="shared" si="7"/>
        <v>0</v>
      </c>
      <c r="G39" s="47">
        <f t="shared" si="8"/>
        <v>0</v>
      </c>
      <c r="H39" s="47">
        <f t="shared" si="9"/>
        <v>0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Z39" s="48" t="s">
        <v>86</v>
      </c>
    </row>
    <row r="40" spans="1:26" s="8" customFormat="1" ht="15" customHeight="1" outlineLevel="1">
      <c r="A40" s="50" t="s">
        <v>87</v>
      </c>
      <c r="B40" s="7"/>
      <c r="C40" s="7"/>
      <c r="D40" s="47"/>
      <c r="E40" s="47"/>
      <c r="F40" s="47">
        <f t="shared" si="7"/>
        <v>0</v>
      </c>
      <c r="G40" s="47">
        <f t="shared" si="8"/>
        <v>0</v>
      </c>
      <c r="H40" s="47">
        <f t="shared" si="9"/>
        <v>0</v>
      </c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Z40" s="48" t="s">
        <v>88</v>
      </c>
    </row>
    <row r="41" spans="1:26" s="8" customFormat="1" ht="15.6">
      <c r="A41" s="51" t="s">
        <v>89</v>
      </c>
      <c r="B41" s="7"/>
      <c r="C41" s="7"/>
      <c r="D41" s="52" t="e">
        <f>SUM(D10:D14,D19:D32)-SUM(D12:D13)-SUM(D29:D31)</f>
        <v>#REF!</v>
      </c>
      <c r="E41" s="52">
        <f>SUM(E10:E14,E19:E32)-SUM(E12:E13)-SUM(E29:E31)</f>
        <v>21367000</v>
      </c>
      <c r="F41" s="52" t="e">
        <f>SUM(F10:F14,F19:F32)-SUM(F12:F13)-SUM(F29:F31)</f>
        <v>#REF!</v>
      </c>
      <c r="G41" s="52" t="e">
        <f t="shared" si="8"/>
        <v>#REF!</v>
      </c>
      <c r="H41" s="52" t="e">
        <f t="shared" si="9"/>
        <v>#N/A</v>
      </c>
      <c r="I41" s="52" t="e">
        <f t="shared" ref="I41:X41" si="10">SUM(I10:I14,I19:I32)-SUM(I12:I13)-SUM(I29:I31)</f>
        <v>#N/A</v>
      </c>
      <c r="J41" s="52" t="e">
        <f t="shared" si="10"/>
        <v>#N/A</v>
      </c>
      <c r="K41" s="52" t="e">
        <f t="shared" si="10"/>
        <v>#N/A</v>
      </c>
      <c r="L41" s="52" t="e">
        <f t="shared" si="10"/>
        <v>#N/A</v>
      </c>
      <c r="M41" s="52" t="e">
        <f t="shared" si="10"/>
        <v>#N/A</v>
      </c>
      <c r="N41" s="52" t="e">
        <f t="shared" si="10"/>
        <v>#N/A</v>
      </c>
      <c r="O41" s="52" t="e">
        <f t="shared" si="10"/>
        <v>#N/A</v>
      </c>
      <c r="P41" s="52" t="e">
        <f t="shared" si="10"/>
        <v>#N/A</v>
      </c>
      <c r="Q41" s="52" t="e">
        <f t="shared" si="10"/>
        <v>#N/A</v>
      </c>
      <c r="R41" s="52" t="e">
        <f t="shared" si="10"/>
        <v>#N/A</v>
      </c>
      <c r="S41" s="52" t="e">
        <f t="shared" si="10"/>
        <v>#N/A</v>
      </c>
      <c r="T41" s="52" t="e">
        <f t="shared" si="10"/>
        <v>#N/A</v>
      </c>
      <c r="U41" s="52" t="e">
        <f t="shared" si="10"/>
        <v>#N/A</v>
      </c>
      <c r="V41" s="52" t="e">
        <f t="shared" si="10"/>
        <v>#N/A</v>
      </c>
      <c r="W41" s="52" t="e">
        <f t="shared" si="10"/>
        <v>#N/A</v>
      </c>
      <c r="X41" s="52" t="e">
        <f t="shared" si="10"/>
        <v>#REF!</v>
      </c>
      <c r="Z41" s="14" t="s">
        <v>90</v>
      </c>
    </row>
    <row r="42" spans="1:26" s="8" customFormat="1">
      <c r="A42" s="18"/>
      <c r="B42" s="7"/>
      <c r="C42" s="7"/>
      <c r="G42" s="8">
        <f t="shared" si="8"/>
        <v>0</v>
      </c>
      <c r="H42" s="8">
        <f t="shared" si="9"/>
        <v>0</v>
      </c>
      <c r="Z42" s="20"/>
    </row>
    <row r="43" spans="1:26" s="8" customFormat="1" ht="18">
      <c r="A43" s="53" t="s">
        <v>91</v>
      </c>
      <c r="B43" s="7"/>
      <c r="C43" s="7"/>
      <c r="G43" s="8">
        <f t="shared" si="8"/>
        <v>0</v>
      </c>
      <c r="H43" s="8">
        <f t="shared" si="9"/>
        <v>0</v>
      </c>
      <c r="Z43" s="34" t="s">
        <v>92</v>
      </c>
    </row>
    <row r="44" spans="1:26" s="8" customFormat="1" ht="15" customHeight="1">
      <c r="A44" s="6" t="s">
        <v>93</v>
      </c>
      <c r="B44" s="7"/>
      <c r="C44" s="7"/>
      <c r="G44" s="8">
        <f t="shared" si="8"/>
        <v>0</v>
      </c>
      <c r="H44" s="8">
        <f t="shared" si="9"/>
        <v>0</v>
      </c>
      <c r="Z44" s="9" t="s">
        <v>94</v>
      </c>
    </row>
    <row r="45" spans="1:26" s="8" customFormat="1" ht="15" customHeight="1">
      <c r="A45" s="6" t="s">
        <v>95</v>
      </c>
      <c r="B45" s="7"/>
      <c r="C45" s="7"/>
      <c r="G45" s="8">
        <f t="shared" si="8"/>
        <v>0</v>
      </c>
      <c r="H45" s="8">
        <f t="shared" si="9"/>
        <v>0</v>
      </c>
      <c r="Z45" s="9" t="s">
        <v>96</v>
      </c>
    </row>
    <row r="46" spans="1:26" s="8" customFormat="1" ht="15" customHeight="1">
      <c r="A46" s="6" t="s">
        <v>97</v>
      </c>
      <c r="B46" s="7"/>
      <c r="C46" s="7"/>
      <c r="G46" s="8">
        <f t="shared" si="8"/>
        <v>0</v>
      </c>
      <c r="H46" s="8">
        <f t="shared" si="9"/>
        <v>0</v>
      </c>
      <c r="Z46" s="9" t="s">
        <v>98</v>
      </c>
    </row>
    <row r="47" spans="1:26" s="8" customFormat="1" ht="15" customHeight="1">
      <c r="A47" s="54" t="s">
        <v>99</v>
      </c>
      <c r="B47" s="7"/>
      <c r="C47" s="7"/>
      <c r="D47" s="47"/>
      <c r="E47" s="47"/>
      <c r="F47" s="47">
        <f t="shared" ref="F47:F59" si="11">SUM(D47:E47)</f>
        <v>0</v>
      </c>
      <c r="G47" s="47">
        <f t="shared" si="8"/>
        <v>0</v>
      </c>
      <c r="H47" s="47">
        <f t="shared" si="9"/>
        <v>0</v>
      </c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Z47" s="55" t="s">
        <v>100</v>
      </c>
    </row>
    <row r="48" spans="1:26" s="8" customFormat="1" ht="15" customHeight="1">
      <c r="A48" s="54" t="s">
        <v>101</v>
      </c>
      <c r="B48" s="7"/>
      <c r="C48" s="7"/>
      <c r="D48" s="47"/>
      <c r="E48" s="47"/>
      <c r="F48" s="47">
        <f t="shared" si="11"/>
        <v>0</v>
      </c>
      <c r="G48" s="47">
        <f t="shared" si="8"/>
        <v>0</v>
      </c>
      <c r="H48" s="47">
        <f t="shared" si="9"/>
        <v>0</v>
      </c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Z48" s="55" t="s">
        <v>102</v>
      </c>
    </row>
    <row r="49" spans="1:26" s="8" customFormat="1" outlineLevel="1">
      <c r="A49" s="54" t="s">
        <v>103</v>
      </c>
      <c r="B49" s="7"/>
      <c r="C49" s="7"/>
      <c r="D49" s="47"/>
      <c r="E49" s="47"/>
      <c r="F49" s="47">
        <f t="shared" si="11"/>
        <v>0</v>
      </c>
      <c r="G49" s="47">
        <f t="shared" si="8"/>
        <v>0</v>
      </c>
      <c r="H49" s="47">
        <f t="shared" si="9"/>
        <v>0</v>
      </c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Z49" s="55" t="s">
        <v>104</v>
      </c>
    </row>
    <row r="50" spans="1:26" s="8" customFormat="1" outlineLevel="1">
      <c r="A50" s="54" t="s">
        <v>105</v>
      </c>
      <c r="B50" s="7"/>
      <c r="C50" s="7"/>
      <c r="D50" s="47"/>
      <c r="E50" s="47"/>
      <c r="F50" s="47">
        <f t="shared" si="11"/>
        <v>0</v>
      </c>
      <c r="G50" s="47">
        <f t="shared" si="8"/>
        <v>0</v>
      </c>
      <c r="H50" s="47">
        <f t="shared" si="9"/>
        <v>0</v>
      </c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Z50" s="55" t="s">
        <v>106</v>
      </c>
    </row>
    <row r="51" spans="1:26" s="8" customFormat="1" outlineLevel="1">
      <c r="A51" s="54" t="s">
        <v>107</v>
      </c>
      <c r="B51" s="7"/>
      <c r="C51" s="7"/>
      <c r="D51" s="47"/>
      <c r="E51" s="47"/>
      <c r="F51" s="47">
        <f t="shared" si="11"/>
        <v>0</v>
      </c>
      <c r="G51" s="47">
        <f t="shared" si="8"/>
        <v>0</v>
      </c>
      <c r="H51" s="47">
        <f t="shared" si="9"/>
        <v>0</v>
      </c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Z51" s="55" t="s">
        <v>108</v>
      </c>
    </row>
    <row r="52" spans="1:26" s="8" customFormat="1" outlineLevel="1">
      <c r="A52" s="54" t="s">
        <v>109</v>
      </c>
      <c r="B52" s="7"/>
      <c r="C52" s="7"/>
      <c r="D52" s="56"/>
      <c r="E52" s="56"/>
      <c r="F52" s="56">
        <f t="shared" si="11"/>
        <v>0</v>
      </c>
      <c r="G52" s="56">
        <f t="shared" si="8"/>
        <v>0</v>
      </c>
      <c r="H52" s="56">
        <f t="shared" si="9"/>
        <v>0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Z52" s="55" t="s">
        <v>110</v>
      </c>
    </row>
    <row r="53" spans="1:26" s="8" customFormat="1">
      <c r="A53" s="57" t="s">
        <v>111</v>
      </c>
      <c r="B53" s="7"/>
      <c r="C53" s="7"/>
      <c r="E53" s="8">
        <f>SUM(E47:E52)</f>
        <v>0</v>
      </c>
      <c r="F53" s="8">
        <f t="shared" si="11"/>
        <v>0</v>
      </c>
      <c r="G53" s="8">
        <f t="shared" si="8"/>
        <v>0</v>
      </c>
      <c r="H53" s="8">
        <f t="shared" si="9"/>
        <v>0</v>
      </c>
      <c r="I53" s="8">
        <f t="shared" ref="I53:X53" si="12">SUM(I47:I52)</f>
        <v>0</v>
      </c>
      <c r="J53" s="8">
        <f t="shared" si="12"/>
        <v>0</v>
      </c>
      <c r="K53" s="8">
        <f t="shared" si="12"/>
        <v>0</v>
      </c>
      <c r="L53" s="8">
        <f t="shared" si="12"/>
        <v>0</v>
      </c>
      <c r="M53" s="8">
        <f t="shared" si="12"/>
        <v>0</v>
      </c>
      <c r="N53" s="8">
        <f t="shared" si="12"/>
        <v>0</v>
      </c>
      <c r="O53" s="8">
        <f t="shared" si="12"/>
        <v>0</v>
      </c>
      <c r="P53" s="8">
        <f t="shared" si="12"/>
        <v>0</v>
      </c>
      <c r="Q53" s="8">
        <f t="shared" si="12"/>
        <v>0</v>
      </c>
      <c r="R53" s="8">
        <f t="shared" si="12"/>
        <v>0</v>
      </c>
      <c r="S53" s="8">
        <f t="shared" si="12"/>
        <v>0</v>
      </c>
      <c r="T53" s="8">
        <f t="shared" si="12"/>
        <v>0</v>
      </c>
      <c r="U53" s="8">
        <f t="shared" si="12"/>
        <v>0</v>
      </c>
      <c r="V53" s="8">
        <f t="shared" si="12"/>
        <v>0</v>
      </c>
      <c r="W53" s="8">
        <f t="shared" si="12"/>
        <v>0</v>
      </c>
      <c r="X53" s="8">
        <f t="shared" si="12"/>
        <v>0</v>
      </c>
      <c r="Z53" s="58" t="s">
        <v>112</v>
      </c>
    </row>
    <row r="54" spans="1:26" s="8" customFormat="1" outlineLevel="1">
      <c r="A54" s="54" t="s">
        <v>113</v>
      </c>
      <c r="B54" s="7"/>
      <c r="C54" s="7"/>
      <c r="D54" s="47"/>
      <c r="E54" s="47"/>
      <c r="F54" s="47">
        <f t="shared" si="11"/>
        <v>0</v>
      </c>
      <c r="G54" s="47">
        <f t="shared" si="8"/>
        <v>0</v>
      </c>
      <c r="H54" s="47">
        <f t="shared" si="9"/>
        <v>0</v>
      </c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Z54" s="55" t="s">
        <v>114</v>
      </c>
    </row>
    <row r="55" spans="1:26" s="8" customFormat="1" outlineLevel="1">
      <c r="A55" s="54" t="s">
        <v>115</v>
      </c>
      <c r="B55" s="7"/>
      <c r="C55" s="7"/>
      <c r="D55" s="47"/>
      <c r="E55" s="47"/>
      <c r="F55" s="47">
        <f t="shared" si="11"/>
        <v>0</v>
      </c>
      <c r="G55" s="47">
        <f t="shared" si="8"/>
        <v>0</v>
      </c>
      <c r="H55" s="47">
        <f t="shared" si="9"/>
        <v>0</v>
      </c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Z55" s="55" t="s">
        <v>116</v>
      </c>
    </row>
    <row r="56" spans="1:26" s="8" customFormat="1" outlineLevel="1">
      <c r="A56" s="54" t="s">
        <v>117</v>
      </c>
      <c r="B56" s="7"/>
      <c r="C56" s="7"/>
      <c r="D56" s="47"/>
      <c r="E56" s="47"/>
      <c r="F56" s="47">
        <f t="shared" si="11"/>
        <v>0</v>
      </c>
      <c r="G56" s="47">
        <f t="shared" si="8"/>
        <v>0</v>
      </c>
      <c r="H56" s="47">
        <f t="shared" si="9"/>
        <v>0</v>
      </c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Z56" s="55" t="s">
        <v>118</v>
      </c>
    </row>
    <row r="57" spans="1:26" s="8" customFormat="1" outlineLevel="1">
      <c r="A57" s="54" t="s">
        <v>119</v>
      </c>
      <c r="B57" s="7"/>
      <c r="C57" s="7"/>
      <c r="D57" s="47"/>
      <c r="E57" s="47"/>
      <c r="F57" s="47">
        <f t="shared" si="11"/>
        <v>0</v>
      </c>
      <c r="G57" s="47">
        <f t="shared" si="8"/>
        <v>0</v>
      </c>
      <c r="H57" s="47">
        <f t="shared" si="9"/>
        <v>0</v>
      </c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Z57" s="55" t="s">
        <v>120</v>
      </c>
    </row>
    <row r="58" spans="1:26" s="8" customFormat="1" outlineLevel="1">
      <c r="A58" s="54" t="s">
        <v>121</v>
      </c>
      <c r="B58" s="7"/>
      <c r="C58" s="7"/>
      <c r="D58" s="47"/>
      <c r="E58" s="47"/>
      <c r="F58" s="47">
        <f t="shared" si="11"/>
        <v>0</v>
      </c>
      <c r="G58" s="47">
        <f t="shared" si="8"/>
        <v>0</v>
      </c>
      <c r="H58" s="47">
        <f t="shared" si="9"/>
        <v>0</v>
      </c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Z58" s="55" t="s">
        <v>122</v>
      </c>
    </row>
    <row r="59" spans="1:26" s="8" customFormat="1" outlineLevel="1">
      <c r="A59" s="54" t="s">
        <v>123</v>
      </c>
      <c r="B59" s="7"/>
      <c r="C59" s="7"/>
      <c r="D59" s="47"/>
      <c r="E59" s="47"/>
      <c r="F59" s="47">
        <f t="shared" si="11"/>
        <v>0</v>
      </c>
      <c r="G59" s="47">
        <f t="shared" si="8"/>
        <v>0</v>
      </c>
      <c r="H59" s="47">
        <f t="shared" si="9"/>
        <v>0</v>
      </c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Z59" s="55" t="s">
        <v>124</v>
      </c>
    </row>
    <row r="60" spans="1:26" s="8" customFormat="1">
      <c r="A60" s="57" t="s">
        <v>125</v>
      </c>
      <c r="B60" s="7"/>
      <c r="C60" s="7"/>
      <c r="D60" s="59"/>
      <c r="E60" s="59">
        <f>SUM(E54:E59)</f>
        <v>0</v>
      </c>
      <c r="F60" s="59">
        <f>SUM(F54:F59)</f>
        <v>0</v>
      </c>
      <c r="G60" s="59">
        <f t="shared" si="8"/>
        <v>0</v>
      </c>
      <c r="H60" s="59">
        <f t="shared" si="9"/>
        <v>0</v>
      </c>
      <c r="I60" s="59">
        <f t="shared" ref="I60:X60" si="13">SUM(I54:I59)</f>
        <v>0</v>
      </c>
      <c r="J60" s="59">
        <f t="shared" si="13"/>
        <v>0</v>
      </c>
      <c r="K60" s="59">
        <f t="shared" si="13"/>
        <v>0</v>
      </c>
      <c r="L60" s="59">
        <f t="shared" si="13"/>
        <v>0</v>
      </c>
      <c r="M60" s="59">
        <f t="shared" si="13"/>
        <v>0</v>
      </c>
      <c r="N60" s="59">
        <f t="shared" si="13"/>
        <v>0</v>
      </c>
      <c r="O60" s="59">
        <f t="shared" si="13"/>
        <v>0</v>
      </c>
      <c r="P60" s="59">
        <f t="shared" si="13"/>
        <v>0</v>
      </c>
      <c r="Q60" s="59">
        <f t="shared" si="13"/>
        <v>0</v>
      </c>
      <c r="R60" s="59">
        <f t="shared" si="13"/>
        <v>0</v>
      </c>
      <c r="S60" s="59">
        <f t="shared" si="13"/>
        <v>0</v>
      </c>
      <c r="T60" s="59">
        <f t="shared" si="13"/>
        <v>0</v>
      </c>
      <c r="U60" s="59">
        <f t="shared" si="13"/>
        <v>0</v>
      </c>
      <c r="V60" s="59">
        <f t="shared" si="13"/>
        <v>0</v>
      </c>
      <c r="W60" s="59">
        <f t="shared" si="13"/>
        <v>0</v>
      </c>
      <c r="X60" s="59">
        <f t="shared" si="13"/>
        <v>0</v>
      </c>
      <c r="Z60" s="58" t="s">
        <v>126</v>
      </c>
    </row>
    <row r="61" spans="1:26" s="8" customFormat="1">
      <c r="A61" s="57" t="s">
        <v>127</v>
      </c>
      <c r="B61" s="7"/>
      <c r="C61" s="7"/>
      <c r="D61" s="59"/>
      <c r="E61" s="59">
        <f>E53+E60</f>
        <v>0</v>
      </c>
      <c r="F61" s="59">
        <f>F53+F60</f>
        <v>0</v>
      </c>
      <c r="G61" s="59">
        <f t="shared" si="8"/>
        <v>0</v>
      </c>
      <c r="H61" s="59">
        <f t="shared" si="9"/>
        <v>0</v>
      </c>
      <c r="I61" s="59">
        <f t="shared" ref="I61:X61" si="14">I53+I60</f>
        <v>0</v>
      </c>
      <c r="J61" s="59">
        <f t="shared" si="14"/>
        <v>0</v>
      </c>
      <c r="K61" s="59">
        <f t="shared" si="14"/>
        <v>0</v>
      </c>
      <c r="L61" s="59">
        <f t="shared" si="14"/>
        <v>0</v>
      </c>
      <c r="M61" s="59">
        <f t="shared" si="14"/>
        <v>0</v>
      </c>
      <c r="N61" s="59">
        <f t="shared" si="14"/>
        <v>0</v>
      </c>
      <c r="O61" s="59">
        <f t="shared" si="14"/>
        <v>0</v>
      </c>
      <c r="P61" s="59">
        <f t="shared" si="14"/>
        <v>0</v>
      </c>
      <c r="Q61" s="59">
        <f t="shared" si="14"/>
        <v>0</v>
      </c>
      <c r="R61" s="59">
        <f t="shared" si="14"/>
        <v>0</v>
      </c>
      <c r="S61" s="59">
        <f t="shared" si="14"/>
        <v>0</v>
      </c>
      <c r="T61" s="59">
        <f t="shared" si="14"/>
        <v>0</v>
      </c>
      <c r="U61" s="59">
        <f t="shared" si="14"/>
        <v>0</v>
      </c>
      <c r="V61" s="59">
        <f t="shared" si="14"/>
        <v>0</v>
      </c>
      <c r="W61" s="59">
        <f t="shared" si="14"/>
        <v>0</v>
      </c>
      <c r="X61" s="59">
        <f t="shared" si="14"/>
        <v>0</v>
      </c>
      <c r="Z61" s="58" t="s">
        <v>128</v>
      </c>
    </row>
    <row r="62" spans="1:26" s="8" customFormat="1">
      <c r="A62" s="60"/>
      <c r="B62" s="7"/>
      <c r="C62" s="7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Z62" s="62"/>
    </row>
    <row r="63" spans="1:26" s="8" customFormat="1" outlineLevel="1">
      <c r="A63" s="54" t="s">
        <v>129</v>
      </c>
      <c r="B63" s="7"/>
      <c r="C63" s="7"/>
      <c r="D63" s="47"/>
      <c r="E63" s="47"/>
      <c r="F63" s="47">
        <f>SUM(D63:E63)</f>
        <v>0</v>
      </c>
      <c r="G63" s="47">
        <f t="shared" ref="G63:G76" si="15">+F63+H63</f>
        <v>0</v>
      </c>
      <c r="H63" s="47">
        <f t="shared" ref="H63:H76" si="16">SUM(I63:T63)</f>
        <v>0</v>
      </c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Z63" s="55" t="s">
        <v>130</v>
      </c>
    </row>
    <row r="64" spans="1:26" s="8" customFormat="1" outlineLevel="1">
      <c r="A64" s="54" t="s">
        <v>131</v>
      </c>
      <c r="B64" s="7"/>
      <c r="C64" s="7"/>
      <c r="D64" s="47"/>
      <c r="E64" s="47"/>
      <c r="F64" s="47">
        <f>SUM(D64:E64)</f>
        <v>0</v>
      </c>
      <c r="G64" s="47">
        <f t="shared" si="15"/>
        <v>0</v>
      </c>
      <c r="H64" s="47">
        <f t="shared" si="16"/>
        <v>0</v>
      </c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Z64" s="55" t="s">
        <v>132</v>
      </c>
    </row>
    <row r="65" spans="1:26" s="8" customFormat="1" outlineLevel="1">
      <c r="A65" s="54" t="s">
        <v>133</v>
      </c>
      <c r="B65" s="7"/>
      <c r="C65" s="7"/>
      <c r="D65" s="47"/>
      <c r="E65" s="47"/>
      <c r="F65" s="47">
        <f>SUM(D65:E65)</f>
        <v>0</v>
      </c>
      <c r="G65" s="47">
        <f t="shared" si="15"/>
        <v>0</v>
      </c>
      <c r="H65" s="47">
        <f t="shared" si="16"/>
        <v>0</v>
      </c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Z65" s="55" t="s">
        <v>134</v>
      </c>
    </row>
    <row r="66" spans="1:26" s="8" customFormat="1">
      <c r="A66" s="57" t="s">
        <v>135</v>
      </c>
      <c r="B66" s="7"/>
      <c r="C66" s="7"/>
      <c r="D66" s="59"/>
      <c r="E66" s="59">
        <f>SUM(E63:E65)</f>
        <v>0</v>
      </c>
      <c r="F66" s="59">
        <f>SUM(F63:F65)</f>
        <v>0</v>
      </c>
      <c r="G66" s="59">
        <f t="shared" si="15"/>
        <v>0</v>
      </c>
      <c r="H66" s="59">
        <f t="shared" si="16"/>
        <v>0</v>
      </c>
      <c r="I66" s="59">
        <f t="shared" ref="I66:X66" si="17">SUM(I63:I65)</f>
        <v>0</v>
      </c>
      <c r="J66" s="59">
        <f t="shared" si="17"/>
        <v>0</v>
      </c>
      <c r="K66" s="59">
        <f t="shared" si="17"/>
        <v>0</v>
      </c>
      <c r="L66" s="59">
        <f t="shared" si="17"/>
        <v>0</v>
      </c>
      <c r="M66" s="59">
        <f t="shared" si="17"/>
        <v>0</v>
      </c>
      <c r="N66" s="59">
        <f t="shared" si="17"/>
        <v>0</v>
      </c>
      <c r="O66" s="59">
        <f t="shared" si="17"/>
        <v>0</v>
      </c>
      <c r="P66" s="59">
        <f t="shared" si="17"/>
        <v>0</v>
      </c>
      <c r="Q66" s="59">
        <f t="shared" si="17"/>
        <v>0</v>
      </c>
      <c r="R66" s="59">
        <f t="shared" si="17"/>
        <v>0</v>
      </c>
      <c r="S66" s="59">
        <f t="shared" si="17"/>
        <v>0</v>
      </c>
      <c r="T66" s="59">
        <f t="shared" si="17"/>
        <v>0</v>
      </c>
      <c r="U66" s="59">
        <f t="shared" si="17"/>
        <v>0</v>
      </c>
      <c r="V66" s="59">
        <f t="shared" si="17"/>
        <v>0</v>
      </c>
      <c r="W66" s="59">
        <f t="shared" si="17"/>
        <v>0</v>
      </c>
      <c r="X66" s="59">
        <f t="shared" si="17"/>
        <v>0</v>
      </c>
      <c r="Z66" s="58" t="s">
        <v>136</v>
      </c>
    </row>
    <row r="67" spans="1:26" s="8" customFormat="1" outlineLevel="1">
      <c r="A67" s="54" t="s">
        <v>137</v>
      </c>
      <c r="B67" s="7"/>
      <c r="C67" s="7"/>
      <c r="D67" s="47"/>
      <c r="E67" s="47"/>
      <c r="F67" s="47">
        <f>SUM(D67:E67)</f>
        <v>0</v>
      </c>
      <c r="G67" s="47">
        <f t="shared" si="15"/>
        <v>0</v>
      </c>
      <c r="H67" s="47">
        <f t="shared" si="16"/>
        <v>0</v>
      </c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Z67" s="55" t="s">
        <v>138</v>
      </c>
    </row>
    <row r="68" spans="1:26" s="8" customFormat="1" outlineLevel="1">
      <c r="A68" s="54" t="s">
        <v>139</v>
      </c>
      <c r="B68" s="7"/>
      <c r="C68" s="7"/>
      <c r="D68" s="47"/>
      <c r="E68" s="47"/>
      <c r="F68" s="47">
        <f>SUM(D68:E68)</f>
        <v>0</v>
      </c>
      <c r="G68" s="47">
        <f t="shared" si="15"/>
        <v>0</v>
      </c>
      <c r="H68" s="47">
        <f t="shared" si="16"/>
        <v>0</v>
      </c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Z68" s="55" t="s">
        <v>140</v>
      </c>
    </row>
    <row r="69" spans="1:26" s="8" customFormat="1" outlineLevel="1">
      <c r="A69" s="54" t="s">
        <v>141</v>
      </c>
      <c r="B69" s="7"/>
      <c r="C69" s="7"/>
      <c r="D69" s="47"/>
      <c r="E69" s="47"/>
      <c r="F69" s="47">
        <f>SUM(D69:E69)</f>
        <v>0</v>
      </c>
      <c r="G69" s="47">
        <f t="shared" si="15"/>
        <v>0</v>
      </c>
      <c r="H69" s="47">
        <f t="shared" si="16"/>
        <v>0</v>
      </c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Z69" s="55" t="s">
        <v>142</v>
      </c>
    </row>
    <row r="70" spans="1:26" s="8" customFormat="1">
      <c r="A70" s="57" t="s">
        <v>143</v>
      </c>
      <c r="B70" s="7"/>
      <c r="C70" s="7"/>
      <c r="D70" s="59"/>
      <c r="E70" s="59">
        <f>SUM(E66:E69)</f>
        <v>0</v>
      </c>
      <c r="F70" s="59">
        <f>SUM(F66:F69)</f>
        <v>0</v>
      </c>
      <c r="G70" s="59">
        <f t="shared" si="15"/>
        <v>0</v>
      </c>
      <c r="H70" s="59">
        <f t="shared" si="16"/>
        <v>0</v>
      </c>
      <c r="I70" s="59">
        <f t="shared" ref="I70:X70" si="18">SUM(I66:I69)</f>
        <v>0</v>
      </c>
      <c r="J70" s="59">
        <f t="shared" si="18"/>
        <v>0</v>
      </c>
      <c r="K70" s="59">
        <f t="shared" si="18"/>
        <v>0</v>
      </c>
      <c r="L70" s="59">
        <f t="shared" si="18"/>
        <v>0</v>
      </c>
      <c r="M70" s="59">
        <f t="shared" si="18"/>
        <v>0</v>
      </c>
      <c r="N70" s="59">
        <f t="shared" si="18"/>
        <v>0</v>
      </c>
      <c r="O70" s="59">
        <f t="shared" si="18"/>
        <v>0</v>
      </c>
      <c r="P70" s="59">
        <f t="shared" si="18"/>
        <v>0</v>
      </c>
      <c r="Q70" s="59">
        <f t="shared" si="18"/>
        <v>0</v>
      </c>
      <c r="R70" s="59">
        <f t="shared" si="18"/>
        <v>0</v>
      </c>
      <c r="S70" s="59">
        <f t="shared" si="18"/>
        <v>0</v>
      </c>
      <c r="T70" s="59">
        <f t="shared" si="18"/>
        <v>0</v>
      </c>
      <c r="U70" s="59">
        <f t="shared" si="18"/>
        <v>0</v>
      </c>
      <c r="V70" s="59">
        <f t="shared" si="18"/>
        <v>0</v>
      </c>
      <c r="W70" s="59">
        <f t="shared" si="18"/>
        <v>0</v>
      </c>
      <c r="X70" s="59">
        <f t="shared" si="18"/>
        <v>0</v>
      </c>
      <c r="Z70" s="58" t="s">
        <v>144</v>
      </c>
    </row>
    <row r="71" spans="1:26" s="8" customFormat="1" outlineLevel="1">
      <c r="A71" s="54" t="s">
        <v>145</v>
      </c>
      <c r="B71" s="7"/>
      <c r="C71" s="7"/>
      <c r="D71" s="47"/>
      <c r="E71" s="47"/>
      <c r="F71" s="47">
        <f>SUM(D71:E71)</f>
        <v>0</v>
      </c>
      <c r="G71" s="47">
        <f t="shared" si="15"/>
        <v>0</v>
      </c>
      <c r="H71" s="47">
        <f t="shared" si="16"/>
        <v>0</v>
      </c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Z71" s="55" t="s">
        <v>146</v>
      </c>
    </row>
    <row r="72" spans="1:26" s="8" customFormat="1" outlineLevel="1">
      <c r="A72" s="54" t="s">
        <v>147</v>
      </c>
      <c r="B72" s="7"/>
      <c r="C72" s="7"/>
      <c r="D72" s="47"/>
      <c r="E72" s="47"/>
      <c r="F72" s="47">
        <f>SUM(D72:E72)</f>
        <v>0</v>
      </c>
      <c r="G72" s="47">
        <f t="shared" si="15"/>
        <v>0</v>
      </c>
      <c r="H72" s="47">
        <f t="shared" si="16"/>
        <v>0</v>
      </c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Z72" s="55" t="s">
        <v>148</v>
      </c>
    </row>
    <row r="73" spans="1:26" s="8" customFormat="1">
      <c r="A73" s="57" t="s">
        <v>149</v>
      </c>
      <c r="B73" s="7"/>
      <c r="C73" s="7"/>
      <c r="D73" s="59"/>
      <c r="E73" s="59">
        <f>SUM(E71:E72)</f>
        <v>0</v>
      </c>
      <c r="F73" s="59">
        <f>SUM(F71:F72)</f>
        <v>0</v>
      </c>
      <c r="G73" s="59">
        <f t="shared" si="15"/>
        <v>0</v>
      </c>
      <c r="H73" s="59">
        <f t="shared" si="16"/>
        <v>0</v>
      </c>
      <c r="I73" s="59">
        <f t="shared" ref="I73:X73" si="19">SUM(I71:I72)</f>
        <v>0</v>
      </c>
      <c r="J73" s="59">
        <f t="shared" si="19"/>
        <v>0</v>
      </c>
      <c r="K73" s="59">
        <f t="shared" si="19"/>
        <v>0</v>
      </c>
      <c r="L73" s="59">
        <f t="shared" si="19"/>
        <v>0</v>
      </c>
      <c r="M73" s="59">
        <f t="shared" si="19"/>
        <v>0</v>
      </c>
      <c r="N73" s="59">
        <f t="shared" si="19"/>
        <v>0</v>
      </c>
      <c r="O73" s="59">
        <f t="shared" si="19"/>
        <v>0</v>
      </c>
      <c r="P73" s="59">
        <f t="shared" si="19"/>
        <v>0</v>
      </c>
      <c r="Q73" s="59">
        <f t="shared" si="19"/>
        <v>0</v>
      </c>
      <c r="R73" s="59">
        <f t="shared" si="19"/>
        <v>0</v>
      </c>
      <c r="S73" s="59">
        <f t="shared" si="19"/>
        <v>0</v>
      </c>
      <c r="T73" s="59">
        <f t="shared" si="19"/>
        <v>0</v>
      </c>
      <c r="U73" s="59">
        <f t="shared" si="19"/>
        <v>0</v>
      </c>
      <c r="V73" s="59">
        <f t="shared" si="19"/>
        <v>0</v>
      </c>
      <c r="W73" s="59">
        <f t="shared" si="19"/>
        <v>0</v>
      </c>
      <c r="X73" s="59">
        <f t="shared" si="19"/>
        <v>0</v>
      </c>
      <c r="Z73" s="58" t="s">
        <v>150</v>
      </c>
    </row>
    <row r="74" spans="1:26" s="8" customFormat="1">
      <c r="A74" s="54" t="s">
        <v>151</v>
      </c>
      <c r="B74" s="7"/>
      <c r="C74" s="7"/>
      <c r="D74" s="47"/>
      <c r="E74" s="47"/>
      <c r="F74" s="47">
        <f>SUM(D74:E74)</f>
        <v>0</v>
      </c>
      <c r="G74" s="47">
        <f t="shared" si="15"/>
        <v>0</v>
      </c>
      <c r="H74" s="47">
        <f t="shared" si="16"/>
        <v>0</v>
      </c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Z74" s="55" t="s">
        <v>152</v>
      </c>
    </row>
    <row r="75" spans="1:26" s="8" customFormat="1">
      <c r="A75" s="57" t="s">
        <v>153</v>
      </c>
      <c r="B75" s="7"/>
      <c r="C75" s="7"/>
      <c r="D75" s="59"/>
      <c r="E75" s="59">
        <f>SUM(E73:E74)</f>
        <v>0</v>
      </c>
      <c r="F75" s="59">
        <f>SUM(F73:F74)</f>
        <v>0</v>
      </c>
      <c r="G75" s="59">
        <f t="shared" si="15"/>
        <v>0</v>
      </c>
      <c r="H75" s="59">
        <f t="shared" si="16"/>
        <v>0</v>
      </c>
      <c r="I75" s="59">
        <f t="shared" ref="I75:X75" si="20">SUM(I73:I74)</f>
        <v>0</v>
      </c>
      <c r="J75" s="59">
        <f t="shared" si="20"/>
        <v>0</v>
      </c>
      <c r="K75" s="59">
        <f t="shared" si="20"/>
        <v>0</v>
      </c>
      <c r="L75" s="59">
        <f t="shared" si="20"/>
        <v>0</v>
      </c>
      <c r="M75" s="59">
        <f t="shared" si="20"/>
        <v>0</v>
      </c>
      <c r="N75" s="59">
        <f t="shared" si="20"/>
        <v>0</v>
      </c>
      <c r="O75" s="59">
        <f t="shared" si="20"/>
        <v>0</v>
      </c>
      <c r="P75" s="59">
        <f t="shared" si="20"/>
        <v>0</v>
      </c>
      <c r="Q75" s="59">
        <f t="shared" si="20"/>
        <v>0</v>
      </c>
      <c r="R75" s="59">
        <f t="shared" si="20"/>
        <v>0</v>
      </c>
      <c r="S75" s="59">
        <f t="shared" si="20"/>
        <v>0</v>
      </c>
      <c r="T75" s="59">
        <f t="shared" si="20"/>
        <v>0</v>
      </c>
      <c r="U75" s="59">
        <f t="shared" si="20"/>
        <v>0</v>
      </c>
      <c r="V75" s="59">
        <f t="shared" si="20"/>
        <v>0</v>
      </c>
      <c r="W75" s="59">
        <f t="shared" si="20"/>
        <v>0</v>
      </c>
      <c r="X75" s="59">
        <f t="shared" si="20"/>
        <v>0</v>
      </c>
      <c r="Z75" s="58" t="s">
        <v>154</v>
      </c>
    </row>
    <row r="76" spans="1:26" s="8" customFormat="1">
      <c r="A76" s="57" t="s">
        <v>155</v>
      </c>
      <c r="B76" s="7"/>
      <c r="C76" s="7"/>
      <c r="E76" s="8">
        <f>SUMIF('A0 BS 1240在建'!$A$226:$A$245, $A76,'A0 BS 1240在建'!G$226:G$245)</f>
        <v>0</v>
      </c>
      <c r="F76" s="8">
        <f>+D76+E76</f>
        <v>0</v>
      </c>
      <c r="G76" s="63">
        <f t="shared" si="15"/>
        <v>0</v>
      </c>
      <c r="H76" s="63">
        <f t="shared" si="16"/>
        <v>0</v>
      </c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Z76" s="58" t="s">
        <v>156</v>
      </c>
    </row>
    <row r="77" spans="1:26" s="8" customFormat="1">
      <c r="A77" s="57"/>
      <c r="B77" s="7"/>
      <c r="C77" s="7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Z77" s="58"/>
    </row>
    <row r="78" spans="1:26" s="8" customFormat="1">
      <c r="A78" s="64" t="s">
        <v>157</v>
      </c>
      <c r="B78" s="7"/>
      <c r="C78" s="7"/>
      <c r="D78" s="65"/>
      <c r="E78" s="65">
        <f>E61+E70+E75+E76+E77</f>
        <v>0</v>
      </c>
      <c r="F78" s="65">
        <f>F61+F70+F75+F76+F77</f>
        <v>0</v>
      </c>
      <c r="G78" s="65">
        <f>+F78+H78</f>
        <v>0</v>
      </c>
      <c r="H78" s="65">
        <f>SUM(I78:T78)</f>
        <v>0</v>
      </c>
      <c r="I78" s="65">
        <f t="shared" ref="I78:X78" si="21">I61+I70+I75+I76+I77</f>
        <v>0</v>
      </c>
      <c r="J78" s="65">
        <f t="shared" si="21"/>
        <v>0</v>
      </c>
      <c r="K78" s="65">
        <f t="shared" si="21"/>
        <v>0</v>
      </c>
      <c r="L78" s="65">
        <f t="shared" si="21"/>
        <v>0</v>
      </c>
      <c r="M78" s="65">
        <f t="shared" si="21"/>
        <v>0</v>
      </c>
      <c r="N78" s="65">
        <f t="shared" si="21"/>
        <v>0</v>
      </c>
      <c r="O78" s="65">
        <f t="shared" si="21"/>
        <v>0</v>
      </c>
      <c r="P78" s="65">
        <f t="shared" si="21"/>
        <v>0</v>
      </c>
      <c r="Q78" s="65">
        <f t="shared" si="21"/>
        <v>0</v>
      </c>
      <c r="R78" s="65">
        <f t="shared" si="21"/>
        <v>0</v>
      </c>
      <c r="S78" s="65">
        <f t="shared" si="21"/>
        <v>0</v>
      </c>
      <c r="T78" s="65">
        <f t="shared" si="21"/>
        <v>0</v>
      </c>
      <c r="U78" s="65">
        <f t="shared" si="21"/>
        <v>0</v>
      </c>
      <c r="V78" s="65">
        <f t="shared" si="21"/>
        <v>0</v>
      </c>
      <c r="W78" s="65">
        <f t="shared" si="21"/>
        <v>0</v>
      </c>
      <c r="X78" s="65">
        <f t="shared" si="21"/>
        <v>0</v>
      </c>
      <c r="Z78" s="62" t="s">
        <v>158</v>
      </c>
    </row>
    <row r="79" spans="1:26" s="8" customFormat="1" ht="18">
      <c r="A79" s="64" t="s">
        <v>159</v>
      </c>
      <c r="B79" s="7"/>
      <c r="C79" s="7"/>
      <c r="D79" s="66" t="e">
        <f>D41+D78</f>
        <v>#REF!</v>
      </c>
      <c r="E79" s="66">
        <f>E41+E78</f>
        <v>21367000</v>
      </c>
      <c r="F79" s="66" t="e">
        <f>F41+F78</f>
        <v>#REF!</v>
      </c>
      <c r="G79" s="66" t="e">
        <f>+F79+H79</f>
        <v>#REF!</v>
      </c>
      <c r="H79" s="66" t="e">
        <f>SUM(I79:T79)</f>
        <v>#N/A</v>
      </c>
      <c r="I79" s="66" t="e">
        <f t="shared" ref="I79:X79" si="22">I41+I78</f>
        <v>#N/A</v>
      </c>
      <c r="J79" s="66" t="e">
        <f t="shared" si="22"/>
        <v>#N/A</v>
      </c>
      <c r="K79" s="66" t="e">
        <f t="shared" si="22"/>
        <v>#N/A</v>
      </c>
      <c r="L79" s="66" t="e">
        <f t="shared" si="22"/>
        <v>#N/A</v>
      </c>
      <c r="M79" s="66" t="e">
        <f t="shared" si="22"/>
        <v>#N/A</v>
      </c>
      <c r="N79" s="66" t="e">
        <f t="shared" si="22"/>
        <v>#N/A</v>
      </c>
      <c r="O79" s="66" t="e">
        <f t="shared" si="22"/>
        <v>#N/A</v>
      </c>
      <c r="P79" s="66" t="e">
        <f t="shared" si="22"/>
        <v>#N/A</v>
      </c>
      <c r="Q79" s="66" t="e">
        <f t="shared" si="22"/>
        <v>#N/A</v>
      </c>
      <c r="R79" s="66" t="e">
        <f t="shared" si="22"/>
        <v>#N/A</v>
      </c>
      <c r="S79" s="66" t="e">
        <f t="shared" si="22"/>
        <v>#N/A</v>
      </c>
      <c r="T79" s="66" t="e">
        <f t="shared" si="22"/>
        <v>#N/A</v>
      </c>
      <c r="U79" s="66" t="e">
        <f t="shared" si="22"/>
        <v>#N/A</v>
      </c>
      <c r="V79" s="66" t="e">
        <f t="shared" si="22"/>
        <v>#N/A</v>
      </c>
      <c r="W79" s="66" t="e">
        <f t="shared" si="22"/>
        <v>#N/A</v>
      </c>
      <c r="X79" s="66" t="e">
        <f t="shared" si="22"/>
        <v>#REF!</v>
      </c>
      <c r="Z79" s="67" t="s">
        <v>160</v>
      </c>
    </row>
    <row r="80" spans="1:26" s="71" customFormat="1">
      <c r="A80" s="68"/>
      <c r="B80" s="69"/>
      <c r="C80" s="69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Z80" s="72"/>
    </row>
    <row r="81" spans="1:26" s="16" customFormat="1" ht="18">
      <c r="A81" s="73" t="s">
        <v>161</v>
      </c>
      <c r="B81" s="74" t="s">
        <v>162</v>
      </c>
      <c r="C81" s="74"/>
      <c r="D81" s="75"/>
      <c r="E81" s="74" t="s">
        <v>162</v>
      </c>
      <c r="F81" s="75"/>
      <c r="G81" s="75"/>
      <c r="H81" s="75"/>
      <c r="I81" s="74" t="s">
        <v>162</v>
      </c>
      <c r="J81" s="74" t="s">
        <v>162</v>
      </c>
      <c r="K81" s="74" t="s">
        <v>162</v>
      </c>
      <c r="L81" s="74" t="s">
        <v>162</v>
      </c>
      <c r="M81" s="74" t="s">
        <v>162</v>
      </c>
      <c r="N81" s="74" t="s">
        <v>162</v>
      </c>
      <c r="O81" s="74" t="s">
        <v>162</v>
      </c>
      <c r="P81" s="74" t="s">
        <v>162</v>
      </c>
      <c r="Q81" s="74" t="s">
        <v>162</v>
      </c>
      <c r="R81" s="74" t="s">
        <v>162</v>
      </c>
      <c r="S81" s="74" t="s">
        <v>162</v>
      </c>
      <c r="T81" s="74" t="s">
        <v>162</v>
      </c>
      <c r="U81" s="74" t="s">
        <v>162</v>
      </c>
      <c r="V81" s="74" t="s">
        <v>162</v>
      </c>
      <c r="W81" s="74" t="s">
        <v>162</v>
      </c>
      <c r="X81" s="74" t="s">
        <v>162</v>
      </c>
      <c r="Z81" s="76" t="s">
        <v>163</v>
      </c>
    </row>
    <row r="82" spans="1:26" s="8" customFormat="1">
      <c r="A82" s="57" t="s">
        <v>164</v>
      </c>
      <c r="B82" s="7"/>
      <c r="C82" s="7"/>
      <c r="D82" s="63"/>
      <c r="E82" s="63"/>
      <c r="F82" s="63">
        <f>SUM(D82:E82)</f>
        <v>0</v>
      </c>
      <c r="G82" s="63">
        <f t="shared" ref="G82:G93" si="23">+F82+H82</f>
        <v>0</v>
      </c>
      <c r="H82" s="63">
        <f t="shared" ref="H82:H93" si="24">SUM(I82:T82)</f>
        <v>0</v>
      </c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Z82" s="58" t="s">
        <v>165</v>
      </c>
    </row>
    <row r="83" spans="1:26" s="8" customFormat="1">
      <c r="A83" s="57" t="s">
        <v>166</v>
      </c>
      <c r="B83" s="7"/>
      <c r="C83" s="7"/>
      <c r="D83" s="63"/>
      <c r="E83" s="63"/>
      <c r="F83" s="63">
        <f>SUM(D83:E83)</f>
        <v>0</v>
      </c>
      <c r="G83" s="63">
        <f t="shared" si="23"/>
        <v>0</v>
      </c>
      <c r="H83" s="63">
        <f t="shared" si="24"/>
        <v>0</v>
      </c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Z83" s="58" t="s">
        <v>167</v>
      </c>
    </row>
    <row r="84" spans="1:26" s="38" customFormat="1" ht="17.25" customHeight="1">
      <c r="A84" s="44" t="s">
        <v>168</v>
      </c>
      <c r="B84" s="37"/>
      <c r="C84" s="37"/>
      <c r="D84" s="45" t="e">
        <f>-#REF!</f>
        <v>#REF!</v>
      </c>
      <c r="E84" s="45">
        <f>VLOOKUP($A84,'Over Under Bill 2'!$1:$1048576,4,0)</f>
        <v>0</v>
      </c>
      <c r="F84" s="45" t="e">
        <f>+D84+E84</f>
        <v>#REF!</v>
      </c>
      <c r="G84" s="45" t="e">
        <f t="shared" si="23"/>
        <v>#REF!</v>
      </c>
      <c r="H84" s="45">
        <f t="shared" si="24"/>
        <v>0</v>
      </c>
      <c r="I84" s="45">
        <f>VLOOKUP($A84,'Over Under Bill 2'!$1:$1048576,5,0)</f>
        <v>0</v>
      </c>
      <c r="J84" s="45">
        <f>VLOOKUP($A84,'Over Under Bill 2'!$1:$1048576,6,0)</f>
        <v>0</v>
      </c>
      <c r="K84" s="45">
        <f>VLOOKUP($A84,'Over Under Bill 2'!$1:$1048576,7,0)</f>
        <v>0</v>
      </c>
      <c r="L84" s="45">
        <f>VLOOKUP($A84,'Over Under Bill 2'!$1:$1048576,8,0)</f>
        <v>0</v>
      </c>
      <c r="M84" s="45">
        <f>VLOOKUP($A84,'Over Under Bill 2'!$1:$1048576,9,0)</f>
        <v>0</v>
      </c>
      <c r="N84" s="45">
        <f>VLOOKUP($A84,'Over Under Bill 2'!$1:$1048576,10,0)</f>
        <v>0</v>
      </c>
      <c r="O84" s="45">
        <f>VLOOKUP($A84,'Over Under Bill 2'!$1:$1048576,11,0)</f>
        <v>0</v>
      </c>
      <c r="P84" s="45">
        <f>VLOOKUP($A84,'Over Under Bill 2'!$1:$1048576,12,0)</f>
        <v>0</v>
      </c>
      <c r="Q84" s="45">
        <f>VLOOKUP($A84,'Over Under Bill 2'!$1:$1048576,13,0)</f>
        <v>0</v>
      </c>
      <c r="R84" s="45">
        <f>VLOOKUP($A84,'Over Under Bill 2'!$1:$1048576,14,0)</f>
        <v>0</v>
      </c>
      <c r="S84" s="45">
        <f>VLOOKUP($A84,'Over Under Bill 2'!$1:$1048576,15,0)</f>
        <v>0</v>
      </c>
      <c r="T84" s="45">
        <f>VLOOKUP($A84,'Over Under Bill 2'!$1:$1048576,16,0)</f>
        <v>0</v>
      </c>
      <c r="U84" s="45">
        <f>VLOOKUP($A84,'Over Under Bill 2'!$1:$1048576,17,0)</f>
        <v>0</v>
      </c>
      <c r="V84" s="45">
        <f>VLOOKUP($A84,'Over Under Bill 2'!$1:$1048576,18,0)</f>
        <v>0</v>
      </c>
      <c r="W84" s="45">
        <f>VLOOKUP($A84,'Over Under Bill 2'!$1:$1048576,19,0)</f>
        <v>0</v>
      </c>
      <c r="X84" s="45">
        <f>VLOOKUP($A84,'Over Under Bill 2'!$1:$1048576,20,0)</f>
        <v>0</v>
      </c>
      <c r="Z84" s="39" t="s">
        <v>169</v>
      </c>
    </row>
    <row r="85" spans="1:26" s="8" customFormat="1" ht="15" customHeight="1" outlineLevel="1">
      <c r="A85" s="46" t="s">
        <v>44</v>
      </c>
      <c r="B85" s="7"/>
      <c r="C85" s="7"/>
      <c r="D85" s="47"/>
      <c r="E85" s="47"/>
      <c r="F85" s="47"/>
      <c r="G85" s="47">
        <f t="shared" si="23"/>
        <v>0</v>
      </c>
      <c r="H85" s="47">
        <f t="shared" si="24"/>
        <v>0</v>
      </c>
      <c r="I85" s="47">
        <f>-SUMIF('A0 BS 1240在建'!$A$226:$A$245,$A85,'A0 BS 1240在建'!O$226:O$245)</f>
        <v>0</v>
      </c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Z85" s="48" t="s">
        <v>45</v>
      </c>
    </row>
    <row r="86" spans="1:26" s="8" customFormat="1" ht="15" customHeight="1" outlineLevel="1">
      <c r="A86" s="46" t="s">
        <v>46</v>
      </c>
      <c r="B86" s="7"/>
      <c r="C86" s="7"/>
      <c r="D86" s="47"/>
      <c r="E86" s="47"/>
      <c r="F86" s="47"/>
      <c r="G86" s="47">
        <f t="shared" si="23"/>
        <v>0</v>
      </c>
      <c r="H86" s="47">
        <f t="shared" si="24"/>
        <v>0</v>
      </c>
      <c r="I86" s="47">
        <f>-SUMIF('A0 BS 1240在建'!$A$226:$A$245,$A86,'A0 BS 1240在建'!O$226:O$245)</f>
        <v>0</v>
      </c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Z86" s="48" t="s">
        <v>47</v>
      </c>
    </row>
    <row r="87" spans="1:26" s="8" customFormat="1" ht="15" customHeight="1" outlineLevel="1">
      <c r="A87" s="46" t="s">
        <v>40</v>
      </c>
      <c r="B87" s="7"/>
      <c r="C87" s="7"/>
      <c r="D87" s="47"/>
      <c r="E87" s="47"/>
      <c r="F87" s="47"/>
      <c r="G87" s="47">
        <f t="shared" si="23"/>
        <v>0</v>
      </c>
      <c r="H87" s="47">
        <f t="shared" si="24"/>
        <v>0</v>
      </c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Z87" s="48" t="s">
        <v>41</v>
      </c>
    </row>
    <row r="88" spans="1:26" s="8" customFormat="1" ht="15" customHeight="1" outlineLevel="1">
      <c r="A88" s="46" t="s">
        <v>42</v>
      </c>
      <c r="B88" s="7"/>
      <c r="C88" s="7"/>
      <c r="D88" s="47"/>
      <c r="E88" s="47"/>
      <c r="F88" s="47"/>
      <c r="G88" s="47">
        <f t="shared" si="23"/>
        <v>0</v>
      </c>
      <c r="H88" s="47">
        <f t="shared" si="24"/>
        <v>0</v>
      </c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Z88" s="48" t="s">
        <v>43</v>
      </c>
    </row>
    <row r="89" spans="1:26" s="8" customFormat="1" ht="14.25" customHeight="1">
      <c r="A89" s="6" t="s">
        <v>170</v>
      </c>
      <c r="B89" s="7"/>
      <c r="C89" s="7"/>
      <c r="D89" s="7"/>
      <c r="E89" s="8">
        <f>-SUMIF('A0 BS 1240在建'!$A$226:$A$245, $A89,'A0 BS 1240在建'!G$226:G$245)</f>
        <v>0</v>
      </c>
      <c r="F89" s="7">
        <f>SUM(D89:E89)</f>
        <v>0</v>
      </c>
      <c r="G89" s="63">
        <f t="shared" si="23"/>
        <v>0</v>
      </c>
      <c r="H89" s="63">
        <f t="shared" si="24"/>
        <v>0</v>
      </c>
      <c r="I89" s="63">
        <f>-SUMIF('A0 BS 1240在建'!$A$226:$A$245,$A89,'A0 BS 1240在建'!O$226:O$245)</f>
        <v>0</v>
      </c>
      <c r="J89" s="63">
        <f>-IFERROR(VLOOKUP($A89,'A0 BS 1240在建'!$228:$243,19,0),0)-IFERROR(SUMIF(#REF!,BS2_WIP!$A89,#REF!),0)</f>
        <v>0</v>
      </c>
      <c r="K89" s="63">
        <f>-SUMIF('A0 BS 1240在建'!$A$226:$A$245,$A89,'A0 BS 1240在建'!W$226:W$245)</f>
        <v>0</v>
      </c>
      <c r="L89" s="63">
        <f>-SUMIF('A0 BS 1240在建'!$A$226:$A$245,$A89,'A0 BS 1240在建'!AA$226:AA$245)</f>
        <v>0</v>
      </c>
      <c r="M89" s="63">
        <f>-SUMIF('A0 BS 1240在建'!$A$226:$A$245,$A89,'A0 BS 1240在建'!AE$226:AE$245)</f>
        <v>0</v>
      </c>
      <c r="N89" s="63">
        <f>-SUMIF('A0 BS 1240在建'!$A$226:$A$245,$A89,'A0 BS 1240在建'!AI$226:AI$245)</f>
        <v>0</v>
      </c>
      <c r="O89" s="63">
        <f>-SUMIF('A0 BS 1240在建'!$A$226:$A$245,$A89,'A0 BS 1240在建'!AM$226:AM$245)</f>
        <v>0</v>
      </c>
      <c r="P89" s="63">
        <f>-SUMIF('A0 BS 1240在建'!$A$226:$A$245,$A89,'A0 BS 1240在建'!AQ$226:AQ$245)</f>
        <v>0</v>
      </c>
      <c r="Q89" s="63">
        <f>-SUMIF('A0 BS 1240在建'!$A$226:$A$245,$A89,'A0 BS 1240在建'!AU$226:AU$245)</f>
        <v>0</v>
      </c>
      <c r="R89" s="63">
        <f>-SUMIF('A0 BS 1240在建'!$A$226:$A$245,$A89,'A0 BS 1240在建'!AY$226:AY$245)</f>
        <v>0</v>
      </c>
      <c r="S89" s="63">
        <f>-SUMIF('A0 BS 1240在建'!$A$226:$A$245,$A89,'A0 BS 1240在建'!BC$226:BC$245)</f>
        <v>0</v>
      </c>
      <c r="T89" s="63">
        <f>-SUMIF('A0 BS 1240在建'!$A$226:$A$245,$A89,'A0 BS 1240在建'!BG$226:BG$245)</f>
        <v>0</v>
      </c>
      <c r="U89" s="63">
        <f>-SUMIF('A0 BS 1240在建'!$A$226:$A$245,$A89,'A0 BS 1240在建'!BS$226:BS$245)</f>
        <v>0</v>
      </c>
      <c r="V89" s="63">
        <f>-SUMIF('A0 BS 1240在建'!$A$226:$A$245,$A89,'A0 BS 1240在建'!CA$226:CA$245)</f>
        <v>0</v>
      </c>
      <c r="W89" s="63">
        <f>-SUMIF('A0 BS 1240在建'!$A$226:$A$245,$A89,'A0 BS 1240在建'!CI$226:CI$245)</f>
        <v>0</v>
      </c>
      <c r="X89" s="63">
        <f>-SUMIF('A0 BS 1240在建'!$A$226:$A$245,$A89,'A0 BS 1240在建'!CQ$226:CQ$245)</f>
        <v>0</v>
      </c>
      <c r="Z89" s="58" t="s">
        <v>171</v>
      </c>
    </row>
    <row r="90" spans="1:26" s="8" customFormat="1">
      <c r="A90" s="57" t="s">
        <v>172</v>
      </c>
      <c r="B90" s="35" t="s">
        <v>173</v>
      </c>
      <c r="C90" s="7"/>
      <c r="E90" s="8">
        <f>-SUMIF('A0 BS 1240在建'!$A$226:$A$245, $A90,'A0 BS 1240在建'!G$226:G$245)</f>
        <v>0</v>
      </c>
      <c r="F90" s="8">
        <f>SUM(D90:E90)</f>
        <v>0</v>
      </c>
      <c r="G90" s="63">
        <f t="shared" si="23"/>
        <v>0</v>
      </c>
      <c r="H90" s="63">
        <f t="shared" si="24"/>
        <v>0</v>
      </c>
      <c r="I90" s="63">
        <f>-SUMIF('A0 BS 1240在建'!$A$226:$A$245,$A90,'A0 BS 1240在建'!O$226:O$245)</f>
        <v>0</v>
      </c>
      <c r="J90" s="63">
        <f>-IFERROR(VLOOKUP($A90,'A0 BS 1240在建'!$228:$243,19,0),0)-IFERROR(SUMIF(#REF!,BS2_WIP!$A90,#REF!),0)</f>
        <v>0</v>
      </c>
      <c r="K90" s="63">
        <f>-SUMIF('A0 BS 1240在建'!$A$226:$A$245,$A90,'A0 BS 1240在建'!W$226:W$245)</f>
        <v>0</v>
      </c>
      <c r="L90" s="63">
        <f>-SUMIF('A0 BS 1240在建'!$A$226:$A$245,$A90,'A0 BS 1240在建'!AA$226:AA$245)</f>
        <v>0</v>
      </c>
      <c r="M90" s="63">
        <f>-SUMIF('A0 BS 1240在建'!$A$226:$A$245,$A90,'A0 BS 1240在建'!AE$226:AE$245)</f>
        <v>0</v>
      </c>
      <c r="N90" s="63">
        <f>-SUMIF('A0 BS 1240在建'!$A$226:$A$245,$A90,'A0 BS 1240在建'!AI$226:AI$245)</f>
        <v>0</v>
      </c>
      <c r="O90" s="63">
        <f>-SUMIF('A0 BS 1240在建'!$A$226:$A$245,$A90,'A0 BS 1240在建'!AM$226:AM$245)</f>
        <v>0</v>
      </c>
      <c r="P90" s="63">
        <f>-SUMIF('A0 BS 1240在建'!$A$226:$A$245,$A90,'A0 BS 1240在建'!AQ$226:AQ$245)</f>
        <v>0</v>
      </c>
      <c r="Q90" s="63">
        <f>-SUMIF('A0 BS 1240在建'!$A$226:$A$245,$A90,'A0 BS 1240在建'!AU$226:AU$245)</f>
        <v>0</v>
      </c>
      <c r="R90" s="63">
        <f>-SUMIF('A0 BS 1240在建'!$A$226:$A$245,$A90,'A0 BS 1240在建'!AY$226:AY$245)</f>
        <v>0</v>
      </c>
      <c r="S90" s="63">
        <f>-SUMIF('A0 BS 1240在建'!$A$226:$A$245,$A90,'A0 BS 1240在建'!BC$226:BC$245)</f>
        <v>0</v>
      </c>
      <c r="T90" s="63">
        <f>-SUMIF('A0 BS 1240在建'!$A$226:$A$245,$A90,'A0 BS 1240在建'!BG$226:BG$245)</f>
        <v>0</v>
      </c>
      <c r="U90" s="63">
        <f>-SUMIF('A0 BS 1240在建'!$A$226:$A$245,$A90,'A0 BS 1240在建'!BS$226:BS$245)</f>
        <v>0</v>
      </c>
      <c r="V90" s="63">
        <f>-SUMIF('A0 BS 1240在建'!$A$226:$A$245,$A90,'A0 BS 1240在建'!CA$226:CA$245)</f>
        <v>0</v>
      </c>
      <c r="W90" s="63">
        <f>-SUMIF('A0 BS 1240在建'!$A$226:$A$245,$A90,'A0 BS 1240在建'!CI$226:CI$245)</f>
        <v>0</v>
      </c>
      <c r="X90" s="63">
        <f>-SUMIF('A0 BS 1240在建'!$A$226:$A$245,$A90,'A0 BS 1240在建'!CQ$226:CQ$245)</f>
        <v>0</v>
      </c>
      <c r="Z90" s="58" t="s">
        <v>174</v>
      </c>
    </row>
    <row r="91" spans="1:26" s="8" customFormat="1">
      <c r="A91" s="57" t="s">
        <v>175</v>
      </c>
      <c r="B91" s="7"/>
      <c r="C91" s="7"/>
      <c r="E91" s="8">
        <f>-SUMIF('A0 BS 1240在建'!$A$226:$A$245, $A91,'A0 BS 1240在建'!G$226:G$245)</f>
        <v>0</v>
      </c>
      <c r="F91" s="8">
        <f>SUM(D91:E91)</f>
        <v>0</v>
      </c>
      <c r="G91" s="63">
        <f t="shared" si="23"/>
        <v>0</v>
      </c>
      <c r="H91" s="63">
        <f t="shared" si="24"/>
        <v>0</v>
      </c>
      <c r="I91" s="63">
        <f>-SUMIF('A0 BS 1240在建'!$A$226:$A$245,$A91,'A0 BS 1240在建'!O$226:O$245)</f>
        <v>0</v>
      </c>
      <c r="J91" s="63">
        <f>-IFERROR(VLOOKUP($A91,'A0 BS 1240在建'!$228:$243,19,0),0)-IFERROR(SUMIF(#REF!,BS2_WIP!$A91,#REF!),0)</f>
        <v>0</v>
      </c>
      <c r="K91" s="63">
        <f>-SUMIF('A0 BS 1240在建'!$A$226:$A$245,$A91,'A0 BS 1240在建'!W$226:W$245)</f>
        <v>0</v>
      </c>
      <c r="L91" s="63">
        <f>-SUMIF('A0 BS 1240在建'!$A$226:$A$245,$A91,'A0 BS 1240在建'!AA$226:AA$245)</f>
        <v>0</v>
      </c>
      <c r="M91" s="63">
        <f>-SUMIF('A0 BS 1240在建'!$A$226:$A$245,$A91,'A0 BS 1240在建'!AE$226:AE$245)</f>
        <v>0</v>
      </c>
      <c r="N91" s="63">
        <f>-SUMIF('A0 BS 1240在建'!$A$226:$A$245,$A91,'A0 BS 1240在建'!AI$226:AI$245)</f>
        <v>0</v>
      </c>
      <c r="O91" s="63">
        <f>-SUMIF('A0 BS 1240在建'!$A$226:$A$245,$A91,'A0 BS 1240在建'!AM$226:AM$245)</f>
        <v>0</v>
      </c>
      <c r="P91" s="63">
        <f>-SUMIF('A0 BS 1240在建'!$A$226:$A$245,$A91,'A0 BS 1240在建'!AQ$226:AQ$245)</f>
        <v>0</v>
      </c>
      <c r="Q91" s="63">
        <f>-SUMIF('A0 BS 1240在建'!$A$226:$A$245,$A91,'A0 BS 1240在建'!AU$226:AU$245)</f>
        <v>0</v>
      </c>
      <c r="R91" s="63">
        <f>-SUMIF('A0 BS 1240在建'!$A$226:$A$245,$A91,'A0 BS 1240在建'!AY$226:AY$245)</f>
        <v>0</v>
      </c>
      <c r="S91" s="63">
        <f>-SUMIF('A0 BS 1240在建'!$A$226:$A$245,$A91,'A0 BS 1240在建'!BC$226:BC$245)</f>
        <v>0</v>
      </c>
      <c r="T91" s="63">
        <f>-SUMIF('A0 BS 1240在建'!$A$226:$A$245,$A91,'A0 BS 1240在建'!BG$226:BG$245)</f>
        <v>0</v>
      </c>
      <c r="U91" s="63">
        <f>-SUMIF('A0 BS 1240在建'!$A$226:$A$245,$A91,'A0 BS 1240在建'!BS$226:BS$245)</f>
        <v>0</v>
      </c>
      <c r="V91" s="63">
        <f>-SUMIF('A0 BS 1240在建'!$A$226:$A$245,$A91,'A0 BS 1240在建'!CA$226:CA$245)</f>
        <v>0</v>
      </c>
      <c r="W91" s="63">
        <f>-SUMIF('A0 BS 1240在建'!$A$226:$A$245,$A91,'A0 BS 1240在建'!CI$226:CI$245)</f>
        <v>0</v>
      </c>
      <c r="X91" s="63">
        <f>-SUMIF('A0 BS 1240在建'!$A$226:$A$245,$A91,'A0 BS 1240在建'!CQ$226:CQ$245)</f>
        <v>0</v>
      </c>
      <c r="Z91" s="58" t="s">
        <v>176</v>
      </c>
    </row>
    <row r="92" spans="1:26" s="8" customFormat="1">
      <c r="A92" s="57" t="s">
        <v>177</v>
      </c>
      <c r="B92" s="35" t="s">
        <v>178</v>
      </c>
      <c r="C92" s="7"/>
      <c r="E92" s="8">
        <f>-SUMIF('A0 BS 1240在建'!$A$226:$A$245, $A92,'A0 BS 1240在建'!G$226:G$245)</f>
        <v>0</v>
      </c>
      <c r="F92" s="8">
        <f>SUM(D92:E92)</f>
        <v>0</v>
      </c>
      <c r="G92" s="63">
        <f t="shared" si="23"/>
        <v>0</v>
      </c>
      <c r="H92" s="63">
        <f t="shared" si="24"/>
        <v>0</v>
      </c>
      <c r="I92" s="63">
        <f>-SUMIF('A0 BS 1240在建'!$A$226:$A$245,$A92,'A0 BS 1240在建'!O$226:O$245)</f>
        <v>0</v>
      </c>
      <c r="J92" s="63">
        <f>-IFERROR(VLOOKUP($A92,'A0 BS 1240在建'!$228:$243,19,0),0)-IFERROR(SUMIF(#REF!,BS2_WIP!$A92,#REF!),0)</f>
        <v>0</v>
      </c>
      <c r="K92" s="63">
        <f>-SUMIF('A0 BS 1240在建'!$A$226:$A$245,$A92,'A0 BS 1240在建'!W$226:W$245)</f>
        <v>0</v>
      </c>
      <c r="L92" s="63">
        <f>-SUMIF('A0 BS 1240在建'!$A$226:$A$245,$A92,'A0 BS 1240在建'!AA$226:AA$245)</f>
        <v>0</v>
      </c>
      <c r="M92" s="63">
        <f>-SUMIF('A0 BS 1240在建'!$A$226:$A$245,$A92,'A0 BS 1240在建'!AE$226:AE$245)</f>
        <v>0</v>
      </c>
      <c r="N92" s="63">
        <f>-SUMIF('A0 BS 1240在建'!$A$226:$A$245,$A92,'A0 BS 1240在建'!AI$226:AI$245)</f>
        <v>0</v>
      </c>
      <c r="O92" s="63">
        <f>-SUMIF('A0 BS 1240在建'!$A$226:$A$245,$A92,'A0 BS 1240在建'!AM$226:AM$245)</f>
        <v>0</v>
      </c>
      <c r="P92" s="63">
        <f>-SUMIF('A0 BS 1240在建'!$A$226:$A$245,$A92,'A0 BS 1240在建'!AQ$226:AQ$245)</f>
        <v>0</v>
      </c>
      <c r="Q92" s="63">
        <f>-SUMIF('A0 BS 1240在建'!$A$226:$A$245,$A92,'A0 BS 1240在建'!AU$226:AU$245)</f>
        <v>0</v>
      </c>
      <c r="R92" s="63">
        <f>-SUMIF('A0 BS 1240在建'!$A$226:$A$245,$A92,'A0 BS 1240在建'!AY$226:AY$245)</f>
        <v>0</v>
      </c>
      <c r="S92" s="63">
        <f>-SUMIF('A0 BS 1240在建'!$A$226:$A$245,$A92,'A0 BS 1240在建'!BC$226:BC$245)</f>
        <v>0</v>
      </c>
      <c r="T92" s="63">
        <f>-SUMIF('A0 BS 1240在建'!$A$226:$A$245,$A92,'A0 BS 1240在建'!BG$226:BG$245)</f>
        <v>0</v>
      </c>
      <c r="U92" s="63">
        <f>-SUMIF('A0 BS 1240在建'!$A$226:$A$245,$A92,'A0 BS 1240在建'!BS$226:BS$245)</f>
        <v>0</v>
      </c>
      <c r="V92" s="63">
        <f>-SUMIF('A0 BS 1240在建'!$A$226:$A$245,$A92,'A0 BS 1240在建'!CA$226:CA$245)</f>
        <v>0</v>
      </c>
      <c r="W92" s="63">
        <f>-SUMIF('A0 BS 1240在建'!$A$226:$A$245,$A92,'A0 BS 1240在建'!CI$226:CI$245)</f>
        <v>0</v>
      </c>
      <c r="X92" s="63">
        <f>-SUMIF('A0 BS 1240在建'!$A$226:$A$245,$A92,'A0 BS 1240在建'!CQ$226:CQ$245)</f>
        <v>0</v>
      </c>
      <c r="Z92" s="58" t="s">
        <v>179</v>
      </c>
    </row>
    <row r="93" spans="1:26" s="8" customFormat="1" ht="15" customHeight="1">
      <c r="A93" s="77" t="s">
        <v>180</v>
      </c>
      <c r="B93" s="35" t="s">
        <v>178</v>
      </c>
      <c r="C93" s="7"/>
      <c r="D93" s="63"/>
      <c r="E93" s="8">
        <f>-SUMIF('A0 BS 1240在建'!$A$226:$A$245, $A93,'A0 BS 1240在建'!G$226:G$245)</f>
        <v>-346975</v>
      </c>
      <c r="F93" s="63">
        <f>SUM(D93:E93)</f>
        <v>-346975</v>
      </c>
      <c r="G93" s="63" t="e">
        <f t="shared" si="23"/>
        <v>#N/A</v>
      </c>
      <c r="H93" s="63" t="e">
        <f t="shared" si="24"/>
        <v>#N/A</v>
      </c>
      <c r="I93" s="63" t="e">
        <f>-SUMIF('A0 BS 1240在建'!$A$226:$A$245,$A93,'A0 BS 1240在建'!O$226:O$245)</f>
        <v>#N/A</v>
      </c>
      <c r="J93" s="63">
        <f>-IFERROR(VLOOKUP($A93,'A0 BS 1240在建'!$228:$243,19,0),0)-IFERROR(SUMIF(#REF!,BS2_WIP!$A93,#REF!),0)</f>
        <v>0</v>
      </c>
      <c r="K93" s="63" t="e">
        <f>-SUMIF('A0 BS 1240在建'!$A$226:$A$245,$A93,'A0 BS 1240在建'!W$226:W$245)</f>
        <v>#N/A</v>
      </c>
      <c r="L93" s="63" t="e">
        <f>-SUMIF('A0 BS 1240在建'!$A$226:$A$245,$A93,'A0 BS 1240在建'!AA$226:AA$245)</f>
        <v>#N/A</v>
      </c>
      <c r="M93" s="63" t="e">
        <f>-SUMIF('A0 BS 1240在建'!$A$226:$A$245,$A93,'A0 BS 1240在建'!AE$226:AE$245)</f>
        <v>#N/A</v>
      </c>
      <c r="N93" s="63" t="e">
        <f>-SUMIF('A0 BS 1240在建'!$A$226:$A$245,$A93,'A0 BS 1240在建'!AI$226:AI$245)</f>
        <v>#N/A</v>
      </c>
      <c r="O93" s="63" t="e">
        <f>-SUMIF('A0 BS 1240在建'!$A$226:$A$245,$A93,'A0 BS 1240在建'!AM$226:AM$245)</f>
        <v>#N/A</v>
      </c>
      <c r="P93" s="63" t="e">
        <f>-SUMIF('A0 BS 1240在建'!$A$226:$A$245,$A93,'A0 BS 1240在建'!AQ$226:AQ$245)</f>
        <v>#N/A</v>
      </c>
      <c r="Q93" s="63" t="e">
        <f>-SUMIF('A0 BS 1240在建'!$A$226:$A$245,$A93,'A0 BS 1240在建'!AU$226:AU$245)</f>
        <v>#N/A</v>
      </c>
      <c r="R93" s="63" t="e">
        <f>-SUMIF('A0 BS 1240在建'!$A$226:$A$245,$A93,'A0 BS 1240在建'!AY$226:AY$245)</f>
        <v>#N/A</v>
      </c>
      <c r="S93" s="63" t="e">
        <f>-SUMIF('A0 BS 1240在建'!$A$226:$A$245,$A93,'A0 BS 1240在建'!BC$226:BC$245)</f>
        <v>#N/A</v>
      </c>
      <c r="T93" s="63" t="e">
        <f>-SUMIF('A0 BS 1240在建'!$A$226:$A$245,$A93,'A0 BS 1240在建'!BG$226:BG$245)</f>
        <v>#N/A</v>
      </c>
      <c r="U93" s="70" t="e">
        <f>-SUMIF('A0 BS 1240在建'!$A$226:$A$245,$A93,'A0 BS 1240在建'!BS$226:BS$245)</f>
        <v>#N/A</v>
      </c>
      <c r="V93" s="70" t="e">
        <f>-SUMIF('A0 BS 1240在建'!$A$226:$A$245,$A93,'A0 BS 1240在建'!CA$226:CA$245)</f>
        <v>#N/A</v>
      </c>
      <c r="W93" s="70" t="e">
        <f>-SUMIF('A0 BS 1240在建'!$A$226:$A$245,$A93,'A0 BS 1240在建'!CI$226:CI$245)</f>
        <v>#N/A</v>
      </c>
      <c r="X93" s="70" t="e">
        <f>-SUMIF('A0 BS 1240在建'!$A$226:$A$245,$A93,'A0 BS 1240在建'!CQ$226:CQ$245)</f>
        <v>#N/A</v>
      </c>
      <c r="Z93" s="58" t="s">
        <v>181</v>
      </c>
    </row>
    <row r="94" spans="1:26" s="38" customFormat="1">
      <c r="A94" s="78" t="s">
        <v>182</v>
      </c>
      <c r="B94" s="79" t="s">
        <v>178</v>
      </c>
      <c r="C94" s="37"/>
      <c r="E94" s="38">
        <f t="shared" ref="E94:X94" si="25">SUM(E95:E97)</f>
        <v>0</v>
      </c>
      <c r="F94" s="38">
        <f t="shared" si="25"/>
        <v>0</v>
      </c>
      <c r="G94" s="38">
        <f t="shared" si="25"/>
        <v>0</v>
      </c>
      <c r="H94" s="38">
        <f t="shared" si="25"/>
        <v>0</v>
      </c>
      <c r="I94" s="38">
        <f t="shared" si="25"/>
        <v>0</v>
      </c>
      <c r="J94" s="38">
        <f t="shared" si="25"/>
        <v>0</v>
      </c>
      <c r="K94" s="38">
        <f t="shared" si="25"/>
        <v>0</v>
      </c>
      <c r="L94" s="38">
        <f t="shared" si="25"/>
        <v>0</v>
      </c>
      <c r="M94" s="38">
        <f t="shared" si="25"/>
        <v>0</v>
      </c>
      <c r="N94" s="38">
        <f t="shared" si="25"/>
        <v>0</v>
      </c>
      <c r="O94" s="38">
        <f t="shared" si="25"/>
        <v>0</v>
      </c>
      <c r="P94" s="38">
        <f t="shared" si="25"/>
        <v>0</v>
      </c>
      <c r="Q94" s="38">
        <f t="shared" si="25"/>
        <v>0</v>
      </c>
      <c r="R94" s="38">
        <f t="shared" si="25"/>
        <v>0</v>
      </c>
      <c r="S94" s="38">
        <f t="shared" si="25"/>
        <v>0</v>
      </c>
      <c r="T94" s="38">
        <f t="shared" si="25"/>
        <v>0</v>
      </c>
      <c r="U94" s="38">
        <f t="shared" si="25"/>
        <v>0</v>
      </c>
      <c r="V94" s="38">
        <f t="shared" si="25"/>
        <v>0</v>
      </c>
      <c r="W94" s="38">
        <f t="shared" si="25"/>
        <v>0</v>
      </c>
      <c r="X94" s="38">
        <f t="shared" si="25"/>
        <v>0</v>
      </c>
      <c r="Z94" s="80" t="s">
        <v>183</v>
      </c>
    </row>
    <row r="95" spans="1:26" s="8" customFormat="1" outlineLevel="1">
      <c r="A95" s="49" t="s">
        <v>184</v>
      </c>
      <c r="B95" s="35" t="s">
        <v>173</v>
      </c>
      <c r="C95" s="7"/>
      <c r="D95" s="41"/>
      <c r="E95" s="42">
        <f>-SUMIF('A0 BS 1240在建'!$A$226:$A$245, $A95,'A0 BS 1240在建'!G$226:G$245)</f>
        <v>0</v>
      </c>
      <c r="F95" s="41">
        <f t="shared" ref="F95:F100" si="26">SUM(D95:E95)</f>
        <v>0</v>
      </c>
      <c r="G95" s="43">
        <f t="shared" ref="G95:G100" si="27">+F95+H95</f>
        <v>0</v>
      </c>
      <c r="H95" s="43">
        <f t="shared" ref="H95:H100" si="28">SUM(I95:T95)</f>
        <v>0</v>
      </c>
      <c r="I95" s="43">
        <f>-SUMIF('A0 BS 1240在建'!$A$226:$A$245,$A95,'A0 BS 1240在建'!O$226:O$245)</f>
        <v>0</v>
      </c>
      <c r="J95" s="43">
        <f>-IFERROR(VLOOKUP($A95,'A0 BS 1240在建'!$228:$243,19,0),0)-IFERROR(SUMIF(#REF!,BS2_WIP!$A95,#REF!),0)</f>
        <v>0</v>
      </c>
      <c r="K95" s="43">
        <f>-SUMIF('A0 BS 1240在建'!$A$226:$A$245,$A95,'A0 BS 1240在建'!W$226:W$245)</f>
        <v>0</v>
      </c>
      <c r="L95" s="43">
        <f>-SUMIF('A0 BS 1240在建'!$A$226:$A$245,$A95,'A0 BS 1240在建'!AA$226:AA$245)</f>
        <v>0</v>
      </c>
      <c r="M95" s="43">
        <f>-SUMIF('A0 BS 1240在建'!$A$226:$A$245,$A95,'A0 BS 1240在建'!AE$226:AE$245)</f>
        <v>0</v>
      </c>
      <c r="N95" s="43">
        <f>-SUMIF('A0 BS 1240在建'!$A$226:$A$245,$A95,'A0 BS 1240在建'!AI$226:AI$245)</f>
        <v>0</v>
      </c>
      <c r="O95" s="43">
        <f>-SUMIF('A0 BS 1240在建'!$A$226:$A$245,$A95,'A0 BS 1240在建'!AM$226:AM$245)</f>
        <v>0</v>
      </c>
      <c r="P95" s="43">
        <f>-SUMIF('A0 BS 1240在建'!$A$226:$A$245,$A95,'A0 BS 1240在建'!AQ$226:AQ$245)</f>
        <v>0</v>
      </c>
      <c r="Q95" s="43">
        <f>-SUMIF('A0 BS 1240在建'!$A$226:$A$245,$A95,'A0 BS 1240在建'!AU$226:AU$245)</f>
        <v>0</v>
      </c>
      <c r="R95" s="43">
        <f>-SUMIF('A0 BS 1240在建'!$A$226:$A$245,$A95,'A0 BS 1240在建'!AY$226:AY$245)</f>
        <v>0</v>
      </c>
      <c r="S95" s="43">
        <f>-SUMIF('A0 BS 1240在建'!$A$226:$A$245,$A95,'A0 BS 1240在建'!BC$226:BC$245)</f>
        <v>0</v>
      </c>
      <c r="T95" s="43">
        <f>-SUMIF('A0 BS 1240在建'!$A$226:$A$245,$A95,'A0 BS 1240在建'!BG$226:BG$245)</f>
        <v>0</v>
      </c>
      <c r="U95" s="43">
        <f>-SUMIF('A0 BS 1240在建'!$A$226:$A$245,$A95,'A0 BS 1240在建'!BS$226:BS$245)</f>
        <v>0</v>
      </c>
      <c r="V95" s="43">
        <f>-SUMIF('A0 BS 1240在建'!$A$226:$A$245,$A95,'A0 BS 1240在建'!CA$226:CA$245)</f>
        <v>0</v>
      </c>
      <c r="W95" s="43">
        <f>-SUMIF('A0 BS 1240在建'!$A$226:$A$245,$A95,'A0 BS 1240在建'!CI$226:CI$245)</f>
        <v>0</v>
      </c>
      <c r="X95" s="43">
        <f>-SUMIF('A0 BS 1240在建'!$A$226:$A$245,$A95,'A0 BS 1240在建'!CQ$226:CQ$245)</f>
        <v>0</v>
      </c>
      <c r="Z95" s="9"/>
    </row>
    <row r="96" spans="1:26" s="8" customFormat="1" outlineLevel="1">
      <c r="A96" s="49" t="s">
        <v>185</v>
      </c>
      <c r="B96" s="35" t="s">
        <v>178</v>
      </c>
      <c r="C96" s="7"/>
      <c r="D96" s="41"/>
      <c r="E96" s="42">
        <f>-SUMIF('A0 BS 1240在建'!$A$226:$A$245, $A96,'A0 BS 1240在建'!G$226:G$245)</f>
        <v>0</v>
      </c>
      <c r="F96" s="41">
        <f t="shared" si="26"/>
        <v>0</v>
      </c>
      <c r="G96" s="43">
        <f t="shared" si="27"/>
        <v>0</v>
      </c>
      <c r="H96" s="43">
        <f t="shared" si="28"/>
        <v>0</v>
      </c>
      <c r="I96" s="43">
        <f>-SUMIF('A0 BS 1240在建'!$A$226:$A$245,$A96,'A0 BS 1240在建'!O$226:O$245)</f>
        <v>0</v>
      </c>
      <c r="J96" s="43">
        <f>-IFERROR(VLOOKUP($A96,'A0 BS 1240在建'!$228:$243,19,0),0)-IFERROR(SUMIF(#REF!,BS2_WIP!$A96,#REF!),0)</f>
        <v>0</v>
      </c>
      <c r="K96" s="43">
        <f>-SUMIF('A0 BS 1240在建'!$A$226:$A$245,$A96,'A0 BS 1240在建'!W$226:W$245)</f>
        <v>0</v>
      </c>
      <c r="L96" s="43">
        <f>-SUMIF('A0 BS 1240在建'!$A$226:$A$245,$A96,'A0 BS 1240在建'!AA$226:AA$245)</f>
        <v>0</v>
      </c>
      <c r="M96" s="43">
        <f>-SUMIF('A0 BS 1240在建'!$A$226:$A$245,$A96,'A0 BS 1240在建'!AE$226:AE$245)</f>
        <v>0</v>
      </c>
      <c r="N96" s="43">
        <f>-SUMIF('A0 BS 1240在建'!$A$226:$A$245,$A96,'A0 BS 1240在建'!AI$226:AI$245)</f>
        <v>0</v>
      </c>
      <c r="O96" s="43">
        <f>-SUMIF('A0 BS 1240在建'!$A$226:$A$245,$A96,'A0 BS 1240在建'!AM$226:AM$245)</f>
        <v>0</v>
      </c>
      <c r="P96" s="43">
        <f>-SUMIF('A0 BS 1240在建'!$A$226:$A$245,$A96,'A0 BS 1240在建'!AQ$226:AQ$245)</f>
        <v>0</v>
      </c>
      <c r="Q96" s="43">
        <f>-SUMIF('A0 BS 1240在建'!$A$226:$A$245,$A96,'A0 BS 1240在建'!AU$226:AU$245)</f>
        <v>0</v>
      </c>
      <c r="R96" s="43">
        <f>-SUMIF('A0 BS 1240在建'!$A$226:$A$245,$A96,'A0 BS 1240在建'!AY$226:AY$245)</f>
        <v>0</v>
      </c>
      <c r="S96" s="43">
        <f>-SUMIF('A0 BS 1240在建'!$A$226:$A$245,$A96,'A0 BS 1240在建'!BC$226:BC$245)</f>
        <v>0</v>
      </c>
      <c r="T96" s="43">
        <f>-SUMIF('A0 BS 1240在建'!$A$226:$A$245,$A96,'A0 BS 1240在建'!BG$226:BG$245)</f>
        <v>0</v>
      </c>
      <c r="U96" s="43">
        <f>-SUMIF('A0 BS 1240在建'!$A$226:$A$245,$A96,'A0 BS 1240在建'!BS$226:BS$245)</f>
        <v>0</v>
      </c>
      <c r="V96" s="43">
        <f>-SUMIF('A0 BS 1240在建'!$A$226:$A$245,$A96,'A0 BS 1240在建'!CA$226:CA$245)</f>
        <v>0</v>
      </c>
      <c r="W96" s="43">
        <f>-SUMIF('A0 BS 1240在建'!$A$226:$A$245,$A96,'A0 BS 1240在建'!CI$226:CI$245)</f>
        <v>0</v>
      </c>
      <c r="X96" s="43">
        <f>-SUMIF('A0 BS 1240在建'!$A$226:$A$245,$A96,'A0 BS 1240在建'!CQ$226:CQ$245)</f>
        <v>0</v>
      </c>
      <c r="Z96" s="9"/>
    </row>
    <row r="97" spans="1:26" s="8" customFormat="1" outlineLevel="1">
      <c r="A97" s="49" t="s">
        <v>186</v>
      </c>
      <c r="B97" s="7" t="s">
        <v>187</v>
      </c>
      <c r="C97" s="7"/>
      <c r="D97" s="41"/>
      <c r="E97" s="42">
        <f>-SUMIF('A0 BS 1240在建'!$A$226:$A$245, $A97,'A0 BS 1240在建'!G$226:G$245)</f>
        <v>0</v>
      </c>
      <c r="F97" s="41">
        <f t="shared" si="26"/>
        <v>0</v>
      </c>
      <c r="G97" s="43">
        <f t="shared" si="27"/>
        <v>0</v>
      </c>
      <c r="H97" s="43">
        <f t="shared" si="28"/>
        <v>0</v>
      </c>
      <c r="I97" s="43">
        <f>-SUMIF('A0 BS 1240在建'!$A$226:$A$245,$A97,'A0 BS 1240在建'!O$226:O$245)</f>
        <v>0</v>
      </c>
      <c r="J97" s="43">
        <f>-IFERROR(VLOOKUP($A97,'A0 BS 1240在建'!$228:$243,19,0),0)-IFERROR(SUMIF(#REF!,BS2_WIP!$A97,#REF!),0)</f>
        <v>0</v>
      </c>
      <c r="K97" s="43">
        <f>-SUMIF('A0 BS 1240在建'!$A$226:$A$245,$A97,'A0 BS 1240在建'!W$226:W$245)</f>
        <v>0</v>
      </c>
      <c r="L97" s="43">
        <f>-SUMIF('A0 BS 1240在建'!$A$226:$A$245,$A97,'A0 BS 1240在建'!AA$226:AA$245)</f>
        <v>0</v>
      </c>
      <c r="M97" s="43">
        <f>-SUMIF('A0 BS 1240在建'!$A$226:$A$245,$A97,'A0 BS 1240在建'!AE$226:AE$245)</f>
        <v>0</v>
      </c>
      <c r="N97" s="43">
        <f>-SUMIF('A0 BS 1240在建'!$A$226:$A$245,$A97,'A0 BS 1240在建'!AI$226:AI$245)</f>
        <v>0</v>
      </c>
      <c r="O97" s="43">
        <f>-SUMIF('A0 BS 1240在建'!$A$226:$A$245,$A97,'A0 BS 1240在建'!AM$226:AM$245)</f>
        <v>0</v>
      </c>
      <c r="P97" s="43">
        <f>-SUMIF('A0 BS 1240在建'!$A$226:$A$245,$A97,'A0 BS 1240在建'!AQ$226:AQ$245)</f>
        <v>0</v>
      </c>
      <c r="Q97" s="43">
        <f>-SUMIF('A0 BS 1240在建'!$A$226:$A$245,$A97,'A0 BS 1240在建'!AU$226:AU$245)</f>
        <v>0</v>
      </c>
      <c r="R97" s="43">
        <f>-SUMIF('A0 BS 1240在建'!$A$226:$A$245,$A97,'A0 BS 1240在建'!AY$226:AY$245)</f>
        <v>0</v>
      </c>
      <c r="S97" s="43">
        <f>-SUMIF('A0 BS 1240在建'!$A$226:$A$245,$A97,'A0 BS 1240在建'!BC$226:BC$245)</f>
        <v>0</v>
      </c>
      <c r="T97" s="43">
        <f>-SUMIF('A0 BS 1240在建'!$A$226:$A$245,$A97,'A0 BS 1240在建'!BG$226:BG$245)</f>
        <v>0</v>
      </c>
      <c r="U97" s="43">
        <f>-SUMIF('A0 BS 1240在建'!$A$226:$A$245,$A97,'A0 BS 1240在建'!BS$226:BS$245)</f>
        <v>0</v>
      </c>
      <c r="V97" s="43">
        <f>-SUMIF('A0 BS 1240在建'!$A$226:$A$245,$A97,'A0 BS 1240在建'!CA$226:CA$245)</f>
        <v>0</v>
      </c>
      <c r="W97" s="43">
        <f>-SUMIF('A0 BS 1240在建'!$A$226:$A$245,$A97,'A0 BS 1240在建'!CI$226:CI$245)</f>
        <v>0</v>
      </c>
      <c r="X97" s="43">
        <f>-SUMIF('A0 BS 1240在建'!$A$226:$A$245,$A97,'A0 BS 1240在建'!CQ$226:CQ$245)</f>
        <v>0</v>
      </c>
      <c r="Z97" s="9"/>
    </row>
    <row r="98" spans="1:26" s="8" customFormat="1">
      <c r="A98" s="58" t="s">
        <v>188</v>
      </c>
      <c r="B98" s="35" t="s">
        <v>178</v>
      </c>
      <c r="C98" s="7"/>
      <c r="E98" s="8">
        <f>-SUMIF('A0 BS 1240在建'!$A$226:$A$245, $A98,'A0 BS 1240在建'!G$226:G$245)</f>
        <v>0</v>
      </c>
      <c r="F98" s="8">
        <f t="shared" si="26"/>
        <v>0</v>
      </c>
      <c r="G98" s="63">
        <f t="shared" si="27"/>
        <v>0</v>
      </c>
      <c r="H98" s="63">
        <f t="shared" si="28"/>
        <v>0</v>
      </c>
      <c r="I98" s="63">
        <f>-SUMIF('A0 BS 1240在建'!$A$226:$A$245,$A98,'A0 BS 1240在建'!O$226:O$245)</f>
        <v>0</v>
      </c>
      <c r="J98" s="63">
        <f>-IFERROR(VLOOKUP($A98,'A0 BS 1240在建'!$228:$243,19,0),0)-IFERROR(SUMIF(#REF!,BS2_WIP!$A98,#REF!),0)</f>
        <v>0</v>
      </c>
      <c r="K98" s="63">
        <f>-SUMIF('A0 BS 1240在建'!$A$226:$A$245,$A98,'A0 BS 1240在建'!W$226:W$245)</f>
        <v>0</v>
      </c>
      <c r="L98" s="63">
        <f>-SUMIF('A0 BS 1240在建'!$A$226:$A$245,$A98,'A0 BS 1240在建'!AA$226:AA$245)</f>
        <v>0</v>
      </c>
      <c r="M98" s="63">
        <f>-SUMIF('A0 BS 1240在建'!$A$226:$A$245,$A98,'A0 BS 1240在建'!AE$226:AE$245)</f>
        <v>0</v>
      </c>
      <c r="N98" s="63">
        <f>-SUMIF('A0 BS 1240在建'!$A$226:$A$245,$A98,'A0 BS 1240在建'!AI$226:AI$245)</f>
        <v>0</v>
      </c>
      <c r="O98" s="63">
        <f>-SUMIF('A0 BS 1240在建'!$A$226:$A$245,$A98,'A0 BS 1240在建'!AM$226:AM$245)</f>
        <v>0</v>
      </c>
      <c r="P98" s="63">
        <f>-SUMIF('A0 BS 1240在建'!$A$226:$A$245,$A98,'A0 BS 1240在建'!AQ$226:AQ$245)</f>
        <v>0</v>
      </c>
      <c r="Q98" s="63">
        <f>-SUMIF('A0 BS 1240在建'!$A$226:$A$245,$A98,'A0 BS 1240在建'!AU$226:AU$245)</f>
        <v>0</v>
      </c>
      <c r="R98" s="63">
        <f>-SUMIF('A0 BS 1240在建'!$A$226:$A$245,$A98,'A0 BS 1240在建'!AY$226:AY$245)</f>
        <v>0</v>
      </c>
      <c r="S98" s="63">
        <f>-SUMIF('A0 BS 1240在建'!$A$226:$A$245,$A98,'A0 BS 1240在建'!BC$226:BC$245)</f>
        <v>0</v>
      </c>
      <c r="T98" s="63">
        <f>-SUMIF('A0 BS 1240在建'!$A$226:$A$245,$A98,'A0 BS 1240在建'!BG$226:BG$245)</f>
        <v>0</v>
      </c>
      <c r="U98" s="63">
        <f>-SUMIF('A0 BS 1240在建'!$A$226:$A$245,$A98,'A0 BS 1240在建'!BS$226:BS$245)</f>
        <v>0</v>
      </c>
      <c r="V98" s="63">
        <f>-SUMIF('A0 BS 1240在建'!$A$226:$A$245,$A98,'A0 BS 1240在建'!CA$226:CA$245)</f>
        <v>0</v>
      </c>
      <c r="W98" s="63">
        <f>-SUMIF('A0 BS 1240在建'!$A$226:$A$245,$A98,'A0 BS 1240在建'!CI$226:CI$245)</f>
        <v>0</v>
      </c>
      <c r="X98" s="63">
        <f>-SUMIF('A0 BS 1240在建'!$A$226:$A$245,$A98,'A0 BS 1240在建'!CQ$226:CQ$245)</f>
        <v>0</v>
      </c>
      <c r="Z98" s="58" t="s">
        <v>189</v>
      </c>
    </row>
    <row r="99" spans="1:26" s="8" customFormat="1">
      <c r="A99" s="57" t="s">
        <v>190</v>
      </c>
      <c r="B99" s="35" t="s">
        <v>178</v>
      </c>
      <c r="C99" s="7"/>
      <c r="E99" s="8">
        <f>-SUMIF('A0 BS 1240在建'!$A$226:$A$245, $A99,'A0 BS 1240在建'!G$226:G$245)</f>
        <v>0</v>
      </c>
      <c r="F99" s="8">
        <f t="shared" si="26"/>
        <v>0</v>
      </c>
      <c r="G99" s="63">
        <f t="shared" si="27"/>
        <v>0</v>
      </c>
      <c r="H99" s="63">
        <f t="shared" si="28"/>
        <v>0</v>
      </c>
      <c r="I99" s="63">
        <f>-SUMIF('A0 BS 1240在建'!$A$226:$A$245,$A99,'A0 BS 1240在建'!O$226:O$245)</f>
        <v>0</v>
      </c>
      <c r="J99" s="63">
        <f>-IFERROR(VLOOKUP($A99,'A0 BS 1240在建'!$228:$243,19,0),0)-IFERROR(SUMIF(#REF!,BS2_WIP!$A99,#REF!),0)</f>
        <v>0</v>
      </c>
      <c r="K99" s="63">
        <f>-SUMIF('A0 BS 1240在建'!$A$226:$A$245,$A99,'A0 BS 1240在建'!W$226:W$245)</f>
        <v>0</v>
      </c>
      <c r="L99" s="63">
        <f>-SUMIF('A0 BS 1240在建'!$A$226:$A$245,$A99,'A0 BS 1240在建'!AA$226:AA$245)</f>
        <v>0</v>
      </c>
      <c r="M99" s="63">
        <f>-SUMIF('A0 BS 1240在建'!$A$226:$A$245,$A99,'A0 BS 1240在建'!AE$226:AE$245)</f>
        <v>0</v>
      </c>
      <c r="N99" s="63">
        <f>-SUMIF('A0 BS 1240在建'!$A$226:$A$245,$A99,'A0 BS 1240在建'!AI$226:AI$245)</f>
        <v>0</v>
      </c>
      <c r="O99" s="63">
        <f>-SUMIF('A0 BS 1240在建'!$A$226:$A$245,$A99,'A0 BS 1240在建'!AM$226:AM$245)</f>
        <v>0</v>
      </c>
      <c r="P99" s="63">
        <f>-SUMIF('A0 BS 1240在建'!$A$226:$A$245,$A99,'A0 BS 1240在建'!AQ$226:AQ$245)</f>
        <v>0</v>
      </c>
      <c r="Q99" s="63">
        <f>-SUMIF('A0 BS 1240在建'!$A$226:$A$245,$A99,'A0 BS 1240在建'!AU$226:AU$245)</f>
        <v>0</v>
      </c>
      <c r="R99" s="63">
        <f>-SUMIF('A0 BS 1240在建'!$A$226:$A$245,$A99,'A0 BS 1240在建'!AY$226:AY$245)</f>
        <v>0</v>
      </c>
      <c r="S99" s="63">
        <f>-SUMIF('A0 BS 1240在建'!$A$226:$A$245,$A99,'A0 BS 1240在建'!BC$226:BC$245)</f>
        <v>0</v>
      </c>
      <c r="T99" s="63">
        <f>-SUMIF('A0 BS 1240在建'!$A$226:$A$245,$A99,'A0 BS 1240在建'!BG$226:BG$245)</f>
        <v>0</v>
      </c>
      <c r="U99" s="63">
        <f>-SUMIF('A0 BS 1240在建'!$A$226:$A$245,$A99,'A0 BS 1240在建'!BS$226:BS$245)</f>
        <v>0</v>
      </c>
      <c r="V99" s="63">
        <f>-SUMIF('A0 BS 1240在建'!$A$226:$A$245,$A99,'A0 BS 1240在建'!CA$226:CA$245)</f>
        <v>0</v>
      </c>
      <c r="W99" s="63">
        <f>-SUMIF('A0 BS 1240在建'!$A$226:$A$245,$A99,'A0 BS 1240在建'!CI$226:CI$245)</f>
        <v>0</v>
      </c>
      <c r="X99" s="63">
        <f>-SUMIF('A0 BS 1240在建'!$A$226:$A$245,$A99,'A0 BS 1240在建'!CQ$226:CQ$245)</f>
        <v>0</v>
      </c>
      <c r="Z99" s="58" t="s">
        <v>191</v>
      </c>
    </row>
    <row r="100" spans="1:26" s="8" customFormat="1">
      <c r="A100" s="57" t="s">
        <v>192</v>
      </c>
      <c r="B100" s="35" t="s">
        <v>178</v>
      </c>
      <c r="C100" s="7"/>
      <c r="E100" s="8">
        <f>-SUMIF('A0 BS 1240在建'!$A$226:$A$245, $A100,'A0 BS 1240在建'!G$226:G$245)</f>
        <v>0</v>
      </c>
      <c r="F100" s="8">
        <f t="shared" si="26"/>
        <v>0</v>
      </c>
      <c r="G100" s="63">
        <f t="shared" si="27"/>
        <v>0</v>
      </c>
      <c r="H100" s="63">
        <f t="shared" si="28"/>
        <v>0</v>
      </c>
      <c r="I100" s="63">
        <f>-SUMIF('A0 BS 1240在建'!$A$226:$A$245,$A100,'A0 BS 1240在建'!O$226:O$245)</f>
        <v>0</v>
      </c>
      <c r="J100" s="63">
        <f>-IFERROR(VLOOKUP($A100,'A0 BS 1240在建'!$228:$243,19,0),0)-IFERROR(SUMIF(#REF!,BS2_WIP!$A100,#REF!),0)</f>
        <v>0</v>
      </c>
      <c r="K100" s="63">
        <f>-SUMIF('A0 BS 1240在建'!$A$226:$A$245,$A100,'A0 BS 1240在建'!W$226:W$245)</f>
        <v>0</v>
      </c>
      <c r="L100" s="63">
        <f>-SUMIF('A0 BS 1240在建'!$A$226:$A$245,$A100,'A0 BS 1240在建'!AA$226:AA$245)</f>
        <v>0</v>
      </c>
      <c r="M100" s="63">
        <f>-SUMIF('A0 BS 1240在建'!$A$226:$A$245,$A100,'A0 BS 1240在建'!AE$226:AE$245)</f>
        <v>0</v>
      </c>
      <c r="N100" s="63">
        <f>-SUMIF('A0 BS 1240在建'!$A$226:$A$245,$A100,'A0 BS 1240在建'!AI$226:AI$245)</f>
        <v>0</v>
      </c>
      <c r="O100" s="63">
        <f>-SUMIF('A0 BS 1240在建'!$A$226:$A$245,$A100,'A0 BS 1240在建'!AM$226:AM$245)</f>
        <v>0</v>
      </c>
      <c r="P100" s="63">
        <f>-SUMIF('A0 BS 1240在建'!$A$226:$A$245,$A100,'A0 BS 1240在建'!AQ$226:AQ$245)</f>
        <v>0</v>
      </c>
      <c r="Q100" s="63">
        <f>-SUMIF('A0 BS 1240在建'!$A$226:$A$245,$A100,'A0 BS 1240在建'!AU$226:AU$245)</f>
        <v>0</v>
      </c>
      <c r="R100" s="63">
        <f>-SUMIF('A0 BS 1240在建'!$A$226:$A$245,$A100,'A0 BS 1240在建'!AY$226:AY$245)</f>
        <v>0</v>
      </c>
      <c r="S100" s="63">
        <f>-SUMIF('A0 BS 1240在建'!$A$226:$A$245,$A100,'A0 BS 1240在建'!BC$226:BC$245)</f>
        <v>0</v>
      </c>
      <c r="T100" s="63">
        <f>-SUMIF('A0 BS 1240在建'!$A$226:$A$245,$A100,'A0 BS 1240在建'!BG$226:BG$245)</f>
        <v>0</v>
      </c>
      <c r="U100" s="63">
        <f>-SUMIF('A0 BS 1240在建'!$A$226:$A$245,$A100,'A0 BS 1240在建'!BS$226:BS$245)</f>
        <v>0</v>
      </c>
      <c r="V100" s="63">
        <f>-SUMIF('A0 BS 1240在建'!$A$226:$A$245,$A100,'A0 BS 1240在建'!CA$226:CA$245)</f>
        <v>0</v>
      </c>
      <c r="W100" s="63">
        <f>-SUMIF('A0 BS 1240在建'!$A$226:$A$245,$A100,'A0 BS 1240在建'!CI$226:CI$245)</f>
        <v>0</v>
      </c>
      <c r="X100" s="63">
        <f>-SUMIF('A0 BS 1240在建'!$A$226:$A$245,$A100,'A0 BS 1240在建'!CQ$226:CQ$245)</f>
        <v>0</v>
      </c>
      <c r="Z100" s="58" t="s">
        <v>193</v>
      </c>
    </row>
    <row r="101" spans="1:26" s="8" customFormat="1" ht="14.25" customHeight="1" outlineLevel="1">
      <c r="A101" s="46" t="s">
        <v>194</v>
      </c>
      <c r="B101" s="7"/>
      <c r="C101" s="7"/>
      <c r="D101" s="47"/>
      <c r="E101" s="47"/>
      <c r="F101" s="47">
        <f>+D101+E101</f>
        <v>0</v>
      </c>
      <c r="G101" s="47">
        <f>+G100</f>
        <v>0</v>
      </c>
      <c r="H101" s="47">
        <f>+H100</f>
        <v>0</v>
      </c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Z101" s="48"/>
    </row>
    <row r="102" spans="1:26" s="8" customFormat="1" ht="15.6">
      <c r="A102" s="81" t="s">
        <v>195</v>
      </c>
      <c r="B102" s="7"/>
      <c r="C102" s="7"/>
      <c r="D102" s="65" t="e">
        <f>SUM(D82:D84,D89,D90:D100)-SUM(D95:D97)</f>
        <v>#REF!</v>
      </c>
      <c r="E102" s="65">
        <f>SUM(E82:E84,E89,E90:E100)-SUM(E95:E97)</f>
        <v>-346975</v>
      </c>
      <c r="F102" s="65" t="e">
        <f>SUM(F82:F84,F89,F90:F100)-SUM(F95:F97)</f>
        <v>#REF!</v>
      </c>
      <c r="G102" s="65" t="e">
        <f>+F102+H102</f>
        <v>#REF!</v>
      </c>
      <c r="H102" s="65" t="e">
        <f>SUM(I102:T102)</f>
        <v>#N/A</v>
      </c>
      <c r="I102" s="65" t="e">
        <f t="shared" ref="I102:X102" si="29">SUM(I82:I84,I89,I90:I100)-SUM(I95:I97)</f>
        <v>#N/A</v>
      </c>
      <c r="J102" s="65">
        <f t="shared" si="29"/>
        <v>0</v>
      </c>
      <c r="K102" s="65" t="e">
        <f t="shared" si="29"/>
        <v>#N/A</v>
      </c>
      <c r="L102" s="65" t="e">
        <f t="shared" si="29"/>
        <v>#N/A</v>
      </c>
      <c r="M102" s="65" t="e">
        <f t="shared" si="29"/>
        <v>#N/A</v>
      </c>
      <c r="N102" s="65" t="e">
        <f t="shared" si="29"/>
        <v>#N/A</v>
      </c>
      <c r="O102" s="65" t="e">
        <f t="shared" si="29"/>
        <v>#N/A</v>
      </c>
      <c r="P102" s="65" t="e">
        <f t="shared" si="29"/>
        <v>#N/A</v>
      </c>
      <c r="Q102" s="65" t="e">
        <f t="shared" si="29"/>
        <v>#N/A</v>
      </c>
      <c r="R102" s="65" t="e">
        <f t="shared" si="29"/>
        <v>#N/A</v>
      </c>
      <c r="S102" s="65" t="e">
        <f t="shared" si="29"/>
        <v>#N/A</v>
      </c>
      <c r="T102" s="65" t="e">
        <f t="shared" si="29"/>
        <v>#N/A</v>
      </c>
      <c r="U102" s="65" t="e">
        <f t="shared" si="29"/>
        <v>#N/A</v>
      </c>
      <c r="V102" s="65" t="e">
        <f t="shared" si="29"/>
        <v>#N/A</v>
      </c>
      <c r="W102" s="65" t="e">
        <f t="shared" si="29"/>
        <v>#N/A</v>
      </c>
      <c r="X102" s="65" t="e">
        <f t="shared" si="29"/>
        <v>#N/A</v>
      </c>
      <c r="Z102" s="82" t="s">
        <v>196</v>
      </c>
    </row>
    <row r="103" spans="1:26" s="8" customFormat="1">
      <c r="A103" s="57"/>
      <c r="B103" s="7"/>
      <c r="C103" s="7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Z103" s="58"/>
    </row>
    <row r="104" spans="1:26" s="8" customFormat="1" ht="18">
      <c r="A104" s="83" t="s">
        <v>197</v>
      </c>
      <c r="B104" s="7"/>
      <c r="C104" s="7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Z104" s="76" t="s">
        <v>198</v>
      </c>
    </row>
    <row r="105" spans="1:26" s="8" customFormat="1">
      <c r="A105" s="57" t="s">
        <v>199</v>
      </c>
      <c r="B105" s="7"/>
      <c r="C105" s="7"/>
      <c r="D105" s="63"/>
      <c r="E105" s="63"/>
      <c r="F105" s="63">
        <f t="shared" ref="F105:F110" si="30">SUM(D105:E105)</f>
        <v>0</v>
      </c>
      <c r="G105" s="63">
        <f t="shared" ref="G105:G111" si="31">+F105+H105</f>
        <v>0</v>
      </c>
      <c r="H105" s="63">
        <f t="shared" ref="H105:H111" si="32">SUM(I105:T105)</f>
        <v>0</v>
      </c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Z105" s="58" t="s">
        <v>200</v>
      </c>
    </row>
    <row r="106" spans="1:26" s="8" customFormat="1">
      <c r="A106" s="57" t="s">
        <v>201</v>
      </c>
      <c r="B106" s="7"/>
      <c r="C106" s="7"/>
      <c r="F106" s="63">
        <f t="shared" si="30"/>
        <v>0</v>
      </c>
      <c r="G106" s="63">
        <f t="shared" si="31"/>
        <v>0</v>
      </c>
      <c r="H106" s="63">
        <f t="shared" si="32"/>
        <v>0</v>
      </c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Z106" s="58" t="s">
        <v>202</v>
      </c>
    </row>
    <row r="107" spans="1:26" s="8" customFormat="1" ht="15" customHeight="1">
      <c r="A107" s="57" t="s">
        <v>203</v>
      </c>
      <c r="B107" s="7"/>
      <c r="C107" s="7"/>
      <c r="D107" s="63"/>
      <c r="E107" s="63"/>
      <c r="F107" s="63">
        <f t="shared" si="30"/>
        <v>0</v>
      </c>
      <c r="G107" s="63">
        <f t="shared" si="31"/>
        <v>0</v>
      </c>
      <c r="H107" s="63">
        <f t="shared" si="32"/>
        <v>0</v>
      </c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Z107" s="58" t="s">
        <v>204</v>
      </c>
    </row>
    <row r="108" spans="1:26" s="8" customFormat="1">
      <c r="A108" s="57" t="s">
        <v>205</v>
      </c>
      <c r="B108" s="7"/>
      <c r="C108" s="7"/>
      <c r="F108" s="63">
        <f t="shared" si="30"/>
        <v>0</v>
      </c>
      <c r="G108" s="63">
        <f t="shared" si="31"/>
        <v>0</v>
      </c>
      <c r="H108" s="63">
        <f t="shared" si="32"/>
        <v>0</v>
      </c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Z108" s="58" t="s">
        <v>206</v>
      </c>
    </row>
    <row r="109" spans="1:26" s="8" customFormat="1">
      <c r="A109" s="57" t="s">
        <v>207</v>
      </c>
      <c r="B109" s="7"/>
      <c r="C109" s="7"/>
      <c r="F109" s="63">
        <f t="shared" si="30"/>
        <v>0</v>
      </c>
      <c r="G109" s="63">
        <f t="shared" si="31"/>
        <v>0</v>
      </c>
      <c r="H109" s="63">
        <f t="shared" si="32"/>
        <v>0</v>
      </c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Z109" s="58" t="s">
        <v>208</v>
      </c>
    </row>
    <row r="110" spans="1:26" s="8" customFormat="1">
      <c r="A110" s="57" t="s">
        <v>209</v>
      </c>
      <c r="B110" s="7"/>
      <c r="C110" s="7"/>
      <c r="D110" s="63"/>
      <c r="E110" s="63"/>
      <c r="F110" s="63">
        <f t="shared" si="30"/>
        <v>0</v>
      </c>
      <c r="G110" s="63">
        <f t="shared" si="31"/>
        <v>0</v>
      </c>
      <c r="H110" s="63">
        <f t="shared" si="32"/>
        <v>0</v>
      </c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Z110" s="58" t="s">
        <v>210</v>
      </c>
    </row>
    <row r="111" spans="1:26" s="8" customFormat="1" ht="15.6">
      <c r="A111" s="81" t="s">
        <v>211</v>
      </c>
      <c r="B111" s="7"/>
      <c r="C111" s="7"/>
      <c r="D111" s="65"/>
      <c r="E111" s="65">
        <f>SUM(E105:E110)</f>
        <v>0</v>
      </c>
      <c r="F111" s="65">
        <f>SUM(F105:F110)</f>
        <v>0</v>
      </c>
      <c r="G111" s="65">
        <f t="shared" si="31"/>
        <v>0</v>
      </c>
      <c r="H111" s="65">
        <f t="shared" si="32"/>
        <v>0</v>
      </c>
      <c r="I111" s="65">
        <f t="shared" ref="I111:X111" si="33">SUM(I105:I110)</f>
        <v>0</v>
      </c>
      <c r="J111" s="65">
        <f t="shared" si="33"/>
        <v>0</v>
      </c>
      <c r="K111" s="65">
        <f t="shared" si="33"/>
        <v>0</v>
      </c>
      <c r="L111" s="65">
        <f t="shared" si="33"/>
        <v>0</v>
      </c>
      <c r="M111" s="65">
        <f t="shared" si="33"/>
        <v>0</v>
      </c>
      <c r="N111" s="65">
        <f t="shared" si="33"/>
        <v>0</v>
      </c>
      <c r="O111" s="65">
        <f t="shared" si="33"/>
        <v>0</v>
      </c>
      <c r="P111" s="65">
        <f t="shared" si="33"/>
        <v>0</v>
      </c>
      <c r="Q111" s="65">
        <f t="shared" si="33"/>
        <v>0</v>
      </c>
      <c r="R111" s="65">
        <f t="shared" si="33"/>
        <v>0</v>
      </c>
      <c r="S111" s="65">
        <f t="shared" si="33"/>
        <v>0</v>
      </c>
      <c r="T111" s="65">
        <f t="shared" si="33"/>
        <v>0</v>
      </c>
      <c r="U111" s="65">
        <f t="shared" si="33"/>
        <v>0</v>
      </c>
      <c r="V111" s="65">
        <f t="shared" si="33"/>
        <v>0</v>
      </c>
      <c r="W111" s="65">
        <f t="shared" si="33"/>
        <v>0</v>
      </c>
      <c r="X111" s="65">
        <f t="shared" si="33"/>
        <v>0</v>
      </c>
      <c r="Z111" s="82" t="s">
        <v>212</v>
      </c>
    </row>
    <row r="112" spans="1:26" s="8" customFormat="1">
      <c r="A112" s="57"/>
      <c r="B112" s="7"/>
      <c r="C112" s="7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Z112" s="58"/>
    </row>
    <row r="113" spans="1:26" s="8" customFormat="1" ht="18">
      <c r="A113" s="81" t="s">
        <v>213</v>
      </c>
      <c r="B113" s="7"/>
      <c r="C113" s="7"/>
      <c r="D113" s="66" t="e">
        <f>D102+D111</f>
        <v>#REF!</v>
      </c>
      <c r="E113" s="66">
        <f>E102+E111</f>
        <v>-346975</v>
      </c>
      <c r="F113" s="66" t="e">
        <f>F102+F111</f>
        <v>#REF!</v>
      </c>
      <c r="G113" s="66" t="e">
        <f>+F113+H113</f>
        <v>#REF!</v>
      </c>
      <c r="H113" s="66" t="e">
        <f>SUM(I113:T113)</f>
        <v>#N/A</v>
      </c>
      <c r="I113" s="66" t="e">
        <f t="shared" ref="I113:X113" si="34">I102+I111</f>
        <v>#N/A</v>
      </c>
      <c r="J113" s="66">
        <f t="shared" si="34"/>
        <v>0</v>
      </c>
      <c r="K113" s="66" t="e">
        <f t="shared" si="34"/>
        <v>#N/A</v>
      </c>
      <c r="L113" s="66" t="e">
        <f t="shared" si="34"/>
        <v>#N/A</v>
      </c>
      <c r="M113" s="66" t="e">
        <f t="shared" si="34"/>
        <v>#N/A</v>
      </c>
      <c r="N113" s="66" t="e">
        <f t="shared" si="34"/>
        <v>#N/A</v>
      </c>
      <c r="O113" s="66" t="e">
        <f t="shared" si="34"/>
        <v>#N/A</v>
      </c>
      <c r="P113" s="66" t="e">
        <f t="shared" si="34"/>
        <v>#N/A</v>
      </c>
      <c r="Q113" s="66" t="e">
        <f t="shared" si="34"/>
        <v>#N/A</v>
      </c>
      <c r="R113" s="66" t="e">
        <f t="shared" si="34"/>
        <v>#N/A</v>
      </c>
      <c r="S113" s="66" t="e">
        <f t="shared" si="34"/>
        <v>#N/A</v>
      </c>
      <c r="T113" s="66" t="e">
        <f t="shared" si="34"/>
        <v>#N/A</v>
      </c>
      <c r="U113" s="66" t="e">
        <f t="shared" si="34"/>
        <v>#N/A</v>
      </c>
      <c r="V113" s="66" t="e">
        <f t="shared" si="34"/>
        <v>#N/A</v>
      </c>
      <c r="W113" s="66" t="e">
        <f t="shared" si="34"/>
        <v>#N/A</v>
      </c>
      <c r="X113" s="66" t="e">
        <f t="shared" si="34"/>
        <v>#N/A</v>
      </c>
      <c r="Z113" s="84" t="s">
        <v>214</v>
      </c>
    </row>
    <row r="114" spans="1:26" s="8" customFormat="1">
      <c r="A114" s="57"/>
      <c r="B114" s="7"/>
      <c r="C114" s="7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Z114" s="58"/>
    </row>
    <row r="115" spans="1:26" s="8" customFormat="1" ht="18">
      <c r="A115" s="83" t="s">
        <v>215</v>
      </c>
      <c r="B115" s="85"/>
      <c r="C115" s="85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Z115" s="76" t="s">
        <v>216</v>
      </c>
    </row>
    <row r="116" spans="1:26" s="8" customFormat="1">
      <c r="A116" s="57" t="s">
        <v>217</v>
      </c>
      <c r="B116" s="7"/>
      <c r="C116" s="7"/>
      <c r="D116" s="63"/>
      <c r="E116" s="63"/>
      <c r="F116" s="63">
        <f>SUM(D116:E116)</f>
        <v>0</v>
      </c>
      <c r="G116" s="63">
        <f>+F116+H116</f>
        <v>0</v>
      </c>
      <c r="H116" s="63">
        <f>SUM(I116:T116)</f>
        <v>0</v>
      </c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Z116" s="58" t="s">
        <v>218</v>
      </c>
    </row>
    <row r="117" spans="1:26" s="8" customFormat="1">
      <c r="A117" s="57"/>
      <c r="B117" s="7"/>
      <c r="C117" s="7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Z117" s="58"/>
    </row>
    <row r="118" spans="1:26" s="8" customFormat="1">
      <c r="A118" s="57"/>
      <c r="B118" s="7"/>
      <c r="C118" s="7"/>
      <c r="D118" s="59"/>
      <c r="E118" s="59">
        <f>SUM(E116:E117)</f>
        <v>0</v>
      </c>
      <c r="F118" s="59">
        <f>SUM(F116:F117)</f>
        <v>0</v>
      </c>
      <c r="G118" s="59">
        <f>+F118+H118</f>
        <v>0</v>
      </c>
      <c r="H118" s="59">
        <f>SUM(I118:T118)</f>
        <v>0</v>
      </c>
      <c r="I118" s="59">
        <f t="shared" ref="I118:X118" si="35">SUM(I116:I117)</f>
        <v>0</v>
      </c>
      <c r="J118" s="59">
        <f t="shared" si="35"/>
        <v>0</v>
      </c>
      <c r="K118" s="59">
        <f t="shared" si="35"/>
        <v>0</v>
      </c>
      <c r="L118" s="59">
        <f t="shared" si="35"/>
        <v>0</v>
      </c>
      <c r="M118" s="59">
        <f t="shared" si="35"/>
        <v>0</v>
      </c>
      <c r="N118" s="59">
        <f t="shared" si="35"/>
        <v>0</v>
      </c>
      <c r="O118" s="59">
        <f t="shared" si="35"/>
        <v>0</v>
      </c>
      <c r="P118" s="59">
        <f t="shared" si="35"/>
        <v>0</v>
      </c>
      <c r="Q118" s="59">
        <f t="shared" si="35"/>
        <v>0</v>
      </c>
      <c r="R118" s="59">
        <f t="shared" si="35"/>
        <v>0</v>
      </c>
      <c r="S118" s="59">
        <f t="shared" si="35"/>
        <v>0</v>
      </c>
      <c r="T118" s="59">
        <f t="shared" si="35"/>
        <v>0</v>
      </c>
      <c r="U118" s="59">
        <f t="shared" si="35"/>
        <v>0</v>
      </c>
      <c r="V118" s="59">
        <f t="shared" si="35"/>
        <v>0</v>
      </c>
      <c r="W118" s="59">
        <f t="shared" si="35"/>
        <v>0</v>
      </c>
      <c r="X118" s="59">
        <f t="shared" si="35"/>
        <v>0</v>
      </c>
      <c r="Z118" s="58"/>
    </row>
    <row r="119" spans="1:26" s="8" customFormat="1" ht="18">
      <c r="A119" s="83" t="s">
        <v>219</v>
      </c>
      <c r="B119" s="85"/>
      <c r="C119" s="85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Z119" s="76" t="s">
        <v>220</v>
      </c>
    </row>
    <row r="120" spans="1:26" s="8" customFormat="1">
      <c r="A120" s="57" t="s">
        <v>221</v>
      </c>
      <c r="B120" s="7"/>
      <c r="C120" s="7"/>
      <c r="D120" s="63"/>
      <c r="E120" s="63"/>
      <c r="F120" s="63">
        <f>SUM(D120:E120)</f>
        <v>0</v>
      </c>
      <c r="G120" s="63">
        <f>+F120+H120</f>
        <v>0</v>
      </c>
      <c r="H120" s="63">
        <f>SUM(I120:T120)</f>
        <v>0</v>
      </c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Z120" s="58" t="s">
        <v>222</v>
      </c>
    </row>
    <row r="121" spans="1:26" s="8" customFormat="1">
      <c r="A121" s="57" t="s">
        <v>223</v>
      </c>
      <c r="B121" s="7"/>
      <c r="C121" s="7"/>
      <c r="D121" s="63"/>
      <c r="E121" s="63"/>
      <c r="F121" s="63">
        <f>SUM(D121:E121)</f>
        <v>0</v>
      </c>
      <c r="G121" s="63">
        <f>+F121+H121</f>
        <v>0</v>
      </c>
      <c r="H121" s="63">
        <f>SUM(I121:T121)</f>
        <v>0</v>
      </c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Z121" s="58" t="s">
        <v>224</v>
      </c>
    </row>
    <row r="122" spans="1:26" s="8" customFormat="1" ht="0.75" customHeight="1">
      <c r="A122" s="57" t="s">
        <v>225</v>
      </c>
      <c r="B122" s="7"/>
      <c r="C122" s="7"/>
      <c r="D122" s="63"/>
      <c r="E122" s="63"/>
      <c r="F122" s="63">
        <f>SUM(D122:E122)</f>
        <v>0</v>
      </c>
      <c r="G122" s="63">
        <f>+F122+H122</f>
        <v>0</v>
      </c>
      <c r="H122" s="63">
        <f>SUM(I122:T122)</f>
        <v>0</v>
      </c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Z122" s="58" t="s">
        <v>226</v>
      </c>
    </row>
    <row r="123" spans="1:26" s="8" customFormat="1">
      <c r="A123" s="57"/>
      <c r="B123" s="7"/>
      <c r="C123" s="7"/>
      <c r="D123" s="59"/>
      <c r="E123" s="59">
        <f>SUM(E120:E122)</f>
        <v>0</v>
      </c>
      <c r="F123" s="59">
        <f>SUM(F120:F122)</f>
        <v>0</v>
      </c>
      <c r="G123" s="59">
        <f>+F123+H123</f>
        <v>0</v>
      </c>
      <c r="H123" s="59">
        <f>SUM(I123:T123)</f>
        <v>0</v>
      </c>
      <c r="I123" s="59">
        <f t="shared" ref="I123:X123" si="36">SUM(I120:I122)</f>
        <v>0</v>
      </c>
      <c r="J123" s="59">
        <f t="shared" si="36"/>
        <v>0</v>
      </c>
      <c r="K123" s="59">
        <f t="shared" si="36"/>
        <v>0</v>
      </c>
      <c r="L123" s="59">
        <f t="shared" si="36"/>
        <v>0</v>
      </c>
      <c r="M123" s="59">
        <f t="shared" si="36"/>
        <v>0</v>
      </c>
      <c r="N123" s="59">
        <f t="shared" si="36"/>
        <v>0</v>
      </c>
      <c r="O123" s="59">
        <f t="shared" si="36"/>
        <v>0</v>
      </c>
      <c r="P123" s="59">
        <f t="shared" si="36"/>
        <v>0</v>
      </c>
      <c r="Q123" s="59">
        <f t="shared" si="36"/>
        <v>0</v>
      </c>
      <c r="R123" s="59">
        <f t="shared" si="36"/>
        <v>0</v>
      </c>
      <c r="S123" s="59">
        <f t="shared" si="36"/>
        <v>0</v>
      </c>
      <c r="T123" s="59">
        <f t="shared" si="36"/>
        <v>0</v>
      </c>
      <c r="U123" s="59">
        <f t="shared" si="36"/>
        <v>0</v>
      </c>
      <c r="V123" s="59">
        <f t="shared" si="36"/>
        <v>0</v>
      </c>
      <c r="W123" s="59">
        <f t="shared" si="36"/>
        <v>0</v>
      </c>
      <c r="X123" s="59">
        <f t="shared" si="36"/>
        <v>0</v>
      </c>
      <c r="Z123" s="58"/>
    </row>
    <row r="124" spans="1:26" s="8" customFormat="1" ht="18">
      <c r="A124" s="83"/>
      <c r="B124" s="85"/>
      <c r="C124" s="85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Z124" s="76"/>
    </row>
    <row r="125" spans="1:26" s="8" customFormat="1">
      <c r="A125" s="57" t="s">
        <v>227</v>
      </c>
      <c r="B125" s="7"/>
      <c r="C125" s="7"/>
      <c r="D125" s="63"/>
      <c r="E125" s="63"/>
      <c r="F125" s="63">
        <f>SUM(D125:E125)</f>
        <v>0</v>
      </c>
      <c r="G125" s="63">
        <f t="shared" ref="G125:G130" si="37">+F125+H125</f>
        <v>0</v>
      </c>
      <c r="H125" s="63">
        <f t="shared" ref="H125:H130" si="38">SUM(I125:T125)</f>
        <v>0</v>
      </c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Z125" s="58" t="s">
        <v>228</v>
      </c>
    </row>
    <row r="126" spans="1:26" s="8" customFormat="1">
      <c r="A126" s="57" t="s">
        <v>229</v>
      </c>
      <c r="B126" s="7"/>
      <c r="C126" s="7"/>
      <c r="D126" s="63"/>
      <c r="E126" s="63"/>
      <c r="F126" s="63">
        <f>SUM(D126:E126)</f>
        <v>0</v>
      </c>
      <c r="G126" s="63">
        <f t="shared" si="37"/>
        <v>0</v>
      </c>
      <c r="H126" s="63">
        <f t="shared" si="38"/>
        <v>0</v>
      </c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Z126" s="58" t="s">
        <v>230</v>
      </c>
    </row>
    <row r="127" spans="1:26" s="8" customFormat="1">
      <c r="A127" s="57" t="s">
        <v>231</v>
      </c>
      <c r="B127" s="7"/>
      <c r="C127" s="7"/>
      <c r="F127" s="63">
        <f>SUM(D127:E127)</f>
        <v>0</v>
      </c>
      <c r="G127" s="63">
        <f t="shared" si="37"/>
        <v>0</v>
      </c>
      <c r="H127" s="63">
        <f t="shared" si="38"/>
        <v>0</v>
      </c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Z127" s="58" t="s">
        <v>232</v>
      </c>
    </row>
    <row r="128" spans="1:26" s="8" customFormat="1">
      <c r="A128" s="57" t="s">
        <v>233</v>
      </c>
      <c r="B128" s="7"/>
      <c r="C128" s="7"/>
      <c r="E128" s="8">
        <f>-SUMIF('A0 BS 1240在建'!$A$226:$A$245, $A128,'A0 BS 1240在建'!G$226:G$245)</f>
        <v>-6010135</v>
      </c>
      <c r="F128" s="63">
        <f>SUM(D128:E128)</f>
        <v>-6010135</v>
      </c>
      <c r="G128" s="63" t="e">
        <f t="shared" si="37"/>
        <v>#N/A</v>
      </c>
      <c r="H128" s="63" t="e">
        <f t="shared" si="38"/>
        <v>#N/A</v>
      </c>
      <c r="I128" s="63" t="e">
        <f>-SUMIF('A0 BS 1240在建'!$A$226:$A$245,$A128,'A0 BS 1240在建'!O$226:O$245)</f>
        <v>#N/A</v>
      </c>
      <c r="J128" s="63">
        <f>-IFERROR(VLOOKUP($A128,'A0 BS 1240在建'!$228:$243,19,0),0)-IFERROR(SUMIF(#REF!,BS2_WIP!$A128,#REF!),0)</f>
        <v>0</v>
      </c>
      <c r="K128" s="63" t="e">
        <f>-SUMIF('A0 BS 1240在建'!$A$226:$A$245,$A128,'A0 BS 1240在建'!W$226:W$245)</f>
        <v>#N/A</v>
      </c>
      <c r="L128" s="63" t="e">
        <f>-SUMIF('A0 BS 1240在建'!$A$226:$A$245,$A128,'A0 BS 1240在建'!AA$226:AA$245)</f>
        <v>#N/A</v>
      </c>
      <c r="M128" s="63" t="e">
        <f>-SUMIF('A0 BS 1240在建'!$A$226:$A$245,$A128,'A0 BS 1240在建'!AE$226:AE$245)</f>
        <v>#N/A</v>
      </c>
      <c r="N128" s="63" t="e">
        <f>-SUMIF('A0 BS 1240在建'!$A$226:$A$245,$A128,'A0 BS 1240在建'!AI$226:AI$245)</f>
        <v>#N/A</v>
      </c>
      <c r="O128" s="63" t="e">
        <f>-SUMIF('A0 BS 1240在建'!$A$226:$A$245,$A128,'A0 BS 1240在建'!AM$226:AM$245)</f>
        <v>#N/A</v>
      </c>
      <c r="P128" s="63" t="e">
        <f>-SUMIF('A0 BS 1240在建'!$A$226:$A$245,$A128,'A0 BS 1240在建'!AQ$226:AQ$245)</f>
        <v>#N/A</v>
      </c>
      <c r="Q128" s="63" t="e">
        <f>-SUMIF('A0 BS 1240在建'!$A$226:$A$245,$A128,'A0 BS 1240在建'!AU$226:AU$245)</f>
        <v>#N/A</v>
      </c>
      <c r="R128" s="63" t="e">
        <f>-SUMIF('A0 BS 1240在建'!$A$226:$A$245,$A128,'A0 BS 1240在建'!AY$226:AY$245)</f>
        <v>#N/A</v>
      </c>
      <c r="S128" s="63" t="e">
        <f>-SUMIF('A0 BS 1240在建'!$A$226:$A$245,$A128,'A0 BS 1240在建'!BC$226:BC$245)</f>
        <v>#N/A</v>
      </c>
      <c r="T128" s="63" t="e">
        <f>-SUMIF('A0 BS 1240在建'!$A$226:$A$245,$A128,'A0 BS 1240在建'!BG$226:BG$245)</f>
        <v>#N/A</v>
      </c>
      <c r="U128" s="63" t="e">
        <f>-SUMIF('A0 BS 1240在建'!$A$226:$A$245,$A128,'A0 BS 1240在建'!BS$226:BS$245)</f>
        <v>#N/A</v>
      </c>
      <c r="V128" s="63" t="e">
        <f>-SUMIF('A0 BS 1240在建'!$A$226:$A$245,$A128,'A0 BS 1240在建'!CA$226:CA$245)</f>
        <v>#N/A</v>
      </c>
      <c r="W128" s="63" t="e">
        <f>-SUMIF('A0 BS 1240在建'!$A$226:$A$245,$A128,'A0 BS 1240在建'!CI$226:CI$245)</f>
        <v>#N/A</v>
      </c>
      <c r="X128" s="63" t="e">
        <f>-SUMIF('A0 BS 1240在建'!$A$226:$A$245,$A128,'A0 BS 1240在建'!CQ$226:CQ$245)</f>
        <v>#N/A</v>
      </c>
      <c r="Z128" s="58" t="s">
        <v>234</v>
      </c>
    </row>
    <row r="129" spans="1:26" s="8" customFormat="1">
      <c r="A129" s="57" t="s">
        <v>235</v>
      </c>
      <c r="B129" s="7"/>
      <c r="C129" s="7"/>
      <c r="F129" s="63">
        <f>SUM(D129:E129)</f>
        <v>0</v>
      </c>
      <c r="G129" s="63">
        <f t="shared" si="37"/>
        <v>0</v>
      </c>
      <c r="H129" s="63">
        <f t="shared" si="38"/>
        <v>0</v>
      </c>
      <c r="I129" s="63">
        <f>-SUMIF('A0 BS 1240在建'!$A$226:$A$245,$A129,'A0 BS 1240在建'!O$226:O$245)</f>
        <v>0</v>
      </c>
      <c r="J129" s="63">
        <f>-IFERROR(VLOOKUP($A129,'A0 BS 1240在建'!$228:$243,19,0),0)-IFERROR(SUMIF(#REF!,BS2_WIP!$A129,#REF!),0)</f>
        <v>0</v>
      </c>
      <c r="K129" s="63">
        <f>-SUMIF('A0 BS 1240在建'!$A$226:$A$245,$A129,'A0 BS 1240在建'!W$226:W$245)</f>
        <v>0</v>
      </c>
      <c r="L129" s="63">
        <f>-IFERROR(VLOOKUP($A129,'A0 BS 1240在建'!$228:$243,27,0),0)-IFERROR(SUMIF(#REF!,BS2_WIP!$A129,#REF!),0)</f>
        <v>0</v>
      </c>
      <c r="M129" s="63">
        <f>-SUMIF('A0 BS 1240在建'!$A$226:$A$245,$A129,'A0 BS 1240在建'!AE$226:AE$245)</f>
        <v>0</v>
      </c>
      <c r="N129" s="63">
        <f>-SUMIF('A0 BS 1240在建'!$A$226:$A$245,$A129,'A0 BS 1240在建'!AI$226:AI$245)</f>
        <v>0</v>
      </c>
      <c r="O129" s="63">
        <f>-SUMIF('A0 BS 1240在建'!$A$226:$A$245,$A129,'A0 BS 1240在建'!AM$226:AM$245)</f>
        <v>0</v>
      </c>
      <c r="P129" s="63">
        <f>-SUMIF('A0 BS 1240在建'!$A$226:$A$245,$A129,'A0 BS 1240在建'!AQ$226:AQ$245)</f>
        <v>0</v>
      </c>
      <c r="Q129" s="63">
        <f>-SUMIF('A0 BS 1240在建'!$A$226:$A$245,$A129,'A0 BS 1240在建'!AU$226:AU$245)</f>
        <v>0</v>
      </c>
      <c r="R129" s="63">
        <f>-SUMIF('A0 BS 1240在建'!$A$226:$A$245,$A129,'A0 BS 1240在建'!AY$226:AY$245)</f>
        <v>0</v>
      </c>
      <c r="S129" s="63">
        <f>-SUMIF('A0 BS 1240在建'!$A$226:$A$245,$A129,'A0 BS 1240在建'!BC$226:BC$245)</f>
        <v>0</v>
      </c>
      <c r="T129" s="63">
        <f>-SUMIF('A0 BS 1240在建'!$A$226:$A$245,$A129,'A0 BS 1240在建'!BG$226:BG$245)</f>
        <v>0</v>
      </c>
      <c r="U129" s="63">
        <f>-SUMIF('A0 BS 1240在建'!$A$226:$A$245,$A129,'A0 BS 1240在建'!BS$226:BS$245)</f>
        <v>0</v>
      </c>
      <c r="V129" s="63">
        <f>-SUMIF('A0 BS 1240在建'!$A$226:$A$245,$A129,'A0 BS 1240在建'!CA$226:CA$245)</f>
        <v>0</v>
      </c>
      <c r="W129" s="63">
        <f>-SUMIF('A0 BS 1240在建'!$A$226:$A$245,$A129,'A0 BS 1240在建'!CI$226:CI$245)</f>
        <v>0</v>
      </c>
      <c r="X129" s="63">
        <f>-SUMIF('A0 BS 1240在建'!$A$226:$A$245,$A129,'A0 BS 1240在建'!CQ$226:CQ$245)</f>
        <v>0</v>
      </c>
      <c r="Z129" s="86" t="s">
        <v>236</v>
      </c>
    </row>
    <row r="130" spans="1:26" s="8" customFormat="1">
      <c r="A130" s="57"/>
      <c r="B130" s="7"/>
      <c r="C130" s="7"/>
      <c r="D130" s="59"/>
      <c r="E130" s="59">
        <f>SUM(E125:E129)</f>
        <v>-6010135</v>
      </c>
      <c r="F130" s="59">
        <f>SUM(F125:F129)</f>
        <v>-6010135</v>
      </c>
      <c r="G130" s="59" t="e">
        <f t="shared" si="37"/>
        <v>#N/A</v>
      </c>
      <c r="H130" s="59" t="e">
        <f t="shared" si="38"/>
        <v>#N/A</v>
      </c>
      <c r="I130" s="59" t="e">
        <f t="shared" ref="I130:X130" si="39">SUM(I125:I129)</f>
        <v>#N/A</v>
      </c>
      <c r="J130" s="59">
        <f t="shared" si="39"/>
        <v>0</v>
      </c>
      <c r="K130" s="59" t="e">
        <f t="shared" si="39"/>
        <v>#N/A</v>
      </c>
      <c r="L130" s="59" t="e">
        <f t="shared" si="39"/>
        <v>#N/A</v>
      </c>
      <c r="M130" s="59" t="e">
        <f t="shared" si="39"/>
        <v>#N/A</v>
      </c>
      <c r="N130" s="59" t="e">
        <f t="shared" si="39"/>
        <v>#N/A</v>
      </c>
      <c r="O130" s="59" t="e">
        <f t="shared" si="39"/>
        <v>#N/A</v>
      </c>
      <c r="P130" s="59" t="e">
        <f t="shared" si="39"/>
        <v>#N/A</v>
      </c>
      <c r="Q130" s="59" t="e">
        <f t="shared" si="39"/>
        <v>#N/A</v>
      </c>
      <c r="R130" s="59" t="e">
        <f t="shared" si="39"/>
        <v>#N/A</v>
      </c>
      <c r="S130" s="59" t="e">
        <f t="shared" si="39"/>
        <v>#N/A</v>
      </c>
      <c r="T130" s="59" t="e">
        <f t="shared" si="39"/>
        <v>#N/A</v>
      </c>
      <c r="U130" s="59" t="e">
        <f t="shared" si="39"/>
        <v>#N/A</v>
      </c>
      <c r="V130" s="59" t="e">
        <f t="shared" si="39"/>
        <v>#N/A</v>
      </c>
      <c r="W130" s="59" t="e">
        <f t="shared" si="39"/>
        <v>#N/A</v>
      </c>
      <c r="X130" s="59" t="e">
        <f t="shared" si="39"/>
        <v>#N/A</v>
      </c>
      <c r="Z130" s="58"/>
    </row>
    <row r="131" spans="1:26" s="8" customFormat="1" ht="18">
      <c r="A131" s="83" t="s">
        <v>237</v>
      </c>
      <c r="B131" s="85"/>
      <c r="C131" s="85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Z131" s="76" t="s">
        <v>238</v>
      </c>
    </row>
    <row r="132" spans="1:26" s="8" customFormat="1">
      <c r="A132" s="57" t="s">
        <v>239</v>
      </c>
      <c r="B132" s="7"/>
      <c r="C132" s="7"/>
      <c r="D132" s="63"/>
      <c r="E132" s="63"/>
      <c r="F132" s="63">
        <f>SUM(D132:E132)</f>
        <v>0</v>
      </c>
      <c r="G132" s="63">
        <f>+F132+H132</f>
        <v>0</v>
      </c>
      <c r="H132" s="63">
        <f>SUM(I132:T132)</f>
        <v>0</v>
      </c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Z132" s="58" t="s">
        <v>240</v>
      </c>
    </row>
    <row r="133" spans="1:26" s="8" customFormat="1">
      <c r="A133" s="57" t="s">
        <v>241</v>
      </c>
      <c r="B133" s="7"/>
      <c r="C133" s="7"/>
      <c r="D133" s="63"/>
      <c r="E133" s="63"/>
      <c r="F133" s="63">
        <f>SUM(D133:E133)</f>
        <v>0</v>
      </c>
      <c r="G133" s="63">
        <f>+F133+H133</f>
        <v>0</v>
      </c>
      <c r="H133" s="63">
        <f>SUM(I133:T133)</f>
        <v>0</v>
      </c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Z133" s="58" t="s">
        <v>242</v>
      </c>
    </row>
    <row r="134" spans="1:26" s="8" customFormat="1">
      <c r="A134" s="57" t="s">
        <v>243</v>
      </c>
      <c r="B134" s="7"/>
      <c r="C134" s="7"/>
      <c r="E134" s="8">
        <f>-SUMIF('A0 BS 1240在建'!$A$226:$A$245, $A134,'A0 BS 1240在建'!G$226:G$245)</f>
        <v>0</v>
      </c>
      <c r="F134" s="63">
        <f>SUM(D134:E134)</f>
        <v>0</v>
      </c>
      <c r="G134" s="63">
        <f>+F134+H134</f>
        <v>0</v>
      </c>
      <c r="H134" s="63">
        <f>SUM(I134:T134)</f>
        <v>0</v>
      </c>
      <c r="I134" s="63">
        <f>-SUMIF('A0 BS 1240在建'!$A$226:$A$245,$A134,'A0 BS 1240在建'!O$226:O$245)</f>
        <v>0</v>
      </c>
      <c r="J134" s="63">
        <f>-SUMIF('A0 BS 1240在建'!$A$226:$A$245,$A134,'A0 BS 1240在建'!S$226:S$245)</f>
        <v>0</v>
      </c>
      <c r="K134" s="63">
        <f>-SUMIF('A0 BS 1240在建'!$A$226:$A$245,$A134,'A0 BS 1240在建'!W$226:W$245)</f>
        <v>0</v>
      </c>
      <c r="L134" s="63">
        <f>-SUMIF('A0 BS 1240在建'!$A$226:$A$245,$A134,'A0 BS 1240在建'!AA$226:AA$245)</f>
        <v>0</v>
      </c>
      <c r="M134" s="63">
        <f>-SUMIF('A0 BS 1240在建'!$A$226:$A$245,$A134,'A0 BS 1240在建'!AE$226:AE$245)</f>
        <v>0</v>
      </c>
      <c r="N134" s="63">
        <f>-SUMIF('A0 BS 1240在建'!$A$226:$A$245,$A134,'A0 BS 1240在建'!AI$226:AI$245)</f>
        <v>0</v>
      </c>
      <c r="O134" s="63">
        <f>-SUMIF('A0 BS 1240在建'!$A$226:$A$245,$A134,'A0 BS 1240在建'!AM$226:AM$245)</f>
        <v>0</v>
      </c>
      <c r="P134" s="63">
        <f>-SUMIF('A0 BS 1240在建'!$A$226:$A$245,$A134,'A0 BS 1240在建'!AQ$226:AQ$245)</f>
        <v>0</v>
      </c>
      <c r="Q134" s="63">
        <f>-SUMIF('A0 BS 1240在建'!$A$226:$A$245,$A134,'A0 BS 1240在建'!AU$226:AU$245)</f>
        <v>0</v>
      </c>
      <c r="R134" s="63">
        <f>-SUMIF('A0 BS 1240在建'!$A$226:$A$245,$A134,'A0 BS 1240在建'!AY$226:AY$245)</f>
        <v>0</v>
      </c>
      <c r="S134" s="63">
        <f>-SUMIF('A0 BS 1240在建'!$A$226:$A$245,$A134,'A0 BS 1240在建'!BC$226:BC$245)</f>
        <v>0</v>
      </c>
      <c r="T134" s="63">
        <f>-SUMIF('A0 BS 1240在建'!$A$226:$A$245,$A134,'A0 BS 1240在建'!BG$226:BG$245)</f>
        <v>0</v>
      </c>
      <c r="U134" s="63">
        <f>-SUMIF('A0 BS 1240在建'!$A$226:$A$245,$A134,'A0 BS 1240在建'!BS$226:BS$245)</f>
        <v>0</v>
      </c>
      <c r="V134" s="63">
        <f>-SUMIF('A0 BS 1240在建'!$A$226:$A$245,$A134,'A0 BS 1240在建'!CA$226:CA$245)</f>
        <v>0</v>
      </c>
      <c r="W134" s="63">
        <f>-SUMIF('A0 BS 1240在建'!$A$226:$A$245,$A134,'A0 BS 1240在建'!CI$226:CI$245)</f>
        <v>0</v>
      </c>
      <c r="X134" s="63">
        <f>-SUMIF('A0 BS 1240在建'!$A$226:$A$245,$A134,'A0 BS 1240在建'!CQ$226:CQ$245)</f>
        <v>0</v>
      </c>
      <c r="Z134" s="58" t="s">
        <v>244</v>
      </c>
    </row>
    <row r="135" spans="1:26" s="8" customFormat="1">
      <c r="A135" s="57"/>
      <c r="B135" s="7"/>
      <c r="C135" s="7"/>
      <c r="D135" s="59"/>
      <c r="E135" s="59">
        <f>SUM(E132:E134)</f>
        <v>0</v>
      </c>
      <c r="F135" s="59">
        <f>SUM(F132:F134)</f>
        <v>0</v>
      </c>
      <c r="G135" s="59">
        <f>+F135+H135</f>
        <v>0</v>
      </c>
      <c r="H135" s="59">
        <f>SUM(I135:T135)</f>
        <v>0</v>
      </c>
      <c r="I135" s="59">
        <f t="shared" ref="I135:X135" si="40">SUM(I132:I134)</f>
        <v>0</v>
      </c>
      <c r="J135" s="59">
        <f t="shared" si="40"/>
        <v>0</v>
      </c>
      <c r="K135" s="59">
        <f t="shared" si="40"/>
        <v>0</v>
      </c>
      <c r="L135" s="59">
        <f t="shared" si="40"/>
        <v>0</v>
      </c>
      <c r="M135" s="59">
        <f t="shared" si="40"/>
        <v>0</v>
      </c>
      <c r="N135" s="59">
        <f t="shared" si="40"/>
        <v>0</v>
      </c>
      <c r="O135" s="59">
        <f t="shared" si="40"/>
        <v>0</v>
      </c>
      <c r="P135" s="59">
        <f t="shared" si="40"/>
        <v>0</v>
      </c>
      <c r="Q135" s="59">
        <f t="shared" si="40"/>
        <v>0</v>
      </c>
      <c r="R135" s="59">
        <f t="shared" si="40"/>
        <v>0</v>
      </c>
      <c r="S135" s="59">
        <f t="shared" si="40"/>
        <v>0</v>
      </c>
      <c r="T135" s="59">
        <f t="shared" si="40"/>
        <v>0</v>
      </c>
      <c r="U135" s="59">
        <f t="shared" si="40"/>
        <v>0</v>
      </c>
      <c r="V135" s="59">
        <f t="shared" si="40"/>
        <v>0</v>
      </c>
      <c r="W135" s="59">
        <f t="shared" si="40"/>
        <v>0</v>
      </c>
      <c r="X135" s="59">
        <f t="shared" si="40"/>
        <v>0</v>
      </c>
      <c r="Z135" s="58"/>
    </row>
    <row r="136" spans="1:26" s="8" customFormat="1">
      <c r="A136" s="57"/>
      <c r="B136" s="7"/>
      <c r="C136" s="7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Z136" s="58"/>
    </row>
    <row r="137" spans="1:26" s="8" customFormat="1" ht="18">
      <c r="A137" s="81" t="s">
        <v>245</v>
      </c>
      <c r="B137" s="7"/>
      <c r="C137" s="7"/>
      <c r="D137" s="87"/>
      <c r="E137" s="87">
        <f>SUM(E118,E123,E130,E135)</f>
        <v>-6010135</v>
      </c>
      <c r="F137" s="87">
        <f>SUM(F118,F123,F130,F135)</f>
        <v>-6010135</v>
      </c>
      <c r="G137" s="87" t="e">
        <f>+F137+H137</f>
        <v>#N/A</v>
      </c>
      <c r="H137" s="87" t="e">
        <f>SUM(I137:T137)</f>
        <v>#N/A</v>
      </c>
      <c r="I137" s="87" t="e">
        <f t="shared" ref="I137:X137" si="41">SUM(I118,I123,I130,I135)</f>
        <v>#N/A</v>
      </c>
      <c r="J137" s="87">
        <f t="shared" si="41"/>
        <v>0</v>
      </c>
      <c r="K137" s="87" t="e">
        <f t="shared" si="41"/>
        <v>#N/A</v>
      </c>
      <c r="L137" s="87" t="e">
        <f t="shared" si="41"/>
        <v>#N/A</v>
      </c>
      <c r="M137" s="87" t="e">
        <f t="shared" si="41"/>
        <v>#N/A</v>
      </c>
      <c r="N137" s="87" t="e">
        <f t="shared" si="41"/>
        <v>#N/A</v>
      </c>
      <c r="O137" s="87" t="e">
        <f t="shared" si="41"/>
        <v>#N/A</v>
      </c>
      <c r="P137" s="87" t="e">
        <f t="shared" si="41"/>
        <v>#N/A</v>
      </c>
      <c r="Q137" s="87" t="e">
        <f t="shared" si="41"/>
        <v>#N/A</v>
      </c>
      <c r="R137" s="87" t="e">
        <f t="shared" si="41"/>
        <v>#N/A</v>
      </c>
      <c r="S137" s="87" t="e">
        <f t="shared" si="41"/>
        <v>#N/A</v>
      </c>
      <c r="T137" s="87" t="e">
        <f t="shared" si="41"/>
        <v>#N/A</v>
      </c>
      <c r="U137" s="87" t="e">
        <f t="shared" si="41"/>
        <v>#N/A</v>
      </c>
      <c r="V137" s="87" t="e">
        <f t="shared" si="41"/>
        <v>#N/A</v>
      </c>
      <c r="W137" s="87" t="e">
        <f t="shared" si="41"/>
        <v>#N/A</v>
      </c>
      <c r="X137" s="87" t="e">
        <f t="shared" si="41"/>
        <v>#N/A</v>
      </c>
      <c r="Z137" s="84" t="s">
        <v>246</v>
      </c>
    </row>
    <row r="138" spans="1:26" s="8" customFormat="1" ht="15.6">
      <c r="A138" s="88"/>
      <c r="B138" s="7"/>
      <c r="C138" s="7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Z138" s="89"/>
    </row>
    <row r="139" spans="1:26" s="8" customFormat="1" ht="18">
      <c r="A139" s="81" t="s">
        <v>247</v>
      </c>
      <c r="B139" s="7"/>
      <c r="C139" s="7"/>
      <c r="D139" s="90" t="e">
        <f>D137+D113</f>
        <v>#REF!</v>
      </c>
      <c r="E139" s="90">
        <f>E137+E113</f>
        <v>-6357110</v>
      </c>
      <c r="F139" s="90" t="e">
        <f>F137+F113</f>
        <v>#REF!</v>
      </c>
      <c r="G139" s="90" t="e">
        <f>+F139+H139</f>
        <v>#REF!</v>
      </c>
      <c r="H139" s="90" t="e">
        <f>SUM(I139:T139)</f>
        <v>#N/A</v>
      </c>
      <c r="I139" s="90" t="e">
        <f t="shared" ref="I139:X139" si="42">I137+I113</f>
        <v>#N/A</v>
      </c>
      <c r="J139" s="90">
        <f t="shared" si="42"/>
        <v>0</v>
      </c>
      <c r="K139" s="90" t="e">
        <f t="shared" si="42"/>
        <v>#N/A</v>
      </c>
      <c r="L139" s="90" t="e">
        <f t="shared" si="42"/>
        <v>#N/A</v>
      </c>
      <c r="M139" s="90" t="e">
        <f t="shared" si="42"/>
        <v>#N/A</v>
      </c>
      <c r="N139" s="90" t="e">
        <f t="shared" si="42"/>
        <v>#N/A</v>
      </c>
      <c r="O139" s="90" t="e">
        <f t="shared" si="42"/>
        <v>#N/A</v>
      </c>
      <c r="P139" s="90" t="e">
        <f t="shared" si="42"/>
        <v>#N/A</v>
      </c>
      <c r="Q139" s="90" t="e">
        <f t="shared" si="42"/>
        <v>#N/A</v>
      </c>
      <c r="R139" s="90" t="e">
        <f t="shared" si="42"/>
        <v>#N/A</v>
      </c>
      <c r="S139" s="90" t="e">
        <f t="shared" si="42"/>
        <v>#N/A</v>
      </c>
      <c r="T139" s="90" t="e">
        <f t="shared" si="42"/>
        <v>#N/A</v>
      </c>
      <c r="U139" s="90" t="e">
        <f t="shared" si="42"/>
        <v>#N/A</v>
      </c>
      <c r="V139" s="90" t="e">
        <f t="shared" si="42"/>
        <v>#N/A</v>
      </c>
      <c r="W139" s="90" t="e">
        <f t="shared" si="42"/>
        <v>#N/A</v>
      </c>
      <c r="X139" s="90" t="e">
        <f t="shared" si="42"/>
        <v>#N/A</v>
      </c>
      <c r="Z139" s="67" t="s">
        <v>248</v>
      </c>
    </row>
    <row r="140" spans="1:26" s="8" customFormat="1">
      <c r="A140" s="91"/>
      <c r="B140" s="7"/>
      <c r="C140" s="7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Z140" s="93" t="s">
        <v>249</v>
      </c>
    </row>
    <row r="141" spans="1:26">
      <c r="A141" s="94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Z141" s="93"/>
    </row>
    <row r="142" spans="1:26" s="36" customFormat="1" ht="15">
      <c r="A142" s="96"/>
      <c r="B142" s="37"/>
      <c r="C142" s="37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Z142" s="80"/>
    </row>
    <row r="143" spans="1:26" s="36" customFormat="1">
      <c r="B143" s="37"/>
      <c r="C143" s="3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Z143" s="39"/>
    </row>
    <row r="144" spans="1:26" s="36" customFormat="1">
      <c r="B144" s="37"/>
      <c r="C144" s="37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Z144" s="39"/>
    </row>
  </sheetData>
  <autoFilter ref="A1:A142" xr:uid="{00000000-0009-0000-0000-000001000000}"/>
  <phoneticPr fontId="101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9D18E"/>
  </sheetPr>
  <dimension ref="A1:DH213"/>
  <sheetViews>
    <sheetView showGridLines="0" zoomScale="85" zoomScaleNormal="85" workbookViewId="0">
      <pane xSplit="2" ySplit="4" topLeftCell="CX5" activePane="bottomRight" state="frozen"/>
      <selection pane="topRight" activeCell="CX1" sqref="CX1"/>
      <selection pane="bottomLeft" activeCell="A5" sqref="A5"/>
      <selection pane="bottomRight" activeCell="DB19" sqref="DB19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3" width="18.109375" style="98" customWidth="1"/>
    <col min="4" max="4" width="17.33203125" style="98" customWidth="1"/>
    <col min="5" max="5" width="16.21875" style="98" customWidth="1"/>
    <col min="6" max="6" width="17.21875" style="98" customWidth="1"/>
    <col min="7" max="7" width="18.109375" style="98" customWidth="1"/>
    <col min="8" max="12" width="16.33203125" style="98" customWidth="1"/>
    <col min="13" max="67" width="18.109375" style="98" customWidth="1" outlineLevel="1"/>
    <col min="68" max="69" width="18.109375" style="98" customWidth="1"/>
    <col min="70" max="70" width="18.109375" style="99" customWidth="1"/>
    <col min="71" max="72" width="18.109375" style="98" customWidth="1"/>
    <col min="73" max="92" width="18.109375" style="98" customWidth="1" outlineLevel="1"/>
    <col min="93" max="93" width="9" style="98"/>
    <col min="94" max="94" width="15.88671875" style="98" hidden="1" customWidth="1"/>
    <col min="95" max="95" width="16.33203125" style="98" hidden="1" customWidth="1"/>
    <col min="96" max="96" width="16.21875" style="98" hidden="1" customWidth="1"/>
    <col min="97" max="97" width="1.88671875" style="98" hidden="1" customWidth="1"/>
    <col min="98" max="98" width="8.33203125" style="98" hidden="1" customWidth="1"/>
    <col min="99" max="101" width="15.33203125" style="98" hidden="1" customWidth="1"/>
    <col min="102" max="102" width="15.33203125" style="98" customWidth="1"/>
    <col min="103" max="105" width="15.109375" style="98" customWidth="1"/>
    <col min="106" max="106" width="18.109375" style="98" customWidth="1"/>
    <col min="107" max="107" width="15.109375" style="98" customWidth="1"/>
    <col min="108" max="108" width="15.6640625" style="98" customWidth="1"/>
    <col min="109" max="110" width="14.33203125" style="98" customWidth="1"/>
    <col min="111" max="111" width="18.109375" style="98" customWidth="1"/>
    <col min="112" max="112" width="13.6640625" style="98" customWidth="1"/>
    <col min="113" max="16384" width="9" style="98"/>
  </cols>
  <sheetData>
    <row r="1" spans="1:112">
      <c r="A1" s="100" t="s">
        <v>250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3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P1" s="104" t="s">
        <v>251</v>
      </c>
      <c r="CY1" s="105" t="s">
        <v>252</v>
      </c>
    </row>
    <row r="2" spans="1:112">
      <c r="A2" s="106" t="s">
        <v>253</v>
      </c>
      <c r="B2" s="107" t="s">
        <v>254</v>
      </c>
      <c r="C2" s="108"/>
      <c r="D2" s="109"/>
      <c r="E2" s="110" t="s">
        <v>255</v>
      </c>
      <c r="F2" s="109"/>
      <c r="G2" s="111"/>
      <c r="H2" s="112"/>
      <c r="I2" s="113"/>
      <c r="J2" s="114" t="s">
        <v>256</v>
      </c>
      <c r="K2" s="113"/>
      <c r="L2" s="113"/>
      <c r="M2" s="108"/>
      <c r="N2" s="109"/>
      <c r="O2" s="110" t="s">
        <v>257</v>
      </c>
      <c r="P2" s="109"/>
      <c r="Q2" s="111"/>
      <c r="R2" s="112"/>
      <c r="S2" s="113"/>
      <c r="T2" s="115" t="s">
        <v>258</v>
      </c>
      <c r="U2" s="113"/>
      <c r="V2" s="116"/>
      <c r="W2" s="108"/>
      <c r="X2" s="109"/>
      <c r="Y2" s="110" t="s">
        <v>259</v>
      </c>
      <c r="Z2" s="109"/>
      <c r="AA2" s="111"/>
      <c r="AB2" s="112"/>
      <c r="AC2" s="113"/>
      <c r="AD2" s="115" t="s">
        <v>260</v>
      </c>
      <c r="AE2" s="113"/>
      <c r="AF2" s="116"/>
      <c r="AG2" s="108"/>
      <c r="AH2" s="109"/>
      <c r="AI2" s="110" t="s">
        <v>261</v>
      </c>
      <c r="AJ2" s="109"/>
      <c r="AK2" s="111"/>
      <c r="AL2" s="112"/>
      <c r="AM2" s="113"/>
      <c r="AN2" s="115" t="s">
        <v>262</v>
      </c>
      <c r="AO2" s="113"/>
      <c r="AP2" s="116"/>
      <c r="AQ2" s="108"/>
      <c r="AR2" s="109"/>
      <c r="AS2" s="110" t="s">
        <v>263</v>
      </c>
      <c r="AT2" s="109"/>
      <c r="AU2" s="111"/>
      <c r="AV2" s="112"/>
      <c r="AW2" s="113"/>
      <c r="AX2" s="115" t="s">
        <v>264</v>
      </c>
      <c r="AY2" s="113"/>
      <c r="AZ2" s="116"/>
      <c r="BA2" s="108"/>
      <c r="BB2" s="109"/>
      <c r="BC2" s="110" t="s">
        <v>265</v>
      </c>
      <c r="BD2" s="109"/>
      <c r="BE2" s="111"/>
      <c r="BF2" s="112"/>
      <c r="BG2" s="113"/>
      <c r="BH2" s="115" t="s">
        <v>266</v>
      </c>
      <c r="BI2" s="113"/>
      <c r="BJ2" s="116"/>
      <c r="BK2" s="108"/>
      <c r="BL2" s="109"/>
      <c r="BM2" s="110" t="s">
        <v>267</v>
      </c>
      <c r="BN2" s="109"/>
      <c r="BO2" s="111"/>
      <c r="BP2" s="112"/>
      <c r="BQ2" s="113"/>
      <c r="BR2" s="114" t="s">
        <v>268</v>
      </c>
      <c r="BS2" s="113"/>
      <c r="BT2" s="113"/>
      <c r="BU2" s="109"/>
      <c r="BV2" s="109"/>
      <c r="BW2" s="110" t="s">
        <v>269</v>
      </c>
      <c r="BX2" s="109"/>
      <c r="BY2" s="111"/>
      <c r="BZ2" s="112"/>
      <c r="CA2" s="113"/>
      <c r="CB2" s="115" t="s">
        <v>270</v>
      </c>
      <c r="CC2" s="113"/>
      <c r="CD2" s="116"/>
      <c r="CE2" s="108"/>
      <c r="CF2" s="109"/>
      <c r="CG2" s="110" t="s">
        <v>271</v>
      </c>
      <c r="CH2" s="109"/>
      <c r="CI2" s="111"/>
      <c r="CJ2" s="112"/>
      <c r="CK2" s="113"/>
      <c r="CL2" s="115" t="s">
        <v>272</v>
      </c>
      <c r="CM2" s="113"/>
      <c r="CN2" s="116"/>
      <c r="CP2" s="117"/>
      <c r="CQ2" s="117" t="s">
        <v>273</v>
      </c>
      <c r="CR2" s="117"/>
      <c r="CS2" s="118"/>
      <c r="CT2" s="118"/>
      <c r="CU2" s="117"/>
      <c r="CV2" s="119" t="s">
        <v>274</v>
      </c>
      <c r="CW2" s="117"/>
      <c r="CY2" s="2470" t="s">
        <v>275</v>
      </c>
      <c r="CZ2" s="2470"/>
      <c r="DA2" s="2470"/>
      <c r="DB2" s="2470"/>
      <c r="DC2" s="2470"/>
      <c r="DD2" s="2470" t="s">
        <v>276</v>
      </c>
      <c r="DE2" s="2470"/>
      <c r="DF2" s="2470"/>
      <c r="DG2" s="2470"/>
      <c r="DH2" s="2470"/>
    </row>
    <row r="3" spans="1:112">
      <c r="A3" s="120"/>
      <c r="B3" s="120"/>
      <c r="C3" s="121" t="s">
        <v>277</v>
      </c>
      <c r="D3" s="122" t="s">
        <v>278</v>
      </c>
      <c r="E3" s="123" t="s">
        <v>279</v>
      </c>
      <c r="F3" s="121" t="s">
        <v>280</v>
      </c>
      <c r="G3" s="124" t="s">
        <v>281</v>
      </c>
      <c r="H3" s="125" t="s">
        <v>277</v>
      </c>
      <c r="I3" s="126" t="s">
        <v>278</v>
      </c>
      <c r="J3" s="127" t="s">
        <v>282</v>
      </c>
      <c r="K3" s="125" t="s">
        <v>280</v>
      </c>
      <c r="L3" s="128" t="s">
        <v>281</v>
      </c>
      <c r="M3" s="121" t="s">
        <v>277</v>
      </c>
      <c r="N3" s="122" t="s">
        <v>278</v>
      </c>
      <c r="O3" s="124" t="s">
        <v>283</v>
      </c>
      <c r="P3" s="121" t="s">
        <v>280</v>
      </c>
      <c r="Q3" s="124" t="s">
        <v>281</v>
      </c>
      <c r="R3" s="129" t="s">
        <v>277</v>
      </c>
      <c r="S3" s="129" t="s">
        <v>278</v>
      </c>
      <c r="T3" s="130" t="s">
        <v>284</v>
      </c>
      <c r="U3" s="129" t="s">
        <v>280</v>
      </c>
      <c r="V3" s="131" t="s">
        <v>281</v>
      </c>
      <c r="W3" s="132" t="s">
        <v>277</v>
      </c>
      <c r="X3" s="132" t="s">
        <v>278</v>
      </c>
      <c r="Y3" s="133" t="s">
        <v>282</v>
      </c>
      <c r="Z3" s="132" t="s">
        <v>280</v>
      </c>
      <c r="AA3" s="133" t="s">
        <v>281</v>
      </c>
      <c r="AB3" s="125" t="s">
        <v>277</v>
      </c>
      <c r="AC3" s="126" t="s">
        <v>278</v>
      </c>
      <c r="AD3" s="128" t="s">
        <v>282</v>
      </c>
      <c r="AE3" s="125" t="s">
        <v>280</v>
      </c>
      <c r="AF3" s="128" t="s">
        <v>281</v>
      </c>
      <c r="AG3" s="121" t="s">
        <v>277</v>
      </c>
      <c r="AH3" s="122" t="s">
        <v>278</v>
      </c>
      <c r="AI3" s="124" t="s">
        <v>283</v>
      </c>
      <c r="AJ3" s="121" t="s">
        <v>280</v>
      </c>
      <c r="AK3" s="124" t="s">
        <v>281</v>
      </c>
      <c r="AL3" s="125" t="s">
        <v>277</v>
      </c>
      <c r="AM3" s="126" t="s">
        <v>278</v>
      </c>
      <c r="AN3" s="128" t="s">
        <v>282</v>
      </c>
      <c r="AO3" s="125" t="s">
        <v>280</v>
      </c>
      <c r="AP3" s="128" t="s">
        <v>281</v>
      </c>
      <c r="AQ3" s="121" t="s">
        <v>277</v>
      </c>
      <c r="AR3" s="122" t="s">
        <v>278</v>
      </c>
      <c r="AS3" s="124" t="s">
        <v>283</v>
      </c>
      <c r="AT3" s="121" t="s">
        <v>280</v>
      </c>
      <c r="AU3" s="124" t="s">
        <v>281</v>
      </c>
      <c r="AV3" s="125" t="s">
        <v>277</v>
      </c>
      <c r="AW3" s="126" t="s">
        <v>278</v>
      </c>
      <c r="AX3" s="128" t="s">
        <v>282</v>
      </c>
      <c r="AY3" s="125" t="s">
        <v>280</v>
      </c>
      <c r="AZ3" s="128" t="s">
        <v>281</v>
      </c>
      <c r="BA3" s="121" t="s">
        <v>277</v>
      </c>
      <c r="BB3" s="122" t="s">
        <v>278</v>
      </c>
      <c r="BC3" s="124" t="s">
        <v>283</v>
      </c>
      <c r="BD3" s="121" t="s">
        <v>280</v>
      </c>
      <c r="BE3" s="124" t="s">
        <v>281</v>
      </c>
      <c r="BF3" s="125" t="s">
        <v>277</v>
      </c>
      <c r="BG3" s="126" t="s">
        <v>278</v>
      </c>
      <c r="BH3" s="128" t="s">
        <v>282</v>
      </c>
      <c r="BI3" s="125" t="s">
        <v>280</v>
      </c>
      <c r="BJ3" s="128" t="s">
        <v>281</v>
      </c>
      <c r="BK3" s="121" t="s">
        <v>277</v>
      </c>
      <c r="BL3" s="122" t="s">
        <v>278</v>
      </c>
      <c r="BM3" s="124" t="s">
        <v>283</v>
      </c>
      <c r="BN3" s="121" t="s">
        <v>280</v>
      </c>
      <c r="BO3" s="124" t="s">
        <v>281</v>
      </c>
      <c r="BP3" s="125" t="s">
        <v>277</v>
      </c>
      <c r="BQ3" s="126" t="s">
        <v>278</v>
      </c>
      <c r="BR3" s="134" t="s">
        <v>284</v>
      </c>
      <c r="BS3" s="125" t="s">
        <v>280</v>
      </c>
      <c r="BT3" s="128" t="s">
        <v>281</v>
      </c>
      <c r="BU3" s="121" t="s">
        <v>277</v>
      </c>
      <c r="BV3" s="122" t="s">
        <v>278</v>
      </c>
      <c r="BW3" s="124" t="s">
        <v>283</v>
      </c>
      <c r="BX3" s="121" t="s">
        <v>280</v>
      </c>
      <c r="BY3" s="124" t="s">
        <v>281</v>
      </c>
      <c r="BZ3" s="125" t="s">
        <v>277</v>
      </c>
      <c r="CA3" s="126" t="s">
        <v>278</v>
      </c>
      <c r="CB3" s="128" t="s">
        <v>282</v>
      </c>
      <c r="CC3" s="125" t="s">
        <v>280</v>
      </c>
      <c r="CD3" s="128" t="s">
        <v>281</v>
      </c>
      <c r="CE3" s="121" t="s">
        <v>277</v>
      </c>
      <c r="CF3" s="122" t="s">
        <v>278</v>
      </c>
      <c r="CG3" s="124" t="s">
        <v>283</v>
      </c>
      <c r="CH3" s="121" t="s">
        <v>280</v>
      </c>
      <c r="CI3" s="124" t="s">
        <v>281</v>
      </c>
      <c r="CJ3" s="125" t="s">
        <v>277</v>
      </c>
      <c r="CK3" s="126" t="s">
        <v>278</v>
      </c>
      <c r="CL3" s="128" t="s">
        <v>282</v>
      </c>
      <c r="CM3" s="125" t="s">
        <v>280</v>
      </c>
      <c r="CN3" s="128" t="s">
        <v>281</v>
      </c>
      <c r="CP3" s="135" t="s">
        <v>282</v>
      </c>
      <c r="CQ3" s="136" t="s">
        <v>285</v>
      </c>
      <c r="CR3" s="137" t="s">
        <v>286</v>
      </c>
      <c r="CU3" s="135" t="s">
        <v>282</v>
      </c>
      <c r="CV3" s="136" t="s">
        <v>285</v>
      </c>
      <c r="CW3" s="137" t="s">
        <v>286</v>
      </c>
      <c r="CY3" s="138" t="s">
        <v>287</v>
      </c>
      <c r="CZ3" s="139" t="s">
        <v>288</v>
      </c>
      <c r="DA3" s="139" t="s">
        <v>289</v>
      </c>
      <c r="DB3" s="139" t="s">
        <v>290</v>
      </c>
      <c r="DC3" s="140" t="s">
        <v>291</v>
      </c>
      <c r="DD3" s="141" t="s">
        <v>287</v>
      </c>
      <c r="DE3" s="142" t="s">
        <v>288</v>
      </c>
      <c r="DF3" s="142" t="s">
        <v>289</v>
      </c>
      <c r="DG3" s="142" t="s">
        <v>290</v>
      </c>
      <c r="DH3" s="143" t="s">
        <v>291</v>
      </c>
    </row>
    <row r="4" spans="1:112">
      <c r="A4" s="144" t="s">
        <v>292</v>
      </c>
      <c r="B4" s="144" t="s">
        <v>293</v>
      </c>
      <c r="C4" s="132" t="s">
        <v>294</v>
      </c>
      <c r="D4" s="132" t="s">
        <v>295</v>
      </c>
      <c r="E4" s="132" t="s">
        <v>296</v>
      </c>
      <c r="F4" s="145" t="s">
        <v>297</v>
      </c>
      <c r="G4" s="132" t="s">
        <v>298</v>
      </c>
      <c r="H4" s="129" t="s">
        <v>294</v>
      </c>
      <c r="I4" s="129" t="s">
        <v>295</v>
      </c>
      <c r="J4" s="129" t="s">
        <v>296</v>
      </c>
      <c r="K4" s="129" t="s">
        <v>297</v>
      </c>
      <c r="L4" s="129" t="s">
        <v>298</v>
      </c>
      <c r="M4" s="146" t="s">
        <v>294</v>
      </c>
      <c r="N4" s="132" t="s">
        <v>295</v>
      </c>
      <c r="O4" s="132" t="s">
        <v>296</v>
      </c>
      <c r="P4" s="132" t="s">
        <v>297</v>
      </c>
      <c r="Q4" s="132" t="s">
        <v>298</v>
      </c>
      <c r="R4" s="129" t="s">
        <v>294</v>
      </c>
      <c r="S4" s="129" t="s">
        <v>295</v>
      </c>
      <c r="T4" s="129" t="s">
        <v>296</v>
      </c>
      <c r="U4" s="129" t="s">
        <v>297</v>
      </c>
      <c r="V4" s="129" t="s">
        <v>298</v>
      </c>
      <c r="W4" s="132" t="s">
        <v>294</v>
      </c>
      <c r="X4" s="132" t="s">
        <v>295</v>
      </c>
      <c r="Y4" s="132" t="s">
        <v>296</v>
      </c>
      <c r="Z4" s="132" t="s">
        <v>297</v>
      </c>
      <c r="AA4" s="132" t="s">
        <v>298</v>
      </c>
      <c r="AB4" s="129" t="s">
        <v>294</v>
      </c>
      <c r="AC4" s="129" t="s">
        <v>295</v>
      </c>
      <c r="AD4" s="129" t="s">
        <v>296</v>
      </c>
      <c r="AE4" s="129" t="s">
        <v>297</v>
      </c>
      <c r="AF4" s="129" t="s">
        <v>298</v>
      </c>
      <c r="AG4" s="132" t="s">
        <v>294</v>
      </c>
      <c r="AH4" s="132" t="s">
        <v>295</v>
      </c>
      <c r="AI4" s="132" t="s">
        <v>296</v>
      </c>
      <c r="AJ4" s="132" t="s">
        <v>297</v>
      </c>
      <c r="AK4" s="132" t="s">
        <v>298</v>
      </c>
      <c r="AL4" s="129" t="s">
        <v>294</v>
      </c>
      <c r="AM4" s="129" t="s">
        <v>295</v>
      </c>
      <c r="AN4" s="129" t="s">
        <v>296</v>
      </c>
      <c r="AO4" s="129" t="s">
        <v>297</v>
      </c>
      <c r="AP4" s="129" t="s">
        <v>298</v>
      </c>
      <c r="AQ4" s="132" t="s">
        <v>294</v>
      </c>
      <c r="AR4" s="132" t="s">
        <v>295</v>
      </c>
      <c r="AS4" s="132" t="s">
        <v>296</v>
      </c>
      <c r="AT4" s="132" t="s">
        <v>297</v>
      </c>
      <c r="AU4" s="132" t="s">
        <v>298</v>
      </c>
      <c r="AV4" s="129" t="s">
        <v>294</v>
      </c>
      <c r="AW4" s="129" t="s">
        <v>295</v>
      </c>
      <c r="AX4" s="129" t="s">
        <v>296</v>
      </c>
      <c r="AY4" s="129" t="s">
        <v>297</v>
      </c>
      <c r="AZ4" s="129" t="s">
        <v>298</v>
      </c>
      <c r="BA4" s="132" t="s">
        <v>294</v>
      </c>
      <c r="BB4" s="132" t="s">
        <v>295</v>
      </c>
      <c r="BC4" s="132" t="s">
        <v>296</v>
      </c>
      <c r="BD4" s="132" t="s">
        <v>297</v>
      </c>
      <c r="BE4" s="132" t="s">
        <v>298</v>
      </c>
      <c r="BF4" s="129" t="s">
        <v>294</v>
      </c>
      <c r="BG4" s="129" t="s">
        <v>295</v>
      </c>
      <c r="BH4" s="129" t="s">
        <v>296</v>
      </c>
      <c r="BI4" s="129" t="s">
        <v>297</v>
      </c>
      <c r="BJ4" s="129" t="s">
        <v>298</v>
      </c>
      <c r="BK4" s="132" t="s">
        <v>294</v>
      </c>
      <c r="BL4" s="132" t="s">
        <v>295</v>
      </c>
      <c r="BM4" s="132" t="s">
        <v>296</v>
      </c>
      <c r="BN4" s="132" t="s">
        <v>297</v>
      </c>
      <c r="BO4" s="132" t="s">
        <v>298</v>
      </c>
      <c r="BP4" s="129" t="s">
        <v>294</v>
      </c>
      <c r="BQ4" s="129" t="s">
        <v>295</v>
      </c>
      <c r="BR4" s="147" t="s">
        <v>296</v>
      </c>
      <c r="BS4" s="129" t="s">
        <v>297</v>
      </c>
      <c r="BT4" s="129" t="s">
        <v>298</v>
      </c>
      <c r="BU4" s="132" t="s">
        <v>294</v>
      </c>
      <c r="BV4" s="132" t="s">
        <v>295</v>
      </c>
      <c r="BW4" s="132" t="s">
        <v>296</v>
      </c>
      <c r="BX4" s="132" t="s">
        <v>297</v>
      </c>
      <c r="BY4" s="132" t="s">
        <v>298</v>
      </c>
      <c r="BZ4" s="129" t="s">
        <v>294</v>
      </c>
      <c r="CA4" s="129" t="s">
        <v>295</v>
      </c>
      <c r="CB4" s="129" t="s">
        <v>296</v>
      </c>
      <c r="CC4" s="129" t="s">
        <v>297</v>
      </c>
      <c r="CD4" s="129" t="s">
        <v>298</v>
      </c>
      <c r="CE4" s="132" t="s">
        <v>294</v>
      </c>
      <c r="CF4" s="132" t="s">
        <v>295</v>
      </c>
      <c r="CG4" s="132" t="s">
        <v>296</v>
      </c>
      <c r="CH4" s="132" t="s">
        <v>297</v>
      </c>
      <c r="CI4" s="132" t="s">
        <v>298</v>
      </c>
      <c r="CJ4" s="129" t="s">
        <v>294</v>
      </c>
      <c r="CK4" s="129" t="s">
        <v>295</v>
      </c>
      <c r="CL4" s="129" t="s">
        <v>296</v>
      </c>
      <c r="CM4" s="129" t="s">
        <v>297</v>
      </c>
      <c r="CN4" s="129" t="s">
        <v>298</v>
      </c>
      <c r="CP4" s="148" t="s">
        <v>296</v>
      </c>
      <c r="CQ4" s="149" t="s">
        <v>299</v>
      </c>
      <c r="CR4" s="150" t="s">
        <v>300</v>
      </c>
      <c r="CU4" s="148" t="s">
        <v>296</v>
      </c>
      <c r="CV4" s="149" t="s">
        <v>299</v>
      </c>
      <c r="CW4" s="150" t="s">
        <v>300</v>
      </c>
      <c r="CY4" s="151" t="s">
        <v>301</v>
      </c>
      <c r="CZ4" s="152" t="s">
        <v>302</v>
      </c>
      <c r="DA4" s="152" t="s">
        <v>303</v>
      </c>
      <c r="DB4" s="153" t="s">
        <v>304</v>
      </c>
      <c r="DC4" s="154"/>
      <c r="DD4" s="151" t="s">
        <v>305</v>
      </c>
      <c r="DE4" s="152" t="s">
        <v>303</v>
      </c>
      <c r="DF4" s="152" t="s">
        <v>302</v>
      </c>
      <c r="DG4" s="153" t="s">
        <v>306</v>
      </c>
      <c r="DH4" s="154"/>
    </row>
    <row r="5" spans="1:112">
      <c r="A5" s="155" t="s">
        <v>307</v>
      </c>
      <c r="B5" s="156" t="s">
        <v>308</v>
      </c>
      <c r="C5" s="157">
        <f>IFERROR(VLOOKUP($A5,'A0 BS 1240在建'!$1:$1048576,5,0),0)</f>
        <v>0</v>
      </c>
      <c r="D5" s="157">
        <f>IFERROR(VLOOKUP($A5,'B0 2264預收'!$1:$1048576,5,0),0)</f>
        <v>0</v>
      </c>
      <c r="E5" s="157">
        <f t="shared" ref="E5:E36" si="0">+C5-D5</f>
        <v>0</v>
      </c>
      <c r="F5" s="157">
        <f>IFERROR(VLOOKUP($A5,'B0 2264預收'!$1:$1048576,6,0),0)</f>
        <v>0</v>
      </c>
      <c r="G5" s="157">
        <f t="shared" ref="G5:G36" si="1">+E5-F5</f>
        <v>0</v>
      </c>
      <c r="H5" s="158">
        <f>IFERROR(VLOOKUP($A5,'A0 BS 1240在建'!$1:$1048576,13,0),0)</f>
        <v>0</v>
      </c>
      <c r="I5" s="158">
        <f>IFERROR(VLOOKUP($A5,'B0 2264預收'!$1:$1048576,13,0),0)</f>
        <v>0</v>
      </c>
      <c r="J5" s="158">
        <f t="shared" ref="J5:J36" si="2">+H5-I5</f>
        <v>0</v>
      </c>
      <c r="K5" s="158">
        <f>IFERROR(VLOOKUP($A5,'B0 2264預收'!$1:$1048576,14,0),0)</f>
        <v>0</v>
      </c>
      <c r="L5" s="158">
        <f t="shared" ref="L5:L36" si="3">+H5-I5-K5</f>
        <v>0</v>
      </c>
      <c r="M5" s="157">
        <f>H5+IFERROR(VLOOKUP($A5,'A0 BS 1240在建'!$1:$1048576,17,0),0)</f>
        <v>0</v>
      </c>
      <c r="N5" s="157">
        <f>I5+IFERROR(VLOOKUP($A5,'B0 2264預收'!$1:$1048576,17,0),0)</f>
        <v>0</v>
      </c>
      <c r="O5" s="157">
        <f t="shared" ref="O5:O36" si="4">+M5-N5</f>
        <v>0</v>
      </c>
      <c r="P5" s="157">
        <f>K5+IFERROR(+VLOOKUP($A5,'B0 2264預收'!$1:$1048576,18,0),0)</f>
        <v>0</v>
      </c>
      <c r="Q5" s="157">
        <f t="shared" ref="Q5:Q36" si="5">+O5-P5</f>
        <v>0</v>
      </c>
      <c r="R5" s="158">
        <f>M5+IFERROR(VLOOKUP($A5,'A0 BS 1240在建'!$1:$1048576,21,0),0)</f>
        <v>0</v>
      </c>
      <c r="S5" s="158">
        <f>+N5+IFERROR(VLOOKUP($A5,'B0 2264預收'!$1:$1048576,21,0),0)</f>
        <v>0</v>
      </c>
      <c r="T5" s="158">
        <f t="shared" ref="T5:T36" si="6">+R5-S5</f>
        <v>0</v>
      </c>
      <c r="U5" s="158">
        <f>+P5+IFERROR(+VLOOKUP($A5,'B0 2264預收'!$1:$1048576,22,0),0)</f>
        <v>0</v>
      </c>
      <c r="V5" s="158">
        <f t="shared" ref="V5:V36" si="7">+T5-U5</f>
        <v>0</v>
      </c>
      <c r="W5" s="157">
        <f>+R5+IFERROR(VLOOKUP($A5,'A0 BS 1240在建'!$1:$1048576,25,0),0)</f>
        <v>0</v>
      </c>
      <c r="X5" s="157">
        <f>+S5+IFERROR(VLOOKUP($A5,'B0 2264預收'!$1:$1048576,25,0),0)</f>
        <v>0</v>
      </c>
      <c r="Y5" s="157">
        <f t="shared" ref="Y5:Y36" si="8">+W5-X5</f>
        <v>0</v>
      </c>
      <c r="Z5" s="157">
        <f>+U5+IFERROR(+VLOOKUP($A5,'B0 2264預收'!$1:$1048576,26,0),0)</f>
        <v>0</v>
      </c>
      <c r="AA5" s="157">
        <f t="shared" ref="AA5:AA36" si="9">+Y5-Z5</f>
        <v>0</v>
      </c>
      <c r="AB5" s="158">
        <f>+W5+IFERROR(VLOOKUP($A5,'A0 BS 1240在建'!$1:$1048576,29,0),0)</f>
        <v>0</v>
      </c>
      <c r="AC5" s="158">
        <f>+X5+IFERROR(VLOOKUP($A5,'B0 2264預收'!$1:$1048576,29,0),0)</f>
        <v>0</v>
      </c>
      <c r="AD5" s="158">
        <f t="shared" ref="AD5:AD36" si="10">+AB5-AC5</f>
        <v>0</v>
      </c>
      <c r="AE5" s="158">
        <f>+Z5+IFERROR(+VLOOKUP($A5,'B0 2264預收'!$1:$1048576,30,0),0)</f>
        <v>0</v>
      </c>
      <c r="AF5" s="158">
        <f t="shared" ref="AF5:AF36" si="11">+AD5-AE5</f>
        <v>0</v>
      </c>
      <c r="AG5" s="157">
        <f>+AB5+IFERROR(VLOOKUP($A5,'A0 BS 1240在建'!$1:$1048576,33,0),0)</f>
        <v>0</v>
      </c>
      <c r="AH5" s="157">
        <f>+AC5+IFERROR(VLOOKUP($A5,'B0 2264預收'!$1:$1048576,33,0),0)</f>
        <v>0</v>
      </c>
      <c r="AI5" s="157">
        <f t="shared" ref="AI5:AI36" si="12">+AG5-AH5</f>
        <v>0</v>
      </c>
      <c r="AJ5" s="157">
        <f>+AE5+IFERROR(+VLOOKUP($A5,'B0 2264預收'!$1:$1048576,34,0),0)</f>
        <v>0</v>
      </c>
      <c r="AK5" s="157">
        <f t="shared" ref="AK5:AK36" si="13">+AI5-AJ5</f>
        <v>0</v>
      </c>
      <c r="AL5" s="158">
        <f>+AG5+IFERROR(VLOOKUP($A5,'A0 BS 1240在建'!$1:$1048576,37,0),0)</f>
        <v>0</v>
      </c>
      <c r="AM5" s="158">
        <f>+AH5+IFERROR(VLOOKUP($A5,'B0 2264預收'!$1:$1048576,37,0),0)</f>
        <v>0</v>
      </c>
      <c r="AN5" s="158">
        <f t="shared" ref="AN5:AN36" si="14">+AL5-AM5</f>
        <v>0</v>
      </c>
      <c r="AO5" s="158">
        <f>+AJ5+IFERROR(+VLOOKUP($A5,'B0 2264預收'!$1:$1048576,38,0),0)</f>
        <v>0</v>
      </c>
      <c r="AP5" s="158">
        <f t="shared" ref="AP5:AP36" si="15">+AN5-AO5</f>
        <v>0</v>
      </c>
      <c r="AQ5" s="157">
        <f>+AL5+IFERROR(VLOOKUP($A5,'A0 BS 1240在建'!$1:$1048576,41,0),0)</f>
        <v>0</v>
      </c>
      <c r="AR5" s="157">
        <f>+AM5+IFERROR(VLOOKUP($A5,'B0 2264預收'!$1:$1048576,41,0),0)</f>
        <v>0</v>
      </c>
      <c r="AS5" s="157">
        <f t="shared" ref="AS5:AS36" si="16">+AQ5-AR5</f>
        <v>0</v>
      </c>
      <c r="AT5" s="157">
        <f>+AO5+IFERROR(+VLOOKUP($A5,'B0 2264預收'!$1:$1048576,42,0),0)</f>
        <v>0</v>
      </c>
      <c r="AU5" s="157">
        <f t="shared" ref="AU5:AU36" si="17">+AS5-AT5</f>
        <v>0</v>
      </c>
      <c r="AV5" s="158">
        <f>+AQ5+IFERROR(VLOOKUP($A5,'A0 BS 1240在建'!$1:$1048576,45,0),0)</f>
        <v>0</v>
      </c>
      <c r="AW5" s="158">
        <f>+AR5+IFERROR(VLOOKUP($A5,'B0 2264預收'!$1:$1048576,45,0),0)</f>
        <v>0</v>
      </c>
      <c r="AX5" s="158">
        <f t="shared" ref="AX5:AX36" si="18">+AV5-AW5</f>
        <v>0</v>
      </c>
      <c r="AY5" s="158">
        <f>+AT5+IFERROR(+VLOOKUP($A5,'B0 2264預收'!$1:$1048576,46,0),0)</f>
        <v>0</v>
      </c>
      <c r="AZ5" s="158">
        <f t="shared" ref="AZ5:AZ36" si="19">+AX5-AY5</f>
        <v>0</v>
      </c>
      <c r="BA5" s="157">
        <f>+AV5+IFERROR(VLOOKUP($A5,'A0 BS 1240在建'!$1:$1048576,49,0),0)</f>
        <v>0</v>
      </c>
      <c r="BB5" s="157">
        <f>+AW5+IFERROR(VLOOKUP($A5,'B0 2264預收'!$1:$1048576,49,0),0)</f>
        <v>0</v>
      </c>
      <c r="BC5" s="157">
        <f t="shared" ref="BC5:BC36" si="20">+BA5-BB5</f>
        <v>0</v>
      </c>
      <c r="BD5" s="157">
        <f>+AY5+IFERROR(+VLOOKUP($A5,'B0 2264預收'!$1:$1048576,50,0),0)</f>
        <v>0</v>
      </c>
      <c r="BE5" s="157">
        <f t="shared" ref="BE5:BE36" si="21">+BC5-BD5</f>
        <v>0</v>
      </c>
      <c r="BF5" s="158">
        <f>+BA5+IFERROR(VLOOKUP($A5,'A0 BS 1240在建'!$1:$1048576,53,0),0)</f>
        <v>0</v>
      </c>
      <c r="BG5" s="158">
        <f>+BB5+IFERROR(VLOOKUP($A5,'B0 2264預收'!$1:$1048576,53,0),0)</f>
        <v>0</v>
      </c>
      <c r="BH5" s="158">
        <f t="shared" ref="BH5:BH36" si="22">+BF5-BG5</f>
        <v>0</v>
      </c>
      <c r="BI5" s="158">
        <f>+BD5+IFERROR(+VLOOKUP($A5,'B0 2264預收'!$1:$1048576,54,0),0)</f>
        <v>0</v>
      </c>
      <c r="BJ5" s="158">
        <f t="shared" ref="BJ5:BJ36" si="23">+BH5-BI5</f>
        <v>0</v>
      </c>
      <c r="BK5" s="157">
        <f>+BF5+IFERROR(VLOOKUP($A5,'A0 BS 1240在建'!$1:$1048576,57,0),0)</f>
        <v>0</v>
      </c>
      <c r="BL5" s="157">
        <f>+BG5+IFERROR(VLOOKUP($A5,'B0 2264預收'!$1:$1048576,57,0),0)</f>
        <v>0</v>
      </c>
      <c r="BM5" s="157">
        <f t="shared" ref="BM5:BM36" si="24">+BK5-BL5</f>
        <v>0</v>
      </c>
      <c r="BN5" s="157">
        <f>+BI5+IFERROR(+VLOOKUP($A5,'B0 2264預收'!$1:$1048576,58,0),0)</f>
        <v>0</v>
      </c>
      <c r="BO5" s="157">
        <f t="shared" ref="BO5:BO36" si="25">+BM5-BN5</f>
        <v>0</v>
      </c>
      <c r="BP5" s="158">
        <f>+BK5+IFERROR(VLOOKUP($A5,'A0 BS 1240在建'!$1:$1048576,61,0),0)</f>
        <v>0</v>
      </c>
      <c r="BQ5" s="158">
        <f>+BL5+IFERROR(VLOOKUP($A5,'B0 2264預收'!$1:$1048576,61,0),0)</f>
        <v>0</v>
      </c>
      <c r="BR5" s="159">
        <f t="shared" ref="BR5:BR36" si="26">+BP5-BQ5</f>
        <v>0</v>
      </c>
      <c r="BS5" s="158">
        <f>+BN5+IFERROR(+VLOOKUP($A5,'B0 2264預收'!$1:$1048576,62,0),0)</f>
        <v>0</v>
      </c>
      <c r="BT5" s="158">
        <f t="shared" ref="BT5:BT36" si="27">+BR5-BS5</f>
        <v>0</v>
      </c>
      <c r="BU5" s="157">
        <f>+IFERROR(VLOOKUP($A5,'A0 BS 1240在建'!$1:$1048576,77,0),0)</f>
        <v>0</v>
      </c>
      <c r="BV5" s="157">
        <f>+IFERROR(VLOOKUP($A5,'B0 2264預收'!$1:$1048576,77,0),0)</f>
        <v>0</v>
      </c>
      <c r="BW5" s="157">
        <f t="shared" ref="BW5:BW36" si="28">+BU5-BV5</f>
        <v>0</v>
      </c>
      <c r="BX5" s="157">
        <f>+IFERROR(+VLOOKUP($A5,'B0 2264預收'!$1:$1048576,78,0),0)</f>
        <v>0</v>
      </c>
      <c r="BY5" s="157">
        <f t="shared" ref="BY5:BY36" si="29">+BW5-BX5</f>
        <v>0</v>
      </c>
      <c r="BZ5" s="158">
        <f>IFERROR(+VLOOKUP($A5,'A0 BS 1240在建'!$1:$1048576,85,0),0)</f>
        <v>0</v>
      </c>
      <c r="CA5" s="158">
        <f>IFERROR(+VLOOKUP($A5,'B0 2264預收'!$1:$1048576,85,0),0)</f>
        <v>0</v>
      </c>
      <c r="CB5" s="158">
        <f t="shared" ref="CB5:CB36" si="30">+BZ5-CA5</f>
        <v>0</v>
      </c>
      <c r="CC5" s="158">
        <f>+IFERROR(+VLOOKUP($A5,'B0 2264預收'!$1:$1048576,86,0),0)</f>
        <v>0</v>
      </c>
      <c r="CD5" s="158">
        <f t="shared" ref="CD5:CD36" si="31">+CB5-CC5</f>
        <v>0</v>
      </c>
      <c r="CE5" s="157">
        <f>+IFERROR(VLOOKUP($A5,'A0 BS 1240在建'!$1:$1048576,93,0),0)</f>
        <v>0</v>
      </c>
      <c r="CF5" s="157">
        <f>+IFERROR(VLOOKUP($A5,'B0 2264預收'!$1:$1048576,93,0),0)</f>
        <v>0</v>
      </c>
      <c r="CG5" s="157">
        <f t="shared" ref="CG5:CG36" si="32">+CE5-CF5</f>
        <v>0</v>
      </c>
      <c r="CH5" s="157">
        <f>+IFERROR(+VLOOKUP($A5,'B0 2264預收'!$1:$1048576,94,0),0)</f>
        <v>0</v>
      </c>
      <c r="CI5" s="157">
        <f t="shared" ref="CI5:CI36" si="33">+CG5-CH5</f>
        <v>0</v>
      </c>
      <c r="CJ5" s="158">
        <f>IFERROR(+VLOOKUP($A5,'A0 BS 1240在建'!$1:$1048576,101,0),0)</f>
        <v>0</v>
      </c>
      <c r="CK5" s="158">
        <f>IFERROR(+VLOOKUP($A5,'B0 2264預收'!$1:$1048576,101,0),0)</f>
        <v>0</v>
      </c>
      <c r="CL5" s="158">
        <f t="shared" ref="CL5:CL36" si="34">+CJ5-CK5</f>
        <v>0</v>
      </c>
      <c r="CM5" s="158">
        <f>+IFERROR(+VLOOKUP($A5,'B0 2264預收'!$1:$1048576,102,0),0)</f>
        <v>0</v>
      </c>
      <c r="CN5" s="158">
        <f t="shared" ref="CN5:CN36" si="35">+CL5-CM5</f>
        <v>0</v>
      </c>
      <c r="CP5" s="160">
        <f t="shared" ref="CP5:CP19" si="36">+J5-E5</f>
        <v>0</v>
      </c>
      <c r="CQ5" s="118">
        <f>-E5</f>
        <v>0</v>
      </c>
      <c r="CR5" s="98">
        <f>+J5</f>
        <v>0</v>
      </c>
      <c r="CU5" s="161">
        <f t="shared" ref="CU5:CU19" si="37">+BR5-J5</f>
        <v>0</v>
      </c>
      <c r="CV5" s="98">
        <f>+BR5</f>
        <v>0</v>
      </c>
      <c r="CW5" s="98">
        <f>-J5</f>
        <v>0</v>
      </c>
      <c r="CY5" s="162" t="str">
        <f t="shared" ref="CY5:CY36" si="38">IF(AND(BR5&gt;0, J5&gt;0), BR5-J5, "")</f>
        <v/>
      </c>
      <c r="CZ5" s="98" t="str">
        <f t="shared" ref="CZ5:CZ36" si="39">IF(AND(BR5&lt;0,J5&gt;0),-J5," ")</f>
        <v xml:space="preserve"> </v>
      </c>
      <c r="DA5" s="98" t="str">
        <f t="shared" ref="DA5:DA36" si="40">IF(AND(BR5&gt;0,J5&lt;0),BR5," ")</f>
        <v xml:space="preserve"> </v>
      </c>
      <c r="DB5" s="98" t="str">
        <f t="shared" ref="DB5:DB36" si="41">IF(AND(L5=0,BR5&lt;0),-BR5," ")</f>
        <v xml:space="preserve"> </v>
      </c>
      <c r="DC5" s="163">
        <f t="shared" ref="DC5:DC36" si="42">SUM(CY5:DB5)</f>
        <v>0</v>
      </c>
      <c r="DD5" s="162" t="str">
        <f>IF(AND(BR5&lt;0, J5&lt;0), BR5-J5, "")</f>
        <v/>
      </c>
      <c r="DE5" s="98" t="str">
        <f>IF(AND(BR5&lt;0,J5&gt;0),BR5," ")</f>
        <v xml:space="preserve"> </v>
      </c>
      <c r="DF5" s="98" t="str">
        <f>IF(AND(BR5&gt;0,J5&lt;0),-J5," ")</f>
        <v xml:space="preserve"> </v>
      </c>
      <c r="DG5" s="98" t="str">
        <f>IF(AND(L5&lt;0,BR5=0),-L5," ")</f>
        <v xml:space="preserve"> </v>
      </c>
      <c r="DH5" s="163">
        <f t="shared" ref="DH5:DH36" si="43">SUM(DD5:DG5)</f>
        <v>0</v>
      </c>
    </row>
    <row r="6" spans="1:112">
      <c r="A6" s="155" t="s">
        <v>309</v>
      </c>
      <c r="B6" s="164" t="s">
        <v>310</v>
      </c>
      <c r="C6" s="157">
        <f>IFERROR(VLOOKUP($A6,'A0 BS 1240在建'!$1:$1048576,5,0),0)</f>
        <v>0</v>
      </c>
      <c r="D6" s="157">
        <f>IFERROR(VLOOKUP($A6,'B0 2264預收'!$1:$1048576,5,0),0)</f>
        <v>0</v>
      </c>
      <c r="E6" s="157">
        <f t="shared" si="0"/>
        <v>0</v>
      </c>
      <c r="F6" s="157">
        <f>IFERROR(VLOOKUP($A6,'B0 2264預收'!$1:$1048576,6,0),0)</f>
        <v>0</v>
      </c>
      <c r="G6" s="157">
        <f t="shared" si="1"/>
        <v>0</v>
      </c>
      <c r="H6" s="158">
        <f>IFERROR(VLOOKUP($A6,'A0 BS 1240在建'!$1:$1048576,13,0),0)</f>
        <v>0</v>
      </c>
      <c r="I6" s="158">
        <f>IFERROR(VLOOKUP($A6,'B0 2264預收'!$1:$1048576,13,0),0)</f>
        <v>0</v>
      </c>
      <c r="J6" s="158">
        <f t="shared" si="2"/>
        <v>0</v>
      </c>
      <c r="K6" s="158">
        <f>IFERROR(VLOOKUP($A6,'B0 2264預收'!$1:$1048576,14,0),0)</f>
        <v>0</v>
      </c>
      <c r="L6" s="158">
        <f t="shared" si="3"/>
        <v>0</v>
      </c>
      <c r="M6" s="157">
        <f>H6+IFERROR(VLOOKUP($A6,'A0 BS 1240在建'!$1:$1048576,17,0),0)</f>
        <v>0</v>
      </c>
      <c r="N6" s="157">
        <f>I6+IFERROR(VLOOKUP($A6,'B0 2264預收'!$1:$1048576,17,0),0)</f>
        <v>0</v>
      </c>
      <c r="O6" s="157">
        <f t="shared" si="4"/>
        <v>0</v>
      </c>
      <c r="P6" s="157">
        <f>K6+IFERROR(+VLOOKUP($A6,'B0 2264預收'!$1:$1048576,18,0),0)</f>
        <v>0</v>
      </c>
      <c r="Q6" s="157">
        <f t="shared" si="5"/>
        <v>0</v>
      </c>
      <c r="R6" s="158">
        <f>M6+IFERROR(VLOOKUP($A6,'A0 BS 1240在建'!$1:$1048576,21,0),0)</f>
        <v>0</v>
      </c>
      <c r="S6" s="158">
        <f>+N6+IFERROR(VLOOKUP($A6,'B0 2264預收'!$1:$1048576,21,0),0)</f>
        <v>0</v>
      </c>
      <c r="T6" s="158">
        <f t="shared" si="6"/>
        <v>0</v>
      </c>
      <c r="U6" s="158">
        <f>+P6+IFERROR(+VLOOKUP($A6,'B0 2264預收'!$1:$1048576,22,0),0)</f>
        <v>0</v>
      </c>
      <c r="V6" s="158">
        <f t="shared" si="7"/>
        <v>0</v>
      </c>
      <c r="W6" s="157">
        <f>+R6+IFERROR(VLOOKUP($A6,'A0 BS 1240在建'!$1:$1048576,25,0),0)</f>
        <v>0</v>
      </c>
      <c r="X6" s="157">
        <f>+S6+IFERROR(VLOOKUP($A6,'B0 2264預收'!$1:$1048576,25,0),0)</f>
        <v>0</v>
      </c>
      <c r="Y6" s="157">
        <f t="shared" si="8"/>
        <v>0</v>
      </c>
      <c r="Z6" s="157">
        <f>+U6+IFERROR(+VLOOKUP($A6,'B0 2264預收'!$1:$1048576,26,0),0)</f>
        <v>0</v>
      </c>
      <c r="AA6" s="157">
        <f t="shared" si="9"/>
        <v>0</v>
      </c>
      <c r="AB6" s="158">
        <f>+W6+IFERROR(VLOOKUP($A6,'A0 BS 1240在建'!$1:$1048576,29,0),0)</f>
        <v>0</v>
      </c>
      <c r="AC6" s="158">
        <f>+X6+IFERROR(VLOOKUP($A6,'B0 2264預收'!$1:$1048576,29,0),0)</f>
        <v>0</v>
      </c>
      <c r="AD6" s="158">
        <f t="shared" si="10"/>
        <v>0</v>
      </c>
      <c r="AE6" s="158">
        <f>+Z6+IFERROR(+VLOOKUP($A6,'B0 2264預收'!$1:$1048576,30,0),0)</f>
        <v>0</v>
      </c>
      <c r="AF6" s="158">
        <f t="shared" si="11"/>
        <v>0</v>
      </c>
      <c r="AG6" s="157">
        <f>+AB6+IFERROR(VLOOKUP($A6,'A0 BS 1240在建'!$1:$1048576,33,0),0)</f>
        <v>0</v>
      </c>
      <c r="AH6" s="157">
        <f>+AC6+IFERROR(VLOOKUP($A6,'B0 2264預收'!$1:$1048576,33,0),0)</f>
        <v>0</v>
      </c>
      <c r="AI6" s="157">
        <f t="shared" si="12"/>
        <v>0</v>
      </c>
      <c r="AJ6" s="157">
        <f>+AE6+IFERROR(+VLOOKUP($A6,'B0 2264預收'!$1:$1048576,34,0),0)</f>
        <v>0</v>
      </c>
      <c r="AK6" s="157">
        <f t="shared" si="13"/>
        <v>0</v>
      </c>
      <c r="AL6" s="158">
        <f>+AG6+IFERROR(VLOOKUP($A6,'A0 BS 1240在建'!$1:$1048576,37,0),0)</f>
        <v>0</v>
      </c>
      <c r="AM6" s="158">
        <f>+AH6+IFERROR(VLOOKUP($A6,'B0 2264預收'!$1:$1048576,37,0),0)</f>
        <v>0</v>
      </c>
      <c r="AN6" s="158">
        <f t="shared" si="14"/>
        <v>0</v>
      </c>
      <c r="AO6" s="158">
        <f>+AJ6+IFERROR(+VLOOKUP($A6,'B0 2264預收'!$1:$1048576,38,0),0)</f>
        <v>0</v>
      </c>
      <c r="AP6" s="158">
        <f t="shared" si="15"/>
        <v>0</v>
      </c>
      <c r="AQ6" s="157">
        <f>+AL6+IFERROR(VLOOKUP($A6,'A0 BS 1240在建'!$1:$1048576,41,0),0)</f>
        <v>0</v>
      </c>
      <c r="AR6" s="157">
        <f>+AM6+IFERROR(VLOOKUP($A6,'B0 2264預收'!$1:$1048576,41,0),0)</f>
        <v>0</v>
      </c>
      <c r="AS6" s="157">
        <f t="shared" si="16"/>
        <v>0</v>
      </c>
      <c r="AT6" s="157">
        <f>+AO6+IFERROR(+VLOOKUP($A6,'B0 2264預收'!$1:$1048576,42,0),0)</f>
        <v>0</v>
      </c>
      <c r="AU6" s="157">
        <f t="shared" si="17"/>
        <v>0</v>
      </c>
      <c r="AV6" s="158">
        <f>+AQ6+IFERROR(VLOOKUP($A6,'A0 BS 1240在建'!$1:$1048576,45,0),0)</f>
        <v>0</v>
      </c>
      <c r="AW6" s="158">
        <f>+AR6+IFERROR(VLOOKUP($A6,'B0 2264預收'!$1:$1048576,45,0),0)</f>
        <v>0</v>
      </c>
      <c r="AX6" s="158">
        <f t="shared" si="18"/>
        <v>0</v>
      </c>
      <c r="AY6" s="158">
        <f>+AT6+IFERROR(+VLOOKUP($A6,'B0 2264預收'!$1:$1048576,46,0),0)</f>
        <v>0</v>
      </c>
      <c r="AZ6" s="158">
        <f t="shared" si="19"/>
        <v>0</v>
      </c>
      <c r="BA6" s="157">
        <f>+AV6+IFERROR(VLOOKUP($A6,'A0 BS 1240在建'!$1:$1048576,49,0),0)</f>
        <v>0</v>
      </c>
      <c r="BB6" s="157">
        <f>+AW6+IFERROR(VLOOKUP($A6,'B0 2264預收'!$1:$1048576,49,0),0)</f>
        <v>0</v>
      </c>
      <c r="BC6" s="157">
        <f t="shared" si="20"/>
        <v>0</v>
      </c>
      <c r="BD6" s="157">
        <f>+AY6+IFERROR(+VLOOKUP($A6,'B0 2264預收'!$1:$1048576,50,0),0)</f>
        <v>0</v>
      </c>
      <c r="BE6" s="157">
        <f t="shared" si="21"/>
        <v>0</v>
      </c>
      <c r="BF6" s="158">
        <f>+BA6+IFERROR(VLOOKUP($A6,'A0 BS 1240在建'!$1:$1048576,53,0),0)</f>
        <v>0</v>
      </c>
      <c r="BG6" s="158">
        <f>+BB6+IFERROR(VLOOKUP($A6,'B0 2264預收'!$1:$1048576,53,0),0)</f>
        <v>0</v>
      </c>
      <c r="BH6" s="158">
        <f t="shared" si="22"/>
        <v>0</v>
      </c>
      <c r="BI6" s="158">
        <f>+BD6+IFERROR(+VLOOKUP($A6,'B0 2264預收'!$1:$1048576,54,0),0)</f>
        <v>0</v>
      </c>
      <c r="BJ6" s="158">
        <f t="shared" si="23"/>
        <v>0</v>
      </c>
      <c r="BK6" s="157">
        <f>+BF6+IFERROR(VLOOKUP($A6,'A0 BS 1240在建'!$1:$1048576,57,0),0)</f>
        <v>0</v>
      </c>
      <c r="BL6" s="157">
        <f>+BG6+IFERROR(VLOOKUP($A6,'B0 2264預收'!$1:$1048576,57,0),0)</f>
        <v>0</v>
      </c>
      <c r="BM6" s="157">
        <f t="shared" si="24"/>
        <v>0</v>
      </c>
      <c r="BN6" s="157">
        <f>+BI6+IFERROR(+VLOOKUP($A6,'B0 2264預收'!$1:$1048576,58,0),0)</f>
        <v>0</v>
      </c>
      <c r="BO6" s="157">
        <f t="shared" si="25"/>
        <v>0</v>
      </c>
      <c r="BP6" s="158">
        <f>+BK6+IFERROR(VLOOKUP($A6,'A0 BS 1240在建'!$1:$1048576,61,0),0)</f>
        <v>0</v>
      </c>
      <c r="BQ6" s="158">
        <f>+BL6+IFERROR(VLOOKUP($A6,'B0 2264預收'!$1:$1048576,61,0),0)</f>
        <v>0</v>
      </c>
      <c r="BR6" s="159">
        <f t="shared" si="26"/>
        <v>0</v>
      </c>
      <c r="BS6" s="158">
        <f>+BN6+IFERROR(+VLOOKUP($A6,'B0 2264預收'!$1:$1048576,62,0),0)</f>
        <v>0</v>
      </c>
      <c r="BT6" s="158">
        <f t="shared" si="27"/>
        <v>0</v>
      </c>
      <c r="BU6" s="157">
        <f>+IFERROR(VLOOKUP($A6,'A0 BS 1240在建'!$1:$1048576,77,0),0)</f>
        <v>0</v>
      </c>
      <c r="BV6" s="157">
        <f>+IFERROR(VLOOKUP($A6,'B0 2264預收'!$1:$1048576,77,0),0)</f>
        <v>0</v>
      </c>
      <c r="BW6" s="157">
        <f t="shared" si="28"/>
        <v>0</v>
      </c>
      <c r="BX6" s="157">
        <f>+IFERROR(+VLOOKUP($A6,'B0 2264預收'!$1:$1048576,78,0),0)</f>
        <v>0</v>
      </c>
      <c r="BY6" s="157">
        <f t="shared" si="29"/>
        <v>0</v>
      </c>
      <c r="BZ6" s="158">
        <f>IFERROR(+VLOOKUP($A6,'A0 BS 1240在建'!$1:$1048576,85,0),0)</f>
        <v>0</v>
      </c>
      <c r="CA6" s="158">
        <f>IFERROR(+VLOOKUP($A6,'B0 2264預收'!$1:$1048576,85,0),0)</f>
        <v>0</v>
      </c>
      <c r="CB6" s="158">
        <f t="shared" si="30"/>
        <v>0</v>
      </c>
      <c r="CC6" s="158">
        <f>+IFERROR(+VLOOKUP($A6,'B0 2264預收'!$1:$1048576,86,0),0)</f>
        <v>0</v>
      </c>
      <c r="CD6" s="158">
        <f t="shared" si="31"/>
        <v>0</v>
      </c>
      <c r="CE6" s="157">
        <f>+IFERROR(VLOOKUP($A6,'A0 BS 1240在建'!$1:$1048576,93,0),0)</f>
        <v>0</v>
      </c>
      <c r="CF6" s="157">
        <f>+IFERROR(VLOOKUP($A6,'B0 2264預收'!$1:$1048576,93,0),0)</f>
        <v>0</v>
      </c>
      <c r="CG6" s="157">
        <f t="shared" si="32"/>
        <v>0</v>
      </c>
      <c r="CH6" s="157">
        <f>+IFERROR(+VLOOKUP($A6,'B0 2264預收'!$1:$1048576,94,0),0)</f>
        <v>0</v>
      </c>
      <c r="CI6" s="157">
        <f t="shared" si="33"/>
        <v>0</v>
      </c>
      <c r="CJ6" s="158">
        <f>IFERROR(+VLOOKUP($A6,'A0 BS 1240在建'!$1:$1048576,101,0),0)</f>
        <v>0</v>
      </c>
      <c r="CK6" s="158">
        <f>IFERROR(+VLOOKUP($A6,'B0 2264預收'!$1:$1048576,101,0),0)</f>
        <v>0</v>
      </c>
      <c r="CL6" s="158">
        <f t="shared" si="34"/>
        <v>0</v>
      </c>
      <c r="CM6" s="158">
        <f>+IFERROR(+VLOOKUP($A6,'B0 2264預收'!$1:$1048576,102,0),0)</f>
        <v>0</v>
      </c>
      <c r="CN6" s="158">
        <f t="shared" si="35"/>
        <v>0</v>
      </c>
      <c r="CP6" s="165">
        <f t="shared" si="36"/>
        <v>0</v>
      </c>
      <c r="CR6" s="98">
        <f>+CP6</f>
        <v>0</v>
      </c>
      <c r="CU6" s="165">
        <f t="shared" si="37"/>
        <v>0</v>
      </c>
      <c r="CW6" s="98">
        <f>+CU6</f>
        <v>0</v>
      </c>
      <c r="CY6" s="162" t="str">
        <f t="shared" si="38"/>
        <v/>
      </c>
      <c r="CZ6" s="98" t="str">
        <f t="shared" si="39"/>
        <v xml:space="preserve"> </v>
      </c>
      <c r="DA6" s="98" t="str">
        <f t="shared" si="40"/>
        <v xml:space="preserve"> </v>
      </c>
      <c r="DB6" s="98" t="str">
        <f t="shared" si="41"/>
        <v xml:space="preserve"> </v>
      </c>
      <c r="DC6" s="163">
        <f t="shared" si="42"/>
        <v>0</v>
      </c>
      <c r="DD6" s="162" t="str">
        <f t="shared" ref="DD6:DD37" si="44">IF(AND(BR6&lt;0, J6&lt;0), (BR6-J6)*-1, "")</f>
        <v/>
      </c>
      <c r="DE6" s="98" t="str">
        <f t="shared" ref="DE6:DE37" si="45">IF(AND(BR6&lt;0,J6&gt;0),-BR6," ")</f>
        <v xml:space="preserve"> </v>
      </c>
      <c r="DF6" s="98" t="str">
        <f t="shared" ref="DF6:DF37" si="46">IF(AND(BR6&gt;0,J6&lt;0),-J6*-1," ")</f>
        <v xml:space="preserve"> </v>
      </c>
      <c r="DG6" s="98" t="str">
        <f t="shared" ref="DG6:DG37" si="47">IF(AND(L6&lt;0,BR6=0),-L6*-1," ")</f>
        <v xml:space="preserve"> </v>
      </c>
      <c r="DH6" s="163">
        <f t="shared" si="43"/>
        <v>0</v>
      </c>
    </row>
    <row r="7" spans="1:112">
      <c r="A7" s="155" t="s">
        <v>311</v>
      </c>
      <c r="B7" s="164" t="s">
        <v>312</v>
      </c>
      <c r="C7" s="157">
        <f>IFERROR(VLOOKUP($A7,'A0 BS 1240在建'!$1:$1048576,5,0),0)</f>
        <v>0</v>
      </c>
      <c r="D7" s="157">
        <f>IFERROR(VLOOKUP($A7,'B0 2264預收'!$1:$1048576,5,0),0)</f>
        <v>0</v>
      </c>
      <c r="E7" s="157">
        <f t="shared" si="0"/>
        <v>0</v>
      </c>
      <c r="F7" s="157">
        <f>IFERROR(VLOOKUP($A7,'B0 2264預收'!$1:$1048576,6,0),0)</f>
        <v>0</v>
      </c>
      <c r="G7" s="157">
        <f t="shared" si="1"/>
        <v>0</v>
      </c>
      <c r="H7" s="158">
        <f>IFERROR(VLOOKUP($A7,'A0 BS 1240在建'!$1:$1048576,13,0),0)</f>
        <v>0</v>
      </c>
      <c r="I7" s="158">
        <f>IFERROR(VLOOKUP($A7,'B0 2264預收'!$1:$1048576,13,0),0)</f>
        <v>0</v>
      </c>
      <c r="J7" s="158">
        <f t="shared" si="2"/>
        <v>0</v>
      </c>
      <c r="K7" s="158">
        <f>IFERROR(VLOOKUP($A7,'B0 2264預收'!$1:$1048576,14,0),0)</f>
        <v>0</v>
      </c>
      <c r="L7" s="158">
        <f t="shared" si="3"/>
        <v>0</v>
      </c>
      <c r="M7" s="157">
        <f>H7+IFERROR(VLOOKUP($A7,'A0 BS 1240在建'!$1:$1048576,17,0),0)</f>
        <v>0</v>
      </c>
      <c r="N7" s="157">
        <f>I7+IFERROR(VLOOKUP($A7,'B0 2264預收'!$1:$1048576,17,0),0)</f>
        <v>0</v>
      </c>
      <c r="O7" s="157">
        <f t="shared" si="4"/>
        <v>0</v>
      </c>
      <c r="P7" s="157">
        <f>K7+IFERROR(+VLOOKUP($A7,'B0 2264預收'!$1:$1048576,18,0),0)</f>
        <v>0</v>
      </c>
      <c r="Q7" s="157">
        <f t="shared" si="5"/>
        <v>0</v>
      </c>
      <c r="R7" s="158">
        <f>M7+IFERROR(VLOOKUP($A7,'A0 BS 1240在建'!$1:$1048576,21,0),0)</f>
        <v>0</v>
      </c>
      <c r="S7" s="158">
        <f>+N7+IFERROR(VLOOKUP($A7,'B0 2264預收'!$1:$1048576,21,0),0)</f>
        <v>0</v>
      </c>
      <c r="T7" s="158">
        <f t="shared" si="6"/>
        <v>0</v>
      </c>
      <c r="U7" s="158">
        <f>+P7+IFERROR(+VLOOKUP($A7,'B0 2264預收'!$1:$1048576,22,0),0)</f>
        <v>0</v>
      </c>
      <c r="V7" s="158">
        <f t="shared" si="7"/>
        <v>0</v>
      </c>
      <c r="W7" s="157">
        <f>+R7+IFERROR(VLOOKUP($A7,'A0 BS 1240在建'!$1:$1048576,25,0),0)</f>
        <v>0</v>
      </c>
      <c r="X7" s="157">
        <f>+S7+IFERROR(VLOOKUP($A7,'B0 2264預收'!$1:$1048576,25,0),0)</f>
        <v>0</v>
      </c>
      <c r="Y7" s="157">
        <f t="shared" si="8"/>
        <v>0</v>
      </c>
      <c r="Z7" s="157">
        <f>+U7+IFERROR(+VLOOKUP($A7,'B0 2264預收'!$1:$1048576,26,0),0)</f>
        <v>0</v>
      </c>
      <c r="AA7" s="157">
        <f t="shared" si="9"/>
        <v>0</v>
      </c>
      <c r="AB7" s="158">
        <f>+W7+IFERROR(VLOOKUP($A7,'A0 BS 1240在建'!$1:$1048576,29,0),0)</f>
        <v>0</v>
      </c>
      <c r="AC7" s="158">
        <f>+X7+IFERROR(VLOOKUP($A7,'B0 2264預收'!$1:$1048576,29,0),0)</f>
        <v>0</v>
      </c>
      <c r="AD7" s="158">
        <f t="shared" si="10"/>
        <v>0</v>
      </c>
      <c r="AE7" s="158">
        <f>+Z7+IFERROR(+VLOOKUP($A7,'B0 2264預收'!$1:$1048576,30,0),0)</f>
        <v>0</v>
      </c>
      <c r="AF7" s="158">
        <f t="shared" si="11"/>
        <v>0</v>
      </c>
      <c r="AG7" s="157">
        <f>+AB7+IFERROR(VLOOKUP($A7,'A0 BS 1240在建'!$1:$1048576,33,0),0)</f>
        <v>0</v>
      </c>
      <c r="AH7" s="157">
        <f>+AC7+IFERROR(VLOOKUP($A7,'B0 2264預收'!$1:$1048576,33,0),0)</f>
        <v>0</v>
      </c>
      <c r="AI7" s="157">
        <f t="shared" si="12"/>
        <v>0</v>
      </c>
      <c r="AJ7" s="157">
        <f>+AE7+IFERROR(+VLOOKUP($A7,'B0 2264預收'!$1:$1048576,34,0),0)</f>
        <v>0</v>
      </c>
      <c r="AK7" s="157">
        <f t="shared" si="13"/>
        <v>0</v>
      </c>
      <c r="AL7" s="158">
        <f>+AG7+IFERROR(VLOOKUP($A7,'A0 BS 1240在建'!$1:$1048576,37,0),0)</f>
        <v>0</v>
      </c>
      <c r="AM7" s="158">
        <f>+AH7+IFERROR(VLOOKUP($A7,'B0 2264預收'!$1:$1048576,37,0),0)</f>
        <v>0</v>
      </c>
      <c r="AN7" s="158">
        <f t="shared" si="14"/>
        <v>0</v>
      </c>
      <c r="AO7" s="158">
        <f>+AJ7+IFERROR(+VLOOKUP($A7,'B0 2264預收'!$1:$1048576,38,0),0)</f>
        <v>0</v>
      </c>
      <c r="AP7" s="158">
        <f t="shared" si="15"/>
        <v>0</v>
      </c>
      <c r="AQ7" s="157">
        <f>+AL7+IFERROR(VLOOKUP($A7,'A0 BS 1240在建'!$1:$1048576,41,0),0)</f>
        <v>0</v>
      </c>
      <c r="AR7" s="157">
        <f>+AM7+IFERROR(VLOOKUP($A7,'B0 2264預收'!$1:$1048576,41,0),0)</f>
        <v>0</v>
      </c>
      <c r="AS7" s="157">
        <f t="shared" si="16"/>
        <v>0</v>
      </c>
      <c r="AT7" s="157">
        <f>+AO7+IFERROR(+VLOOKUP($A7,'B0 2264預收'!$1:$1048576,42,0),0)</f>
        <v>0</v>
      </c>
      <c r="AU7" s="157">
        <f t="shared" si="17"/>
        <v>0</v>
      </c>
      <c r="AV7" s="158">
        <f>+AQ7+IFERROR(VLOOKUP($A7,'A0 BS 1240在建'!$1:$1048576,45,0),0)</f>
        <v>0</v>
      </c>
      <c r="AW7" s="158">
        <f>+AR7+IFERROR(VLOOKUP($A7,'B0 2264預收'!$1:$1048576,45,0),0)</f>
        <v>0</v>
      </c>
      <c r="AX7" s="158">
        <f t="shared" si="18"/>
        <v>0</v>
      </c>
      <c r="AY7" s="158">
        <f>+AT7+IFERROR(+VLOOKUP($A7,'B0 2264預收'!$1:$1048576,46,0),0)</f>
        <v>0</v>
      </c>
      <c r="AZ7" s="158">
        <f t="shared" si="19"/>
        <v>0</v>
      </c>
      <c r="BA7" s="157">
        <f>+AV7+IFERROR(VLOOKUP($A7,'A0 BS 1240在建'!$1:$1048576,49,0),0)</f>
        <v>0</v>
      </c>
      <c r="BB7" s="157">
        <f>+AW7+IFERROR(VLOOKUP($A7,'B0 2264預收'!$1:$1048576,49,0),0)</f>
        <v>0</v>
      </c>
      <c r="BC7" s="157">
        <f t="shared" si="20"/>
        <v>0</v>
      </c>
      <c r="BD7" s="157">
        <f>+AY7+IFERROR(+VLOOKUP($A7,'B0 2264預收'!$1:$1048576,50,0),0)</f>
        <v>0</v>
      </c>
      <c r="BE7" s="157">
        <f t="shared" si="21"/>
        <v>0</v>
      </c>
      <c r="BF7" s="158">
        <f>+BA7+IFERROR(VLOOKUP($A7,'A0 BS 1240在建'!$1:$1048576,53,0),0)</f>
        <v>0</v>
      </c>
      <c r="BG7" s="158">
        <f>+BB7+IFERROR(VLOOKUP($A7,'B0 2264預收'!$1:$1048576,53,0),0)</f>
        <v>0</v>
      </c>
      <c r="BH7" s="158">
        <f t="shared" si="22"/>
        <v>0</v>
      </c>
      <c r="BI7" s="158">
        <f>+BD7+IFERROR(+VLOOKUP($A7,'B0 2264預收'!$1:$1048576,54,0),0)</f>
        <v>0</v>
      </c>
      <c r="BJ7" s="158">
        <f t="shared" si="23"/>
        <v>0</v>
      </c>
      <c r="BK7" s="157">
        <f>+BF7+IFERROR(VLOOKUP($A7,'A0 BS 1240在建'!$1:$1048576,57,0),0)</f>
        <v>0</v>
      </c>
      <c r="BL7" s="157">
        <f>+BG7+IFERROR(VLOOKUP($A7,'B0 2264預收'!$1:$1048576,57,0),0)</f>
        <v>0</v>
      </c>
      <c r="BM7" s="157">
        <f t="shared" si="24"/>
        <v>0</v>
      </c>
      <c r="BN7" s="157">
        <f>+BI7+IFERROR(+VLOOKUP($A7,'B0 2264預收'!$1:$1048576,58,0),0)</f>
        <v>0</v>
      </c>
      <c r="BO7" s="157">
        <f t="shared" si="25"/>
        <v>0</v>
      </c>
      <c r="BP7" s="158">
        <f>+BK7+IFERROR(VLOOKUP($A7,'A0 BS 1240在建'!$1:$1048576,61,0),0)</f>
        <v>0</v>
      </c>
      <c r="BQ7" s="158">
        <f>+BL7+IFERROR(VLOOKUP($A7,'B0 2264預收'!$1:$1048576,61,0),0)</f>
        <v>0</v>
      </c>
      <c r="BR7" s="159">
        <f t="shared" si="26"/>
        <v>0</v>
      </c>
      <c r="BS7" s="158">
        <f>+BN7+IFERROR(+VLOOKUP($A7,'B0 2264預收'!$1:$1048576,62,0),0)</f>
        <v>0</v>
      </c>
      <c r="BT7" s="158">
        <f t="shared" si="27"/>
        <v>0</v>
      </c>
      <c r="BU7" s="157">
        <f>+IFERROR(VLOOKUP($A7,'A0 BS 1240在建'!$1:$1048576,77,0),0)</f>
        <v>0</v>
      </c>
      <c r="BV7" s="157">
        <f>+IFERROR(VLOOKUP($A7,'B0 2264預收'!$1:$1048576,77,0),0)</f>
        <v>0</v>
      </c>
      <c r="BW7" s="157">
        <f t="shared" si="28"/>
        <v>0</v>
      </c>
      <c r="BX7" s="157">
        <f>+IFERROR(+VLOOKUP($A7,'B0 2264預收'!$1:$1048576,78,0),0)</f>
        <v>0</v>
      </c>
      <c r="BY7" s="157">
        <f t="shared" si="29"/>
        <v>0</v>
      </c>
      <c r="BZ7" s="158">
        <f>IFERROR(+VLOOKUP($A7,'A0 BS 1240在建'!$1:$1048576,85,0),0)</f>
        <v>0</v>
      </c>
      <c r="CA7" s="158">
        <f>IFERROR(+VLOOKUP($A7,'B0 2264預收'!$1:$1048576,85,0),0)</f>
        <v>0</v>
      </c>
      <c r="CB7" s="158">
        <f t="shared" si="30"/>
        <v>0</v>
      </c>
      <c r="CC7" s="158">
        <f>+IFERROR(+VLOOKUP($A7,'B0 2264預收'!$1:$1048576,86,0),0)</f>
        <v>0</v>
      </c>
      <c r="CD7" s="158">
        <f t="shared" si="31"/>
        <v>0</v>
      </c>
      <c r="CE7" s="157">
        <f>+IFERROR(VLOOKUP($A7,'A0 BS 1240在建'!$1:$1048576,93,0),0)</f>
        <v>0</v>
      </c>
      <c r="CF7" s="157">
        <f>+IFERROR(VLOOKUP($A7,'B0 2264預收'!$1:$1048576,93,0),0)</f>
        <v>0</v>
      </c>
      <c r="CG7" s="157">
        <f t="shared" si="32"/>
        <v>0</v>
      </c>
      <c r="CH7" s="157">
        <f>+IFERROR(+VLOOKUP($A7,'B0 2264預收'!$1:$1048576,94,0),0)</f>
        <v>0</v>
      </c>
      <c r="CI7" s="157">
        <f t="shared" si="33"/>
        <v>0</v>
      </c>
      <c r="CJ7" s="158">
        <f>IFERROR(+VLOOKUP($A7,'A0 BS 1240在建'!$1:$1048576,101,0),0)</f>
        <v>0</v>
      </c>
      <c r="CK7" s="158">
        <f>IFERROR(+VLOOKUP($A7,'B0 2264預收'!$1:$1048576,101,0),0)</f>
        <v>0</v>
      </c>
      <c r="CL7" s="158">
        <f t="shared" si="34"/>
        <v>0</v>
      </c>
      <c r="CM7" s="158">
        <f>+IFERROR(+VLOOKUP($A7,'B0 2264預收'!$1:$1048576,102,0),0)</f>
        <v>0</v>
      </c>
      <c r="CN7" s="158">
        <f t="shared" si="35"/>
        <v>0</v>
      </c>
      <c r="CP7" s="165">
        <f t="shared" si="36"/>
        <v>0</v>
      </c>
      <c r="CR7" s="98">
        <f>+CP7</f>
        <v>0</v>
      </c>
      <c r="CU7" s="165">
        <f t="shared" si="37"/>
        <v>0</v>
      </c>
      <c r="CW7" s="98">
        <f>+CU7</f>
        <v>0</v>
      </c>
      <c r="CY7" s="162" t="str">
        <f t="shared" si="38"/>
        <v/>
      </c>
      <c r="CZ7" s="98" t="str">
        <f t="shared" si="39"/>
        <v xml:space="preserve"> </v>
      </c>
      <c r="DA7" s="98" t="str">
        <f t="shared" si="40"/>
        <v xml:space="preserve"> </v>
      </c>
      <c r="DB7" s="98" t="str">
        <f t="shared" si="41"/>
        <v xml:space="preserve"> </v>
      </c>
      <c r="DC7" s="163">
        <f t="shared" si="42"/>
        <v>0</v>
      </c>
      <c r="DD7" s="162" t="str">
        <f t="shared" si="44"/>
        <v/>
      </c>
      <c r="DE7" s="98" t="str">
        <f t="shared" si="45"/>
        <v xml:space="preserve"> </v>
      </c>
      <c r="DF7" s="98" t="str">
        <f t="shared" si="46"/>
        <v xml:space="preserve"> </v>
      </c>
      <c r="DG7" s="98" t="str">
        <f t="shared" si="47"/>
        <v xml:space="preserve"> </v>
      </c>
      <c r="DH7" s="163">
        <f t="shared" si="43"/>
        <v>0</v>
      </c>
    </row>
    <row r="8" spans="1:112">
      <c r="A8" s="155" t="s">
        <v>313</v>
      </c>
      <c r="B8" s="164" t="s">
        <v>314</v>
      </c>
      <c r="C8" s="157">
        <f>IFERROR(VLOOKUP($A8,'A0 BS 1240在建'!$1:$1048576,5,0),0)</f>
        <v>0</v>
      </c>
      <c r="D8" s="157">
        <f>IFERROR(VLOOKUP($A8,'B0 2264預收'!$1:$1048576,5,0),0)</f>
        <v>0</v>
      </c>
      <c r="E8" s="157">
        <f t="shared" si="0"/>
        <v>0</v>
      </c>
      <c r="F8" s="157">
        <f>IFERROR(VLOOKUP($A8,'B0 2264預收'!$1:$1048576,6,0),0)</f>
        <v>0</v>
      </c>
      <c r="G8" s="157">
        <f t="shared" si="1"/>
        <v>0</v>
      </c>
      <c r="H8" s="158">
        <f>IFERROR(VLOOKUP($A8,'A0 BS 1240在建'!$1:$1048576,13,0),0)</f>
        <v>0</v>
      </c>
      <c r="I8" s="158">
        <f>IFERROR(VLOOKUP($A8,'B0 2264預收'!$1:$1048576,13,0),0)</f>
        <v>0</v>
      </c>
      <c r="J8" s="158">
        <f t="shared" si="2"/>
        <v>0</v>
      </c>
      <c r="K8" s="158">
        <f>IFERROR(VLOOKUP($A8,'B0 2264預收'!$1:$1048576,14,0),0)</f>
        <v>0</v>
      </c>
      <c r="L8" s="158">
        <f t="shared" si="3"/>
        <v>0</v>
      </c>
      <c r="M8" s="157">
        <f>H8+IFERROR(VLOOKUP($A8,'A0 BS 1240在建'!$1:$1048576,17,0),0)</f>
        <v>0</v>
      </c>
      <c r="N8" s="157">
        <f>I8+IFERROR(VLOOKUP($A8,'B0 2264預收'!$1:$1048576,17,0),0)</f>
        <v>0</v>
      </c>
      <c r="O8" s="157">
        <f t="shared" si="4"/>
        <v>0</v>
      </c>
      <c r="P8" s="157">
        <f>K8+IFERROR(+VLOOKUP($A8,'B0 2264預收'!$1:$1048576,18,0),0)</f>
        <v>0</v>
      </c>
      <c r="Q8" s="157">
        <f t="shared" si="5"/>
        <v>0</v>
      </c>
      <c r="R8" s="158">
        <f>M8+IFERROR(VLOOKUP($A8,'A0 BS 1240在建'!$1:$1048576,21,0),0)</f>
        <v>0</v>
      </c>
      <c r="S8" s="158">
        <f>+N8+IFERROR(VLOOKUP($A8,'B0 2264預收'!$1:$1048576,21,0),0)</f>
        <v>0</v>
      </c>
      <c r="T8" s="158">
        <f t="shared" si="6"/>
        <v>0</v>
      </c>
      <c r="U8" s="158">
        <f>+P8+IFERROR(+VLOOKUP($A8,'B0 2264預收'!$1:$1048576,22,0),0)</f>
        <v>0</v>
      </c>
      <c r="V8" s="158">
        <f t="shared" si="7"/>
        <v>0</v>
      </c>
      <c r="W8" s="157">
        <f>+R8+IFERROR(VLOOKUP($A8,'A0 BS 1240在建'!$1:$1048576,25,0),0)</f>
        <v>0</v>
      </c>
      <c r="X8" s="157">
        <f>+S8+IFERROR(VLOOKUP($A8,'B0 2264預收'!$1:$1048576,25,0),0)</f>
        <v>0</v>
      </c>
      <c r="Y8" s="157">
        <f t="shared" si="8"/>
        <v>0</v>
      </c>
      <c r="Z8" s="157">
        <f>+U8+IFERROR(+VLOOKUP($A8,'B0 2264預收'!$1:$1048576,26,0),0)</f>
        <v>0</v>
      </c>
      <c r="AA8" s="157">
        <f t="shared" si="9"/>
        <v>0</v>
      </c>
      <c r="AB8" s="158">
        <f>+W8+IFERROR(VLOOKUP($A8,'A0 BS 1240在建'!$1:$1048576,29,0),0)</f>
        <v>0</v>
      </c>
      <c r="AC8" s="158">
        <f>+X8+IFERROR(VLOOKUP($A8,'B0 2264預收'!$1:$1048576,29,0),0)</f>
        <v>0</v>
      </c>
      <c r="AD8" s="158">
        <f t="shared" si="10"/>
        <v>0</v>
      </c>
      <c r="AE8" s="158">
        <f>+Z8+IFERROR(+VLOOKUP($A8,'B0 2264預收'!$1:$1048576,30,0),0)</f>
        <v>0</v>
      </c>
      <c r="AF8" s="158">
        <f t="shared" si="11"/>
        <v>0</v>
      </c>
      <c r="AG8" s="157">
        <f>+AB8+IFERROR(VLOOKUP($A8,'A0 BS 1240在建'!$1:$1048576,33,0),0)</f>
        <v>0</v>
      </c>
      <c r="AH8" s="157">
        <f>+AC8+IFERROR(VLOOKUP($A8,'B0 2264預收'!$1:$1048576,33,0),0)</f>
        <v>0</v>
      </c>
      <c r="AI8" s="157">
        <f t="shared" si="12"/>
        <v>0</v>
      </c>
      <c r="AJ8" s="157">
        <f>+AE8+IFERROR(+VLOOKUP($A8,'B0 2264預收'!$1:$1048576,34,0),0)</f>
        <v>0</v>
      </c>
      <c r="AK8" s="157">
        <f t="shared" si="13"/>
        <v>0</v>
      </c>
      <c r="AL8" s="158">
        <f>+AG8+IFERROR(VLOOKUP($A8,'A0 BS 1240在建'!$1:$1048576,37,0),0)</f>
        <v>0</v>
      </c>
      <c r="AM8" s="158">
        <f>+AH8+IFERROR(VLOOKUP($A8,'B0 2264預收'!$1:$1048576,37,0),0)</f>
        <v>0</v>
      </c>
      <c r="AN8" s="158">
        <f t="shared" si="14"/>
        <v>0</v>
      </c>
      <c r="AO8" s="158">
        <f>+AJ8+IFERROR(+VLOOKUP($A8,'B0 2264預收'!$1:$1048576,38,0),0)</f>
        <v>0</v>
      </c>
      <c r="AP8" s="158">
        <f t="shared" si="15"/>
        <v>0</v>
      </c>
      <c r="AQ8" s="157">
        <f>+AL8+IFERROR(VLOOKUP($A8,'A0 BS 1240在建'!$1:$1048576,41,0),0)</f>
        <v>0</v>
      </c>
      <c r="AR8" s="157">
        <f>+AM8+IFERROR(VLOOKUP($A8,'B0 2264預收'!$1:$1048576,41,0),0)</f>
        <v>0</v>
      </c>
      <c r="AS8" s="157">
        <f t="shared" si="16"/>
        <v>0</v>
      </c>
      <c r="AT8" s="157">
        <f>+AO8+IFERROR(+VLOOKUP($A8,'B0 2264預收'!$1:$1048576,42,0),0)</f>
        <v>0</v>
      </c>
      <c r="AU8" s="157">
        <f t="shared" si="17"/>
        <v>0</v>
      </c>
      <c r="AV8" s="158">
        <f>+AQ8+IFERROR(VLOOKUP($A8,'A0 BS 1240在建'!$1:$1048576,45,0),0)</f>
        <v>0</v>
      </c>
      <c r="AW8" s="158">
        <f>+AR8+IFERROR(VLOOKUP($A8,'B0 2264預收'!$1:$1048576,45,0),0)</f>
        <v>0</v>
      </c>
      <c r="AX8" s="158">
        <f t="shared" si="18"/>
        <v>0</v>
      </c>
      <c r="AY8" s="158">
        <f>+AT8+IFERROR(+VLOOKUP($A8,'B0 2264預收'!$1:$1048576,46,0),0)</f>
        <v>0</v>
      </c>
      <c r="AZ8" s="158">
        <f t="shared" si="19"/>
        <v>0</v>
      </c>
      <c r="BA8" s="157">
        <f>+AV8+IFERROR(VLOOKUP($A8,'A0 BS 1240在建'!$1:$1048576,49,0),0)</f>
        <v>0</v>
      </c>
      <c r="BB8" s="157">
        <f>+AW8+IFERROR(VLOOKUP($A8,'B0 2264預收'!$1:$1048576,49,0),0)</f>
        <v>0</v>
      </c>
      <c r="BC8" s="157">
        <f t="shared" si="20"/>
        <v>0</v>
      </c>
      <c r="BD8" s="157">
        <f>+AY8+IFERROR(+VLOOKUP($A8,'B0 2264預收'!$1:$1048576,50,0),0)</f>
        <v>0</v>
      </c>
      <c r="BE8" s="157">
        <f t="shared" si="21"/>
        <v>0</v>
      </c>
      <c r="BF8" s="158">
        <f>+BA8+IFERROR(VLOOKUP($A8,'A0 BS 1240在建'!$1:$1048576,53,0),0)</f>
        <v>0</v>
      </c>
      <c r="BG8" s="158">
        <f>+BB8+IFERROR(VLOOKUP($A8,'B0 2264預收'!$1:$1048576,53,0),0)</f>
        <v>0</v>
      </c>
      <c r="BH8" s="158">
        <f t="shared" si="22"/>
        <v>0</v>
      </c>
      <c r="BI8" s="158">
        <f>+BD8+IFERROR(+VLOOKUP($A8,'B0 2264預收'!$1:$1048576,54,0),0)</f>
        <v>0</v>
      </c>
      <c r="BJ8" s="158">
        <f t="shared" si="23"/>
        <v>0</v>
      </c>
      <c r="BK8" s="157">
        <f>+BF8+IFERROR(VLOOKUP($A8,'A0 BS 1240在建'!$1:$1048576,57,0),0)</f>
        <v>0</v>
      </c>
      <c r="BL8" s="157">
        <f>+BG8+IFERROR(VLOOKUP($A8,'B0 2264預收'!$1:$1048576,57,0),0)</f>
        <v>0</v>
      </c>
      <c r="BM8" s="157">
        <f t="shared" si="24"/>
        <v>0</v>
      </c>
      <c r="BN8" s="157">
        <f>+BI8+IFERROR(+VLOOKUP($A8,'B0 2264預收'!$1:$1048576,58,0),0)</f>
        <v>0</v>
      </c>
      <c r="BO8" s="157">
        <f t="shared" si="25"/>
        <v>0</v>
      </c>
      <c r="BP8" s="158">
        <f>+BK8+IFERROR(VLOOKUP($A8,'A0 BS 1240在建'!$1:$1048576,61,0),0)</f>
        <v>0</v>
      </c>
      <c r="BQ8" s="158">
        <f>+BL8+IFERROR(VLOOKUP($A8,'B0 2264預收'!$1:$1048576,61,0),0)</f>
        <v>0</v>
      </c>
      <c r="BR8" s="159">
        <f t="shared" si="26"/>
        <v>0</v>
      </c>
      <c r="BS8" s="158">
        <f>+BN8+IFERROR(+VLOOKUP($A8,'B0 2264預收'!$1:$1048576,62,0),0)</f>
        <v>0</v>
      </c>
      <c r="BT8" s="158">
        <f t="shared" si="27"/>
        <v>0</v>
      </c>
      <c r="BU8" s="157">
        <f>+IFERROR(VLOOKUP($A8,'A0 BS 1240在建'!$1:$1048576,77,0),0)</f>
        <v>0</v>
      </c>
      <c r="BV8" s="157">
        <f>+IFERROR(VLOOKUP($A8,'B0 2264預收'!$1:$1048576,77,0),0)</f>
        <v>0</v>
      </c>
      <c r="BW8" s="157">
        <f t="shared" si="28"/>
        <v>0</v>
      </c>
      <c r="BX8" s="157">
        <f>+IFERROR(+VLOOKUP($A8,'B0 2264預收'!$1:$1048576,78,0),0)</f>
        <v>0</v>
      </c>
      <c r="BY8" s="157">
        <f t="shared" si="29"/>
        <v>0</v>
      </c>
      <c r="BZ8" s="158">
        <f>IFERROR(+VLOOKUP($A8,'A0 BS 1240在建'!$1:$1048576,85,0),0)</f>
        <v>0</v>
      </c>
      <c r="CA8" s="158">
        <f>IFERROR(+VLOOKUP($A8,'B0 2264預收'!$1:$1048576,85,0),0)</f>
        <v>0</v>
      </c>
      <c r="CB8" s="158">
        <f t="shared" si="30"/>
        <v>0</v>
      </c>
      <c r="CC8" s="158">
        <f>+IFERROR(+VLOOKUP($A8,'B0 2264預收'!$1:$1048576,86,0),0)</f>
        <v>0</v>
      </c>
      <c r="CD8" s="158">
        <f t="shared" si="31"/>
        <v>0</v>
      </c>
      <c r="CE8" s="157">
        <f>+IFERROR(VLOOKUP($A8,'A0 BS 1240在建'!$1:$1048576,93,0),0)</f>
        <v>0</v>
      </c>
      <c r="CF8" s="157">
        <f>+IFERROR(VLOOKUP($A8,'B0 2264預收'!$1:$1048576,93,0),0)</f>
        <v>0</v>
      </c>
      <c r="CG8" s="157">
        <f t="shared" si="32"/>
        <v>0</v>
      </c>
      <c r="CH8" s="157">
        <f>+IFERROR(+VLOOKUP($A8,'B0 2264預收'!$1:$1048576,94,0),0)</f>
        <v>0</v>
      </c>
      <c r="CI8" s="157">
        <f t="shared" si="33"/>
        <v>0</v>
      </c>
      <c r="CJ8" s="158">
        <f>IFERROR(+VLOOKUP($A8,'A0 BS 1240在建'!$1:$1048576,101,0),0)</f>
        <v>0</v>
      </c>
      <c r="CK8" s="158">
        <f>IFERROR(+VLOOKUP($A8,'B0 2264預收'!$1:$1048576,101,0),0)</f>
        <v>0</v>
      </c>
      <c r="CL8" s="158">
        <f t="shared" si="34"/>
        <v>0</v>
      </c>
      <c r="CM8" s="158">
        <f>+IFERROR(+VLOOKUP($A8,'B0 2264預收'!$1:$1048576,102,0),0)</f>
        <v>0</v>
      </c>
      <c r="CN8" s="158">
        <f t="shared" si="35"/>
        <v>0</v>
      </c>
      <c r="CP8" s="166">
        <f t="shared" si="36"/>
        <v>0</v>
      </c>
      <c r="CQ8" s="98">
        <f>+CP8</f>
        <v>0</v>
      </c>
      <c r="CU8" s="160">
        <f t="shared" si="37"/>
        <v>0</v>
      </c>
      <c r="CV8" s="118">
        <f>-J8</f>
        <v>0</v>
      </c>
      <c r="CW8" s="98">
        <f>+BR8</f>
        <v>0</v>
      </c>
      <c r="CY8" s="162" t="str">
        <f t="shared" si="38"/>
        <v/>
      </c>
      <c r="CZ8" s="98" t="str">
        <f t="shared" si="39"/>
        <v xml:space="preserve"> </v>
      </c>
      <c r="DA8" s="98" t="str">
        <f t="shared" si="40"/>
        <v xml:space="preserve"> </v>
      </c>
      <c r="DB8" s="98" t="str">
        <f t="shared" si="41"/>
        <v xml:space="preserve"> </v>
      </c>
      <c r="DC8" s="163">
        <f t="shared" si="42"/>
        <v>0</v>
      </c>
      <c r="DD8" s="162" t="str">
        <f t="shared" si="44"/>
        <v/>
      </c>
      <c r="DE8" s="98" t="str">
        <f t="shared" si="45"/>
        <v xml:space="preserve"> </v>
      </c>
      <c r="DF8" s="98" t="str">
        <f t="shared" si="46"/>
        <v xml:space="preserve"> </v>
      </c>
      <c r="DG8" s="98" t="str">
        <f t="shared" si="47"/>
        <v xml:space="preserve"> </v>
      </c>
      <c r="DH8" s="163">
        <f t="shared" si="43"/>
        <v>0</v>
      </c>
    </row>
    <row r="9" spans="1:112">
      <c r="A9" s="155" t="s">
        <v>315</v>
      </c>
      <c r="B9" s="164" t="s">
        <v>316</v>
      </c>
      <c r="C9" s="157">
        <f>IFERROR(VLOOKUP($A9,'A0 BS 1240在建'!$1:$1048576,5,0),0)</f>
        <v>0</v>
      </c>
      <c r="D9" s="157">
        <f>IFERROR(VLOOKUP($A9,'B0 2264預收'!$1:$1048576,5,0),0)</f>
        <v>0</v>
      </c>
      <c r="E9" s="157">
        <f t="shared" si="0"/>
        <v>0</v>
      </c>
      <c r="F9" s="157">
        <f>IFERROR(VLOOKUP($A9,'B0 2264預收'!$1:$1048576,6,0),0)</f>
        <v>0</v>
      </c>
      <c r="G9" s="157">
        <f t="shared" si="1"/>
        <v>0</v>
      </c>
      <c r="H9" s="158">
        <f>IFERROR(VLOOKUP($A9,'A0 BS 1240在建'!$1:$1048576,13,0),0)</f>
        <v>0</v>
      </c>
      <c r="I9" s="158">
        <f>IFERROR(VLOOKUP($A9,'B0 2264預收'!$1:$1048576,13,0),0)</f>
        <v>0</v>
      </c>
      <c r="J9" s="158">
        <f t="shared" si="2"/>
        <v>0</v>
      </c>
      <c r="K9" s="158">
        <f>IFERROR(VLOOKUP($A9,'B0 2264預收'!$1:$1048576,14,0),0)</f>
        <v>0</v>
      </c>
      <c r="L9" s="158">
        <f t="shared" si="3"/>
        <v>0</v>
      </c>
      <c r="M9" s="157">
        <f>H9+IFERROR(VLOOKUP($A9,'A0 BS 1240在建'!$1:$1048576,17,0),0)</f>
        <v>0</v>
      </c>
      <c r="N9" s="157">
        <f>I9+IFERROR(VLOOKUP($A9,'B0 2264預收'!$1:$1048576,17,0),0)</f>
        <v>0</v>
      </c>
      <c r="O9" s="157">
        <f t="shared" si="4"/>
        <v>0</v>
      </c>
      <c r="P9" s="157">
        <f>K9+IFERROR(+VLOOKUP($A9,'B0 2264預收'!$1:$1048576,18,0),0)</f>
        <v>0</v>
      </c>
      <c r="Q9" s="157">
        <f t="shared" si="5"/>
        <v>0</v>
      </c>
      <c r="R9" s="158">
        <f>M9+IFERROR(VLOOKUP($A9,'A0 BS 1240在建'!$1:$1048576,21,0),0)</f>
        <v>0</v>
      </c>
      <c r="S9" s="158">
        <f>+N9+IFERROR(VLOOKUP($A9,'B0 2264預收'!$1:$1048576,21,0),0)</f>
        <v>0</v>
      </c>
      <c r="T9" s="158">
        <f t="shared" si="6"/>
        <v>0</v>
      </c>
      <c r="U9" s="158">
        <f>+P9+IFERROR(+VLOOKUP($A9,'B0 2264預收'!$1:$1048576,22,0),0)</f>
        <v>0</v>
      </c>
      <c r="V9" s="158">
        <f t="shared" si="7"/>
        <v>0</v>
      </c>
      <c r="W9" s="157">
        <f>+R9+IFERROR(VLOOKUP($A9,'A0 BS 1240在建'!$1:$1048576,25,0),0)</f>
        <v>0</v>
      </c>
      <c r="X9" s="157">
        <f>+S9+IFERROR(VLOOKUP($A9,'B0 2264預收'!$1:$1048576,25,0),0)</f>
        <v>0</v>
      </c>
      <c r="Y9" s="157">
        <f t="shared" si="8"/>
        <v>0</v>
      </c>
      <c r="Z9" s="157">
        <f>+U9+IFERROR(+VLOOKUP($A9,'B0 2264預收'!$1:$1048576,26,0),0)</f>
        <v>0</v>
      </c>
      <c r="AA9" s="157">
        <f t="shared" si="9"/>
        <v>0</v>
      </c>
      <c r="AB9" s="158">
        <f>+W9+IFERROR(VLOOKUP($A9,'A0 BS 1240在建'!$1:$1048576,29,0),0)</f>
        <v>0</v>
      </c>
      <c r="AC9" s="158">
        <f>+X9+IFERROR(VLOOKUP($A9,'B0 2264預收'!$1:$1048576,29,0),0)</f>
        <v>0</v>
      </c>
      <c r="AD9" s="158">
        <f t="shared" si="10"/>
        <v>0</v>
      </c>
      <c r="AE9" s="158">
        <f>+Z9+IFERROR(+VLOOKUP($A9,'B0 2264預收'!$1:$1048576,30,0),0)</f>
        <v>0</v>
      </c>
      <c r="AF9" s="158">
        <f t="shared" si="11"/>
        <v>0</v>
      </c>
      <c r="AG9" s="157">
        <f>+AB9+IFERROR(VLOOKUP($A9,'A0 BS 1240在建'!$1:$1048576,33,0),0)</f>
        <v>0</v>
      </c>
      <c r="AH9" s="157">
        <f>+AC9+IFERROR(VLOOKUP($A9,'B0 2264預收'!$1:$1048576,33,0),0)</f>
        <v>0</v>
      </c>
      <c r="AI9" s="157">
        <f t="shared" si="12"/>
        <v>0</v>
      </c>
      <c r="AJ9" s="157">
        <f>+AE9+IFERROR(+VLOOKUP($A9,'B0 2264預收'!$1:$1048576,34,0),0)</f>
        <v>0</v>
      </c>
      <c r="AK9" s="157">
        <f t="shared" si="13"/>
        <v>0</v>
      </c>
      <c r="AL9" s="158">
        <f>+AG9+IFERROR(VLOOKUP($A9,'A0 BS 1240在建'!$1:$1048576,37,0),0)</f>
        <v>0</v>
      </c>
      <c r="AM9" s="158">
        <f>+AH9+IFERROR(VLOOKUP($A9,'B0 2264預收'!$1:$1048576,37,0),0)</f>
        <v>0</v>
      </c>
      <c r="AN9" s="158">
        <f t="shared" si="14"/>
        <v>0</v>
      </c>
      <c r="AO9" s="158">
        <f>+AJ9+IFERROR(+VLOOKUP($A9,'B0 2264預收'!$1:$1048576,38,0),0)</f>
        <v>0</v>
      </c>
      <c r="AP9" s="158">
        <f t="shared" si="15"/>
        <v>0</v>
      </c>
      <c r="AQ9" s="157">
        <f>+AL9+IFERROR(VLOOKUP($A9,'A0 BS 1240在建'!$1:$1048576,41,0),0)</f>
        <v>0</v>
      </c>
      <c r="AR9" s="157">
        <f>+AM9+IFERROR(VLOOKUP($A9,'B0 2264預收'!$1:$1048576,41,0),0)</f>
        <v>0</v>
      </c>
      <c r="AS9" s="157">
        <f t="shared" si="16"/>
        <v>0</v>
      </c>
      <c r="AT9" s="157">
        <f>+AO9+IFERROR(+VLOOKUP($A9,'B0 2264預收'!$1:$1048576,42,0),0)</f>
        <v>0</v>
      </c>
      <c r="AU9" s="157">
        <f t="shared" si="17"/>
        <v>0</v>
      </c>
      <c r="AV9" s="158">
        <f>+AQ9+IFERROR(VLOOKUP($A9,'A0 BS 1240在建'!$1:$1048576,45,0),0)</f>
        <v>0</v>
      </c>
      <c r="AW9" s="158">
        <f>+AR9+IFERROR(VLOOKUP($A9,'B0 2264預收'!$1:$1048576,45,0),0)</f>
        <v>0</v>
      </c>
      <c r="AX9" s="158">
        <f t="shared" si="18"/>
        <v>0</v>
      </c>
      <c r="AY9" s="158">
        <f>+AT9+IFERROR(+VLOOKUP($A9,'B0 2264預收'!$1:$1048576,46,0),0)</f>
        <v>0</v>
      </c>
      <c r="AZ9" s="158">
        <f t="shared" si="19"/>
        <v>0</v>
      </c>
      <c r="BA9" s="157">
        <f>+AV9+IFERROR(VLOOKUP($A9,'A0 BS 1240在建'!$1:$1048576,49,0),0)</f>
        <v>0</v>
      </c>
      <c r="BB9" s="157">
        <f>+AW9+IFERROR(VLOOKUP($A9,'B0 2264預收'!$1:$1048576,49,0),0)</f>
        <v>0</v>
      </c>
      <c r="BC9" s="157">
        <f t="shared" si="20"/>
        <v>0</v>
      </c>
      <c r="BD9" s="157">
        <f>+AY9+IFERROR(+VLOOKUP($A9,'B0 2264預收'!$1:$1048576,50,0),0)</f>
        <v>0</v>
      </c>
      <c r="BE9" s="157">
        <f t="shared" si="21"/>
        <v>0</v>
      </c>
      <c r="BF9" s="158">
        <f>+BA9+IFERROR(VLOOKUP($A9,'A0 BS 1240在建'!$1:$1048576,53,0),0)</f>
        <v>0</v>
      </c>
      <c r="BG9" s="158">
        <f>+BB9+IFERROR(VLOOKUP($A9,'B0 2264預收'!$1:$1048576,53,0),0)</f>
        <v>0</v>
      </c>
      <c r="BH9" s="158">
        <f t="shared" si="22"/>
        <v>0</v>
      </c>
      <c r="BI9" s="158">
        <f>+BD9+IFERROR(+VLOOKUP($A9,'B0 2264預收'!$1:$1048576,54,0),0)</f>
        <v>0</v>
      </c>
      <c r="BJ9" s="158">
        <f t="shared" si="23"/>
        <v>0</v>
      </c>
      <c r="BK9" s="157">
        <f>+BF9+IFERROR(VLOOKUP($A9,'A0 BS 1240在建'!$1:$1048576,57,0),0)</f>
        <v>0</v>
      </c>
      <c r="BL9" s="157">
        <f>+BG9+IFERROR(VLOOKUP($A9,'B0 2264預收'!$1:$1048576,57,0),0)</f>
        <v>0</v>
      </c>
      <c r="BM9" s="157">
        <f t="shared" si="24"/>
        <v>0</v>
      </c>
      <c r="BN9" s="157">
        <f>+BI9+IFERROR(+VLOOKUP($A9,'B0 2264預收'!$1:$1048576,58,0),0)</f>
        <v>0</v>
      </c>
      <c r="BO9" s="157">
        <f t="shared" si="25"/>
        <v>0</v>
      </c>
      <c r="BP9" s="158">
        <f>+BK9+IFERROR(VLOOKUP($A9,'A0 BS 1240在建'!$1:$1048576,61,0),0)</f>
        <v>0</v>
      </c>
      <c r="BQ9" s="158">
        <f>+BL9+IFERROR(VLOOKUP($A9,'B0 2264預收'!$1:$1048576,61,0),0)</f>
        <v>0</v>
      </c>
      <c r="BR9" s="159">
        <f t="shared" si="26"/>
        <v>0</v>
      </c>
      <c r="BS9" s="158">
        <f>+BN9+IFERROR(+VLOOKUP($A9,'B0 2264預收'!$1:$1048576,62,0),0)</f>
        <v>0</v>
      </c>
      <c r="BT9" s="158">
        <f t="shared" si="27"/>
        <v>0</v>
      </c>
      <c r="BU9" s="157">
        <f>+IFERROR(VLOOKUP($A9,'A0 BS 1240在建'!$1:$1048576,77,0),0)</f>
        <v>0</v>
      </c>
      <c r="BV9" s="157">
        <f>+IFERROR(VLOOKUP($A9,'B0 2264預收'!$1:$1048576,77,0),0)</f>
        <v>0</v>
      </c>
      <c r="BW9" s="157">
        <f t="shared" si="28"/>
        <v>0</v>
      </c>
      <c r="BX9" s="157">
        <f>+IFERROR(+VLOOKUP($A9,'B0 2264預收'!$1:$1048576,78,0),0)</f>
        <v>0</v>
      </c>
      <c r="BY9" s="157">
        <f t="shared" si="29"/>
        <v>0</v>
      </c>
      <c r="BZ9" s="158">
        <f>IFERROR(+VLOOKUP($A9,'A0 BS 1240在建'!$1:$1048576,85,0),0)</f>
        <v>0</v>
      </c>
      <c r="CA9" s="158">
        <f>IFERROR(+VLOOKUP($A9,'B0 2264預收'!$1:$1048576,85,0),0)</f>
        <v>0</v>
      </c>
      <c r="CB9" s="158">
        <f t="shared" si="30"/>
        <v>0</v>
      </c>
      <c r="CC9" s="158">
        <f>+IFERROR(+VLOOKUP($A9,'B0 2264預收'!$1:$1048576,86,0),0)</f>
        <v>0</v>
      </c>
      <c r="CD9" s="158">
        <f t="shared" si="31"/>
        <v>0</v>
      </c>
      <c r="CE9" s="157">
        <f>+IFERROR(VLOOKUP($A9,'A0 BS 1240在建'!$1:$1048576,93,0),0)</f>
        <v>0</v>
      </c>
      <c r="CF9" s="157">
        <f>+IFERROR(VLOOKUP($A9,'B0 2264預收'!$1:$1048576,93,0),0)</f>
        <v>0</v>
      </c>
      <c r="CG9" s="157">
        <f t="shared" si="32"/>
        <v>0</v>
      </c>
      <c r="CH9" s="157">
        <f>+IFERROR(+VLOOKUP($A9,'B0 2264預收'!$1:$1048576,94,0),0)</f>
        <v>0</v>
      </c>
      <c r="CI9" s="157">
        <f t="shared" si="33"/>
        <v>0</v>
      </c>
      <c r="CJ9" s="158">
        <f>IFERROR(+VLOOKUP($A9,'A0 BS 1240在建'!$1:$1048576,101,0),0)</f>
        <v>0</v>
      </c>
      <c r="CK9" s="158">
        <f>IFERROR(+VLOOKUP($A9,'B0 2264預收'!$1:$1048576,101,0),0)</f>
        <v>0</v>
      </c>
      <c r="CL9" s="158">
        <f t="shared" si="34"/>
        <v>0</v>
      </c>
      <c r="CM9" s="158">
        <f>+IFERROR(+VLOOKUP($A9,'B0 2264預收'!$1:$1048576,102,0),0)</f>
        <v>0</v>
      </c>
      <c r="CN9" s="158">
        <f t="shared" si="35"/>
        <v>0</v>
      </c>
      <c r="CP9" s="160">
        <f t="shared" si="36"/>
        <v>0</v>
      </c>
      <c r="CQ9" s="118">
        <f>-E9</f>
        <v>0</v>
      </c>
      <c r="CR9" s="98">
        <f>+J9</f>
        <v>0</v>
      </c>
      <c r="CU9" s="165">
        <f t="shared" si="37"/>
        <v>0</v>
      </c>
      <c r="CW9" s="98">
        <f>+CU9</f>
        <v>0</v>
      </c>
      <c r="CY9" s="162" t="str">
        <f t="shared" si="38"/>
        <v/>
      </c>
      <c r="CZ9" s="98" t="str">
        <f t="shared" si="39"/>
        <v xml:space="preserve"> </v>
      </c>
      <c r="DA9" s="98" t="str">
        <f t="shared" si="40"/>
        <v xml:space="preserve"> </v>
      </c>
      <c r="DB9" s="98" t="str">
        <f t="shared" si="41"/>
        <v xml:space="preserve"> </v>
      </c>
      <c r="DC9" s="163">
        <f t="shared" si="42"/>
        <v>0</v>
      </c>
      <c r="DD9" s="162" t="str">
        <f t="shared" si="44"/>
        <v/>
      </c>
      <c r="DE9" s="98" t="str">
        <f t="shared" si="45"/>
        <v xml:space="preserve"> </v>
      </c>
      <c r="DF9" s="98" t="str">
        <f t="shared" si="46"/>
        <v xml:space="preserve"> </v>
      </c>
      <c r="DG9" s="98" t="str">
        <f t="shared" si="47"/>
        <v xml:space="preserve"> </v>
      </c>
      <c r="DH9" s="163">
        <f t="shared" si="43"/>
        <v>0</v>
      </c>
    </row>
    <row r="10" spans="1:112">
      <c r="A10" s="155" t="s">
        <v>317</v>
      </c>
      <c r="B10" s="164" t="s">
        <v>318</v>
      </c>
      <c r="C10" s="157">
        <f>IFERROR(VLOOKUP($A10,'A0 BS 1240在建'!$1:$1048576,5,0),0)</f>
        <v>0</v>
      </c>
      <c r="D10" s="157">
        <f>IFERROR(VLOOKUP($A10,'B0 2264預收'!$1:$1048576,5,0),0)</f>
        <v>0</v>
      </c>
      <c r="E10" s="157">
        <f t="shared" si="0"/>
        <v>0</v>
      </c>
      <c r="F10" s="157">
        <f>IFERROR(VLOOKUP($A10,'B0 2264預收'!$1:$1048576,6,0),0)</f>
        <v>0</v>
      </c>
      <c r="G10" s="157">
        <f t="shared" si="1"/>
        <v>0</v>
      </c>
      <c r="H10" s="158">
        <f>IFERROR(VLOOKUP($A10,'A0 BS 1240在建'!$1:$1048576,13,0),0)</f>
        <v>0</v>
      </c>
      <c r="I10" s="158">
        <f>IFERROR(VLOOKUP($A10,'B0 2264預收'!$1:$1048576,13,0),0)</f>
        <v>0</v>
      </c>
      <c r="J10" s="158">
        <f t="shared" si="2"/>
        <v>0</v>
      </c>
      <c r="K10" s="158">
        <f>IFERROR(VLOOKUP($A10,'B0 2264預收'!$1:$1048576,14,0),0)</f>
        <v>0</v>
      </c>
      <c r="L10" s="158">
        <f t="shared" si="3"/>
        <v>0</v>
      </c>
      <c r="M10" s="157">
        <f>H10+IFERROR(VLOOKUP($A10,'A0 BS 1240在建'!$1:$1048576,17,0),0)</f>
        <v>0</v>
      </c>
      <c r="N10" s="157">
        <f>I10+IFERROR(VLOOKUP($A10,'B0 2264預收'!$1:$1048576,17,0),0)</f>
        <v>0</v>
      </c>
      <c r="O10" s="157">
        <f t="shared" si="4"/>
        <v>0</v>
      </c>
      <c r="P10" s="157">
        <f>K10+IFERROR(+VLOOKUP($A10,'B0 2264預收'!$1:$1048576,18,0),0)</f>
        <v>0</v>
      </c>
      <c r="Q10" s="157">
        <f t="shared" si="5"/>
        <v>0</v>
      </c>
      <c r="R10" s="158">
        <f>M10+IFERROR(VLOOKUP($A10,'A0 BS 1240在建'!$1:$1048576,21,0),0)</f>
        <v>0</v>
      </c>
      <c r="S10" s="158">
        <f>+N10+IFERROR(VLOOKUP($A10,'B0 2264預收'!$1:$1048576,21,0),0)</f>
        <v>0</v>
      </c>
      <c r="T10" s="158">
        <f t="shared" si="6"/>
        <v>0</v>
      </c>
      <c r="U10" s="158">
        <f>+P10+IFERROR(+VLOOKUP($A10,'B0 2264預收'!$1:$1048576,22,0),0)</f>
        <v>0</v>
      </c>
      <c r="V10" s="158">
        <f t="shared" si="7"/>
        <v>0</v>
      </c>
      <c r="W10" s="157">
        <f>+R10+IFERROR(VLOOKUP($A10,'A0 BS 1240在建'!$1:$1048576,25,0),0)</f>
        <v>0</v>
      </c>
      <c r="X10" s="157">
        <f>+S10+IFERROR(VLOOKUP($A10,'B0 2264預收'!$1:$1048576,25,0),0)</f>
        <v>0</v>
      </c>
      <c r="Y10" s="157">
        <f t="shared" si="8"/>
        <v>0</v>
      </c>
      <c r="Z10" s="157">
        <f>+U10+IFERROR(+VLOOKUP($A10,'B0 2264預收'!$1:$1048576,26,0),0)</f>
        <v>0</v>
      </c>
      <c r="AA10" s="157">
        <f t="shared" si="9"/>
        <v>0</v>
      </c>
      <c r="AB10" s="158">
        <f>+W10+IFERROR(VLOOKUP($A10,'A0 BS 1240在建'!$1:$1048576,29,0),0)</f>
        <v>0</v>
      </c>
      <c r="AC10" s="158">
        <f>+X10+IFERROR(VLOOKUP($A10,'B0 2264預收'!$1:$1048576,29,0),0)</f>
        <v>0</v>
      </c>
      <c r="AD10" s="158">
        <f t="shared" si="10"/>
        <v>0</v>
      </c>
      <c r="AE10" s="158">
        <f>+Z10+IFERROR(+VLOOKUP($A10,'B0 2264預收'!$1:$1048576,30,0),0)</f>
        <v>0</v>
      </c>
      <c r="AF10" s="158">
        <f t="shared" si="11"/>
        <v>0</v>
      </c>
      <c r="AG10" s="157">
        <f>+AB10+IFERROR(VLOOKUP($A10,'A0 BS 1240在建'!$1:$1048576,33,0),0)</f>
        <v>0</v>
      </c>
      <c r="AH10" s="157">
        <f>+AC10+IFERROR(VLOOKUP($A10,'B0 2264預收'!$1:$1048576,33,0),0)</f>
        <v>0</v>
      </c>
      <c r="AI10" s="157">
        <f t="shared" si="12"/>
        <v>0</v>
      </c>
      <c r="AJ10" s="157">
        <f>+AE10+IFERROR(+VLOOKUP($A10,'B0 2264預收'!$1:$1048576,34,0),0)</f>
        <v>0</v>
      </c>
      <c r="AK10" s="157">
        <f t="shared" si="13"/>
        <v>0</v>
      </c>
      <c r="AL10" s="158">
        <f>+AG10+IFERROR(VLOOKUP($A10,'A0 BS 1240在建'!$1:$1048576,37,0),0)</f>
        <v>0</v>
      </c>
      <c r="AM10" s="158">
        <f>+AH10+IFERROR(VLOOKUP($A10,'B0 2264預收'!$1:$1048576,37,0),0)</f>
        <v>0</v>
      </c>
      <c r="AN10" s="158">
        <f t="shared" si="14"/>
        <v>0</v>
      </c>
      <c r="AO10" s="158">
        <f>+AJ10+IFERROR(+VLOOKUP($A10,'B0 2264預收'!$1:$1048576,38,0),0)</f>
        <v>0</v>
      </c>
      <c r="AP10" s="158">
        <f t="shared" si="15"/>
        <v>0</v>
      </c>
      <c r="AQ10" s="157">
        <f>+AL10+IFERROR(VLOOKUP($A10,'A0 BS 1240在建'!$1:$1048576,41,0),0)</f>
        <v>0</v>
      </c>
      <c r="AR10" s="157">
        <f>+AM10+IFERROR(VLOOKUP($A10,'B0 2264預收'!$1:$1048576,41,0),0)</f>
        <v>0</v>
      </c>
      <c r="AS10" s="157">
        <f t="shared" si="16"/>
        <v>0</v>
      </c>
      <c r="AT10" s="157">
        <f>+AO10+IFERROR(+VLOOKUP($A10,'B0 2264預收'!$1:$1048576,42,0),0)</f>
        <v>0</v>
      </c>
      <c r="AU10" s="157">
        <f t="shared" si="17"/>
        <v>0</v>
      </c>
      <c r="AV10" s="158">
        <f>+AQ10+IFERROR(VLOOKUP($A10,'A0 BS 1240在建'!$1:$1048576,45,0),0)</f>
        <v>0</v>
      </c>
      <c r="AW10" s="158">
        <f>+AR10+IFERROR(VLOOKUP($A10,'B0 2264預收'!$1:$1048576,45,0),0)</f>
        <v>0</v>
      </c>
      <c r="AX10" s="158">
        <f t="shared" si="18"/>
        <v>0</v>
      </c>
      <c r="AY10" s="158">
        <f>+AT10+IFERROR(+VLOOKUP($A10,'B0 2264預收'!$1:$1048576,46,0),0)</f>
        <v>0</v>
      </c>
      <c r="AZ10" s="158">
        <f t="shared" si="19"/>
        <v>0</v>
      </c>
      <c r="BA10" s="157">
        <f>+AV10+IFERROR(VLOOKUP($A10,'A0 BS 1240在建'!$1:$1048576,49,0),0)</f>
        <v>0</v>
      </c>
      <c r="BB10" s="157">
        <f>+AW10+IFERROR(VLOOKUP($A10,'B0 2264預收'!$1:$1048576,49,0),0)</f>
        <v>0</v>
      </c>
      <c r="BC10" s="157">
        <f t="shared" si="20"/>
        <v>0</v>
      </c>
      <c r="BD10" s="157">
        <f>+AY10+IFERROR(+VLOOKUP($A10,'B0 2264預收'!$1:$1048576,50,0),0)</f>
        <v>0</v>
      </c>
      <c r="BE10" s="157">
        <f t="shared" si="21"/>
        <v>0</v>
      </c>
      <c r="BF10" s="158">
        <f>+BA10+IFERROR(VLOOKUP($A10,'A0 BS 1240在建'!$1:$1048576,53,0),0)</f>
        <v>0</v>
      </c>
      <c r="BG10" s="158">
        <f>+BB10+IFERROR(VLOOKUP($A10,'B0 2264預收'!$1:$1048576,53,0),0)</f>
        <v>0</v>
      </c>
      <c r="BH10" s="158">
        <f t="shared" si="22"/>
        <v>0</v>
      </c>
      <c r="BI10" s="158">
        <f>+BD10+IFERROR(+VLOOKUP($A10,'B0 2264預收'!$1:$1048576,54,0),0)</f>
        <v>0</v>
      </c>
      <c r="BJ10" s="158">
        <f t="shared" si="23"/>
        <v>0</v>
      </c>
      <c r="BK10" s="157">
        <f>+BF10+IFERROR(VLOOKUP($A10,'A0 BS 1240在建'!$1:$1048576,57,0),0)</f>
        <v>0</v>
      </c>
      <c r="BL10" s="157">
        <f>+BG10+IFERROR(VLOOKUP($A10,'B0 2264預收'!$1:$1048576,57,0),0)</f>
        <v>0</v>
      </c>
      <c r="BM10" s="157">
        <f t="shared" si="24"/>
        <v>0</v>
      </c>
      <c r="BN10" s="157">
        <f>+BI10+IFERROR(+VLOOKUP($A10,'B0 2264預收'!$1:$1048576,58,0),0)</f>
        <v>0</v>
      </c>
      <c r="BO10" s="157">
        <f t="shared" si="25"/>
        <v>0</v>
      </c>
      <c r="BP10" s="158">
        <f>+BK10+IFERROR(VLOOKUP($A10,'A0 BS 1240在建'!$1:$1048576,61,0),0)</f>
        <v>0</v>
      </c>
      <c r="BQ10" s="158">
        <f>+BL10+IFERROR(VLOOKUP($A10,'B0 2264預收'!$1:$1048576,61,0),0)</f>
        <v>0</v>
      </c>
      <c r="BR10" s="159">
        <f t="shared" si="26"/>
        <v>0</v>
      </c>
      <c r="BS10" s="158">
        <f>+BN10+IFERROR(+VLOOKUP($A10,'B0 2264預收'!$1:$1048576,62,0),0)</f>
        <v>0</v>
      </c>
      <c r="BT10" s="158">
        <f t="shared" si="27"/>
        <v>0</v>
      </c>
      <c r="BU10" s="157">
        <f>+IFERROR(VLOOKUP($A10,'A0 BS 1240在建'!$1:$1048576,77,0),0)</f>
        <v>0</v>
      </c>
      <c r="BV10" s="157">
        <f>+IFERROR(VLOOKUP($A10,'B0 2264預收'!$1:$1048576,77,0),0)</f>
        <v>0</v>
      </c>
      <c r="BW10" s="157">
        <f t="shared" si="28"/>
        <v>0</v>
      </c>
      <c r="BX10" s="157">
        <f>+IFERROR(+VLOOKUP($A10,'B0 2264預收'!$1:$1048576,78,0),0)</f>
        <v>0</v>
      </c>
      <c r="BY10" s="157">
        <f t="shared" si="29"/>
        <v>0</v>
      </c>
      <c r="BZ10" s="158">
        <f>IFERROR(+VLOOKUP($A10,'A0 BS 1240在建'!$1:$1048576,85,0),0)</f>
        <v>0</v>
      </c>
      <c r="CA10" s="158">
        <f>IFERROR(+VLOOKUP($A10,'B0 2264預收'!$1:$1048576,85,0),0)</f>
        <v>0</v>
      </c>
      <c r="CB10" s="158">
        <f t="shared" si="30"/>
        <v>0</v>
      </c>
      <c r="CC10" s="158">
        <f>+IFERROR(+VLOOKUP($A10,'B0 2264預收'!$1:$1048576,86,0),0)</f>
        <v>0</v>
      </c>
      <c r="CD10" s="158">
        <f t="shared" si="31"/>
        <v>0</v>
      </c>
      <c r="CE10" s="157">
        <f>+IFERROR(VLOOKUP($A10,'A0 BS 1240在建'!$1:$1048576,93,0),0)</f>
        <v>0</v>
      </c>
      <c r="CF10" s="157">
        <f>+IFERROR(VLOOKUP($A10,'B0 2264預收'!$1:$1048576,93,0),0)</f>
        <v>0</v>
      </c>
      <c r="CG10" s="157">
        <f t="shared" si="32"/>
        <v>0</v>
      </c>
      <c r="CH10" s="157">
        <f>+IFERROR(+VLOOKUP($A10,'B0 2264預收'!$1:$1048576,94,0),0)</f>
        <v>0</v>
      </c>
      <c r="CI10" s="157">
        <f t="shared" si="33"/>
        <v>0</v>
      </c>
      <c r="CJ10" s="158">
        <f>IFERROR(+VLOOKUP($A10,'A0 BS 1240在建'!$1:$1048576,101,0),0)</f>
        <v>0</v>
      </c>
      <c r="CK10" s="158">
        <f>IFERROR(+VLOOKUP($A10,'B0 2264預收'!$1:$1048576,101,0),0)</f>
        <v>0</v>
      </c>
      <c r="CL10" s="158">
        <f t="shared" si="34"/>
        <v>0</v>
      </c>
      <c r="CM10" s="158">
        <f>+IFERROR(+VLOOKUP($A10,'B0 2264預收'!$1:$1048576,102,0),0)</f>
        <v>0</v>
      </c>
      <c r="CN10" s="158">
        <f t="shared" si="35"/>
        <v>0</v>
      </c>
      <c r="CP10" s="165">
        <f t="shared" si="36"/>
        <v>0</v>
      </c>
      <c r="CR10" s="98">
        <f>+CP10</f>
        <v>0</v>
      </c>
      <c r="CU10" s="165">
        <f t="shared" si="37"/>
        <v>0</v>
      </c>
      <c r="CW10" s="98">
        <f>+CU10</f>
        <v>0</v>
      </c>
      <c r="CY10" s="162" t="str">
        <f t="shared" si="38"/>
        <v/>
      </c>
      <c r="CZ10" s="98" t="str">
        <f t="shared" si="39"/>
        <v xml:space="preserve"> </v>
      </c>
      <c r="DA10" s="98" t="str">
        <f t="shared" si="40"/>
        <v xml:space="preserve"> </v>
      </c>
      <c r="DB10" s="98" t="str">
        <f t="shared" si="41"/>
        <v xml:space="preserve"> </v>
      </c>
      <c r="DC10" s="163">
        <f t="shared" si="42"/>
        <v>0</v>
      </c>
      <c r="DD10" s="162" t="str">
        <f t="shared" si="44"/>
        <v/>
      </c>
      <c r="DE10" s="98" t="str">
        <f t="shared" si="45"/>
        <v xml:space="preserve"> </v>
      </c>
      <c r="DF10" s="98" t="str">
        <f t="shared" si="46"/>
        <v xml:space="preserve"> </v>
      </c>
      <c r="DG10" s="98" t="str">
        <f t="shared" si="47"/>
        <v xml:space="preserve"> </v>
      </c>
      <c r="DH10" s="163">
        <f t="shared" si="43"/>
        <v>0</v>
      </c>
    </row>
    <row r="11" spans="1:112">
      <c r="A11" s="155" t="s">
        <v>319</v>
      </c>
      <c r="B11" s="164" t="s">
        <v>320</v>
      </c>
      <c r="C11" s="157">
        <f>IFERROR(VLOOKUP($A11,'A0 BS 1240在建'!$1:$1048576,5,0),0)</f>
        <v>0</v>
      </c>
      <c r="D11" s="157">
        <f>IFERROR(VLOOKUP($A11,'B0 2264預收'!$1:$1048576,5,0),0)</f>
        <v>0</v>
      </c>
      <c r="E11" s="157">
        <f t="shared" si="0"/>
        <v>0</v>
      </c>
      <c r="F11" s="157">
        <f>IFERROR(VLOOKUP($A11,'B0 2264預收'!$1:$1048576,6,0),0)</f>
        <v>0</v>
      </c>
      <c r="G11" s="157">
        <f t="shared" si="1"/>
        <v>0</v>
      </c>
      <c r="H11" s="158">
        <f>IFERROR(VLOOKUP($A11,'A0 BS 1240在建'!$1:$1048576,13,0),0)</f>
        <v>0</v>
      </c>
      <c r="I11" s="158">
        <f>IFERROR(VLOOKUP($A11,'B0 2264預收'!$1:$1048576,13,0),0)</f>
        <v>0</v>
      </c>
      <c r="J11" s="158">
        <f t="shared" si="2"/>
        <v>0</v>
      </c>
      <c r="K11" s="158">
        <f>IFERROR(VLOOKUP($A11,'B0 2264預收'!$1:$1048576,14,0),0)</f>
        <v>0</v>
      </c>
      <c r="L11" s="158">
        <f t="shared" si="3"/>
        <v>0</v>
      </c>
      <c r="M11" s="157">
        <f>H11+IFERROR(VLOOKUP($A11,'A0 BS 1240在建'!$1:$1048576,17,0),0)</f>
        <v>0</v>
      </c>
      <c r="N11" s="157">
        <f>I11+IFERROR(VLOOKUP($A11,'B0 2264預收'!$1:$1048576,17,0),0)</f>
        <v>0</v>
      </c>
      <c r="O11" s="157">
        <f t="shared" si="4"/>
        <v>0</v>
      </c>
      <c r="P11" s="157">
        <f>K11+IFERROR(+VLOOKUP($A11,'B0 2264預收'!$1:$1048576,18,0),0)</f>
        <v>0</v>
      </c>
      <c r="Q11" s="157">
        <f t="shared" si="5"/>
        <v>0</v>
      </c>
      <c r="R11" s="158">
        <f>M11+IFERROR(VLOOKUP($A11,'A0 BS 1240在建'!$1:$1048576,21,0),0)</f>
        <v>0</v>
      </c>
      <c r="S11" s="158">
        <f>+N11+IFERROR(VLOOKUP($A11,'B0 2264預收'!$1:$1048576,21,0),0)</f>
        <v>0</v>
      </c>
      <c r="T11" s="158">
        <f t="shared" si="6"/>
        <v>0</v>
      </c>
      <c r="U11" s="158">
        <f>+P11+IFERROR(+VLOOKUP($A11,'B0 2264預收'!$1:$1048576,22,0),0)</f>
        <v>0</v>
      </c>
      <c r="V11" s="158">
        <f t="shared" si="7"/>
        <v>0</v>
      </c>
      <c r="W11" s="157">
        <f>+R11+IFERROR(VLOOKUP($A11,'A0 BS 1240在建'!$1:$1048576,25,0),0)</f>
        <v>0</v>
      </c>
      <c r="X11" s="157">
        <f>+S11+IFERROR(VLOOKUP($A11,'B0 2264預收'!$1:$1048576,25,0),0)</f>
        <v>0</v>
      </c>
      <c r="Y11" s="157">
        <f t="shared" si="8"/>
        <v>0</v>
      </c>
      <c r="Z11" s="157">
        <f>+U11+IFERROR(+VLOOKUP($A11,'B0 2264預收'!$1:$1048576,26,0),0)</f>
        <v>0</v>
      </c>
      <c r="AA11" s="157">
        <f t="shared" si="9"/>
        <v>0</v>
      </c>
      <c r="AB11" s="158">
        <f>+W11+IFERROR(VLOOKUP($A11,'A0 BS 1240在建'!$1:$1048576,29,0),0)</f>
        <v>0</v>
      </c>
      <c r="AC11" s="158">
        <f>+X11+IFERROR(VLOOKUP($A11,'B0 2264預收'!$1:$1048576,29,0),0)</f>
        <v>0</v>
      </c>
      <c r="AD11" s="158">
        <f t="shared" si="10"/>
        <v>0</v>
      </c>
      <c r="AE11" s="158">
        <f>+Z11+IFERROR(+VLOOKUP($A11,'B0 2264預收'!$1:$1048576,30,0),0)</f>
        <v>0</v>
      </c>
      <c r="AF11" s="158">
        <f t="shared" si="11"/>
        <v>0</v>
      </c>
      <c r="AG11" s="157">
        <f>+AB11+IFERROR(VLOOKUP($A11,'A0 BS 1240在建'!$1:$1048576,33,0),0)</f>
        <v>0</v>
      </c>
      <c r="AH11" s="157">
        <f>+AC11+IFERROR(VLOOKUP($A11,'B0 2264預收'!$1:$1048576,33,0),0)</f>
        <v>0</v>
      </c>
      <c r="AI11" s="157">
        <f t="shared" si="12"/>
        <v>0</v>
      </c>
      <c r="AJ11" s="157">
        <f>+AE11+IFERROR(+VLOOKUP($A11,'B0 2264預收'!$1:$1048576,34,0),0)</f>
        <v>0</v>
      </c>
      <c r="AK11" s="157">
        <f t="shared" si="13"/>
        <v>0</v>
      </c>
      <c r="AL11" s="158">
        <f>+AG11+IFERROR(VLOOKUP($A11,'A0 BS 1240在建'!$1:$1048576,37,0),0)</f>
        <v>0</v>
      </c>
      <c r="AM11" s="158">
        <f>+AH11+IFERROR(VLOOKUP($A11,'B0 2264預收'!$1:$1048576,37,0),0)</f>
        <v>0</v>
      </c>
      <c r="AN11" s="158">
        <f t="shared" si="14"/>
        <v>0</v>
      </c>
      <c r="AO11" s="158">
        <f>+AJ11+IFERROR(+VLOOKUP($A11,'B0 2264預收'!$1:$1048576,38,0),0)</f>
        <v>0</v>
      </c>
      <c r="AP11" s="158">
        <f t="shared" si="15"/>
        <v>0</v>
      </c>
      <c r="AQ11" s="157">
        <f>+AL11+IFERROR(VLOOKUP($A11,'A0 BS 1240在建'!$1:$1048576,41,0),0)</f>
        <v>0</v>
      </c>
      <c r="AR11" s="157">
        <f>+AM11+IFERROR(VLOOKUP($A11,'B0 2264預收'!$1:$1048576,41,0),0)</f>
        <v>0</v>
      </c>
      <c r="AS11" s="157">
        <f t="shared" si="16"/>
        <v>0</v>
      </c>
      <c r="AT11" s="157">
        <f>+AO11+IFERROR(+VLOOKUP($A11,'B0 2264預收'!$1:$1048576,42,0),0)</f>
        <v>0</v>
      </c>
      <c r="AU11" s="157">
        <f t="shared" si="17"/>
        <v>0</v>
      </c>
      <c r="AV11" s="158">
        <f>+AQ11+IFERROR(VLOOKUP($A11,'A0 BS 1240在建'!$1:$1048576,45,0),0)</f>
        <v>0</v>
      </c>
      <c r="AW11" s="158">
        <f>+AR11+IFERROR(VLOOKUP($A11,'B0 2264預收'!$1:$1048576,45,0),0)</f>
        <v>0</v>
      </c>
      <c r="AX11" s="158">
        <f t="shared" si="18"/>
        <v>0</v>
      </c>
      <c r="AY11" s="158">
        <f>+AT11+IFERROR(+VLOOKUP($A11,'B0 2264預收'!$1:$1048576,46,0),0)</f>
        <v>0</v>
      </c>
      <c r="AZ11" s="158">
        <f t="shared" si="19"/>
        <v>0</v>
      </c>
      <c r="BA11" s="157">
        <f>+AV11+IFERROR(VLOOKUP($A11,'A0 BS 1240在建'!$1:$1048576,49,0),0)</f>
        <v>0</v>
      </c>
      <c r="BB11" s="157">
        <f>+AW11+IFERROR(VLOOKUP($A11,'B0 2264預收'!$1:$1048576,49,0),0)</f>
        <v>0</v>
      </c>
      <c r="BC11" s="157">
        <f t="shared" si="20"/>
        <v>0</v>
      </c>
      <c r="BD11" s="157">
        <f>+AY11+IFERROR(+VLOOKUP($A11,'B0 2264預收'!$1:$1048576,50,0),0)</f>
        <v>0</v>
      </c>
      <c r="BE11" s="157">
        <f t="shared" si="21"/>
        <v>0</v>
      </c>
      <c r="BF11" s="158">
        <f>+BA11+IFERROR(VLOOKUP($A11,'A0 BS 1240在建'!$1:$1048576,53,0),0)</f>
        <v>0</v>
      </c>
      <c r="BG11" s="158">
        <f>+BB11+IFERROR(VLOOKUP($A11,'B0 2264預收'!$1:$1048576,53,0),0)</f>
        <v>0</v>
      </c>
      <c r="BH11" s="158">
        <f t="shared" si="22"/>
        <v>0</v>
      </c>
      <c r="BI11" s="158">
        <f>+BD11+IFERROR(+VLOOKUP($A11,'B0 2264預收'!$1:$1048576,54,0),0)</f>
        <v>0</v>
      </c>
      <c r="BJ11" s="158">
        <f t="shared" si="23"/>
        <v>0</v>
      </c>
      <c r="BK11" s="157">
        <f>+BF11+IFERROR(VLOOKUP($A11,'A0 BS 1240在建'!$1:$1048576,57,0),0)</f>
        <v>0</v>
      </c>
      <c r="BL11" s="157">
        <f>+BG11+IFERROR(VLOOKUP($A11,'B0 2264預收'!$1:$1048576,57,0),0)</f>
        <v>0</v>
      </c>
      <c r="BM11" s="157">
        <f t="shared" si="24"/>
        <v>0</v>
      </c>
      <c r="BN11" s="157">
        <f>+BI11+IFERROR(+VLOOKUP($A11,'B0 2264預收'!$1:$1048576,58,0),0)</f>
        <v>0</v>
      </c>
      <c r="BO11" s="157">
        <f t="shared" si="25"/>
        <v>0</v>
      </c>
      <c r="BP11" s="158">
        <f>+BK11+IFERROR(VLOOKUP($A11,'A0 BS 1240在建'!$1:$1048576,61,0),0)</f>
        <v>0</v>
      </c>
      <c r="BQ11" s="158">
        <f>+BL11+IFERROR(VLOOKUP($A11,'B0 2264預收'!$1:$1048576,61,0),0)</f>
        <v>0</v>
      </c>
      <c r="BR11" s="159">
        <f t="shared" si="26"/>
        <v>0</v>
      </c>
      <c r="BS11" s="158">
        <f>+BN11+IFERROR(+VLOOKUP($A11,'B0 2264預收'!$1:$1048576,62,0),0)</f>
        <v>0</v>
      </c>
      <c r="BT11" s="158">
        <f t="shared" si="27"/>
        <v>0</v>
      </c>
      <c r="BU11" s="157">
        <f>+IFERROR(VLOOKUP($A11,'A0 BS 1240在建'!$1:$1048576,77,0),0)</f>
        <v>0</v>
      </c>
      <c r="BV11" s="157">
        <f>+IFERROR(VLOOKUP($A11,'B0 2264預收'!$1:$1048576,77,0),0)</f>
        <v>0</v>
      </c>
      <c r="BW11" s="157">
        <f t="shared" si="28"/>
        <v>0</v>
      </c>
      <c r="BX11" s="157">
        <f>+IFERROR(+VLOOKUP($A11,'B0 2264預收'!$1:$1048576,78,0),0)</f>
        <v>0</v>
      </c>
      <c r="BY11" s="157">
        <f t="shared" si="29"/>
        <v>0</v>
      </c>
      <c r="BZ11" s="158">
        <f>IFERROR(+VLOOKUP($A11,'A0 BS 1240在建'!$1:$1048576,85,0),0)</f>
        <v>0</v>
      </c>
      <c r="CA11" s="158">
        <f>IFERROR(+VLOOKUP($A11,'B0 2264預收'!$1:$1048576,85,0),0)</f>
        <v>0</v>
      </c>
      <c r="CB11" s="158">
        <f t="shared" si="30"/>
        <v>0</v>
      </c>
      <c r="CC11" s="158">
        <f>+IFERROR(+VLOOKUP($A11,'B0 2264預收'!$1:$1048576,86,0),0)</f>
        <v>0</v>
      </c>
      <c r="CD11" s="158">
        <f t="shared" si="31"/>
        <v>0</v>
      </c>
      <c r="CE11" s="157">
        <f>+IFERROR(VLOOKUP($A11,'A0 BS 1240在建'!$1:$1048576,93,0),0)</f>
        <v>0</v>
      </c>
      <c r="CF11" s="157">
        <f>+IFERROR(VLOOKUP($A11,'B0 2264預收'!$1:$1048576,93,0),0)</f>
        <v>0</v>
      </c>
      <c r="CG11" s="157">
        <f t="shared" si="32"/>
        <v>0</v>
      </c>
      <c r="CH11" s="157">
        <f>+IFERROR(+VLOOKUP($A11,'B0 2264預收'!$1:$1048576,94,0),0)</f>
        <v>0</v>
      </c>
      <c r="CI11" s="157">
        <f t="shared" si="33"/>
        <v>0</v>
      </c>
      <c r="CJ11" s="158">
        <f>IFERROR(+VLOOKUP($A11,'A0 BS 1240在建'!$1:$1048576,101,0),0)</f>
        <v>0</v>
      </c>
      <c r="CK11" s="158">
        <f>IFERROR(+VLOOKUP($A11,'B0 2264預收'!$1:$1048576,101,0),0)</f>
        <v>0</v>
      </c>
      <c r="CL11" s="158">
        <f t="shared" si="34"/>
        <v>0</v>
      </c>
      <c r="CM11" s="158">
        <f>+IFERROR(+VLOOKUP($A11,'B0 2264預收'!$1:$1048576,102,0),0)</f>
        <v>0</v>
      </c>
      <c r="CN11" s="158">
        <f t="shared" si="35"/>
        <v>0</v>
      </c>
      <c r="CP11" s="165">
        <f t="shared" si="36"/>
        <v>0</v>
      </c>
      <c r="CR11" s="98">
        <f>+CP11</f>
        <v>0</v>
      </c>
      <c r="CU11" s="165">
        <f t="shared" si="37"/>
        <v>0</v>
      </c>
      <c r="CW11" s="98">
        <f>+CU11</f>
        <v>0</v>
      </c>
      <c r="CY11" s="162" t="str">
        <f t="shared" si="38"/>
        <v/>
      </c>
      <c r="CZ11" s="98" t="str">
        <f t="shared" si="39"/>
        <v xml:space="preserve"> </v>
      </c>
      <c r="DA11" s="98" t="str">
        <f t="shared" si="40"/>
        <v xml:space="preserve"> </v>
      </c>
      <c r="DB11" s="98" t="str">
        <f t="shared" si="41"/>
        <v xml:space="preserve"> </v>
      </c>
      <c r="DC11" s="163">
        <f t="shared" si="42"/>
        <v>0</v>
      </c>
      <c r="DD11" s="162" t="str">
        <f t="shared" si="44"/>
        <v/>
      </c>
      <c r="DE11" s="98" t="str">
        <f t="shared" si="45"/>
        <v xml:space="preserve"> </v>
      </c>
      <c r="DF11" s="98" t="str">
        <f t="shared" si="46"/>
        <v xml:space="preserve"> </v>
      </c>
      <c r="DG11" s="98" t="str">
        <f t="shared" si="47"/>
        <v xml:space="preserve"> </v>
      </c>
      <c r="DH11" s="163">
        <f t="shared" si="43"/>
        <v>0</v>
      </c>
    </row>
    <row r="12" spans="1:112">
      <c r="A12" s="155" t="s">
        <v>321</v>
      </c>
      <c r="B12" s="156" t="s">
        <v>322</v>
      </c>
      <c r="C12" s="157">
        <f>IFERROR(VLOOKUP($A12,'A0 BS 1240在建'!$1:$1048576,5,0),0)</f>
        <v>0</v>
      </c>
      <c r="D12" s="157">
        <f>IFERROR(VLOOKUP($A12,'B0 2264預收'!$1:$1048576,5,0),0)</f>
        <v>0</v>
      </c>
      <c r="E12" s="157">
        <f t="shared" si="0"/>
        <v>0</v>
      </c>
      <c r="F12" s="157">
        <f>IFERROR(VLOOKUP($A12,'B0 2264預收'!$1:$1048576,6,0),0)</f>
        <v>0</v>
      </c>
      <c r="G12" s="157">
        <f t="shared" si="1"/>
        <v>0</v>
      </c>
      <c r="H12" s="158">
        <f>IFERROR(VLOOKUP($A12,'A0 BS 1240在建'!$1:$1048576,13,0),0)</f>
        <v>0</v>
      </c>
      <c r="I12" s="158">
        <f>IFERROR(VLOOKUP($A12,'B0 2264預收'!$1:$1048576,13,0),0)</f>
        <v>0</v>
      </c>
      <c r="J12" s="158">
        <f t="shared" si="2"/>
        <v>0</v>
      </c>
      <c r="K12" s="158">
        <f>IFERROR(VLOOKUP($A12,'B0 2264預收'!$1:$1048576,14,0),0)</f>
        <v>0</v>
      </c>
      <c r="L12" s="158">
        <f t="shared" si="3"/>
        <v>0</v>
      </c>
      <c r="M12" s="157">
        <f>H12+IFERROR(VLOOKUP($A12,'A0 BS 1240在建'!$1:$1048576,17,0),0)</f>
        <v>0</v>
      </c>
      <c r="N12" s="157">
        <f>I12+IFERROR(VLOOKUP($A12,'B0 2264預收'!$1:$1048576,17,0),0)</f>
        <v>0</v>
      </c>
      <c r="O12" s="157">
        <f t="shared" si="4"/>
        <v>0</v>
      </c>
      <c r="P12" s="157">
        <f>K12+IFERROR(+VLOOKUP($A12,'B0 2264預收'!$1:$1048576,18,0),0)</f>
        <v>0</v>
      </c>
      <c r="Q12" s="157">
        <f t="shared" si="5"/>
        <v>0</v>
      </c>
      <c r="R12" s="158">
        <f>M12+IFERROR(VLOOKUP($A12,'A0 BS 1240在建'!$1:$1048576,21,0),0)</f>
        <v>0</v>
      </c>
      <c r="S12" s="158">
        <f>+N12+IFERROR(VLOOKUP($A12,'B0 2264預收'!$1:$1048576,21,0),0)</f>
        <v>0</v>
      </c>
      <c r="T12" s="158">
        <f t="shared" si="6"/>
        <v>0</v>
      </c>
      <c r="U12" s="158">
        <f>+P12+IFERROR(+VLOOKUP($A12,'B0 2264預收'!$1:$1048576,22,0),0)</f>
        <v>0</v>
      </c>
      <c r="V12" s="158">
        <f t="shared" si="7"/>
        <v>0</v>
      </c>
      <c r="W12" s="157">
        <f>+R12+IFERROR(VLOOKUP($A12,'A0 BS 1240在建'!$1:$1048576,25,0),0)</f>
        <v>0</v>
      </c>
      <c r="X12" s="157">
        <f>+S12+IFERROR(VLOOKUP($A12,'B0 2264預收'!$1:$1048576,25,0),0)</f>
        <v>0</v>
      </c>
      <c r="Y12" s="157">
        <f t="shared" si="8"/>
        <v>0</v>
      </c>
      <c r="Z12" s="157">
        <f>+U12+IFERROR(+VLOOKUP($A12,'B0 2264預收'!$1:$1048576,26,0),0)</f>
        <v>0</v>
      </c>
      <c r="AA12" s="157">
        <f t="shared" si="9"/>
        <v>0</v>
      </c>
      <c r="AB12" s="158">
        <f>+W12+IFERROR(VLOOKUP($A12,'A0 BS 1240在建'!$1:$1048576,29,0),0)</f>
        <v>0</v>
      </c>
      <c r="AC12" s="158">
        <f>+X12+IFERROR(VLOOKUP($A12,'B0 2264預收'!$1:$1048576,29,0),0)</f>
        <v>0</v>
      </c>
      <c r="AD12" s="158">
        <f t="shared" si="10"/>
        <v>0</v>
      </c>
      <c r="AE12" s="158">
        <f>+Z12+IFERROR(+VLOOKUP($A12,'B0 2264預收'!$1:$1048576,30,0),0)</f>
        <v>0</v>
      </c>
      <c r="AF12" s="158">
        <f t="shared" si="11"/>
        <v>0</v>
      </c>
      <c r="AG12" s="157">
        <f>+AB12+IFERROR(VLOOKUP($A12,'A0 BS 1240在建'!$1:$1048576,33,0),0)</f>
        <v>0</v>
      </c>
      <c r="AH12" s="157">
        <f>+AC12+IFERROR(VLOOKUP($A12,'B0 2264預收'!$1:$1048576,33,0),0)</f>
        <v>0</v>
      </c>
      <c r="AI12" s="157">
        <f t="shared" si="12"/>
        <v>0</v>
      </c>
      <c r="AJ12" s="157">
        <f>+AE12+IFERROR(+VLOOKUP($A12,'B0 2264預收'!$1:$1048576,34,0),0)</f>
        <v>0</v>
      </c>
      <c r="AK12" s="157">
        <f t="shared" si="13"/>
        <v>0</v>
      </c>
      <c r="AL12" s="158">
        <f>+AG12+IFERROR(VLOOKUP($A12,'A0 BS 1240在建'!$1:$1048576,37,0),0)</f>
        <v>0</v>
      </c>
      <c r="AM12" s="158">
        <f>+AH12+IFERROR(VLOOKUP($A12,'B0 2264預收'!$1:$1048576,37,0),0)</f>
        <v>0</v>
      </c>
      <c r="AN12" s="158">
        <f t="shared" si="14"/>
        <v>0</v>
      </c>
      <c r="AO12" s="158">
        <f>+AJ12+IFERROR(+VLOOKUP($A12,'B0 2264預收'!$1:$1048576,38,0),0)</f>
        <v>0</v>
      </c>
      <c r="AP12" s="158">
        <f t="shared" si="15"/>
        <v>0</v>
      </c>
      <c r="AQ12" s="157">
        <f>+AL12+IFERROR(VLOOKUP($A12,'A0 BS 1240在建'!$1:$1048576,41,0),0)</f>
        <v>0</v>
      </c>
      <c r="AR12" s="157">
        <f>+AM12+IFERROR(VLOOKUP($A12,'B0 2264預收'!$1:$1048576,41,0),0)</f>
        <v>0</v>
      </c>
      <c r="AS12" s="157">
        <f t="shared" si="16"/>
        <v>0</v>
      </c>
      <c r="AT12" s="157">
        <f>+AO12+IFERROR(+VLOOKUP($A12,'B0 2264預收'!$1:$1048576,42,0),0)</f>
        <v>0</v>
      </c>
      <c r="AU12" s="157">
        <f t="shared" si="17"/>
        <v>0</v>
      </c>
      <c r="AV12" s="158">
        <f>+AQ12+IFERROR(VLOOKUP($A12,'A0 BS 1240在建'!$1:$1048576,45,0),0)</f>
        <v>0</v>
      </c>
      <c r="AW12" s="158">
        <f>+AR12+IFERROR(VLOOKUP($A12,'B0 2264預收'!$1:$1048576,45,0),0)</f>
        <v>0</v>
      </c>
      <c r="AX12" s="158">
        <f t="shared" si="18"/>
        <v>0</v>
      </c>
      <c r="AY12" s="158">
        <f>+AT12+IFERROR(+VLOOKUP($A12,'B0 2264預收'!$1:$1048576,46,0),0)</f>
        <v>0</v>
      </c>
      <c r="AZ12" s="158">
        <f t="shared" si="19"/>
        <v>0</v>
      </c>
      <c r="BA12" s="157">
        <f>+AV12+IFERROR(VLOOKUP($A12,'A0 BS 1240在建'!$1:$1048576,49,0),0)</f>
        <v>0</v>
      </c>
      <c r="BB12" s="157">
        <f>+AW12+IFERROR(VLOOKUP($A12,'B0 2264預收'!$1:$1048576,49,0),0)</f>
        <v>0</v>
      </c>
      <c r="BC12" s="157">
        <f t="shared" si="20"/>
        <v>0</v>
      </c>
      <c r="BD12" s="157">
        <f>+AY12+IFERROR(+VLOOKUP($A12,'B0 2264預收'!$1:$1048576,50,0),0)</f>
        <v>0</v>
      </c>
      <c r="BE12" s="157">
        <f t="shared" si="21"/>
        <v>0</v>
      </c>
      <c r="BF12" s="158">
        <f>+BA12+IFERROR(VLOOKUP($A12,'A0 BS 1240在建'!$1:$1048576,53,0),0)</f>
        <v>0</v>
      </c>
      <c r="BG12" s="158">
        <f>+BB12+IFERROR(VLOOKUP($A12,'B0 2264預收'!$1:$1048576,53,0),0)</f>
        <v>0</v>
      </c>
      <c r="BH12" s="158">
        <f t="shared" si="22"/>
        <v>0</v>
      </c>
      <c r="BI12" s="158">
        <f>+BD12+IFERROR(+VLOOKUP($A12,'B0 2264預收'!$1:$1048576,54,0),0)</f>
        <v>0</v>
      </c>
      <c r="BJ12" s="158">
        <f t="shared" si="23"/>
        <v>0</v>
      </c>
      <c r="BK12" s="157">
        <f>+BF12+IFERROR(VLOOKUP($A12,'A0 BS 1240在建'!$1:$1048576,57,0),0)</f>
        <v>0</v>
      </c>
      <c r="BL12" s="157">
        <f>+BG12+IFERROR(VLOOKUP($A12,'B0 2264預收'!$1:$1048576,57,0),0)</f>
        <v>0</v>
      </c>
      <c r="BM12" s="157">
        <f t="shared" si="24"/>
        <v>0</v>
      </c>
      <c r="BN12" s="157">
        <f>+BI12+IFERROR(+VLOOKUP($A12,'B0 2264預收'!$1:$1048576,58,0),0)</f>
        <v>0</v>
      </c>
      <c r="BO12" s="157">
        <f t="shared" si="25"/>
        <v>0</v>
      </c>
      <c r="BP12" s="158">
        <f>+BK12+IFERROR(VLOOKUP($A12,'A0 BS 1240在建'!$1:$1048576,61,0),0)</f>
        <v>0</v>
      </c>
      <c r="BQ12" s="158">
        <f>+BL12+IFERROR(VLOOKUP($A12,'B0 2264預收'!$1:$1048576,61,0),0)</f>
        <v>0</v>
      </c>
      <c r="BR12" s="159">
        <f t="shared" si="26"/>
        <v>0</v>
      </c>
      <c r="BS12" s="158">
        <f>+BN12+IFERROR(+VLOOKUP($A12,'B0 2264預收'!$1:$1048576,62,0),0)</f>
        <v>0</v>
      </c>
      <c r="BT12" s="158">
        <f t="shared" si="27"/>
        <v>0</v>
      </c>
      <c r="BU12" s="157">
        <f>+IFERROR(VLOOKUP($A12,'A0 BS 1240在建'!$1:$1048576,77,0),0)</f>
        <v>0</v>
      </c>
      <c r="BV12" s="157">
        <f>+IFERROR(VLOOKUP($A12,'B0 2264預收'!$1:$1048576,77,0),0)</f>
        <v>0</v>
      </c>
      <c r="BW12" s="157">
        <f t="shared" si="28"/>
        <v>0</v>
      </c>
      <c r="BX12" s="157">
        <f>+IFERROR(+VLOOKUP($A12,'B0 2264預收'!$1:$1048576,78,0),0)</f>
        <v>0</v>
      </c>
      <c r="BY12" s="157">
        <f t="shared" si="29"/>
        <v>0</v>
      </c>
      <c r="BZ12" s="158">
        <f>IFERROR(+VLOOKUP($A12,'A0 BS 1240在建'!$1:$1048576,85,0),0)</f>
        <v>0</v>
      </c>
      <c r="CA12" s="158">
        <f>IFERROR(+VLOOKUP($A12,'B0 2264預收'!$1:$1048576,85,0),0)</f>
        <v>0</v>
      </c>
      <c r="CB12" s="158">
        <f t="shared" si="30"/>
        <v>0</v>
      </c>
      <c r="CC12" s="158">
        <f>+IFERROR(+VLOOKUP($A12,'B0 2264預收'!$1:$1048576,86,0),0)</f>
        <v>0</v>
      </c>
      <c r="CD12" s="158">
        <f t="shared" si="31"/>
        <v>0</v>
      </c>
      <c r="CE12" s="157">
        <f>+IFERROR(VLOOKUP($A12,'A0 BS 1240在建'!$1:$1048576,93,0),0)</f>
        <v>0</v>
      </c>
      <c r="CF12" s="157">
        <f>+IFERROR(VLOOKUP($A12,'B0 2264預收'!$1:$1048576,93,0),0)</f>
        <v>0</v>
      </c>
      <c r="CG12" s="157">
        <f t="shared" si="32"/>
        <v>0</v>
      </c>
      <c r="CH12" s="157">
        <f>+IFERROR(+VLOOKUP($A12,'B0 2264預收'!$1:$1048576,94,0),0)</f>
        <v>0</v>
      </c>
      <c r="CI12" s="157">
        <f t="shared" si="33"/>
        <v>0</v>
      </c>
      <c r="CJ12" s="158">
        <f>IFERROR(+VLOOKUP($A12,'A0 BS 1240在建'!$1:$1048576,101,0),0)</f>
        <v>0</v>
      </c>
      <c r="CK12" s="158">
        <f>IFERROR(+VLOOKUP($A12,'B0 2264預收'!$1:$1048576,101,0),0)</f>
        <v>0</v>
      </c>
      <c r="CL12" s="158">
        <f t="shared" si="34"/>
        <v>0</v>
      </c>
      <c r="CM12" s="158">
        <f>+IFERROR(+VLOOKUP($A12,'B0 2264預收'!$1:$1048576,102,0),0)</f>
        <v>0</v>
      </c>
      <c r="CN12" s="158">
        <f t="shared" si="35"/>
        <v>0</v>
      </c>
      <c r="CP12" s="160">
        <f t="shared" si="36"/>
        <v>0</v>
      </c>
      <c r="CQ12" s="118">
        <f>-E12</f>
        <v>0</v>
      </c>
      <c r="CR12" s="98">
        <f>+J12</f>
        <v>0</v>
      </c>
      <c r="CU12" s="165">
        <f t="shared" si="37"/>
        <v>0</v>
      </c>
      <c r="CW12" s="98">
        <f>+CU12</f>
        <v>0</v>
      </c>
      <c r="CY12" s="162" t="str">
        <f t="shared" si="38"/>
        <v/>
      </c>
      <c r="CZ12" s="98" t="str">
        <f t="shared" si="39"/>
        <v xml:space="preserve"> </v>
      </c>
      <c r="DA12" s="98" t="str">
        <f t="shared" si="40"/>
        <v xml:space="preserve"> </v>
      </c>
      <c r="DB12" s="98" t="str">
        <f t="shared" si="41"/>
        <v xml:space="preserve"> </v>
      </c>
      <c r="DC12" s="167">
        <f t="shared" si="42"/>
        <v>0</v>
      </c>
      <c r="DD12" s="162" t="str">
        <f t="shared" si="44"/>
        <v/>
      </c>
      <c r="DE12" s="98" t="str">
        <f t="shared" si="45"/>
        <v xml:space="preserve"> </v>
      </c>
      <c r="DF12" s="98" t="str">
        <f t="shared" si="46"/>
        <v xml:space="preserve"> </v>
      </c>
      <c r="DG12" s="98" t="str">
        <f t="shared" si="47"/>
        <v xml:space="preserve"> </v>
      </c>
      <c r="DH12" s="163">
        <f t="shared" si="43"/>
        <v>0</v>
      </c>
    </row>
    <row r="13" spans="1:112">
      <c r="A13" s="155" t="s">
        <v>323</v>
      </c>
      <c r="B13" s="156" t="s">
        <v>324</v>
      </c>
      <c r="C13" s="157">
        <f>IFERROR(VLOOKUP($A13,'A0 BS 1240在建'!$1:$1048576,5,0),0)</f>
        <v>0</v>
      </c>
      <c r="D13" s="157">
        <f>IFERROR(VLOOKUP($A13,'B0 2264預收'!$1:$1048576,5,0),0)</f>
        <v>0</v>
      </c>
      <c r="E13" s="157">
        <f t="shared" si="0"/>
        <v>0</v>
      </c>
      <c r="F13" s="157">
        <f>IFERROR(VLOOKUP($A13,'B0 2264預收'!$1:$1048576,6,0),0)</f>
        <v>0</v>
      </c>
      <c r="G13" s="157">
        <f t="shared" si="1"/>
        <v>0</v>
      </c>
      <c r="H13" s="158">
        <f>IFERROR(VLOOKUP($A13,'A0 BS 1240在建'!$1:$1048576,13,0),0)</f>
        <v>0</v>
      </c>
      <c r="I13" s="158">
        <f>IFERROR(VLOOKUP($A13,'B0 2264預收'!$1:$1048576,13,0),0)</f>
        <v>0</v>
      </c>
      <c r="J13" s="158">
        <f t="shared" si="2"/>
        <v>0</v>
      </c>
      <c r="K13" s="158">
        <f>IFERROR(VLOOKUP($A13,'B0 2264預收'!$1:$1048576,14,0),0)</f>
        <v>0</v>
      </c>
      <c r="L13" s="158">
        <f t="shared" si="3"/>
        <v>0</v>
      </c>
      <c r="M13" s="157">
        <f>H13+IFERROR(VLOOKUP($A13,'A0 BS 1240在建'!$1:$1048576,17,0),0)</f>
        <v>0</v>
      </c>
      <c r="N13" s="157">
        <f>I13+IFERROR(VLOOKUP($A13,'B0 2264預收'!$1:$1048576,17,0),0)</f>
        <v>0</v>
      </c>
      <c r="O13" s="157">
        <f t="shared" si="4"/>
        <v>0</v>
      </c>
      <c r="P13" s="157">
        <f>K13+IFERROR(+VLOOKUP($A13,'B0 2264預收'!$1:$1048576,18,0),0)</f>
        <v>0</v>
      </c>
      <c r="Q13" s="157">
        <f t="shared" si="5"/>
        <v>0</v>
      </c>
      <c r="R13" s="158">
        <f>M13+IFERROR(VLOOKUP($A13,'A0 BS 1240在建'!$1:$1048576,21,0),0)</f>
        <v>0</v>
      </c>
      <c r="S13" s="158">
        <f>+N13+IFERROR(VLOOKUP($A13,'B0 2264預收'!$1:$1048576,21,0),0)</f>
        <v>0</v>
      </c>
      <c r="T13" s="158">
        <f t="shared" si="6"/>
        <v>0</v>
      </c>
      <c r="U13" s="158">
        <f>+P13+IFERROR(+VLOOKUP($A13,'B0 2264預收'!$1:$1048576,22,0),0)</f>
        <v>0</v>
      </c>
      <c r="V13" s="158">
        <f t="shared" si="7"/>
        <v>0</v>
      </c>
      <c r="W13" s="157">
        <f>+R13+IFERROR(VLOOKUP($A13,'A0 BS 1240在建'!$1:$1048576,25,0),0)</f>
        <v>0</v>
      </c>
      <c r="X13" s="157">
        <f>+S13+IFERROR(VLOOKUP($A13,'B0 2264預收'!$1:$1048576,25,0),0)</f>
        <v>0</v>
      </c>
      <c r="Y13" s="157">
        <f t="shared" si="8"/>
        <v>0</v>
      </c>
      <c r="Z13" s="157">
        <f>+U13+IFERROR(+VLOOKUP($A13,'B0 2264預收'!$1:$1048576,26,0),0)</f>
        <v>0</v>
      </c>
      <c r="AA13" s="157">
        <f t="shared" si="9"/>
        <v>0</v>
      </c>
      <c r="AB13" s="158">
        <f>+W13+IFERROR(VLOOKUP($A13,'A0 BS 1240在建'!$1:$1048576,29,0),0)</f>
        <v>0</v>
      </c>
      <c r="AC13" s="158">
        <f>+X13+IFERROR(VLOOKUP($A13,'B0 2264預收'!$1:$1048576,29,0),0)</f>
        <v>0</v>
      </c>
      <c r="AD13" s="158">
        <f t="shared" si="10"/>
        <v>0</v>
      </c>
      <c r="AE13" s="158">
        <f>+Z13+IFERROR(+VLOOKUP($A13,'B0 2264預收'!$1:$1048576,30,0),0)</f>
        <v>0</v>
      </c>
      <c r="AF13" s="158">
        <f t="shared" si="11"/>
        <v>0</v>
      </c>
      <c r="AG13" s="157">
        <f>+AB13+IFERROR(VLOOKUP($A13,'A0 BS 1240在建'!$1:$1048576,33,0),0)</f>
        <v>0</v>
      </c>
      <c r="AH13" s="157">
        <f>+AC13+IFERROR(VLOOKUP($A13,'B0 2264預收'!$1:$1048576,33,0),0)</f>
        <v>0</v>
      </c>
      <c r="AI13" s="157">
        <f t="shared" si="12"/>
        <v>0</v>
      </c>
      <c r="AJ13" s="157">
        <f>+AE13+IFERROR(+VLOOKUP($A13,'B0 2264預收'!$1:$1048576,34,0),0)</f>
        <v>0</v>
      </c>
      <c r="AK13" s="157">
        <f t="shared" si="13"/>
        <v>0</v>
      </c>
      <c r="AL13" s="158">
        <f>+AG13+IFERROR(VLOOKUP($A13,'A0 BS 1240在建'!$1:$1048576,37,0),0)</f>
        <v>0</v>
      </c>
      <c r="AM13" s="158">
        <f>+AH13+IFERROR(VLOOKUP($A13,'B0 2264預收'!$1:$1048576,37,0),0)</f>
        <v>0</v>
      </c>
      <c r="AN13" s="158">
        <f t="shared" si="14"/>
        <v>0</v>
      </c>
      <c r="AO13" s="158">
        <f>+AJ13+IFERROR(+VLOOKUP($A13,'B0 2264預收'!$1:$1048576,38,0),0)</f>
        <v>0</v>
      </c>
      <c r="AP13" s="158">
        <f t="shared" si="15"/>
        <v>0</v>
      </c>
      <c r="AQ13" s="157">
        <f>+AL13+IFERROR(VLOOKUP($A13,'A0 BS 1240在建'!$1:$1048576,41,0),0)</f>
        <v>0</v>
      </c>
      <c r="AR13" s="157">
        <f>+AM13+IFERROR(VLOOKUP($A13,'B0 2264預收'!$1:$1048576,41,0),0)</f>
        <v>0</v>
      </c>
      <c r="AS13" s="157">
        <f t="shared" si="16"/>
        <v>0</v>
      </c>
      <c r="AT13" s="157">
        <f>+AO13+IFERROR(+VLOOKUP($A13,'B0 2264預收'!$1:$1048576,42,0),0)</f>
        <v>0</v>
      </c>
      <c r="AU13" s="157">
        <f t="shared" si="17"/>
        <v>0</v>
      </c>
      <c r="AV13" s="158">
        <f>+AQ13+IFERROR(VLOOKUP($A13,'A0 BS 1240在建'!$1:$1048576,45,0),0)</f>
        <v>0</v>
      </c>
      <c r="AW13" s="158">
        <f>+AR13+IFERROR(VLOOKUP($A13,'B0 2264預收'!$1:$1048576,45,0),0)</f>
        <v>0</v>
      </c>
      <c r="AX13" s="158">
        <f t="shared" si="18"/>
        <v>0</v>
      </c>
      <c r="AY13" s="158">
        <f>+AT13+IFERROR(+VLOOKUP($A13,'B0 2264預收'!$1:$1048576,46,0),0)</f>
        <v>0</v>
      </c>
      <c r="AZ13" s="158">
        <f t="shared" si="19"/>
        <v>0</v>
      </c>
      <c r="BA13" s="157">
        <f>+AV13+IFERROR(VLOOKUP($A13,'A0 BS 1240在建'!$1:$1048576,49,0),0)</f>
        <v>0</v>
      </c>
      <c r="BB13" s="157">
        <f>+AW13+IFERROR(VLOOKUP($A13,'B0 2264預收'!$1:$1048576,49,0),0)</f>
        <v>0</v>
      </c>
      <c r="BC13" s="157">
        <f t="shared" si="20"/>
        <v>0</v>
      </c>
      <c r="BD13" s="157">
        <f>+AY13+IFERROR(+VLOOKUP($A13,'B0 2264預收'!$1:$1048576,50,0),0)</f>
        <v>0</v>
      </c>
      <c r="BE13" s="157">
        <f t="shared" si="21"/>
        <v>0</v>
      </c>
      <c r="BF13" s="158">
        <f>+BA13+IFERROR(VLOOKUP($A13,'A0 BS 1240在建'!$1:$1048576,53,0),0)</f>
        <v>0</v>
      </c>
      <c r="BG13" s="158">
        <f>+BB13+IFERROR(VLOOKUP($A13,'B0 2264預收'!$1:$1048576,53,0),0)</f>
        <v>0</v>
      </c>
      <c r="BH13" s="158">
        <f t="shared" si="22"/>
        <v>0</v>
      </c>
      <c r="BI13" s="158">
        <f>+BD13+IFERROR(+VLOOKUP($A13,'B0 2264預收'!$1:$1048576,54,0),0)</f>
        <v>0</v>
      </c>
      <c r="BJ13" s="158">
        <f t="shared" si="23"/>
        <v>0</v>
      </c>
      <c r="BK13" s="157">
        <f>+BF13+IFERROR(VLOOKUP($A13,'A0 BS 1240在建'!$1:$1048576,57,0),0)</f>
        <v>0</v>
      </c>
      <c r="BL13" s="157">
        <f>+BG13+IFERROR(VLOOKUP($A13,'B0 2264預收'!$1:$1048576,57,0),0)</f>
        <v>0</v>
      </c>
      <c r="BM13" s="157">
        <f t="shared" si="24"/>
        <v>0</v>
      </c>
      <c r="BN13" s="157">
        <f>+BI13+IFERROR(+VLOOKUP($A13,'B0 2264預收'!$1:$1048576,58,0),0)</f>
        <v>0</v>
      </c>
      <c r="BO13" s="157">
        <f t="shared" si="25"/>
        <v>0</v>
      </c>
      <c r="BP13" s="158">
        <f>+BK13+IFERROR(VLOOKUP($A13,'A0 BS 1240在建'!$1:$1048576,61,0),0)</f>
        <v>0</v>
      </c>
      <c r="BQ13" s="158">
        <f>+BL13+IFERROR(VLOOKUP($A13,'B0 2264預收'!$1:$1048576,61,0),0)</f>
        <v>0</v>
      </c>
      <c r="BR13" s="159">
        <f t="shared" si="26"/>
        <v>0</v>
      </c>
      <c r="BS13" s="158">
        <f>+BN13+IFERROR(+VLOOKUP($A13,'B0 2264預收'!$1:$1048576,62,0),0)</f>
        <v>0</v>
      </c>
      <c r="BT13" s="158">
        <f t="shared" si="27"/>
        <v>0</v>
      </c>
      <c r="BU13" s="157">
        <f>+IFERROR(VLOOKUP($A13,'A0 BS 1240在建'!$1:$1048576,77,0),0)</f>
        <v>0</v>
      </c>
      <c r="BV13" s="157">
        <f>+IFERROR(VLOOKUP($A13,'B0 2264預收'!$1:$1048576,77,0),0)</f>
        <v>0</v>
      </c>
      <c r="BW13" s="157">
        <f t="shared" si="28"/>
        <v>0</v>
      </c>
      <c r="BX13" s="157">
        <f>+IFERROR(+VLOOKUP($A13,'B0 2264預收'!$1:$1048576,78,0),0)</f>
        <v>0</v>
      </c>
      <c r="BY13" s="157">
        <f t="shared" si="29"/>
        <v>0</v>
      </c>
      <c r="BZ13" s="158">
        <f>IFERROR(+VLOOKUP($A13,'A0 BS 1240在建'!$1:$1048576,85,0),0)</f>
        <v>0</v>
      </c>
      <c r="CA13" s="158">
        <f>IFERROR(+VLOOKUP($A13,'B0 2264預收'!$1:$1048576,85,0),0)</f>
        <v>0</v>
      </c>
      <c r="CB13" s="158">
        <f t="shared" si="30"/>
        <v>0</v>
      </c>
      <c r="CC13" s="158">
        <f>+IFERROR(+VLOOKUP($A13,'B0 2264預收'!$1:$1048576,86,0),0)</f>
        <v>0</v>
      </c>
      <c r="CD13" s="158">
        <f t="shared" si="31"/>
        <v>0</v>
      </c>
      <c r="CE13" s="157">
        <f>+IFERROR(VLOOKUP($A13,'A0 BS 1240在建'!$1:$1048576,93,0),0)</f>
        <v>0</v>
      </c>
      <c r="CF13" s="157">
        <f>+IFERROR(VLOOKUP($A13,'B0 2264預收'!$1:$1048576,93,0),0)</f>
        <v>0</v>
      </c>
      <c r="CG13" s="157">
        <f t="shared" si="32"/>
        <v>0</v>
      </c>
      <c r="CH13" s="157">
        <f>+IFERROR(+VLOOKUP($A13,'B0 2264預收'!$1:$1048576,94,0),0)</f>
        <v>0</v>
      </c>
      <c r="CI13" s="157">
        <f t="shared" si="33"/>
        <v>0</v>
      </c>
      <c r="CJ13" s="158">
        <f>IFERROR(+VLOOKUP($A13,'A0 BS 1240在建'!$1:$1048576,101,0),0)</f>
        <v>0</v>
      </c>
      <c r="CK13" s="158">
        <f>IFERROR(+VLOOKUP($A13,'B0 2264預收'!$1:$1048576,101,0),0)</f>
        <v>0</v>
      </c>
      <c r="CL13" s="158">
        <f t="shared" si="34"/>
        <v>0</v>
      </c>
      <c r="CM13" s="158">
        <f>+IFERROR(+VLOOKUP($A13,'B0 2264預收'!$1:$1048576,102,0),0)</f>
        <v>0</v>
      </c>
      <c r="CN13" s="158">
        <f t="shared" si="35"/>
        <v>0</v>
      </c>
      <c r="CP13" s="166">
        <f t="shared" si="36"/>
        <v>0</v>
      </c>
      <c r="CQ13" s="98">
        <f>+CP13</f>
        <v>0</v>
      </c>
      <c r="CU13" s="160">
        <f t="shared" si="37"/>
        <v>0</v>
      </c>
      <c r="CV13" s="118">
        <f>-J13</f>
        <v>0</v>
      </c>
      <c r="CW13" s="98">
        <f>+BR13</f>
        <v>0</v>
      </c>
      <c r="CY13" s="162" t="str">
        <f t="shared" si="38"/>
        <v/>
      </c>
      <c r="CZ13" s="98" t="str">
        <f t="shared" si="39"/>
        <v xml:space="preserve"> </v>
      </c>
      <c r="DA13" s="98" t="str">
        <f t="shared" si="40"/>
        <v xml:space="preserve"> </v>
      </c>
      <c r="DB13" s="98" t="str">
        <f t="shared" si="41"/>
        <v xml:space="preserve"> </v>
      </c>
      <c r="DC13" s="163">
        <f t="shared" si="42"/>
        <v>0</v>
      </c>
      <c r="DD13" s="162" t="str">
        <f t="shared" si="44"/>
        <v/>
      </c>
      <c r="DE13" s="98" t="str">
        <f t="shared" si="45"/>
        <v xml:space="preserve"> </v>
      </c>
      <c r="DF13" s="98" t="str">
        <f t="shared" si="46"/>
        <v xml:space="preserve"> </v>
      </c>
      <c r="DG13" s="98" t="str">
        <f t="shared" si="47"/>
        <v xml:space="preserve"> </v>
      </c>
      <c r="DH13" s="163">
        <f t="shared" si="43"/>
        <v>0</v>
      </c>
    </row>
    <row r="14" spans="1:112">
      <c r="A14" s="155" t="s">
        <v>325</v>
      </c>
      <c r="B14" s="164" t="s">
        <v>326</v>
      </c>
      <c r="C14" s="157">
        <f>IFERROR(VLOOKUP($A14,'A0 BS 1240在建'!$1:$1048576,5,0),0)</f>
        <v>0</v>
      </c>
      <c r="D14" s="157">
        <f>IFERROR(VLOOKUP($A14,'B0 2264預收'!$1:$1048576,5,0),0)</f>
        <v>0</v>
      </c>
      <c r="E14" s="157">
        <f t="shared" si="0"/>
        <v>0</v>
      </c>
      <c r="F14" s="157">
        <f>IFERROR(VLOOKUP($A14,'B0 2264預收'!$1:$1048576,6,0),0)</f>
        <v>0</v>
      </c>
      <c r="G14" s="157">
        <f t="shared" si="1"/>
        <v>0</v>
      </c>
      <c r="H14" s="158">
        <f>IFERROR(VLOOKUP($A14,'A0 BS 1240在建'!$1:$1048576,13,0),0)</f>
        <v>0</v>
      </c>
      <c r="I14" s="158">
        <f>IFERROR(VLOOKUP($A14,'B0 2264預收'!$1:$1048576,13,0),0)</f>
        <v>0</v>
      </c>
      <c r="J14" s="158">
        <f t="shared" si="2"/>
        <v>0</v>
      </c>
      <c r="K14" s="158">
        <f>IFERROR(VLOOKUP($A14,'B0 2264預收'!$1:$1048576,14,0),0)</f>
        <v>0</v>
      </c>
      <c r="L14" s="158">
        <f t="shared" si="3"/>
        <v>0</v>
      </c>
      <c r="M14" s="157">
        <f>H14+IFERROR(VLOOKUP($A14,'A0 BS 1240在建'!$1:$1048576,17,0),0)</f>
        <v>0</v>
      </c>
      <c r="N14" s="157">
        <f>I14+IFERROR(VLOOKUP($A14,'B0 2264預收'!$1:$1048576,17,0),0)</f>
        <v>0</v>
      </c>
      <c r="O14" s="157">
        <f t="shared" si="4"/>
        <v>0</v>
      </c>
      <c r="P14" s="157">
        <f>K14+IFERROR(+VLOOKUP($A14,'B0 2264預收'!$1:$1048576,18,0),0)</f>
        <v>0</v>
      </c>
      <c r="Q14" s="157">
        <f t="shared" si="5"/>
        <v>0</v>
      </c>
      <c r="R14" s="158">
        <f>M14+IFERROR(VLOOKUP($A14,'A0 BS 1240在建'!$1:$1048576,21,0),0)</f>
        <v>0</v>
      </c>
      <c r="S14" s="158">
        <f>+N14+IFERROR(VLOOKUP($A14,'B0 2264預收'!$1:$1048576,21,0),0)</f>
        <v>0</v>
      </c>
      <c r="T14" s="158">
        <f t="shared" si="6"/>
        <v>0</v>
      </c>
      <c r="U14" s="158">
        <f>+P14+IFERROR(+VLOOKUP($A14,'B0 2264預收'!$1:$1048576,22,0),0)</f>
        <v>0</v>
      </c>
      <c r="V14" s="158">
        <f t="shared" si="7"/>
        <v>0</v>
      </c>
      <c r="W14" s="157">
        <f>+R14+IFERROR(VLOOKUP($A14,'A0 BS 1240在建'!$1:$1048576,25,0),0)</f>
        <v>0</v>
      </c>
      <c r="X14" s="157">
        <f>+S14+IFERROR(VLOOKUP($A14,'B0 2264預收'!$1:$1048576,25,0),0)</f>
        <v>0</v>
      </c>
      <c r="Y14" s="157">
        <f t="shared" si="8"/>
        <v>0</v>
      </c>
      <c r="Z14" s="157">
        <f>+U14+IFERROR(+VLOOKUP($A14,'B0 2264預收'!$1:$1048576,26,0),0)</f>
        <v>0</v>
      </c>
      <c r="AA14" s="157">
        <f t="shared" si="9"/>
        <v>0</v>
      </c>
      <c r="AB14" s="158">
        <f>+W14+IFERROR(VLOOKUP($A14,'A0 BS 1240在建'!$1:$1048576,29,0),0)</f>
        <v>0</v>
      </c>
      <c r="AC14" s="158">
        <f>+X14+IFERROR(VLOOKUP($A14,'B0 2264預收'!$1:$1048576,29,0),0)</f>
        <v>0</v>
      </c>
      <c r="AD14" s="158">
        <f t="shared" si="10"/>
        <v>0</v>
      </c>
      <c r="AE14" s="158">
        <f>+Z14+IFERROR(+VLOOKUP($A14,'B0 2264預收'!$1:$1048576,30,0),0)</f>
        <v>0</v>
      </c>
      <c r="AF14" s="158">
        <f t="shared" si="11"/>
        <v>0</v>
      </c>
      <c r="AG14" s="157">
        <f>+AB14+IFERROR(VLOOKUP($A14,'A0 BS 1240在建'!$1:$1048576,33,0),0)</f>
        <v>0</v>
      </c>
      <c r="AH14" s="157">
        <f>+AC14+IFERROR(VLOOKUP($A14,'B0 2264預收'!$1:$1048576,33,0),0)</f>
        <v>0</v>
      </c>
      <c r="AI14" s="157">
        <f t="shared" si="12"/>
        <v>0</v>
      </c>
      <c r="AJ14" s="157">
        <f>+AE14+IFERROR(+VLOOKUP($A14,'B0 2264預收'!$1:$1048576,34,0),0)</f>
        <v>0</v>
      </c>
      <c r="AK14" s="157">
        <f t="shared" si="13"/>
        <v>0</v>
      </c>
      <c r="AL14" s="158">
        <f>+AG14+IFERROR(VLOOKUP($A14,'A0 BS 1240在建'!$1:$1048576,37,0),0)</f>
        <v>0</v>
      </c>
      <c r="AM14" s="158">
        <f>+AH14+IFERROR(VLOOKUP($A14,'B0 2264預收'!$1:$1048576,37,0),0)</f>
        <v>0</v>
      </c>
      <c r="AN14" s="158">
        <f t="shared" si="14"/>
        <v>0</v>
      </c>
      <c r="AO14" s="158">
        <f>+AJ14+IFERROR(+VLOOKUP($A14,'B0 2264預收'!$1:$1048576,38,0),0)</f>
        <v>0</v>
      </c>
      <c r="AP14" s="158">
        <f t="shared" si="15"/>
        <v>0</v>
      </c>
      <c r="AQ14" s="157">
        <f>+AL14+IFERROR(VLOOKUP($A14,'A0 BS 1240在建'!$1:$1048576,41,0),0)</f>
        <v>0</v>
      </c>
      <c r="AR14" s="157">
        <f>+AM14+IFERROR(VLOOKUP($A14,'B0 2264預收'!$1:$1048576,41,0),0)</f>
        <v>0</v>
      </c>
      <c r="AS14" s="157">
        <f t="shared" si="16"/>
        <v>0</v>
      </c>
      <c r="AT14" s="157">
        <f>+AO14+IFERROR(+VLOOKUP($A14,'B0 2264預收'!$1:$1048576,42,0),0)</f>
        <v>0</v>
      </c>
      <c r="AU14" s="157">
        <f t="shared" si="17"/>
        <v>0</v>
      </c>
      <c r="AV14" s="158">
        <f>+AQ14+IFERROR(VLOOKUP($A14,'A0 BS 1240在建'!$1:$1048576,45,0),0)</f>
        <v>0</v>
      </c>
      <c r="AW14" s="158">
        <f>+AR14+IFERROR(VLOOKUP($A14,'B0 2264預收'!$1:$1048576,45,0),0)</f>
        <v>0</v>
      </c>
      <c r="AX14" s="158">
        <f t="shared" si="18"/>
        <v>0</v>
      </c>
      <c r="AY14" s="158">
        <f>+AT14+IFERROR(+VLOOKUP($A14,'B0 2264預收'!$1:$1048576,46,0),0)</f>
        <v>0</v>
      </c>
      <c r="AZ14" s="158">
        <f t="shared" si="19"/>
        <v>0</v>
      </c>
      <c r="BA14" s="157">
        <f>+AV14+IFERROR(VLOOKUP($A14,'A0 BS 1240在建'!$1:$1048576,49,0),0)</f>
        <v>0</v>
      </c>
      <c r="BB14" s="157">
        <f>+AW14+IFERROR(VLOOKUP($A14,'B0 2264預收'!$1:$1048576,49,0),0)</f>
        <v>0</v>
      </c>
      <c r="BC14" s="157">
        <f t="shared" si="20"/>
        <v>0</v>
      </c>
      <c r="BD14" s="157">
        <f>+AY14+IFERROR(+VLOOKUP($A14,'B0 2264預收'!$1:$1048576,50,0),0)</f>
        <v>0</v>
      </c>
      <c r="BE14" s="157">
        <f t="shared" si="21"/>
        <v>0</v>
      </c>
      <c r="BF14" s="158">
        <f>+BA14+IFERROR(VLOOKUP($A14,'A0 BS 1240在建'!$1:$1048576,53,0),0)</f>
        <v>0</v>
      </c>
      <c r="BG14" s="158">
        <f>+BB14+IFERROR(VLOOKUP($A14,'B0 2264預收'!$1:$1048576,53,0),0)</f>
        <v>0</v>
      </c>
      <c r="BH14" s="158">
        <f t="shared" si="22"/>
        <v>0</v>
      </c>
      <c r="BI14" s="158">
        <f>+BD14+IFERROR(+VLOOKUP($A14,'B0 2264預收'!$1:$1048576,54,0),0)</f>
        <v>0</v>
      </c>
      <c r="BJ14" s="158">
        <f t="shared" si="23"/>
        <v>0</v>
      </c>
      <c r="BK14" s="157">
        <f>+BF14+IFERROR(VLOOKUP($A14,'A0 BS 1240在建'!$1:$1048576,57,0),0)</f>
        <v>0</v>
      </c>
      <c r="BL14" s="157">
        <f>+BG14+IFERROR(VLOOKUP($A14,'B0 2264預收'!$1:$1048576,57,0),0)</f>
        <v>0</v>
      </c>
      <c r="BM14" s="157">
        <f t="shared" si="24"/>
        <v>0</v>
      </c>
      <c r="BN14" s="157">
        <f>+BI14+IFERROR(+VLOOKUP($A14,'B0 2264預收'!$1:$1048576,58,0),0)</f>
        <v>0</v>
      </c>
      <c r="BO14" s="157">
        <f t="shared" si="25"/>
        <v>0</v>
      </c>
      <c r="BP14" s="158">
        <f>+BK14+IFERROR(VLOOKUP($A14,'A0 BS 1240在建'!$1:$1048576,61,0),0)</f>
        <v>0</v>
      </c>
      <c r="BQ14" s="158">
        <f>+BL14+IFERROR(VLOOKUP($A14,'B0 2264預收'!$1:$1048576,61,0),0)</f>
        <v>0</v>
      </c>
      <c r="BR14" s="159">
        <f t="shared" si="26"/>
        <v>0</v>
      </c>
      <c r="BS14" s="158">
        <f>+BN14+IFERROR(+VLOOKUP($A14,'B0 2264預收'!$1:$1048576,62,0),0)</f>
        <v>0</v>
      </c>
      <c r="BT14" s="158">
        <f t="shared" si="27"/>
        <v>0</v>
      </c>
      <c r="BU14" s="157">
        <f>+IFERROR(VLOOKUP($A14,'A0 BS 1240在建'!$1:$1048576,77,0),0)</f>
        <v>0</v>
      </c>
      <c r="BV14" s="157">
        <f>+IFERROR(VLOOKUP($A14,'B0 2264預收'!$1:$1048576,77,0),0)</f>
        <v>0</v>
      </c>
      <c r="BW14" s="157">
        <f t="shared" si="28"/>
        <v>0</v>
      </c>
      <c r="BX14" s="157">
        <f>+IFERROR(+VLOOKUP($A14,'B0 2264預收'!$1:$1048576,78,0),0)</f>
        <v>0</v>
      </c>
      <c r="BY14" s="157">
        <f t="shared" si="29"/>
        <v>0</v>
      </c>
      <c r="BZ14" s="158">
        <f>IFERROR(+VLOOKUP($A14,'A0 BS 1240在建'!$1:$1048576,85,0),0)</f>
        <v>0</v>
      </c>
      <c r="CA14" s="158">
        <f>IFERROR(+VLOOKUP($A14,'B0 2264預收'!$1:$1048576,85,0),0)</f>
        <v>0</v>
      </c>
      <c r="CB14" s="158">
        <f t="shared" si="30"/>
        <v>0</v>
      </c>
      <c r="CC14" s="158">
        <f>+IFERROR(+VLOOKUP($A14,'B0 2264預收'!$1:$1048576,86,0),0)</f>
        <v>0</v>
      </c>
      <c r="CD14" s="158">
        <f t="shared" si="31"/>
        <v>0</v>
      </c>
      <c r="CE14" s="157">
        <f>+IFERROR(VLOOKUP($A14,'A0 BS 1240在建'!$1:$1048576,93,0),0)</f>
        <v>0</v>
      </c>
      <c r="CF14" s="157">
        <f>+IFERROR(VLOOKUP($A14,'B0 2264預收'!$1:$1048576,93,0),0)</f>
        <v>0</v>
      </c>
      <c r="CG14" s="157">
        <f t="shared" si="32"/>
        <v>0</v>
      </c>
      <c r="CH14" s="157">
        <f>+IFERROR(+VLOOKUP($A14,'B0 2264預收'!$1:$1048576,94,0),0)</f>
        <v>0</v>
      </c>
      <c r="CI14" s="157">
        <f t="shared" si="33"/>
        <v>0</v>
      </c>
      <c r="CJ14" s="158">
        <f>IFERROR(+VLOOKUP($A14,'A0 BS 1240在建'!$1:$1048576,101,0),0)</f>
        <v>0</v>
      </c>
      <c r="CK14" s="158">
        <f>IFERROR(+VLOOKUP($A14,'B0 2264預收'!$1:$1048576,101,0),0)</f>
        <v>0</v>
      </c>
      <c r="CL14" s="158">
        <f t="shared" si="34"/>
        <v>0</v>
      </c>
      <c r="CM14" s="158">
        <f>+IFERROR(+VLOOKUP($A14,'B0 2264預收'!$1:$1048576,102,0),0)</f>
        <v>0</v>
      </c>
      <c r="CN14" s="158">
        <f t="shared" si="35"/>
        <v>0</v>
      </c>
      <c r="CP14" s="165">
        <f t="shared" si="36"/>
        <v>0</v>
      </c>
      <c r="CR14" s="98">
        <f>+CP14</f>
        <v>0</v>
      </c>
      <c r="CU14" s="165">
        <f t="shared" si="37"/>
        <v>0</v>
      </c>
      <c r="CW14" s="98">
        <f>+CU14</f>
        <v>0</v>
      </c>
      <c r="CY14" s="162" t="str">
        <f t="shared" si="38"/>
        <v/>
      </c>
      <c r="CZ14" s="98" t="str">
        <f t="shared" si="39"/>
        <v xml:space="preserve"> </v>
      </c>
      <c r="DA14" s="98" t="str">
        <f t="shared" si="40"/>
        <v xml:space="preserve"> </v>
      </c>
      <c r="DB14" s="98" t="str">
        <f t="shared" si="41"/>
        <v xml:space="preserve"> </v>
      </c>
      <c r="DC14" s="163">
        <f t="shared" si="42"/>
        <v>0</v>
      </c>
      <c r="DD14" s="162" t="str">
        <f t="shared" si="44"/>
        <v/>
      </c>
      <c r="DE14" s="98" t="str">
        <f t="shared" si="45"/>
        <v xml:space="preserve"> </v>
      </c>
      <c r="DF14" s="98" t="str">
        <f t="shared" si="46"/>
        <v xml:space="preserve"> </v>
      </c>
      <c r="DG14" s="98" t="str">
        <f t="shared" si="47"/>
        <v xml:space="preserve"> </v>
      </c>
      <c r="DH14" s="163">
        <f t="shared" si="43"/>
        <v>0</v>
      </c>
    </row>
    <row r="15" spans="1:112">
      <c r="A15" s="155" t="s">
        <v>327</v>
      </c>
      <c r="B15" s="164" t="s">
        <v>328</v>
      </c>
      <c r="C15" s="157">
        <f>IFERROR(VLOOKUP($A15,'A0 BS 1240在建'!$1:$1048576,5,0),0)</f>
        <v>0</v>
      </c>
      <c r="D15" s="157">
        <f>IFERROR(VLOOKUP($A15,'B0 2264預收'!$1:$1048576,5,0),0)</f>
        <v>0</v>
      </c>
      <c r="E15" s="157">
        <f t="shared" si="0"/>
        <v>0</v>
      </c>
      <c r="F15" s="157">
        <f>IFERROR(VLOOKUP($A15,'B0 2264預收'!$1:$1048576,6,0),0)</f>
        <v>0</v>
      </c>
      <c r="G15" s="157">
        <f t="shared" si="1"/>
        <v>0</v>
      </c>
      <c r="H15" s="158">
        <f>IFERROR(VLOOKUP($A15,'A0 BS 1240在建'!$1:$1048576,13,0),0)</f>
        <v>0</v>
      </c>
      <c r="I15" s="158">
        <f>IFERROR(VLOOKUP($A15,'B0 2264預收'!$1:$1048576,13,0),0)</f>
        <v>0</v>
      </c>
      <c r="J15" s="158">
        <f t="shared" si="2"/>
        <v>0</v>
      </c>
      <c r="K15" s="158">
        <f>IFERROR(VLOOKUP($A15,'B0 2264預收'!$1:$1048576,14,0),0)</f>
        <v>0</v>
      </c>
      <c r="L15" s="158">
        <f t="shared" si="3"/>
        <v>0</v>
      </c>
      <c r="M15" s="157">
        <f>H15+IFERROR(VLOOKUP($A15,'A0 BS 1240在建'!$1:$1048576,17,0),0)</f>
        <v>0</v>
      </c>
      <c r="N15" s="157">
        <f>I15+IFERROR(VLOOKUP($A15,'B0 2264預收'!$1:$1048576,17,0),0)</f>
        <v>0</v>
      </c>
      <c r="O15" s="157">
        <f t="shared" si="4"/>
        <v>0</v>
      </c>
      <c r="P15" s="157">
        <f>K15+IFERROR(+VLOOKUP($A15,'B0 2264預收'!$1:$1048576,18,0),0)</f>
        <v>0</v>
      </c>
      <c r="Q15" s="157">
        <f t="shared" si="5"/>
        <v>0</v>
      </c>
      <c r="R15" s="158">
        <f>M15+IFERROR(VLOOKUP($A15,'A0 BS 1240在建'!$1:$1048576,21,0),0)</f>
        <v>0</v>
      </c>
      <c r="S15" s="158">
        <f>+N15+IFERROR(VLOOKUP($A15,'B0 2264預收'!$1:$1048576,21,0),0)</f>
        <v>0</v>
      </c>
      <c r="T15" s="158">
        <f t="shared" si="6"/>
        <v>0</v>
      </c>
      <c r="U15" s="158">
        <f>+P15+IFERROR(+VLOOKUP($A15,'B0 2264預收'!$1:$1048576,22,0),0)</f>
        <v>0</v>
      </c>
      <c r="V15" s="158">
        <f t="shared" si="7"/>
        <v>0</v>
      </c>
      <c r="W15" s="157">
        <f>+R15+IFERROR(VLOOKUP($A15,'A0 BS 1240在建'!$1:$1048576,25,0),0)</f>
        <v>0</v>
      </c>
      <c r="X15" s="157">
        <f>+S15+IFERROR(VLOOKUP($A15,'B0 2264預收'!$1:$1048576,25,0),0)</f>
        <v>0</v>
      </c>
      <c r="Y15" s="157">
        <f t="shared" si="8"/>
        <v>0</v>
      </c>
      <c r="Z15" s="157">
        <f>+U15+IFERROR(+VLOOKUP($A15,'B0 2264預收'!$1:$1048576,26,0),0)</f>
        <v>0</v>
      </c>
      <c r="AA15" s="157">
        <f t="shared" si="9"/>
        <v>0</v>
      </c>
      <c r="AB15" s="158">
        <f>+W15+IFERROR(VLOOKUP($A15,'A0 BS 1240在建'!$1:$1048576,29,0),0)</f>
        <v>0</v>
      </c>
      <c r="AC15" s="158">
        <f>+X15+IFERROR(VLOOKUP($A15,'B0 2264預收'!$1:$1048576,29,0),0)</f>
        <v>0</v>
      </c>
      <c r="AD15" s="158">
        <f t="shared" si="10"/>
        <v>0</v>
      </c>
      <c r="AE15" s="158">
        <f>+Z15+IFERROR(+VLOOKUP($A15,'B0 2264預收'!$1:$1048576,30,0),0)</f>
        <v>0</v>
      </c>
      <c r="AF15" s="158">
        <f t="shared" si="11"/>
        <v>0</v>
      </c>
      <c r="AG15" s="157">
        <f>+AB15+IFERROR(VLOOKUP($A15,'A0 BS 1240在建'!$1:$1048576,33,0),0)</f>
        <v>0</v>
      </c>
      <c r="AH15" s="157">
        <f>+AC15+IFERROR(VLOOKUP($A15,'B0 2264預收'!$1:$1048576,33,0),0)</f>
        <v>0</v>
      </c>
      <c r="AI15" s="157">
        <f t="shared" si="12"/>
        <v>0</v>
      </c>
      <c r="AJ15" s="157">
        <f>+AE15+IFERROR(+VLOOKUP($A15,'B0 2264預收'!$1:$1048576,34,0),0)</f>
        <v>0</v>
      </c>
      <c r="AK15" s="157">
        <f t="shared" si="13"/>
        <v>0</v>
      </c>
      <c r="AL15" s="158">
        <f>+AG15+IFERROR(VLOOKUP($A15,'A0 BS 1240在建'!$1:$1048576,37,0),0)</f>
        <v>0</v>
      </c>
      <c r="AM15" s="158">
        <f>+AH15+IFERROR(VLOOKUP($A15,'B0 2264預收'!$1:$1048576,37,0),0)</f>
        <v>0</v>
      </c>
      <c r="AN15" s="158">
        <f t="shared" si="14"/>
        <v>0</v>
      </c>
      <c r="AO15" s="158">
        <f>+AJ15+IFERROR(+VLOOKUP($A15,'B0 2264預收'!$1:$1048576,38,0),0)</f>
        <v>0</v>
      </c>
      <c r="AP15" s="158">
        <f t="shared" si="15"/>
        <v>0</v>
      </c>
      <c r="AQ15" s="157">
        <f>+AL15+IFERROR(VLOOKUP($A15,'A0 BS 1240在建'!$1:$1048576,41,0),0)</f>
        <v>0</v>
      </c>
      <c r="AR15" s="157">
        <f>+AM15+IFERROR(VLOOKUP($A15,'B0 2264預收'!$1:$1048576,41,0),0)</f>
        <v>0</v>
      </c>
      <c r="AS15" s="157">
        <f t="shared" si="16"/>
        <v>0</v>
      </c>
      <c r="AT15" s="157">
        <f>+AO15+IFERROR(+VLOOKUP($A15,'B0 2264預收'!$1:$1048576,42,0),0)</f>
        <v>0</v>
      </c>
      <c r="AU15" s="157">
        <f t="shared" si="17"/>
        <v>0</v>
      </c>
      <c r="AV15" s="158">
        <f>+AQ15+IFERROR(VLOOKUP($A15,'A0 BS 1240在建'!$1:$1048576,45,0),0)</f>
        <v>0</v>
      </c>
      <c r="AW15" s="158">
        <f>+AR15+IFERROR(VLOOKUP($A15,'B0 2264預收'!$1:$1048576,45,0),0)</f>
        <v>0</v>
      </c>
      <c r="AX15" s="158">
        <f t="shared" si="18"/>
        <v>0</v>
      </c>
      <c r="AY15" s="158">
        <f>+AT15+IFERROR(+VLOOKUP($A15,'B0 2264預收'!$1:$1048576,46,0),0)</f>
        <v>0</v>
      </c>
      <c r="AZ15" s="158">
        <f t="shared" si="19"/>
        <v>0</v>
      </c>
      <c r="BA15" s="157">
        <f>+AV15+IFERROR(VLOOKUP($A15,'A0 BS 1240在建'!$1:$1048576,49,0),0)</f>
        <v>0</v>
      </c>
      <c r="BB15" s="157">
        <f>+AW15+IFERROR(VLOOKUP($A15,'B0 2264預收'!$1:$1048576,49,0),0)</f>
        <v>0</v>
      </c>
      <c r="BC15" s="157">
        <f t="shared" si="20"/>
        <v>0</v>
      </c>
      <c r="BD15" s="157">
        <f>+AY15+IFERROR(+VLOOKUP($A15,'B0 2264預收'!$1:$1048576,50,0),0)</f>
        <v>0</v>
      </c>
      <c r="BE15" s="157">
        <f t="shared" si="21"/>
        <v>0</v>
      </c>
      <c r="BF15" s="158">
        <f>+BA15+IFERROR(VLOOKUP($A15,'A0 BS 1240在建'!$1:$1048576,53,0),0)</f>
        <v>0</v>
      </c>
      <c r="BG15" s="158">
        <f>+BB15+IFERROR(VLOOKUP($A15,'B0 2264預收'!$1:$1048576,53,0),0)</f>
        <v>0</v>
      </c>
      <c r="BH15" s="158">
        <f t="shared" si="22"/>
        <v>0</v>
      </c>
      <c r="BI15" s="158">
        <f>+BD15+IFERROR(+VLOOKUP($A15,'B0 2264預收'!$1:$1048576,54,0),0)</f>
        <v>0</v>
      </c>
      <c r="BJ15" s="158">
        <f t="shared" si="23"/>
        <v>0</v>
      </c>
      <c r="BK15" s="157">
        <f>+BF15+IFERROR(VLOOKUP($A15,'A0 BS 1240在建'!$1:$1048576,57,0),0)</f>
        <v>0</v>
      </c>
      <c r="BL15" s="157">
        <f>+BG15+IFERROR(VLOOKUP($A15,'B0 2264預收'!$1:$1048576,57,0),0)</f>
        <v>0</v>
      </c>
      <c r="BM15" s="157">
        <f t="shared" si="24"/>
        <v>0</v>
      </c>
      <c r="BN15" s="157">
        <f>+BI15+IFERROR(+VLOOKUP($A15,'B0 2264預收'!$1:$1048576,58,0),0)</f>
        <v>0</v>
      </c>
      <c r="BO15" s="157">
        <f t="shared" si="25"/>
        <v>0</v>
      </c>
      <c r="BP15" s="158">
        <f>+BK15+IFERROR(VLOOKUP($A15,'A0 BS 1240在建'!$1:$1048576,61,0),0)</f>
        <v>0</v>
      </c>
      <c r="BQ15" s="158">
        <f>+BL15+IFERROR(VLOOKUP($A15,'B0 2264預收'!$1:$1048576,61,0),0)</f>
        <v>0</v>
      </c>
      <c r="BR15" s="159">
        <f t="shared" si="26"/>
        <v>0</v>
      </c>
      <c r="BS15" s="158">
        <f>+BN15+IFERROR(+VLOOKUP($A15,'B0 2264預收'!$1:$1048576,62,0),0)</f>
        <v>0</v>
      </c>
      <c r="BT15" s="158">
        <f t="shared" si="27"/>
        <v>0</v>
      </c>
      <c r="BU15" s="157">
        <f>+IFERROR(VLOOKUP($A15,'A0 BS 1240在建'!$1:$1048576,77,0),0)</f>
        <v>0</v>
      </c>
      <c r="BV15" s="157">
        <f>+IFERROR(VLOOKUP($A15,'B0 2264預收'!$1:$1048576,77,0),0)</f>
        <v>0</v>
      </c>
      <c r="BW15" s="157">
        <f t="shared" si="28"/>
        <v>0</v>
      </c>
      <c r="BX15" s="157">
        <f>+IFERROR(+VLOOKUP($A15,'B0 2264預收'!$1:$1048576,78,0),0)</f>
        <v>0</v>
      </c>
      <c r="BY15" s="157">
        <f t="shared" si="29"/>
        <v>0</v>
      </c>
      <c r="BZ15" s="158">
        <f>IFERROR(+VLOOKUP($A15,'A0 BS 1240在建'!$1:$1048576,85,0),0)</f>
        <v>0</v>
      </c>
      <c r="CA15" s="158">
        <f>IFERROR(+VLOOKUP($A15,'B0 2264預收'!$1:$1048576,85,0),0)</f>
        <v>0</v>
      </c>
      <c r="CB15" s="158">
        <f t="shared" si="30"/>
        <v>0</v>
      </c>
      <c r="CC15" s="158">
        <f>+IFERROR(+VLOOKUP($A15,'B0 2264預收'!$1:$1048576,86,0),0)</f>
        <v>0</v>
      </c>
      <c r="CD15" s="158">
        <f t="shared" si="31"/>
        <v>0</v>
      </c>
      <c r="CE15" s="157">
        <f>+IFERROR(VLOOKUP($A15,'A0 BS 1240在建'!$1:$1048576,93,0),0)</f>
        <v>0</v>
      </c>
      <c r="CF15" s="157">
        <f>+IFERROR(VLOOKUP($A15,'B0 2264預收'!$1:$1048576,93,0),0)</f>
        <v>0</v>
      </c>
      <c r="CG15" s="157">
        <f t="shared" si="32"/>
        <v>0</v>
      </c>
      <c r="CH15" s="157">
        <f>+IFERROR(+VLOOKUP($A15,'B0 2264預收'!$1:$1048576,94,0),0)</f>
        <v>0</v>
      </c>
      <c r="CI15" s="157">
        <f t="shared" si="33"/>
        <v>0</v>
      </c>
      <c r="CJ15" s="158">
        <f>IFERROR(+VLOOKUP($A15,'A0 BS 1240在建'!$1:$1048576,101,0),0)</f>
        <v>0</v>
      </c>
      <c r="CK15" s="158">
        <f>IFERROR(+VLOOKUP($A15,'B0 2264預收'!$1:$1048576,101,0),0)</f>
        <v>0</v>
      </c>
      <c r="CL15" s="158">
        <f t="shared" si="34"/>
        <v>0</v>
      </c>
      <c r="CM15" s="158">
        <f>+IFERROR(+VLOOKUP($A15,'B0 2264預收'!$1:$1048576,102,0),0)</f>
        <v>0</v>
      </c>
      <c r="CN15" s="158">
        <f t="shared" si="35"/>
        <v>0</v>
      </c>
      <c r="CP15" s="166">
        <f t="shared" si="36"/>
        <v>0</v>
      </c>
      <c r="CQ15" s="98">
        <f>+CP15</f>
        <v>0</v>
      </c>
      <c r="CU15" s="166">
        <f t="shared" si="37"/>
        <v>0</v>
      </c>
      <c r="CV15" s="98">
        <f>+CU15</f>
        <v>0</v>
      </c>
      <c r="CY15" s="162" t="str">
        <f t="shared" si="38"/>
        <v/>
      </c>
      <c r="CZ15" s="98" t="str">
        <f t="shared" si="39"/>
        <v xml:space="preserve"> </v>
      </c>
      <c r="DA15" s="98" t="str">
        <f t="shared" si="40"/>
        <v xml:space="preserve"> </v>
      </c>
      <c r="DB15" s="98" t="str">
        <f t="shared" si="41"/>
        <v xml:space="preserve"> </v>
      </c>
      <c r="DC15" s="163">
        <f t="shared" si="42"/>
        <v>0</v>
      </c>
      <c r="DD15" s="162" t="str">
        <f t="shared" si="44"/>
        <v/>
      </c>
      <c r="DE15" s="98" t="str">
        <f t="shared" si="45"/>
        <v xml:space="preserve"> </v>
      </c>
      <c r="DF15" s="98" t="str">
        <f t="shared" si="46"/>
        <v xml:space="preserve"> </v>
      </c>
      <c r="DG15" s="98" t="str">
        <f t="shared" si="47"/>
        <v xml:space="preserve"> </v>
      </c>
      <c r="DH15" s="163">
        <f t="shared" si="43"/>
        <v>0</v>
      </c>
    </row>
    <row r="16" spans="1:112">
      <c r="A16" s="155" t="s">
        <v>329</v>
      </c>
      <c r="B16" s="156" t="s">
        <v>330</v>
      </c>
      <c r="C16" s="157">
        <f>IFERROR(VLOOKUP($A16,'A0 BS 1240在建'!$1:$1048576,5,0),0)</f>
        <v>0</v>
      </c>
      <c r="D16" s="157">
        <f>IFERROR(VLOOKUP($A16,'B0 2264預收'!$1:$1048576,5,0),0)</f>
        <v>0</v>
      </c>
      <c r="E16" s="157">
        <f t="shared" si="0"/>
        <v>0</v>
      </c>
      <c r="F16" s="157">
        <f>IFERROR(VLOOKUP($A16,'B0 2264預收'!$1:$1048576,6,0),0)</f>
        <v>0</v>
      </c>
      <c r="G16" s="157">
        <f t="shared" si="1"/>
        <v>0</v>
      </c>
      <c r="H16" s="158">
        <f>IFERROR(VLOOKUP($A16,'A0 BS 1240在建'!$1:$1048576,13,0),0)</f>
        <v>0</v>
      </c>
      <c r="I16" s="158">
        <f>IFERROR(VLOOKUP($A16,'B0 2264預收'!$1:$1048576,13,0),0)</f>
        <v>0</v>
      </c>
      <c r="J16" s="158">
        <f t="shared" si="2"/>
        <v>0</v>
      </c>
      <c r="K16" s="158">
        <f>IFERROR(VLOOKUP($A16,'B0 2264預收'!$1:$1048576,14,0),0)</f>
        <v>0</v>
      </c>
      <c r="L16" s="158">
        <f t="shared" si="3"/>
        <v>0</v>
      </c>
      <c r="M16" s="157">
        <f>H16+IFERROR(VLOOKUP($A16,'A0 BS 1240在建'!$1:$1048576,17,0),0)</f>
        <v>0</v>
      </c>
      <c r="N16" s="157">
        <f>I16+IFERROR(VLOOKUP($A16,'B0 2264預收'!$1:$1048576,17,0),0)</f>
        <v>0</v>
      </c>
      <c r="O16" s="157">
        <f t="shared" si="4"/>
        <v>0</v>
      </c>
      <c r="P16" s="157">
        <f>K16+IFERROR(+VLOOKUP($A16,'B0 2264預收'!$1:$1048576,18,0),0)</f>
        <v>0</v>
      </c>
      <c r="Q16" s="157">
        <f t="shared" si="5"/>
        <v>0</v>
      </c>
      <c r="R16" s="158">
        <f>M16+IFERROR(VLOOKUP($A16,'A0 BS 1240在建'!$1:$1048576,21,0),0)</f>
        <v>0</v>
      </c>
      <c r="S16" s="158">
        <f>+N16+IFERROR(VLOOKUP($A16,'B0 2264預收'!$1:$1048576,21,0),0)</f>
        <v>0</v>
      </c>
      <c r="T16" s="158">
        <f t="shared" si="6"/>
        <v>0</v>
      </c>
      <c r="U16" s="158">
        <f>+P16+IFERROR(+VLOOKUP($A16,'B0 2264預收'!$1:$1048576,22,0),0)</f>
        <v>0</v>
      </c>
      <c r="V16" s="158">
        <f t="shared" si="7"/>
        <v>0</v>
      </c>
      <c r="W16" s="157">
        <f>+R16+IFERROR(VLOOKUP($A16,'A0 BS 1240在建'!$1:$1048576,25,0),0)</f>
        <v>0</v>
      </c>
      <c r="X16" s="157">
        <f>+S16+IFERROR(VLOOKUP($A16,'B0 2264預收'!$1:$1048576,25,0),0)</f>
        <v>0</v>
      </c>
      <c r="Y16" s="157">
        <f t="shared" si="8"/>
        <v>0</v>
      </c>
      <c r="Z16" s="157">
        <f>+U16+IFERROR(+VLOOKUP($A16,'B0 2264預收'!$1:$1048576,26,0),0)</f>
        <v>0</v>
      </c>
      <c r="AA16" s="157">
        <f t="shared" si="9"/>
        <v>0</v>
      </c>
      <c r="AB16" s="158">
        <f>+W16+IFERROR(VLOOKUP($A16,'A0 BS 1240在建'!$1:$1048576,29,0),0)</f>
        <v>0</v>
      </c>
      <c r="AC16" s="158">
        <f>+X16+IFERROR(VLOOKUP($A16,'B0 2264預收'!$1:$1048576,29,0),0)</f>
        <v>0</v>
      </c>
      <c r="AD16" s="158">
        <f t="shared" si="10"/>
        <v>0</v>
      </c>
      <c r="AE16" s="158">
        <f>+Z16+IFERROR(+VLOOKUP($A16,'B0 2264預收'!$1:$1048576,30,0),0)</f>
        <v>0</v>
      </c>
      <c r="AF16" s="158">
        <f t="shared" si="11"/>
        <v>0</v>
      </c>
      <c r="AG16" s="157">
        <f>+AB16+IFERROR(VLOOKUP($A16,'A0 BS 1240在建'!$1:$1048576,33,0),0)</f>
        <v>0</v>
      </c>
      <c r="AH16" s="157">
        <f>+AC16+IFERROR(VLOOKUP($A16,'B0 2264預收'!$1:$1048576,33,0),0)</f>
        <v>0</v>
      </c>
      <c r="AI16" s="157">
        <f t="shared" si="12"/>
        <v>0</v>
      </c>
      <c r="AJ16" s="157">
        <f>+AE16+IFERROR(+VLOOKUP($A16,'B0 2264預收'!$1:$1048576,34,0),0)</f>
        <v>0</v>
      </c>
      <c r="AK16" s="157">
        <f t="shared" si="13"/>
        <v>0</v>
      </c>
      <c r="AL16" s="158">
        <f>+AG16+IFERROR(VLOOKUP($A16,'A0 BS 1240在建'!$1:$1048576,37,0),0)</f>
        <v>0</v>
      </c>
      <c r="AM16" s="158">
        <f>+AH16+IFERROR(VLOOKUP($A16,'B0 2264預收'!$1:$1048576,37,0),0)</f>
        <v>0</v>
      </c>
      <c r="AN16" s="158">
        <f t="shared" si="14"/>
        <v>0</v>
      </c>
      <c r="AO16" s="158">
        <f>+AJ16+IFERROR(+VLOOKUP($A16,'B0 2264預收'!$1:$1048576,38,0),0)</f>
        <v>0</v>
      </c>
      <c r="AP16" s="158">
        <f t="shared" si="15"/>
        <v>0</v>
      </c>
      <c r="AQ16" s="157">
        <f>+AL16+IFERROR(VLOOKUP($A16,'A0 BS 1240在建'!$1:$1048576,41,0),0)</f>
        <v>0</v>
      </c>
      <c r="AR16" s="157">
        <f>+AM16+IFERROR(VLOOKUP($A16,'B0 2264預收'!$1:$1048576,41,0),0)</f>
        <v>0</v>
      </c>
      <c r="AS16" s="157">
        <f t="shared" si="16"/>
        <v>0</v>
      </c>
      <c r="AT16" s="157">
        <f>+AO16+IFERROR(+VLOOKUP($A16,'B0 2264預收'!$1:$1048576,42,0),0)</f>
        <v>0</v>
      </c>
      <c r="AU16" s="157">
        <f t="shared" si="17"/>
        <v>0</v>
      </c>
      <c r="AV16" s="158">
        <f>+AQ16+IFERROR(VLOOKUP($A16,'A0 BS 1240在建'!$1:$1048576,45,0),0)</f>
        <v>0</v>
      </c>
      <c r="AW16" s="158">
        <f>+AR16+IFERROR(VLOOKUP($A16,'B0 2264預收'!$1:$1048576,45,0),0)</f>
        <v>0</v>
      </c>
      <c r="AX16" s="158">
        <f t="shared" si="18"/>
        <v>0</v>
      </c>
      <c r="AY16" s="158">
        <f>+AT16+IFERROR(+VLOOKUP($A16,'B0 2264預收'!$1:$1048576,46,0),0)</f>
        <v>0</v>
      </c>
      <c r="AZ16" s="158">
        <f t="shared" si="19"/>
        <v>0</v>
      </c>
      <c r="BA16" s="157">
        <f>+AV16+IFERROR(VLOOKUP($A16,'A0 BS 1240在建'!$1:$1048576,49,0),0)</f>
        <v>0</v>
      </c>
      <c r="BB16" s="157">
        <f>+AW16+IFERROR(VLOOKUP($A16,'B0 2264預收'!$1:$1048576,49,0),0)</f>
        <v>0</v>
      </c>
      <c r="BC16" s="157">
        <f t="shared" si="20"/>
        <v>0</v>
      </c>
      <c r="BD16" s="157">
        <f>+AY16+IFERROR(+VLOOKUP($A16,'B0 2264預收'!$1:$1048576,50,0),0)</f>
        <v>0</v>
      </c>
      <c r="BE16" s="157">
        <f t="shared" si="21"/>
        <v>0</v>
      </c>
      <c r="BF16" s="158">
        <f>+BA16+IFERROR(VLOOKUP($A16,'A0 BS 1240在建'!$1:$1048576,53,0),0)</f>
        <v>0</v>
      </c>
      <c r="BG16" s="158">
        <f>+BB16+IFERROR(VLOOKUP($A16,'B0 2264預收'!$1:$1048576,53,0),0)</f>
        <v>0</v>
      </c>
      <c r="BH16" s="158">
        <f t="shared" si="22"/>
        <v>0</v>
      </c>
      <c r="BI16" s="158">
        <f>+BD16+IFERROR(+VLOOKUP($A16,'B0 2264預收'!$1:$1048576,54,0),0)</f>
        <v>0</v>
      </c>
      <c r="BJ16" s="158">
        <f t="shared" si="23"/>
        <v>0</v>
      </c>
      <c r="BK16" s="157">
        <f>+BF16+IFERROR(VLOOKUP($A16,'A0 BS 1240在建'!$1:$1048576,57,0),0)</f>
        <v>0</v>
      </c>
      <c r="BL16" s="157">
        <f>+BG16+IFERROR(VLOOKUP($A16,'B0 2264預收'!$1:$1048576,57,0),0)</f>
        <v>0</v>
      </c>
      <c r="BM16" s="157">
        <f t="shared" si="24"/>
        <v>0</v>
      </c>
      <c r="BN16" s="157">
        <f>+BI16+IFERROR(+VLOOKUP($A16,'B0 2264預收'!$1:$1048576,58,0),0)</f>
        <v>0</v>
      </c>
      <c r="BO16" s="157">
        <f t="shared" si="25"/>
        <v>0</v>
      </c>
      <c r="BP16" s="158">
        <f>+BK16+IFERROR(VLOOKUP($A16,'A0 BS 1240在建'!$1:$1048576,61,0),0)</f>
        <v>0</v>
      </c>
      <c r="BQ16" s="158">
        <f>+BL16+IFERROR(VLOOKUP($A16,'B0 2264預收'!$1:$1048576,61,0),0)</f>
        <v>0</v>
      </c>
      <c r="BR16" s="159">
        <f t="shared" si="26"/>
        <v>0</v>
      </c>
      <c r="BS16" s="158">
        <f>+BN16+IFERROR(+VLOOKUP($A16,'B0 2264預收'!$1:$1048576,62,0),0)</f>
        <v>0</v>
      </c>
      <c r="BT16" s="158">
        <f t="shared" si="27"/>
        <v>0</v>
      </c>
      <c r="BU16" s="157">
        <f>+IFERROR(VLOOKUP($A16,'A0 BS 1240在建'!$1:$1048576,77,0),0)</f>
        <v>0</v>
      </c>
      <c r="BV16" s="157">
        <f>+IFERROR(VLOOKUP($A16,'B0 2264預收'!$1:$1048576,77,0),0)</f>
        <v>0</v>
      </c>
      <c r="BW16" s="157">
        <f t="shared" si="28"/>
        <v>0</v>
      </c>
      <c r="BX16" s="157">
        <f>+IFERROR(+VLOOKUP($A16,'B0 2264預收'!$1:$1048576,78,0),0)</f>
        <v>0</v>
      </c>
      <c r="BY16" s="157">
        <f t="shared" si="29"/>
        <v>0</v>
      </c>
      <c r="BZ16" s="158">
        <f>IFERROR(+VLOOKUP($A16,'A0 BS 1240在建'!$1:$1048576,85,0),0)</f>
        <v>0</v>
      </c>
      <c r="CA16" s="158">
        <f>IFERROR(+VLOOKUP($A16,'B0 2264預收'!$1:$1048576,85,0),0)</f>
        <v>0</v>
      </c>
      <c r="CB16" s="158">
        <f t="shared" si="30"/>
        <v>0</v>
      </c>
      <c r="CC16" s="158">
        <f>+IFERROR(+VLOOKUP($A16,'B0 2264預收'!$1:$1048576,86,0),0)</f>
        <v>0</v>
      </c>
      <c r="CD16" s="158">
        <f t="shared" si="31"/>
        <v>0</v>
      </c>
      <c r="CE16" s="157">
        <f>+IFERROR(VLOOKUP($A16,'A0 BS 1240在建'!$1:$1048576,93,0),0)</f>
        <v>0</v>
      </c>
      <c r="CF16" s="157">
        <f>+IFERROR(VLOOKUP($A16,'B0 2264預收'!$1:$1048576,93,0),0)</f>
        <v>0</v>
      </c>
      <c r="CG16" s="157">
        <f t="shared" si="32"/>
        <v>0</v>
      </c>
      <c r="CH16" s="157">
        <f>+IFERROR(+VLOOKUP($A16,'B0 2264預收'!$1:$1048576,94,0),0)</f>
        <v>0</v>
      </c>
      <c r="CI16" s="157">
        <f t="shared" si="33"/>
        <v>0</v>
      </c>
      <c r="CJ16" s="158">
        <f>IFERROR(+VLOOKUP($A16,'A0 BS 1240在建'!$1:$1048576,101,0),0)</f>
        <v>0</v>
      </c>
      <c r="CK16" s="158">
        <f>IFERROR(+VLOOKUP($A16,'B0 2264預收'!$1:$1048576,101,0),0)</f>
        <v>0</v>
      </c>
      <c r="CL16" s="158">
        <f t="shared" si="34"/>
        <v>0</v>
      </c>
      <c r="CM16" s="158">
        <f>+IFERROR(+VLOOKUP($A16,'B0 2264預收'!$1:$1048576,102,0),0)</f>
        <v>0</v>
      </c>
      <c r="CN16" s="158">
        <f t="shared" si="35"/>
        <v>0</v>
      </c>
      <c r="CP16" s="160">
        <f t="shared" si="36"/>
        <v>0</v>
      </c>
      <c r="CQ16" s="118">
        <f>-E16</f>
        <v>0</v>
      </c>
      <c r="CR16" s="98">
        <f>+J16</f>
        <v>0</v>
      </c>
      <c r="CU16" s="161">
        <f t="shared" si="37"/>
        <v>0</v>
      </c>
      <c r="CV16" s="98">
        <f>+BR16</f>
        <v>0</v>
      </c>
      <c r="CW16" s="98">
        <f>-J16</f>
        <v>0</v>
      </c>
      <c r="CY16" s="162" t="str">
        <f t="shared" si="38"/>
        <v/>
      </c>
      <c r="CZ16" s="98" t="str">
        <f t="shared" si="39"/>
        <v xml:space="preserve"> </v>
      </c>
      <c r="DA16" s="98" t="str">
        <f t="shared" si="40"/>
        <v xml:space="preserve"> </v>
      </c>
      <c r="DB16" s="98" t="str">
        <f t="shared" si="41"/>
        <v xml:space="preserve"> </v>
      </c>
      <c r="DC16" s="163">
        <f t="shared" si="42"/>
        <v>0</v>
      </c>
      <c r="DD16" s="162" t="str">
        <f t="shared" si="44"/>
        <v/>
      </c>
      <c r="DE16" s="98" t="str">
        <f t="shared" si="45"/>
        <v xml:space="preserve"> </v>
      </c>
      <c r="DF16" s="98" t="str">
        <f t="shared" si="46"/>
        <v xml:space="preserve"> </v>
      </c>
      <c r="DG16" s="98" t="str">
        <f t="shared" si="47"/>
        <v xml:space="preserve"> </v>
      </c>
      <c r="DH16" s="163">
        <f t="shared" si="43"/>
        <v>0</v>
      </c>
    </row>
    <row r="17" spans="1:112">
      <c r="A17" s="155" t="s">
        <v>331</v>
      </c>
      <c r="B17" s="168" t="s">
        <v>332</v>
      </c>
      <c r="C17" s="157">
        <f>IFERROR(VLOOKUP($A17,'A0 BS 1240在建'!$1:$1048576,5,0),0)</f>
        <v>0</v>
      </c>
      <c r="D17" s="157">
        <f>IFERROR(VLOOKUP($A17,'B0 2264預收'!$1:$1048576,5,0),0)</f>
        <v>0</v>
      </c>
      <c r="E17" s="157">
        <f t="shared" si="0"/>
        <v>0</v>
      </c>
      <c r="F17" s="157">
        <f>IFERROR(VLOOKUP($A17,'B0 2264預收'!$1:$1048576,6,0),0)</f>
        <v>0</v>
      </c>
      <c r="G17" s="157">
        <f t="shared" si="1"/>
        <v>0</v>
      </c>
      <c r="H17" s="158">
        <f>IFERROR(VLOOKUP($A17,'A0 BS 1240在建'!$1:$1048576,13,0),0)</f>
        <v>0</v>
      </c>
      <c r="I17" s="158">
        <f>IFERROR(VLOOKUP($A17,'B0 2264預收'!$1:$1048576,13,0),0)</f>
        <v>0</v>
      </c>
      <c r="J17" s="158">
        <f t="shared" si="2"/>
        <v>0</v>
      </c>
      <c r="K17" s="158">
        <f>IFERROR(VLOOKUP($A17,'B0 2264預收'!$1:$1048576,14,0),0)</f>
        <v>0</v>
      </c>
      <c r="L17" s="158">
        <f t="shared" si="3"/>
        <v>0</v>
      </c>
      <c r="M17" s="157">
        <f>H17+IFERROR(VLOOKUP($A17,'A0 BS 1240在建'!$1:$1048576,17,0),0)</f>
        <v>0</v>
      </c>
      <c r="N17" s="157">
        <f>I17+IFERROR(VLOOKUP($A17,'B0 2264預收'!$1:$1048576,17,0),0)</f>
        <v>0</v>
      </c>
      <c r="O17" s="157">
        <f t="shared" si="4"/>
        <v>0</v>
      </c>
      <c r="P17" s="157">
        <f>K17+IFERROR(+VLOOKUP($A17,'B0 2264預收'!$1:$1048576,18,0),0)</f>
        <v>0</v>
      </c>
      <c r="Q17" s="157">
        <f t="shared" si="5"/>
        <v>0</v>
      </c>
      <c r="R17" s="158">
        <f>M17+IFERROR(VLOOKUP($A17,'A0 BS 1240在建'!$1:$1048576,21,0),0)</f>
        <v>0</v>
      </c>
      <c r="S17" s="158">
        <f>+N17+IFERROR(VLOOKUP($A17,'B0 2264預收'!$1:$1048576,21,0),0)</f>
        <v>0</v>
      </c>
      <c r="T17" s="158">
        <f t="shared" si="6"/>
        <v>0</v>
      </c>
      <c r="U17" s="158">
        <f>+P17+IFERROR(+VLOOKUP($A17,'B0 2264預收'!$1:$1048576,22,0),0)</f>
        <v>0</v>
      </c>
      <c r="V17" s="158">
        <f t="shared" si="7"/>
        <v>0</v>
      </c>
      <c r="W17" s="157">
        <f>+R17+IFERROR(VLOOKUP($A17,'A0 BS 1240在建'!$1:$1048576,25,0),0)</f>
        <v>0</v>
      </c>
      <c r="X17" s="157">
        <f>+S17+IFERROR(VLOOKUP($A17,'B0 2264預收'!$1:$1048576,25,0),0)</f>
        <v>0</v>
      </c>
      <c r="Y17" s="157">
        <f t="shared" si="8"/>
        <v>0</v>
      </c>
      <c r="Z17" s="157">
        <f>+U17+IFERROR(+VLOOKUP($A17,'B0 2264預收'!$1:$1048576,26,0),0)</f>
        <v>0</v>
      </c>
      <c r="AA17" s="157">
        <f t="shared" si="9"/>
        <v>0</v>
      </c>
      <c r="AB17" s="158">
        <f>+W17+IFERROR(VLOOKUP($A17,'A0 BS 1240在建'!$1:$1048576,29,0),0)</f>
        <v>0</v>
      </c>
      <c r="AC17" s="158">
        <f>+X17+IFERROR(VLOOKUP($A17,'B0 2264預收'!$1:$1048576,29,0),0)</f>
        <v>0</v>
      </c>
      <c r="AD17" s="158">
        <f t="shared" si="10"/>
        <v>0</v>
      </c>
      <c r="AE17" s="158">
        <f>+Z17+IFERROR(+VLOOKUP($A17,'B0 2264預收'!$1:$1048576,30,0),0)</f>
        <v>0</v>
      </c>
      <c r="AF17" s="158">
        <f t="shared" si="11"/>
        <v>0</v>
      </c>
      <c r="AG17" s="157">
        <f>+AB17+IFERROR(VLOOKUP($A17,'A0 BS 1240在建'!$1:$1048576,33,0),0)</f>
        <v>0</v>
      </c>
      <c r="AH17" s="157">
        <f>+AC17+IFERROR(VLOOKUP($A17,'B0 2264預收'!$1:$1048576,33,0),0)</f>
        <v>0</v>
      </c>
      <c r="AI17" s="157">
        <f t="shared" si="12"/>
        <v>0</v>
      </c>
      <c r="AJ17" s="157">
        <f>+AE17+IFERROR(+VLOOKUP($A17,'B0 2264預收'!$1:$1048576,34,0),0)</f>
        <v>0</v>
      </c>
      <c r="AK17" s="157">
        <f t="shared" si="13"/>
        <v>0</v>
      </c>
      <c r="AL17" s="158">
        <f>+AG17+IFERROR(VLOOKUP($A17,'A0 BS 1240在建'!$1:$1048576,37,0),0)</f>
        <v>0</v>
      </c>
      <c r="AM17" s="158">
        <f>+AH17+IFERROR(VLOOKUP($A17,'B0 2264預收'!$1:$1048576,37,0),0)</f>
        <v>0</v>
      </c>
      <c r="AN17" s="158">
        <f t="shared" si="14"/>
        <v>0</v>
      </c>
      <c r="AO17" s="158">
        <f>+AJ17+IFERROR(+VLOOKUP($A17,'B0 2264預收'!$1:$1048576,38,0),0)</f>
        <v>0</v>
      </c>
      <c r="AP17" s="158">
        <f t="shared" si="15"/>
        <v>0</v>
      </c>
      <c r="AQ17" s="157">
        <f>+AL17+IFERROR(VLOOKUP($A17,'A0 BS 1240在建'!$1:$1048576,41,0),0)</f>
        <v>0</v>
      </c>
      <c r="AR17" s="157">
        <f>+AM17+IFERROR(VLOOKUP($A17,'B0 2264預收'!$1:$1048576,41,0),0)</f>
        <v>0</v>
      </c>
      <c r="AS17" s="157">
        <f t="shared" si="16"/>
        <v>0</v>
      </c>
      <c r="AT17" s="157">
        <f>+AO17+IFERROR(+VLOOKUP($A17,'B0 2264預收'!$1:$1048576,42,0),0)</f>
        <v>0</v>
      </c>
      <c r="AU17" s="157">
        <f t="shared" si="17"/>
        <v>0</v>
      </c>
      <c r="AV17" s="158">
        <f>+AQ17+IFERROR(VLOOKUP($A17,'A0 BS 1240在建'!$1:$1048576,45,0),0)</f>
        <v>0</v>
      </c>
      <c r="AW17" s="158">
        <f>+AR17+IFERROR(VLOOKUP($A17,'B0 2264預收'!$1:$1048576,45,0),0)</f>
        <v>0</v>
      </c>
      <c r="AX17" s="158">
        <f t="shared" si="18"/>
        <v>0</v>
      </c>
      <c r="AY17" s="158">
        <f>+AT17+IFERROR(+VLOOKUP($A17,'B0 2264預收'!$1:$1048576,46,0),0)</f>
        <v>0</v>
      </c>
      <c r="AZ17" s="158">
        <f t="shared" si="19"/>
        <v>0</v>
      </c>
      <c r="BA17" s="157">
        <f>+AV17+IFERROR(VLOOKUP($A17,'A0 BS 1240在建'!$1:$1048576,49,0),0)</f>
        <v>0</v>
      </c>
      <c r="BB17" s="157">
        <f>+AW17+IFERROR(VLOOKUP($A17,'B0 2264預收'!$1:$1048576,49,0),0)</f>
        <v>0</v>
      </c>
      <c r="BC17" s="157">
        <f t="shared" si="20"/>
        <v>0</v>
      </c>
      <c r="BD17" s="157">
        <f>+AY17+IFERROR(+VLOOKUP($A17,'B0 2264預收'!$1:$1048576,50,0),0)</f>
        <v>0</v>
      </c>
      <c r="BE17" s="157">
        <f t="shared" si="21"/>
        <v>0</v>
      </c>
      <c r="BF17" s="158">
        <f>+BA17+IFERROR(VLOOKUP($A17,'A0 BS 1240在建'!$1:$1048576,53,0),0)</f>
        <v>0</v>
      </c>
      <c r="BG17" s="158">
        <f>+BB17+IFERROR(VLOOKUP($A17,'B0 2264預收'!$1:$1048576,53,0),0)</f>
        <v>0</v>
      </c>
      <c r="BH17" s="158">
        <f t="shared" si="22"/>
        <v>0</v>
      </c>
      <c r="BI17" s="158">
        <f>+BD17+IFERROR(+VLOOKUP($A17,'B0 2264預收'!$1:$1048576,54,0),0)</f>
        <v>0</v>
      </c>
      <c r="BJ17" s="158">
        <f t="shared" si="23"/>
        <v>0</v>
      </c>
      <c r="BK17" s="157">
        <f>+BF17+IFERROR(VLOOKUP($A17,'A0 BS 1240在建'!$1:$1048576,57,0),0)</f>
        <v>0</v>
      </c>
      <c r="BL17" s="157">
        <f>+BG17+IFERROR(VLOOKUP($A17,'B0 2264預收'!$1:$1048576,57,0),0)</f>
        <v>0</v>
      </c>
      <c r="BM17" s="157">
        <f t="shared" si="24"/>
        <v>0</v>
      </c>
      <c r="BN17" s="157">
        <f>+BI17+IFERROR(+VLOOKUP($A17,'B0 2264預收'!$1:$1048576,58,0),0)</f>
        <v>0</v>
      </c>
      <c r="BO17" s="157">
        <f t="shared" si="25"/>
        <v>0</v>
      </c>
      <c r="BP17" s="158">
        <f>+BK17+IFERROR(VLOOKUP($A17,'A0 BS 1240在建'!$1:$1048576,61,0),0)</f>
        <v>0</v>
      </c>
      <c r="BQ17" s="158">
        <f>+BL17+IFERROR(VLOOKUP($A17,'B0 2264預收'!$1:$1048576,61,0),0)</f>
        <v>0</v>
      </c>
      <c r="BR17" s="159">
        <f t="shared" si="26"/>
        <v>0</v>
      </c>
      <c r="BS17" s="158">
        <f>+BN17+IFERROR(+VLOOKUP($A17,'B0 2264預收'!$1:$1048576,62,0),0)</f>
        <v>0</v>
      </c>
      <c r="BT17" s="158">
        <f t="shared" si="27"/>
        <v>0</v>
      </c>
      <c r="BU17" s="157">
        <f>+IFERROR(VLOOKUP($A17,'A0 BS 1240在建'!$1:$1048576,77,0),0)</f>
        <v>0</v>
      </c>
      <c r="BV17" s="157">
        <f>+IFERROR(VLOOKUP($A17,'B0 2264預收'!$1:$1048576,77,0),0)</f>
        <v>0</v>
      </c>
      <c r="BW17" s="157">
        <f t="shared" si="28"/>
        <v>0</v>
      </c>
      <c r="BX17" s="157">
        <f>+IFERROR(+VLOOKUP($A17,'B0 2264預收'!$1:$1048576,78,0),0)</f>
        <v>0</v>
      </c>
      <c r="BY17" s="157">
        <f t="shared" si="29"/>
        <v>0</v>
      </c>
      <c r="BZ17" s="158">
        <f>IFERROR(+VLOOKUP($A17,'A0 BS 1240在建'!$1:$1048576,85,0),0)</f>
        <v>0</v>
      </c>
      <c r="CA17" s="158">
        <f>IFERROR(+VLOOKUP($A17,'B0 2264預收'!$1:$1048576,85,0),0)</f>
        <v>0</v>
      </c>
      <c r="CB17" s="158">
        <f t="shared" si="30"/>
        <v>0</v>
      </c>
      <c r="CC17" s="158">
        <f>+IFERROR(+VLOOKUP($A17,'B0 2264預收'!$1:$1048576,86,0),0)</f>
        <v>0</v>
      </c>
      <c r="CD17" s="158">
        <f t="shared" si="31"/>
        <v>0</v>
      </c>
      <c r="CE17" s="157">
        <f>+IFERROR(VLOOKUP($A17,'A0 BS 1240在建'!$1:$1048576,93,0),0)</f>
        <v>0</v>
      </c>
      <c r="CF17" s="157">
        <f>+IFERROR(VLOOKUP($A17,'B0 2264預收'!$1:$1048576,93,0),0)</f>
        <v>0</v>
      </c>
      <c r="CG17" s="157">
        <f t="shared" si="32"/>
        <v>0</v>
      </c>
      <c r="CH17" s="157">
        <f>+IFERROR(+VLOOKUP($A17,'B0 2264預收'!$1:$1048576,94,0),0)</f>
        <v>0</v>
      </c>
      <c r="CI17" s="157">
        <f t="shared" si="33"/>
        <v>0</v>
      </c>
      <c r="CJ17" s="158">
        <f>IFERROR(+VLOOKUP($A17,'A0 BS 1240在建'!$1:$1048576,101,0),0)</f>
        <v>0</v>
      </c>
      <c r="CK17" s="158">
        <f>IFERROR(+VLOOKUP($A17,'B0 2264預收'!$1:$1048576,101,0),0)</f>
        <v>0</v>
      </c>
      <c r="CL17" s="158">
        <f t="shared" si="34"/>
        <v>0</v>
      </c>
      <c r="CM17" s="158">
        <f>+IFERROR(+VLOOKUP($A17,'B0 2264預收'!$1:$1048576,102,0),0)</f>
        <v>0</v>
      </c>
      <c r="CN17" s="158">
        <f t="shared" si="35"/>
        <v>0</v>
      </c>
      <c r="CP17" s="166">
        <f t="shared" si="36"/>
        <v>0</v>
      </c>
      <c r="CQ17" s="98">
        <f>+CP17</f>
        <v>0</v>
      </c>
      <c r="CU17" s="166">
        <f t="shared" si="37"/>
        <v>0</v>
      </c>
      <c r="CV17" s="98">
        <f>+CU17</f>
        <v>0</v>
      </c>
      <c r="CY17" s="162" t="str">
        <f t="shared" si="38"/>
        <v/>
      </c>
      <c r="CZ17" s="98" t="str">
        <f t="shared" si="39"/>
        <v xml:space="preserve"> </v>
      </c>
      <c r="DA17" s="98" t="str">
        <f t="shared" si="40"/>
        <v xml:space="preserve"> </v>
      </c>
      <c r="DB17" s="98" t="str">
        <f t="shared" si="41"/>
        <v xml:space="preserve"> </v>
      </c>
      <c r="DC17" s="163">
        <f t="shared" si="42"/>
        <v>0</v>
      </c>
      <c r="DD17" s="162" t="str">
        <f t="shared" si="44"/>
        <v/>
      </c>
      <c r="DE17" s="98" t="str">
        <f t="shared" si="45"/>
        <v xml:space="preserve"> </v>
      </c>
      <c r="DF17" s="98" t="str">
        <f t="shared" si="46"/>
        <v xml:space="preserve"> </v>
      </c>
      <c r="DG17" s="98" t="str">
        <f t="shared" si="47"/>
        <v xml:space="preserve"> </v>
      </c>
      <c r="DH17" s="163">
        <f t="shared" si="43"/>
        <v>0</v>
      </c>
    </row>
    <row r="18" spans="1:112">
      <c r="A18" s="155" t="s">
        <v>333</v>
      </c>
      <c r="B18" s="168" t="s">
        <v>334</v>
      </c>
      <c r="C18" s="157">
        <f>IFERROR(VLOOKUP($A18,'A0 BS 1240在建'!$1:$1048576,5,0),0)</f>
        <v>0</v>
      </c>
      <c r="D18" s="157">
        <f>IFERROR(VLOOKUP($A18,'B0 2264預收'!$1:$1048576,5,0),0)</f>
        <v>0</v>
      </c>
      <c r="E18" s="157">
        <f t="shared" si="0"/>
        <v>0</v>
      </c>
      <c r="F18" s="157">
        <f>IFERROR(VLOOKUP($A18,'B0 2264預收'!$1:$1048576,6,0),0)</f>
        <v>0</v>
      </c>
      <c r="G18" s="157">
        <f t="shared" si="1"/>
        <v>0</v>
      </c>
      <c r="H18" s="158">
        <f>IFERROR(VLOOKUP($A18,'A0 BS 1240在建'!$1:$1048576,13,0),0)</f>
        <v>0</v>
      </c>
      <c r="I18" s="158">
        <f>IFERROR(VLOOKUP($A18,'B0 2264預收'!$1:$1048576,13,0),0)</f>
        <v>0</v>
      </c>
      <c r="J18" s="158">
        <f t="shared" si="2"/>
        <v>0</v>
      </c>
      <c r="K18" s="158">
        <f>IFERROR(VLOOKUP($A18,'B0 2264預收'!$1:$1048576,14,0),0)</f>
        <v>0</v>
      </c>
      <c r="L18" s="158">
        <f t="shared" si="3"/>
        <v>0</v>
      </c>
      <c r="M18" s="157">
        <f>H18+IFERROR(VLOOKUP($A18,'A0 BS 1240在建'!$1:$1048576,17,0),0)</f>
        <v>0</v>
      </c>
      <c r="N18" s="157">
        <f>I18+IFERROR(VLOOKUP($A18,'B0 2264預收'!$1:$1048576,17,0),0)</f>
        <v>0</v>
      </c>
      <c r="O18" s="157">
        <f t="shared" si="4"/>
        <v>0</v>
      </c>
      <c r="P18" s="157">
        <f>K18+IFERROR(+VLOOKUP($A18,'B0 2264預收'!$1:$1048576,18,0),0)</f>
        <v>0</v>
      </c>
      <c r="Q18" s="157">
        <f t="shared" si="5"/>
        <v>0</v>
      </c>
      <c r="R18" s="158">
        <f>M18+IFERROR(VLOOKUP($A18,'A0 BS 1240在建'!$1:$1048576,21,0),0)</f>
        <v>0</v>
      </c>
      <c r="S18" s="158">
        <f>+N18+IFERROR(VLOOKUP($A18,'B0 2264預收'!$1:$1048576,21,0),0)</f>
        <v>0</v>
      </c>
      <c r="T18" s="158">
        <f t="shared" si="6"/>
        <v>0</v>
      </c>
      <c r="U18" s="158">
        <f>+P18+IFERROR(+VLOOKUP($A18,'B0 2264預收'!$1:$1048576,22,0),0)</f>
        <v>0</v>
      </c>
      <c r="V18" s="158">
        <f t="shared" si="7"/>
        <v>0</v>
      </c>
      <c r="W18" s="157">
        <f>+R18+IFERROR(VLOOKUP($A18,'A0 BS 1240在建'!$1:$1048576,25,0),0)</f>
        <v>0</v>
      </c>
      <c r="X18" s="157">
        <f>+S18+IFERROR(VLOOKUP($A18,'B0 2264預收'!$1:$1048576,25,0),0)</f>
        <v>0</v>
      </c>
      <c r="Y18" s="157">
        <f t="shared" si="8"/>
        <v>0</v>
      </c>
      <c r="Z18" s="157">
        <f>+U18+IFERROR(+VLOOKUP($A18,'B0 2264預收'!$1:$1048576,26,0),0)</f>
        <v>0</v>
      </c>
      <c r="AA18" s="157">
        <f t="shared" si="9"/>
        <v>0</v>
      </c>
      <c r="AB18" s="158">
        <f>+W18+IFERROR(VLOOKUP($A18,'A0 BS 1240在建'!$1:$1048576,29,0),0)</f>
        <v>0</v>
      </c>
      <c r="AC18" s="158">
        <f>+X18+IFERROR(VLOOKUP($A18,'B0 2264預收'!$1:$1048576,29,0),0)</f>
        <v>0</v>
      </c>
      <c r="AD18" s="158">
        <f t="shared" si="10"/>
        <v>0</v>
      </c>
      <c r="AE18" s="158">
        <f>+Z18+IFERROR(+VLOOKUP($A18,'B0 2264預收'!$1:$1048576,30,0),0)</f>
        <v>0</v>
      </c>
      <c r="AF18" s="158">
        <f t="shared" si="11"/>
        <v>0</v>
      </c>
      <c r="AG18" s="157">
        <f>+AB18+IFERROR(VLOOKUP($A18,'A0 BS 1240在建'!$1:$1048576,33,0),0)</f>
        <v>0</v>
      </c>
      <c r="AH18" s="157">
        <f>+AC18+IFERROR(VLOOKUP($A18,'B0 2264預收'!$1:$1048576,33,0),0)</f>
        <v>0</v>
      </c>
      <c r="AI18" s="157">
        <f t="shared" si="12"/>
        <v>0</v>
      </c>
      <c r="AJ18" s="157">
        <f>+AE18+IFERROR(+VLOOKUP($A18,'B0 2264預收'!$1:$1048576,34,0),0)</f>
        <v>0</v>
      </c>
      <c r="AK18" s="157">
        <f t="shared" si="13"/>
        <v>0</v>
      </c>
      <c r="AL18" s="158">
        <f>+AG18+IFERROR(VLOOKUP($A18,'A0 BS 1240在建'!$1:$1048576,37,0),0)</f>
        <v>0</v>
      </c>
      <c r="AM18" s="158">
        <f>+AH18+IFERROR(VLOOKUP($A18,'B0 2264預收'!$1:$1048576,37,0),0)</f>
        <v>0</v>
      </c>
      <c r="AN18" s="158">
        <f t="shared" si="14"/>
        <v>0</v>
      </c>
      <c r="AO18" s="158">
        <f>+AJ18+IFERROR(+VLOOKUP($A18,'B0 2264預收'!$1:$1048576,38,0),0)</f>
        <v>0</v>
      </c>
      <c r="AP18" s="158">
        <f t="shared" si="15"/>
        <v>0</v>
      </c>
      <c r="AQ18" s="157">
        <f>+AL18+IFERROR(VLOOKUP($A18,'A0 BS 1240在建'!$1:$1048576,41,0),0)</f>
        <v>0</v>
      </c>
      <c r="AR18" s="157">
        <f>+AM18+IFERROR(VLOOKUP($A18,'B0 2264預收'!$1:$1048576,41,0),0)</f>
        <v>0</v>
      </c>
      <c r="AS18" s="157">
        <f t="shared" si="16"/>
        <v>0</v>
      </c>
      <c r="AT18" s="157">
        <f>+AO18+IFERROR(+VLOOKUP($A18,'B0 2264預收'!$1:$1048576,42,0),0)</f>
        <v>0</v>
      </c>
      <c r="AU18" s="157">
        <f t="shared" si="17"/>
        <v>0</v>
      </c>
      <c r="AV18" s="158">
        <f>+AQ18+IFERROR(VLOOKUP($A18,'A0 BS 1240在建'!$1:$1048576,45,0),0)</f>
        <v>0</v>
      </c>
      <c r="AW18" s="158">
        <f>+AR18+IFERROR(VLOOKUP($A18,'B0 2264預收'!$1:$1048576,45,0),0)</f>
        <v>0</v>
      </c>
      <c r="AX18" s="158">
        <f t="shared" si="18"/>
        <v>0</v>
      </c>
      <c r="AY18" s="158">
        <f>+AT18+IFERROR(+VLOOKUP($A18,'B0 2264預收'!$1:$1048576,46,0),0)</f>
        <v>0</v>
      </c>
      <c r="AZ18" s="158">
        <f t="shared" si="19"/>
        <v>0</v>
      </c>
      <c r="BA18" s="157">
        <f>+AV18+IFERROR(VLOOKUP($A18,'A0 BS 1240在建'!$1:$1048576,49,0),0)</f>
        <v>0</v>
      </c>
      <c r="BB18" s="157">
        <f>+AW18+IFERROR(VLOOKUP($A18,'B0 2264預收'!$1:$1048576,49,0),0)</f>
        <v>0</v>
      </c>
      <c r="BC18" s="157">
        <f t="shared" si="20"/>
        <v>0</v>
      </c>
      <c r="BD18" s="157">
        <f>+AY18+IFERROR(+VLOOKUP($A18,'B0 2264預收'!$1:$1048576,50,0),0)</f>
        <v>0</v>
      </c>
      <c r="BE18" s="157">
        <f t="shared" si="21"/>
        <v>0</v>
      </c>
      <c r="BF18" s="158">
        <f>+BA18+IFERROR(VLOOKUP($A18,'A0 BS 1240在建'!$1:$1048576,53,0),0)</f>
        <v>0</v>
      </c>
      <c r="BG18" s="158">
        <f>+BB18+IFERROR(VLOOKUP($A18,'B0 2264預收'!$1:$1048576,53,0),0)</f>
        <v>0</v>
      </c>
      <c r="BH18" s="158">
        <f t="shared" si="22"/>
        <v>0</v>
      </c>
      <c r="BI18" s="158">
        <f>+BD18+IFERROR(+VLOOKUP($A18,'B0 2264預收'!$1:$1048576,54,0),0)</f>
        <v>0</v>
      </c>
      <c r="BJ18" s="158">
        <f t="shared" si="23"/>
        <v>0</v>
      </c>
      <c r="BK18" s="157">
        <f>+BF18+IFERROR(VLOOKUP($A18,'A0 BS 1240在建'!$1:$1048576,57,0),0)</f>
        <v>0</v>
      </c>
      <c r="BL18" s="157">
        <f>+BG18+IFERROR(VLOOKUP($A18,'B0 2264預收'!$1:$1048576,57,0),0)</f>
        <v>0</v>
      </c>
      <c r="BM18" s="157">
        <f t="shared" si="24"/>
        <v>0</v>
      </c>
      <c r="BN18" s="157">
        <f>+BI18+IFERROR(+VLOOKUP($A18,'B0 2264預收'!$1:$1048576,58,0),0)</f>
        <v>0</v>
      </c>
      <c r="BO18" s="157">
        <f t="shared" si="25"/>
        <v>0</v>
      </c>
      <c r="BP18" s="158">
        <f>+BK18+IFERROR(VLOOKUP($A18,'A0 BS 1240在建'!$1:$1048576,61,0),0)</f>
        <v>0</v>
      </c>
      <c r="BQ18" s="158">
        <f>+BL18+IFERROR(VLOOKUP($A18,'B0 2264預收'!$1:$1048576,61,0),0)</f>
        <v>0</v>
      </c>
      <c r="BR18" s="159">
        <f t="shared" si="26"/>
        <v>0</v>
      </c>
      <c r="BS18" s="158">
        <f>+BN18+IFERROR(+VLOOKUP($A18,'B0 2264預收'!$1:$1048576,62,0),0)</f>
        <v>0</v>
      </c>
      <c r="BT18" s="158">
        <f t="shared" si="27"/>
        <v>0</v>
      </c>
      <c r="BU18" s="157">
        <f>+IFERROR(VLOOKUP($A18,'A0 BS 1240在建'!$1:$1048576,77,0),0)</f>
        <v>0</v>
      </c>
      <c r="BV18" s="157">
        <f>+IFERROR(VLOOKUP($A18,'B0 2264預收'!$1:$1048576,77,0),0)</f>
        <v>0</v>
      </c>
      <c r="BW18" s="157">
        <f t="shared" si="28"/>
        <v>0</v>
      </c>
      <c r="BX18" s="157">
        <f>+IFERROR(+VLOOKUP($A18,'B0 2264預收'!$1:$1048576,78,0),0)</f>
        <v>0</v>
      </c>
      <c r="BY18" s="157">
        <f t="shared" si="29"/>
        <v>0</v>
      </c>
      <c r="BZ18" s="158">
        <f>IFERROR(+VLOOKUP($A18,'A0 BS 1240在建'!$1:$1048576,85,0),0)</f>
        <v>0</v>
      </c>
      <c r="CA18" s="158">
        <f>IFERROR(+VLOOKUP($A18,'B0 2264預收'!$1:$1048576,85,0),0)</f>
        <v>0</v>
      </c>
      <c r="CB18" s="158">
        <f t="shared" si="30"/>
        <v>0</v>
      </c>
      <c r="CC18" s="158">
        <f>+IFERROR(+VLOOKUP($A18,'B0 2264預收'!$1:$1048576,86,0),0)</f>
        <v>0</v>
      </c>
      <c r="CD18" s="158">
        <f t="shared" si="31"/>
        <v>0</v>
      </c>
      <c r="CE18" s="157">
        <f>+IFERROR(VLOOKUP($A18,'A0 BS 1240在建'!$1:$1048576,93,0),0)</f>
        <v>0</v>
      </c>
      <c r="CF18" s="157">
        <f>+IFERROR(VLOOKUP($A18,'B0 2264預收'!$1:$1048576,93,0),0)</f>
        <v>0</v>
      </c>
      <c r="CG18" s="157">
        <f t="shared" si="32"/>
        <v>0</v>
      </c>
      <c r="CH18" s="157">
        <f>+IFERROR(+VLOOKUP($A18,'B0 2264預收'!$1:$1048576,94,0),0)</f>
        <v>0</v>
      </c>
      <c r="CI18" s="157">
        <f t="shared" si="33"/>
        <v>0</v>
      </c>
      <c r="CJ18" s="158">
        <f>IFERROR(+VLOOKUP($A18,'A0 BS 1240在建'!$1:$1048576,101,0),0)</f>
        <v>0</v>
      </c>
      <c r="CK18" s="158">
        <f>IFERROR(+VLOOKUP($A18,'B0 2264預收'!$1:$1048576,101,0),0)</f>
        <v>0</v>
      </c>
      <c r="CL18" s="158">
        <f t="shared" si="34"/>
        <v>0</v>
      </c>
      <c r="CM18" s="158">
        <f>+IFERROR(+VLOOKUP($A18,'B0 2264預收'!$1:$1048576,102,0),0)</f>
        <v>0</v>
      </c>
      <c r="CN18" s="158">
        <f t="shared" si="35"/>
        <v>0</v>
      </c>
      <c r="CP18" s="166">
        <f t="shared" si="36"/>
        <v>0</v>
      </c>
      <c r="CQ18" s="98">
        <f>+CP18</f>
        <v>0</v>
      </c>
      <c r="CU18" s="160">
        <f t="shared" si="37"/>
        <v>0</v>
      </c>
      <c r="CV18" s="118">
        <f>-J18</f>
        <v>0</v>
      </c>
      <c r="CW18" s="98">
        <f>+BR18</f>
        <v>0</v>
      </c>
      <c r="CY18" s="162" t="str">
        <f t="shared" si="38"/>
        <v/>
      </c>
      <c r="CZ18" s="98" t="str">
        <f t="shared" si="39"/>
        <v xml:space="preserve"> </v>
      </c>
      <c r="DA18" s="98" t="str">
        <f t="shared" si="40"/>
        <v xml:space="preserve"> </v>
      </c>
      <c r="DB18" s="98" t="str">
        <f t="shared" si="41"/>
        <v xml:space="preserve"> </v>
      </c>
      <c r="DC18" s="167">
        <f t="shared" si="42"/>
        <v>0</v>
      </c>
      <c r="DD18" s="162" t="str">
        <f t="shared" si="44"/>
        <v/>
      </c>
      <c r="DE18" s="98" t="str">
        <f t="shared" si="45"/>
        <v xml:space="preserve"> </v>
      </c>
      <c r="DF18" s="98" t="str">
        <f t="shared" si="46"/>
        <v xml:space="preserve"> </v>
      </c>
      <c r="DG18" s="98" t="str">
        <f t="shared" si="47"/>
        <v xml:space="preserve"> </v>
      </c>
      <c r="DH18" s="163">
        <f t="shared" si="43"/>
        <v>0</v>
      </c>
    </row>
    <row r="19" spans="1:112">
      <c r="A19" s="155" t="s">
        <v>335</v>
      </c>
      <c r="B19" s="168" t="s">
        <v>336</v>
      </c>
      <c r="C19" s="157">
        <f>IFERROR(VLOOKUP($A19,'A0 BS 1240在建'!$1:$1048576,5,0),0)</f>
        <v>0</v>
      </c>
      <c r="D19" s="157">
        <f>IFERROR(VLOOKUP($A19,'B0 2264預收'!$1:$1048576,5,0),0)</f>
        <v>0</v>
      </c>
      <c r="E19" s="157">
        <f t="shared" si="0"/>
        <v>0</v>
      </c>
      <c r="F19" s="157">
        <f>IFERROR(VLOOKUP($A19,'B0 2264預收'!$1:$1048576,6,0),0)</f>
        <v>0</v>
      </c>
      <c r="G19" s="157">
        <f t="shared" si="1"/>
        <v>0</v>
      </c>
      <c r="H19" s="158">
        <f>IFERROR(VLOOKUP($A19,'A0 BS 1240在建'!$1:$1048576,13,0),0)</f>
        <v>0</v>
      </c>
      <c r="I19" s="158">
        <f>IFERROR(VLOOKUP($A19,'B0 2264預收'!$1:$1048576,13,0),0)</f>
        <v>0</v>
      </c>
      <c r="J19" s="158">
        <f t="shared" si="2"/>
        <v>0</v>
      </c>
      <c r="K19" s="158">
        <f>IFERROR(VLOOKUP($A19,'B0 2264預收'!$1:$1048576,14,0),0)</f>
        <v>0</v>
      </c>
      <c r="L19" s="158">
        <f t="shared" si="3"/>
        <v>0</v>
      </c>
      <c r="M19" s="157">
        <f>H19+IFERROR(VLOOKUP($A19,'A0 BS 1240在建'!$1:$1048576,17,0),0)</f>
        <v>0</v>
      </c>
      <c r="N19" s="157">
        <f>I19+IFERROR(VLOOKUP($A19,'B0 2264預收'!$1:$1048576,17,0),0)</f>
        <v>0</v>
      </c>
      <c r="O19" s="157">
        <f t="shared" si="4"/>
        <v>0</v>
      </c>
      <c r="P19" s="157">
        <f>K19+IFERROR(+VLOOKUP($A19,'B0 2264預收'!$1:$1048576,18,0),0)</f>
        <v>0</v>
      </c>
      <c r="Q19" s="157">
        <f t="shared" si="5"/>
        <v>0</v>
      </c>
      <c r="R19" s="158">
        <f>M19+IFERROR(VLOOKUP($A19,'A0 BS 1240在建'!$1:$1048576,21,0),0)</f>
        <v>0</v>
      </c>
      <c r="S19" s="158">
        <f>+N19+IFERROR(VLOOKUP($A19,'B0 2264預收'!$1:$1048576,21,0),0)</f>
        <v>0</v>
      </c>
      <c r="T19" s="158">
        <f t="shared" si="6"/>
        <v>0</v>
      </c>
      <c r="U19" s="158">
        <f>+P19+IFERROR(+VLOOKUP($A19,'B0 2264預收'!$1:$1048576,22,0),0)</f>
        <v>0</v>
      </c>
      <c r="V19" s="158">
        <f t="shared" si="7"/>
        <v>0</v>
      </c>
      <c r="W19" s="157">
        <f>+R19+IFERROR(VLOOKUP($A19,'A0 BS 1240在建'!$1:$1048576,25,0),0)</f>
        <v>0</v>
      </c>
      <c r="X19" s="157">
        <f>+S19+IFERROR(VLOOKUP($A19,'B0 2264預收'!$1:$1048576,25,0),0)</f>
        <v>0</v>
      </c>
      <c r="Y19" s="157">
        <f t="shared" si="8"/>
        <v>0</v>
      </c>
      <c r="Z19" s="157">
        <f>+U19+IFERROR(+VLOOKUP($A19,'B0 2264預收'!$1:$1048576,26,0),0)</f>
        <v>0</v>
      </c>
      <c r="AA19" s="157">
        <f t="shared" si="9"/>
        <v>0</v>
      </c>
      <c r="AB19" s="158">
        <f>+W19+IFERROR(VLOOKUP($A19,'A0 BS 1240在建'!$1:$1048576,29,0),0)</f>
        <v>0</v>
      </c>
      <c r="AC19" s="158">
        <f>+X19+IFERROR(VLOOKUP($A19,'B0 2264預收'!$1:$1048576,29,0),0)</f>
        <v>0</v>
      </c>
      <c r="AD19" s="158">
        <f t="shared" si="10"/>
        <v>0</v>
      </c>
      <c r="AE19" s="158">
        <f>+Z19+IFERROR(+VLOOKUP($A19,'B0 2264預收'!$1:$1048576,30,0),0)</f>
        <v>0</v>
      </c>
      <c r="AF19" s="158">
        <f t="shared" si="11"/>
        <v>0</v>
      </c>
      <c r="AG19" s="157">
        <f>+AB19+IFERROR(VLOOKUP($A19,'A0 BS 1240在建'!$1:$1048576,33,0),0)</f>
        <v>0</v>
      </c>
      <c r="AH19" s="157">
        <f>+AC19+IFERROR(VLOOKUP($A19,'B0 2264預收'!$1:$1048576,33,0),0)</f>
        <v>0</v>
      </c>
      <c r="AI19" s="157">
        <f t="shared" si="12"/>
        <v>0</v>
      </c>
      <c r="AJ19" s="157">
        <f>+AE19+IFERROR(+VLOOKUP($A19,'B0 2264預收'!$1:$1048576,34,0),0)</f>
        <v>0</v>
      </c>
      <c r="AK19" s="157">
        <f t="shared" si="13"/>
        <v>0</v>
      </c>
      <c r="AL19" s="158">
        <f>+AG19+IFERROR(VLOOKUP($A19,'A0 BS 1240在建'!$1:$1048576,37,0),0)</f>
        <v>0</v>
      </c>
      <c r="AM19" s="158">
        <f>+AH19+IFERROR(VLOOKUP($A19,'B0 2264預收'!$1:$1048576,37,0),0)</f>
        <v>0</v>
      </c>
      <c r="AN19" s="158">
        <f t="shared" si="14"/>
        <v>0</v>
      </c>
      <c r="AO19" s="158">
        <f>+AJ19+IFERROR(+VLOOKUP($A19,'B0 2264預收'!$1:$1048576,38,0),0)</f>
        <v>0</v>
      </c>
      <c r="AP19" s="158">
        <f t="shared" si="15"/>
        <v>0</v>
      </c>
      <c r="AQ19" s="157">
        <f>+AL19+IFERROR(VLOOKUP($A19,'A0 BS 1240在建'!$1:$1048576,41,0),0)</f>
        <v>0</v>
      </c>
      <c r="AR19" s="157">
        <f>+AM19+IFERROR(VLOOKUP($A19,'B0 2264預收'!$1:$1048576,41,0),0)</f>
        <v>0</v>
      </c>
      <c r="AS19" s="157">
        <f t="shared" si="16"/>
        <v>0</v>
      </c>
      <c r="AT19" s="157">
        <f>+AO19+IFERROR(+VLOOKUP($A19,'B0 2264預收'!$1:$1048576,42,0),0)</f>
        <v>0</v>
      </c>
      <c r="AU19" s="157">
        <f t="shared" si="17"/>
        <v>0</v>
      </c>
      <c r="AV19" s="158">
        <f>+AQ19+IFERROR(VLOOKUP($A19,'A0 BS 1240在建'!$1:$1048576,45,0),0)</f>
        <v>0</v>
      </c>
      <c r="AW19" s="158">
        <f>+AR19+IFERROR(VLOOKUP($A19,'B0 2264預收'!$1:$1048576,45,0),0)</f>
        <v>0</v>
      </c>
      <c r="AX19" s="158">
        <f t="shared" si="18"/>
        <v>0</v>
      </c>
      <c r="AY19" s="158">
        <f>+AT19+IFERROR(+VLOOKUP($A19,'B0 2264預收'!$1:$1048576,46,0),0)</f>
        <v>0</v>
      </c>
      <c r="AZ19" s="158">
        <f t="shared" si="19"/>
        <v>0</v>
      </c>
      <c r="BA19" s="157">
        <f>+AV19+IFERROR(VLOOKUP($A19,'A0 BS 1240在建'!$1:$1048576,49,0),0)</f>
        <v>0</v>
      </c>
      <c r="BB19" s="157">
        <f>+AW19+IFERROR(VLOOKUP($A19,'B0 2264預收'!$1:$1048576,49,0),0)</f>
        <v>0</v>
      </c>
      <c r="BC19" s="157">
        <f t="shared" si="20"/>
        <v>0</v>
      </c>
      <c r="BD19" s="157">
        <f>+AY19+IFERROR(+VLOOKUP($A19,'B0 2264預收'!$1:$1048576,50,0),0)</f>
        <v>0</v>
      </c>
      <c r="BE19" s="157">
        <f t="shared" si="21"/>
        <v>0</v>
      </c>
      <c r="BF19" s="158">
        <f>+BA19+IFERROR(VLOOKUP($A19,'A0 BS 1240在建'!$1:$1048576,53,0),0)</f>
        <v>0</v>
      </c>
      <c r="BG19" s="158">
        <f>+BB19+IFERROR(VLOOKUP($A19,'B0 2264預收'!$1:$1048576,53,0),0)</f>
        <v>0</v>
      </c>
      <c r="BH19" s="158">
        <f t="shared" si="22"/>
        <v>0</v>
      </c>
      <c r="BI19" s="158">
        <f>+BD19+IFERROR(+VLOOKUP($A19,'B0 2264預收'!$1:$1048576,54,0),0)</f>
        <v>0</v>
      </c>
      <c r="BJ19" s="158">
        <f t="shared" si="23"/>
        <v>0</v>
      </c>
      <c r="BK19" s="157">
        <f>+BF19+IFERROR(VLOOKUP($A19,'A0 BS 1240在建'!$1:$1048576,57,0),0)</f>
        <v>0</v>
      </c>
      <c r="BL19" s="157">
        <f>+BG19+IFERROR(VLOOKUP($A19,'B0 2264預收'!$1:$1048576,57,0),0)</f>
        <v>0</v>
      </c>
      <c r="BM19" s="157">
        <f t="shared" si="24"/>
        <v>0</v>
      </c>
      <c r="BN19" s="157">
        <f>+BI19+IFERROR(+VLOOKUP($A19,'B0 2264預收'!$1:$1048576,58,0),0)</f>
        <v>0</v>
      </c>
      <c r="BO19" s="157">
        <f t="shared" si="25"/>
        <v>0</v>
      </c>
      <c r="BP19" s="158">
        <f>+BK19+IFERROR(VLOOKUP($A19,'A0 BS 1240在建'!$1:$1048576,61,0),0)</f>
        <v>0</v>
      </c>
      <c r="BQ19" s="158">
        <f>+BL19+IFERROR(VLOOKUP($A19,'B0 2264預收'!$1:$1048576,61,0),0)</f>
        <v>0</v>
      </c>
      <c r="BR19" s="159">
        <f t="shared" si="26"/>
        <v>0</v>
      </c>
      <c r="BS19" s="158">
        <f>+BN19+IFERROR(+VLOOKUP($A19,'B0 2264預收'!$1:$1048576,62,0),0)</f>
        <v>0</v>
      </c>
      <c r="BT19" s="158">
        <f t="shared" si="27"/>
        <v>0</v>
      </c>
      <c r="BU19" s="157">
        <f>+IFERROR(VLOOKUP($A19,'A0 BS 1240在建'!$1:$1048576,77,0),0)</f>
        <v>0</v>
      </c>
      <c r="BV19" s="157">
        <f>+IFERROR(VLOOKUP($A19,'B0 2264預收'!$1:$1048576,77,0),0)</f>
        <v>0</v>
      </c>
      <c r="BW19" s="157">
        <f t="shared" si="28"/>
        <v>0</v>
      </c>
      <c r="BX19" s="157">
        <f>+IFERROR(+VLOOKUP($A19,'B0 2264預收'!$1:$1048576,78,0),0)</f>
        <v>0</v>
      </c>
      <c r="BY19" s="157">
        <f t="shared" si="29"/>
        <v>0</v>
      </c>
      <c r="BZ19" s="158">
        <f>IFERROR(+VLOOKUP($A19,'A0 BS 1240在建'!$1:$1048576,85,0),0)</f>
        <v>0</v>
      </c>
      <c r="CA19" s="158">
        <f>IFERROR(+VLOOKUP($A19,'B0 2264預收'!$1:$1048576,85,0),0)</f>
        <v>0</v>
      </c>
      <c r="CB19" s="158">
        <f t="shared" si="30"/>
        <v>0</v>
      </c>
      <c r="CC19" s="158">
        <f>+IFERROR(+VLOOKUP($A19,'B0 2264預收'!$1:$1048576,86,0),0)</f>
        <v>0</v>
      </c>
      <c r="CD19" s="158">
        <f t="shared" si="31"/>
        <v>0</v>
      </c>
      <c r="CE19" s="157">
        <f>+IFERROR(VLOOKUP($A19,'A0 BS 1240在建'!$1:$1048576,93,0),0)</f>
        <v>0</v>
      </c>
      <c r="CF19" s="157">
        <f>+IFERROR(VLOOKUP($A19,'B0 2264預收'!$1:$1048576,93,0),0)</f>
        <v>0</v>
      </c>
      <c r="CG19" s="157">
        <f t="shared" si="32"/>
        <v>0</v>
      </c>
      <c r="CH19" s="157">
        <f>+IFERROR(+VLOOKUP($A19,'B0 2264預收'!$1:$1048576,94,0),0)</f>
        <v>0</v>
      </c>
      <c r="CI19" s="157">
        <f t="shared" si="33"/>
        <v>0</v>
      </c>
      <c r="CJ19" s="158">
        <f>IFERROR(+VLOOKUP($A19,'A0 BS 1240在建'!$1:$1048576,101,0),0)</f>
        <v>0</v>
      </c>
      <c r="CK19" s="158">
        <f>IFERROR(+VLOOKUP($A19,'B0 2264預收'!$1:$1048576,101,0),0)</f>
        <v>0</v>
      </c>
      <c r="CL19" s="158">
        <f t="shared" si="34"/>
        <v>0</v>
      </c>
      <c r="CM19" s="158">
        <f>+IFERROR(+VLOOKUP($A19,'B0 2264預收'!$1:$1048576,102,0),0)</f>
        <v>0</v>
      </c>
      <c r="CN19" s="158">
        <f t="shared" si="35"/>
        <v>0</v>
      </c>
      <c r="CP19" s="166">
        <f t="shared" si="36"/>
        <v>0</v>
      </c>
      <c r="CQ19" s="98">
        <f>+CP19</f>
        <v>0</v>
      </c>
      <c r="CU19" s="98">
        <f t="shared" si="37"/>
        <v>0</v>
      </c>
      <c r="CV19" s="98">
        <f>-J19</f>
        <v>0</v>
      </c>
      <c r="CW19" s="98">
        <f>+BR19</f>
        <v>0</v>
      </c>
      <c r="CY19" s="162" t="str">
        <f t="shared" si="38"/>
        <v/>
      </c>
      <c r="CZ19" s="98" t="str">
        <f t="shared" si="39"/>
        <v xml:space="preserve"> </v>
      </c>
      <c r="DA19" s="98" t="str">
        <f t="shared" si="40"/>
        <v xml:space="preserve"> </v>
      </c>
      <c r="DB19" s="98" t="str">
        <f t="shared" si="41"/>
        <v xml:space="preserve"> </v>
      </c>
      <c r="DC19" s="163">
        <f t="shared" si="42"/>
        <v>0</v>
      </c>
      <c r="DD19" s="162" t="str">
        <f t="shared" si="44"/>
        <v/>
      </c>
      <c r="DE19" s="98" t="str">
        <f t="shared" si="45"/>
        <v xml:space="preserve"> </v>
      </c>
      <c r="DF19" s="98" t="str">
        <f t="shared" si="46"/>
        <v xml:space="preserve"> </v>
      </c>
      <c r="DG19" s="98" t="str">
        <f t="shared" si="47"/>
        <v xml:space="preserve"> </v>
      </c>
      <c r="DH19" s="163">
        <f t="shared" si="43"/>
        <v>0</v>
      </c>
    </row>
    <row r="20" spans="1:112">
      <c r="A20" s="155" t="s">
        <v>337</v>
      </c>
      <c r="B20" s="168" t="s">
        <v>338</v>
      </c>
      <c r="C20" s="157">
        <f>IFERROR(VLOOKUP($A20,'A0 BS 1240在建'!$1:$1048576,5,0),0)</f>
        <v>0</v>
      </c>
      <c r="D20" s="157">
        <f>IFERROR(VLOOKUP($A20,'B0 2264預收'!$1:$1048576,5,0),0)</f>
        <v>0</v>
      </c>
      <c r="E20" s="157">
        <f t="shared" si="0"/>
        <v>0</v>
      </c>
      <c r="F20" s="157">
        <f>IFERROR(VLOOKUP($A20,'B0 2264預收'!$1:$1048576,6,0),0)</f>
        <v>0</v>
      </c>
      <c r="G20" s="157">
        <f t="shared" si="1"/>
        <v>0</v>
      </c>
      <c r="H20" s="158">
        <f>IFERROR(VLOOKUP($A20,'A0 BS 1240在建'!$1:$1048576,13,0),0)</f>
        <v>0</v>
      </c>
      <c r="I20" s="158">
        <f>IFERROR(VLOOKUP($A20,'B0 2264預收'!$1:$1048576,13,0),0)</f>
        <v>0</v>
      </c>
      <c r="J20" s="158">
        <f t="shared" si="2"/>
        <v>0</v>
      </c>
      <c r="K20" s="158">
        <f>IFERROR(VLOOKUP($A20,'B0 2264預收'!$1:$1048576,14,0),0)</f>
        <v>0</v>
      </c>
      <c r="L20" s="158">
        <f t="shared" si="3"/>
        <v>0</v>
      </c>
      <c r="M20" s="157">
        <f>H20+IFERROR(VLOOKUP($A20,'A0 BS 1240在建'!$1:$1048576,17,0),0)</f>
        <v>0</v>
      </c>
      <c r="N20" s="157">
        <f>I20+IFERROR(VLOOKUP($A20,'B0 2264預收'!$1:$1048576,17,0),0)</f>
        <v>0</v>
      </c>
      <c r="O20" s="157">
        <f t="shared" si="4"/>
        <v>0</v>
      </c>
      <c r="P20" s="157">
        <f>K20+IFERROR(+VLOOKUP($A20,'B0 2264預收'!$1:$1048576,18,0),0)</f>
        <v>0</v>
      </c>
      <c r="Q20" s="157">
        <f t="shared" si="5"/>
        <v>0</v>
      </c>
      <c r="R20" s="158">
        <f>M20+IFERROR(VLOOKUP($A20,'A0 BS 1240在建'!$1:$1048576,21,0),0)</f>
        <v>0</v>
      </c>
      <c r="S20" s="158">
        <f>+N20+IFERROR(VLOOKUP($A20,'B0 2264預收'!$1:$1048576,21,0),0)</f>
        <v>0</v>
      </c>
      <c r="T20" s="158">
        <f t="shared" si="6"/>
        <v>0</v>
      </c>
      <c r="U20" s="158">
        <f>+P20+IFERROR(+VLOOKUP($A20,'B0 2264預收'!$1:$1048576,22,0),0)</f>
        <v>0</v>
      </c>
      <c r="V20" s="158">
        <f t="shared" si="7"/>
        <v>0</v>
      </c>
      <c r="W20" s="157">
        <f>+R20+IFERROR(VLOOKUP($A20,'A0 BS 1240在建'!$1:$1048576,25,0),0)</f>
        <v>0</v>
      </c>
      <c r="X20" s="157">
        <f>+S20+IFERROR(VLOOKUP($A20,'B0 2264預收'!$1:$1048576,25,0),0)</f>
        <v>0</v>
      </c>
      <c r="Y20" s="157">
        <f t="shared" si="8"/>
        <v>0</v>
      </c>
      <c r="Z20" s="157">
        <f>+U20+IFERROR(+VLOOKUP($A20,'B0 2264預收'!$1:$1048576,26,0),0)</f>
        <v>0</v>
      </c>
      <c r="AA20" s="157">
        <f t="shared" si="9"/>
        <v>0</v>
      </c>
      <c r="AB20" s="158">
        <f>+W20+IFERROR(VLOOKUP($A20,'A0 BS 1240在建'!$1:$1048576,29,0),0)</f>
        <v>0</v>
      </c>
      <c r="AC20" s="158">
        <f>+X20+IFERROR(VLOOKUP($A20,'B0 2264預收'!$1:$1048576,29,0),0)</f>
        <v>0</v>
      </c>
      <c r="AD20" s="158">
        <f t="shared" si="10"/>
        <v>0</v>
      </c>
      <c r="AE20" s="158">
        <f>+Z20+IFERROR(+VLOOKUP($A20,'B0 2264預收'!$1:$1048576,30,0),0)</f>
        <v>0</v>
      </c>
      <c r="AF20" s="158">
        <f t="shared" si="11"/>
        <v>0</v>
      </c>
      <c r="AG20" s="157">
        <f>+AB20+IFERROR(VLOOKUP($A20,'A0 BS 1240在建'!$1:$1048576,33,0),0)</f>
        <v>0</v>
      </c>
      <c r="AH20" s="157">
        <f>+AC20+IFERROR(VLOOKUP($A20,'B0 2264預收'!$1:$1048576,33,0),0)</f>
        <v>0</v>
      </c>
      <c r="AI20" s="157">
        <f t="shared" si="12"/>
        <v>0</v>
      </c>
      <c r="AJ20" s="157">
        <f>+AE20+IFERROR(+VLOOKUP($A20,'B0 2264預收'!$1:$1048576,34,0),0)</f>
        <v>0</v>
      </c>
      <c r="AK20" s="157">
        <f t="shared" si="13"/>
        <v>0</v>
      </c>
      <c r="AL20" s="158">
        <f>+AG20+IFERROR(VLOOKUP($A20,'A0 BS 1240在建'!$1:$1048576,37,0),0)</f>
        <v>0</v>
      </c>
      <c r="AM20" s="158">
        <f>+AH20+IFERROR(VLOOKUP($A20,'B0 2264預收'!$1:$1048576,37,0),0)</f>
        <v>0</v>
      </c>
      <c r="AN20" s="158">
        <f t="shared" si="14"/>
        <v>0</v>
      </c>
      <c r="AO20" s="158">
        <f>+AJ20+IFERROR(+VLOOKUP($A20,'B0 2264預收'!$1:$1048576,38,0),0)</f>
        <v>0</v>
      </c>
      <c r="AP20" s="158">
        <f t="shared" si="15"/>
        <v>0</v>
      </c>
      <c r="AQ20" s="157">
        <f>+AL20+IFERROR(VLOOKUP($A20,'A0 BS 1240在建'!$1:$1048576,41,0),0)</f>
        <v>0</v>
      </c>
      <c r="AR20" s="157">
        <f>+AM20+IFERROR(VLOOKUP($A20,'B0 2264預收'!$1:$1048576,41,0),0)</f>
        <v>0</v>
      </c>
      <c r="AS20" s="157">
        <f t="shared" si="16"/>
        <v>0</v>
      </c>
      <c r="AT20" s="157">
        <f>+AO20+IFERROR(+VLOOKUP($A20,'B0 2264預收'!$1:$1048576,42,0),0)</f>
        <v>0</v>
      </c>
      <c r="AU20" s="157">
        <f t="shared" si="17"/>
        <v>0</v>
      </c>
      <c r="AV20" s="158">
        <f>+AQ20+IFERROR(VLOOKUP($A20,'A0 BS 1240在建'!$1:$1048576,45,0),0)</f>
        <v>0</v>
      </c>
      <c r="AW20" s="158">
        <f>+AR20+IFERROR(VLOOKUP($A20,'B0 2264預收'!$1:$1048576,45,0),0)</f>
        <v>0</v>
      </c>
      <c r="AX20" s="158">
        <f t="shared" si="18"/>
        <v>0</v>
      </c>
      <c r="AY20" s="158">
        <f>+AT20+IFERROR(+VLOOKUP($A20,'B0 2264預收'!$1:$1048576,46,0),0)</f>
        <v>0</v>
      </c>
      <c r="AZ20" s="158">
        <f t="shared" si="19"/>
        <v>0</v>
      </c>
      <c r="BA20" s="157">
        <f>+AV20+IFERROR(VLOOKUP($A20,'A0 BS 1240在建'!$1:$1048576,49,0),0)</f>
        <v>0</v>
      </c>
      <c r="BB20" s="157">
        <f>+AW20+IFERROR(VLOOKUP($A20,'B0 2264預收'!$1:$1048576,49,0),0)</f>
        <v>0</v>
      </c>
      <c r="BC20" s="157">
        <f t="shared" si="20"/>
        <v>0</v>
      </c>
      <c r="BD20" s="157">
        <f>+AY20+IFERROR(+VLOOKUP($A20,'B0 2264預收'!$1:$1048576,50,0),0)</f>
        <v>0</v>
      </c>
      <c r="BE20" s="157">
        <f t="shared" si="21"/>
        <v>0</v>
      </c>
      <c r="BF20" s="158">
        <f>+BA20+IFERROR(VLOOKUP($A20,'A0 BS 1240在建'!$1:$1048576,53,0),0)</f>
        <v>0</v>
      </c>
      <c r="BG20" s="158">
        <f>+BB20+IFERROR(VLOOKUP($A20,'B0 2264預收'!$1:$1048576,53,0),0)</f>
        <v>0</v>
      </c>
      <c r="BH20" s="158">
        <f t="shared" si="22"/>
        <v>0</v>
      </c>
      <c r="BI20" s="158">
        <f>+BD20+IFERROR(+VLOOKUP($A20,'B0 2264預收'!$1:$1048576,54,0),0)</f>
        <v>0</v>
      </c>
      <c r="BJ20" s="158">
        <f t="shared" si="23"/>
        <v>0</v>
      </c>
      <c r="BK20" s="157">
        <f>+BF20+IFERROR(VLOOKUP($A20,'A0 BS 1240在建'!$1:$1048576,57,0),0)</f>
        <v>0</v>
      </c>
      <c r="BL20" s="157">
        <f>+BG20+IFERROR(VLOOKUP($A20,'B0 2264預收'!$1:$1048576,57,0),0)</f>
        <v>0</v>
      </c>
      <c r="BM20" s="157">
        <f t="shared" si="24"/>
        <v>0</v>
      </c>
      <c r="BN20" s="157">
        <f>+BI20+IFERROR(+VLOOKUP($A20,'B0 2264預收'!$1:$1048576,58,0),0)</f>
        <v>0</v>
      </c>
      <c r="BO20" s="157">
        <f t="shared" si="25"/>
        <v>0</v>
      </c>
      <c r="BP20" s="158">
        <f>+BK20+IFERROR(VLOOKUP($A20,'A0 BS 1240在建'!$1:$1048576,61,0),0)</f>
        <v>0</v>
      </c>
      <c r="BQ20" s="158">
        <f>+BL20+IFERROR(VLOOKUP($A20,'B0 2264預收'!$1:$1048576,61,0),0)</f>
        <v>0</v>
      </c>
      <c r="BR20" s="159">
        <f t="shared" si="26"/>
        <v>0</v>
      </c>
      <c r="BS20" s="158">
        <f>+BN20+IFERROR(+VLOOKUP($A20,'B0 2264預收'!$1:$1048576,62,0),0)</f>
        <v>0</v>
      </c>
      <c r="BT20" s="158">
        <f t="shared" si="27"/>
        <v>0</v>
      </c>
      <c r="BU20" s="157">
        <f>+IFERROR(VLOOKUP($A20,'A0 BS 1240在建'!$1:$1048576,77,0),0)</f>
        <v>0</v>
      </c>
      <c r="BV20" s="157">
        <f>+IFERROR(VLOOKUP($A20,'B0 2264預收'!$1:$1048576,77,0),0)</f>
        <v>0</v>
      </c>
      <c r="BW20" s="157">
        <f t="shared" si="28"/>
        <v>0</v>
      </c>
      <c r="BX20" s="157">
        <f>+IFERROR(+VLOOKUP($A20,'B0 2264預收'!$1:$1048576,78,0),0)</f>
        <v>0</v>
      </c>
      <c r="BY20" s="157">
        <f t="shared" si="29"/>
        <v>0</v>
      </c>
      <c r="BZ20" s="158">
        <f>IFERROR(+VLOOKUP($A20,'A0 BS 1240在建'!$1:$1048576,85,0),0)</f>
        <v>0</v>
      </c>
      <c r="CA20" s="158">
        <f>IFERROR(+VLOOKUP($A20,'B0 2264預收'!$1:$1048576,85,0),0)</f>
        <v>0</v>
      </c>
      <c r="CB20" s="158">
        <f t="shared" si="30"/>
        <v>0</v>
      </c>
      <c r="CC20" s="158">
        <f>+IFERROR(+VLOOKUP($A20,'B0 2264預收'!$1:$1048576,86,0),0)</f>
        <v>0</v>
      </c>
      <c r="CD20" s="158">
        <f t="shared" si="31"/>
        <v>0</v>
      </c>
      <c r="CE20" s="157">
        <f>+IFERROR(VLOOKUP($A20,'A0 BS 1240在建'!$1:$1048576,93,0),0)</f>
        <v>0</v>
      </c>
      <c r="CF20" s="157">
        <f>+IFERROR(VLOOKUP($A20,'B0 2264預收'!$1:$1048576,93,0),0)</f>
        <v>0</v>
      </c>
      <c r="CG20" s="157">
        <f t="shared" si="32"/>
        <v>0</v>
      </c>
      <c r="CH20" s="157">
        <f>+IFERROR(+VLOOKUP($A20,'B0 2264預收'!$1:$1048576,94,0),0)</f>
        <v>0</v>
      </c>
      <c r="CI20" s="157">
        <f t="shared" si="33"/>
        <v>0</v>
      </c>
      <c r="CJ20" s="158">
        <f>IFERROR(+VLOOKUP($A20,'A0 BS 1240在建'!$1:$1048576,101,0),0)</f>
        <v>0</v>
      </c>
      <c r="CK20" s="158">
        <f>IFERROR(+VLOOKUP($A20,'B0 2264預收'!$1:$1048576,101,0),0)</f>
        <v>0</v>
      </c>
      <c r="CL20" s="158">
        <f t="shared" si="34"/>
        <v>0</v>
      </c>
      <c r="CM20" s="158">
        <f>+IFERROR(+VLOOKUP($A20,'B0 2264預收'!$1:$1048576,102,0),0)</f>
        <v>0</v>
      </c>
      <c r="CN20" s="158">
        <f t="shared" si="35"/>
        <v>0</v>
      </c>
      <c r="CP20" s="166"/>
      <c r="CY20" s="162" t="str">
        <f t="shared" si="38"/>
        <v/>
      </c>
      <c r="CZ20" s="98" t="str">
        <f t="shared" si="39"/>
        <v xml:space="preserve"> </v>
      </c>
      <c r="DA20" s="98" t="str">
        <f t="shared" si="40"/>
        <v xml:space="preserve"> </v>
      </c>
      <c r="DB20" s="98" t="str">
        <f t="shared" si="41"/>
        <v xml:space="preserve"> </v>
      </c>
      <c r="DC20" s="163">
        <f t="shared" si="42"/>
        <v>0</v>
      </c>
      <c r="DD20" s="162" t="str">
        <f t="shared" si="44"/>
        <v/>
      </c>
      <c r="DE20" s="98" t="str">
        <f t="shared" si="45"/>
        <v xml:space="preserve"> </v>
      </c>
      <c r="DF20" s="98" t="str">
        <f t="shared" si="46"/>
        <v xml:space="preserve"> </v>
      </c>
      <c r="DG20" s="98" t="str">
        <f t="shared" si="47"/>
        <v xml:space="preserve"> </v>
      </c>
      <c r="DH20" s="163">
        <f t="shared" si="43"/>
        <v>0</v>
      </c>
    </row>
    <row r="21" spans="1:112">
      <c r="A21" s="155" t="s">
        <v>339</v>
      </c>
      <c r="B21" s="168" t="s">
        <v>340</v>
      </c>
      <c r="C21" s="157">
        <f>IFERROR(VLOOKUP($A21,'A0 BS 1240在建'!$1:$1048576,5,0),0)</f>
        <v>0</v>
      </c>
      <c r="D21" s="157">
        <f>IFERROR(VLOOKUP($A21,'B0 2264預收'!$1:$1048576,5,0),0)</f>
        <v>0</v>
      </c>
      <c r="E21" s="157">
        <f t="shared" si="0"/>
        <v>0</v>
      </c>
      <c r="F21" s="157">
        <f>IFERROR(VLOOKUP($A21,'B0 2264預收'!$1:$1048576,6,0),0)</f>
        <v>0</v>
      </c>
      <c r="G21" s="157">
        <f t="shared" si="1"/>
        <v>0</v>
      </c>
      <c r="H21" s="158">
        <f>IFERROR(VLOOKUP($A21,'A0 BS 1240在建'!$1:$1048576,13,0),0)</f>
        <v>0</v>
      </c>
      <c r="I21" s="158">
        <f>IFERROR(VLOOKUP($A21,'B0 2264預收'!$1:$1048576,13,0),0)</f>
        <v>0</v>
      </c>
      <c r="J21" s="158">
        <f t="shared" si="2"/>
        <v>0</v>
      </c>
      <c r="K21" s="158">
        <f>IFERROR(VLOOKUP($A21,'B0 2264預收'!$1:$1048576,14,0),0)</f>
        <v>0</v>
      </c>
      <c r="L21" s="158">
        <f t="shared" si="3"/>
        <v>0</v>
      </c>
      <c r="M21" s="157">
        <f>H21+IFERROR(VLOOKUP($A21,'A0 BS 1240在建'!$1:$1048576,17,0),0)</f>
        <v>0</v>
      </c>
      <c r="N21" s="157">
        <f>I21+IFERROR(VLOOKUP($A21,'B0 2264預收'!$1:$1048576,17,0),0)</f>
        <v>0</v>
      </c>
      <c r="O21" s="157">
        <f t="shared" si="4"/>
        <v>0</v>
      </c>
      <c r="P21" s="157">
        <f>K21+IFERROR(+VLOOKUP($A21,'B0 2264預收'!$1:$1048576,18,0),0)</f>
        <v>0</v>
      </c>
      <c r="Q21" s="157">
        <f t="shared" si="5"/>
        <v>0</v>
      </c>
      <c r="R21" s="158">
        <f>M21+IFERROR(VLOOKUP($A21,'A0 BS 1240在建'!$1:$1048576,21,0),0)</f>
        <v>0</v>
      </c>
      <c r="S21" s="158">
        <f>+N21+IFERROR(VLOOKUP($A21,'B0 2264預收'!$1:$1048576,21,0),0)</f>
        <v>0</v>
      </c>
      <c r="T21" s="158">
        <f t="shared" si="6"/>
        <v>0</v>
      </c>
      <c r="U21" s="158">
        <f>+P21+IFERROR(+VLOOKUP($A21,'B0 2264預收'!$1:$1048576,22,0),0)</f>
        <v>0</v>
      </c>
      <c r="V21" s="158">
        <f t="shared" si="7"/>
        <v>0</v>
      </c>
      <c r="W21" s="157">
        <f>+R21+IFERROR(VLOOKUP($A21,'A0 BS 1240在建'!$1:$1048576,25,0),0)</f>
        <v>0</v>
      </c>
      <c r="X21" s="157">
        <f>+S21+IFERROR(VLOOKUP($A21,'B0 2264預收'!$1:$1048576,25,0),0)</f>
        <v>0</v>
      </c>
      <c r="Y21" s="157">
        <f t="shared" si="8"/>
        <v>0</v>
      </c>
      <c r="Z21" s="157">
        <f>+U21+IFERROR(+VLOOKUP($A21,'B0 2264預收'!$1:$1048576,26,0),0)</f>
        <v>0</v>
      </c>
      <c r="AA21" s="157">
        <f t="shared" si="9"/>
        <v>0</v>
      </c>
      <c r="AB21" s="158">
        <f>+W21+IFERROR(VLOOKUP($A21,'A0 BS 1240在建'!$1:$1048576,29,0),0)</f>
        <v>0</v>
      </c>
      <c r="AC21" s="158">
        <f>+X21+IFERROR(VLOOKUP($A21,'B0 2264預收'!$1:$1048576,29,0),0)</f>
        <v>0</v>
      </c>
      <c r="AD21" s="158">
        <f t="shared" si="10"/>
        <v>0</v>
      </c>
      <c r="AE21" s="158">
        <f>+Z21+IFERROR(+VLOOKUP($A21,'B0 2264預收'!$1:$1048576,30,0),0)</f>
        <v>0</v>
      </c>
      <c r="AF21" s="158">
        <f t="shared" si="11"/>
        <v>0</v>
      </c>
      <c r="AG21" s="157">
        <f>+AB21+IFERROR(VLOOKUP($A21,'A0 BS 1240在建'!$1:$1048576,33,0),0)</f>
        <v>0</v>
      </c>
      <c r="AH21" s="157">
        <f>+AC21+IFERROR(VLOOKUP($A21,'B0 2264預收'!$1:$1048576,33,0),0)</f>
        <v>0</v>
      </c>
      <c r="AI21" s="157">
        <f t="shared" si="12"/>
        <v>0</v>
      </c>
      <c r="AJ21" s="157">
        <f>+AE21+IFERROR(+VLOOKUP($A21,'B0 2264預收'!$1:$1048576,34,0),0)</f>
        <v>0</v>
      </c>
      <c r="AK21" s="157">
        <f t="shared" si="13"/>
        <v>0</v>
      </c>
      <c r="AL21" s="158">
        <f>+AG21+IFERROR(VLOOKUP($A21,'A0 BS 1240在建'!$1:$1048576,37,0),0)</f>
        <v>0</v>
      </c>
      <c r="AM21" s="158">
        <f>+AH21+IFERROR(VLOOKUP($A21,'B0 2264預收'!$1:$1048576,37,0),0)</f>
        <v>0</v>
      </c>
      <c r="AN21" s="158">
        <f t="shared" si="14"/>
        <v>0</v>
      </c>
      <c r="AO21" s="158">
        <f>+AJ21+IFERROR(+VLOOKUP($A21,'B0 2264預收'!$1:$1048576,38,0),0)</f>
        <v>0</v>
      </c>
      <c r="AP21" s="158">
        <f t="shared" si="15"/>
        <v>0</v>
      </c>
      <c r="AQ21" s="157">
        <f>+AL21+IFERROR(VLOOKUP($A21,'A0 BS 1240在建'!$1:$1048576,41,0),0)</f>
        <v>0</v>
      </c>
      <c r="AR21" s="157">
        <f>+AM21+IFERROR(VLOOKUP($A21,'B0 2264預收'!$1:$1048576,41,0),0)</f>
        <v>0</v>
      </c>
      <c r="AS21" s="157">
        <f t="shared" si="16"/>
        <v>0</v>
      </c>
      <c r="AT21" s="157">
        <f>+AO21+IFERROR(+VLOOKUP($A21,'B0 2264預收'!$1:$1048576,42,0),0)</f>
        <v>0</v>
      </c>
      <c r="AU21" s="157">
        <f t="shared" si="17"/>
        <v>0</v>
      </c>
      <c r="AV21" s="158">
        <f>+AQ21+IFERROR(VLOOKUP($A21,'A0 BS 1240在建'!$1:$1048576,45,0),0)</f>
        <v>0</v>
      </c>
      <c r="AW21" s="158">
        <f>+AR21+IFERROR(VLOOKUP($A21,'B0 2264預收'!$1:$1048576,45,0),0)</f>
        <v>0</v>
      </c>
      <c r="AX21" s="158">
        <f t="shared" si="18"/>
        <v>0</v>
      </c>
      <c r="AY21" s="158">
        <f>+AT21+IFERROR(+VLOOKUP($A21,'B0 2264預收'!$1:$1048576,46,0),0)</f>
        <v>0</v>
      </c>
      <c r="AZ21" s="158">
        <f t="shared" si="19"/>
        <v>0</v>
      </c>
      <c r="BA21" s="157">
        <f>+AV21+IFERROR(VLOOKUP($A21,'A0 BS 1240在建'!$1:$1048576,49,0),0)</f>
        <v>0</v>
      </c>
      <c r="BB21" s="157">
        <f>+AW21+IFERROR(VLOOKUP($A21,'B0 2264預收'!$1:$1048576,49,0),0)</f>
        <v>0</v>
      </c>
      <c r="BC21" s="157">
        <f t="shared" si="20"/>
        <v>0</v>
      </c>
      <c r="BD21" s="157">
        <f>+AY21+IFERROR(+VLOOKUP($A21,'B0 2264預收'!$1:$1048576,50,0),0)</f>
        <v>0</v>
      </c>
      <c r="BE21" s="157">
        <f t="shared" si="21"/>
        <v>0</v>
      </c>
      <c r="BF21" s="158">
        <f>+BA21+IFERROR(VLOOKUP($A21,'A0 BS 1240在建'!$1:$1048576,53,0),0)</f>
        <v>0</v>
      </c>
      <c r="BG21" s="158">
        <f>+BB21+IFERROR(VLOOKUP($A21,'B0 2264預收'!$1:$1048576,53,0),0)</f>
        <v>0</v>
      </c>
      <c r="BH21" s="158">
        <f t="shared" si="22"/>
        <v>0</v>
      </c>
      <c r="BI21" s="158">
        <f>+BD21+IFERROR(+VLOOKUP($A21,'B0 2264預收'!$1:$1048576,54,0),0)</f>
        <v>0</v>
      </c>
      <c r="BJ21" s="158">
        <f t="shared" si="23"/>
        <v>0</v>
      </c>
      <c r="BK21" s="157">
        <f>+BF21+IFERROR(VLOOKUP($A21,'A0 BS 1240在建'!$1:$1048576,57,0),0)</f>
        <v>0</v>
      </c>
      <c r="BL21" s="157">
        <f>+BG21+IFERROR(VLOOKUP($A21,'B0 2264預收'!$1:$1048576,57,0),0)</f>
        <v>0</v>
      </c>
      <c r="BM21" s="157">
        <f t="shared" si="24"/>
        <v>0</v>
      </c>
      <c r="BN21" s="157">
        <f>+BI21+IFERROR(+VLOOKUP($A21,'B0 2264預收'!$1:$1048576,58,0),0)</f>
        <v>0</v>
      </c>
      <c r="BO21" s="157">
        <f t="shared" si="25"/>
        <v>0</v>
      </c>
      <c r="BP21" s="158">
        <f>+BK21+IFERROR(VLOOKUP($A21,'A0 BS 1240在建'!$1:$1048576,61,0),0)</f>
        <v>0</v>
      </c>
      <c r="BQ21" s="158">
        <f>+BL21+IFERROR(VLOOKUP($A21,'B0 2264預收'!$1:$1048576,61,0),0)</f>
        <v>0</v>
      </c>
      <c r="BR21" s="159">
        <f t="shared" si="26"/>
        <v>0</v>
      </c>
      <c r="BS21" s="158">
        <f>+BN21+IFERROR(+VLOOKUP($A21,'B0 2264預收'!$1:$1048576,62,0),0)</f>
        <v>0</v>
      </c>
      <c r="BT21" s="158">
        <f t="shared" si="27"/>
        <v>0</v>
      </c>
      <c r="BU21" s="157">
        <f>+IFERROR(VLOOKUP($A21,'A0 BS 1240在建'!$1:$1048576,77,0),0)</f>
        <v>0</v>
      </c>
      <c r="BV21" s="157">
        <f>+IFERROR(VLOOKUP($A21,'B0 2264預收'!$1:$1048576,77,0),0)</f>
        <v>0</v>
      </c>
      <c r="BW21" s="157">
        <f t="shared" si="28"/>
        <v>0</v>
      </c>
      <c r="BX21" s="157">
        <f>+IFERROR(+VLOOKUP($A21,'B0 2264預收'!$1:$1048576,78,0),0)</f>
        <v>0</v>
      </c>
      <c r="BY21" s="157">
        <f t="shared" si="29"/>
        <v>0</v>
      </c>
      <c r="BZ21" s="158">
        <f>IFERROR(+VLOOKUP($A21,'A0 BS 1240在建'!$1:$1048576,85,0),0)</f>
        <v>0</v>
      </c>
      <c r="CA21" s="158">
        <f>IFERROR(+VLOOKUP($A21,'B0 2264預收'!$1:$1048576,85,0),0)</f>
        <v>0</v>
      </c>
      <c r="CB21" s="158">
        <f t="shared" si="30"/>
        <v>0</v>
      </c>
      <c r="CC21" s="158">
        <f>+IFERROR(+VLOOKUP($A21,'B0 2264預收'!$1:$1048576,86,0),0)</f>
        <v>0</v>
      </c>
      <c r="CD21" s="158">
        <f t="shared" si="31"/>
        <v>0</v>
      </c>
      <c r="CE21" s="157">
        <f>+IFERROR(VLOOKUP($A21,'A0 BS 1240在建'!$1:$1048576,93,0),0)</f>
        <v>0</v>
      </c>
      <c r="CF21" s="157">
        <f>+IFERROR(VLOOKUP($A21,'B0 2264預收'!$1:$1048576,93,0),0)</f>
        <v>0</v>
      </c>
      <c r="CG21" s="157">
        <f t="shared" si="32"/>
        <v>0</v>
      </c>
      <c r="CH21" s="157">
        <f>+IFERROR(+VLOOKUP($A21,'B0 2264預收'!$1:$1048576,94,0),0)</f>
        <v>0</v>
      </c>
      <c r="CI21" s="157">
        <f t="shared" si="33"/>
        <v>0</v>
      </c>
      <c r="CJ21" s="158">
        <f>IFERROR(+VLOOKUP($A21,'A0 BS 1240在建'!$1:$1048576,101,0),0)</f>
        <v>0</v>
      </c>
      <c r="CK21" s="158">
        <f>IFERROR(+VLOOKUP($A21,'B0 2264預收'!$1:$1048576,101,0),0)</f>
        <v>0</v>
      </c>
      <c r="CL21" s="158">
        <f t="shared" si="34"/>
        <v>0</v>
      </c>
      <c r="CM21" s="158">
        <f>+IFERROR(+VLOOKUP($A21,'B0 2264預收'!$1:$1048576,102,0),0)</f>
        <v>0</v>
      </c>
      <c r="CN21" s="158">
        <f t="shared" si="35"/>
        <v>0</v>
      </c>
      <c r="CP21" s="166"/>
      <c r="CY21" s="162" t="str">
        <f t="shared" si="38"/>
        <v/>
      </c>
      <c r="CZ21" s="98" t="str">
        <f t="shared" si="39"/>
        <v xml:space="preserve"> </v>
      </c>
      <c r="DA21" s="98" t="str">
        <f t="shared" si="40"/>
        <v xml:space="preserve"> </v>
      </c>
      <c r="DB21" s="98" t="str">
        <f t="shared" si="41"/>
        <v xml:space="preserve"> </v>
      </c>
      <c r="DC21" s="163">
        <f t="shared" si="42"/>
        <v>0</v>
      </c>
      <c r="DD21" s="162" t="str">
        <f t="shared" si="44"/>
        <v/>
      </c>
      <c r="DE21" s="98" t="str">
        <f t="shared" si="45"/>
        <v xml:space="preserve"> </v>
      </c>
      <c r="DF21" s="98" t="str">
        <f t="shared" si="46"/>
        <v xml:space="preserve"> </v>
      </c>
      <c r="DG21" s="98" t="str">
        <f t="shared" si="47"/>
        <v xml:space="preserve"> </v>
      </c>
      <c r="DH21" s="163">
        <f t="shared" si="43"/>
        <v>0</v>
      </c>
    </row>
    <row r="22" spans="1:112">
      <c r="A22" s="155" t="s">
        <v>341</v>
      </c>
      <c r="B22" s="169" t="s">
        <v>342</v>
      </c>
      <c r="C22" s="157">
        <f>IFERROR(VLOOKUP($A22,'A0 BS 1240在建'!$1:$1048576,5,0),0)</f>
        <v>0</v>
      </c>
      <c r="D22" s="157">
        <f>IFERROR(VLOOKUP($A22,'B0 2264預收'!$1:$1048576,5,0),0)</f>
        <v>0</v>
      </c>
      <c r="E22" s="157">
        <f t="shared" si="0"/>
        <v>0</v>
      </c>
      <c r="F22" s="157">
        <f>IFERROR(VLOOKUP($A22,'B0 2264預收'!$1:$1048576,6,0),0)</f>
        <v>0</v>
      </c>
      <c r="G22" s="157">
        <f t="shared" si="1"/>
        <v>0</v>
      </c>
      <c r="H22" s="158">
        <f>IFERROR(VLOOKUP($A22,'A0 BS 1240在建'!$1:$1048576,13,0),0)</f>
        <v>0</v>
      </c>
      <c r="I22" s="158">
        <f>IFERROR(VLOOKUP($A22,'B0 2264預收'!$1:$1048576,13,0),0)</f>
        <v>0</v>
      </c>
      <c r="J22" s="158">
        <f t="shared" si="2"/>
        <v>0</v>
      </c>
      <c r="K22" s="158">
        <f>IFERROR(VLOOKUP($A22,'B0 2264預收'!$1:$1048576,14,0),0)</f>
        <v>0</v>
      </c>
      <c r="L22" s="158">
        <f t="shared" si="3"/>
        <v>0</v>
      </c>
      <c r="M22" s="157">
        <f>H22+IFERROR(VLOOKUP($A22,'A0 BS 1240在建'!$1:$1048576,17,0),0)</f>
        <v>0</v>
      </c>
      <c r="N22" s="157">
        <f>I22+IFERROR(VLOOKUP($A22,'B0 2264預收'!$1:$1048576,17,0),0)</f>
        <v>0</v>
      </c>
      <c r="O22" s="157">
        <f t="shared" si="4"/>
        <v>0</v>
      </c>
      <c r="P22" s="157">
        <f>K22+IFERROR(+VLOOKUP($A22,'B0 2264預收'!$1:$1048576,18,0),0)</f>
        <v>0</v>
      </c>
      <c r="Q22" s="157">
        <f t="shared" si="5"/>
        <v>0</v>
      </c>
      <c r="R22" s="158">
        <f>M22+IFERROR(VLOOKUP($A22,'A0 BS 1240在建'!$1:$1048576,21,0),0)</f>
        <v>0</v>
      </c>
      <c r="S22" s="158">
        <f>+N22+IFERROR(VLOOKUP($A22,'B0 2264預收'!$1:$1048576,21,0),0)</f>
        <v>0</v>
      </c>
      <c r="T22" s="158">
        <f t="shared" si="6"/>
        <v>0</v>
      </c>
      <c r="U22" s="158">
        <f>+P22+IFERROR(+VLOOKUP($A22,'B0 2264預收'!$1:$1048576,22,0),0)</f>
        <v>0</v>
      </c>
      <c r="V22" s="158">
        <f t="shared" si="7"/>
        <v>0</v>
      </c>
      <c r="W22" s="157">
        <f>+R22+IFERROR(VLOOKUP($A22,'A0 BS 1240在建'!$1:$1048576,25,0),0)</f>
        <v>0</v>
      </c>
      <c r="X22" s="157">
        <f>+S22+IFERROR(VLOOKUP($A22,'B0 2264預收'!$1:$1048576,25,0),0)</f>
        <v>0</v>
      </c>
      <c r="Y22" s="157">
        <f t="shared" si="8"/>
        <v>0</v>
      </c>
      <c r="Z22" s="157">
        <f>+U22+IFERROR(+VLOOKUP($A22,'B0 2264預收'!$1:$1048576,26,0),0)</f>
        <v>0</v>
      </c>
      <c r="AA22" s="157">
        <f t="shared" si="9"/>
        <v>0</v>
      </c>
      <c r="AB22" s="158">
        <f>+W22+IFERROR(VLOOKUP($A22,'A0 BS 1240在建'!$1:$1048576,29,0),0)</f>
        <v>0</v>
      </c>
      <c r="AC22" s="158">
        <f>+X22+IFERROR(VLOOKUP($A22,'B0 2264預收'!$1:$1048576,29,0),0)</f>
        <v>0</v>
      </c>
      <c r="AD22" s="158">
        <f t="shared" si="10"/>
        <v>0</v>
      </c>
      <c r="AE22" s="158">
        <f>+Z22+IFERROR(+VLOOKUP($A22,'B0 2264預收'!$1:$1048576,30,0),0)</f>
        <v>0</v>
      </c>
      <c r="AF22" s="158">
        <f t="shared" si="11"/>
        <v>0</v>
      </c>
      <c r="AG22" s="157">
        <f>+AB22+IFERROR(VLOOKUP($A22,'A0 BS 1240在建'!$1:$1048576,33,0),0)</f>
        <v>0</v>
      </c>
      <c r="AH22" s="157">
        <f>+AC22+IFERROR(VLOOKUP($A22,'B0 2264預收'!$1:$1048576,33,0),0)</f>
        <v>0</v>
      </c>
      <c r="AI22" s="157">
        <f t="shared" si="12"/>
        <v>0</v>
      </c>
      <c r="AJ22" s="157">
        <f>+AE22+IFERROR(+VLOOKUP($A22,'B0 2264預收'!$1:$1048576,34,0),0)</f>
        <v>0</v>
      </c>
      <c r="AK22" s="157">
        <f t="shared" si="13"/>
        <v>0</v>
      </c>
      <c r="AL22" s="158">
        <f>+AG22+IFERROR(VLOOKUP($A22,'A0 BS 1240在建'!$1:$1048576,37,0),0)</f>
        <v>0</v>
      </c>
      <c r="AM22" s="158">
        <f>+AH22+IFERROR(VLOOKUP($A22,'B0 2264預收'!$1:$1048576,37,0),0)</f>
        <v>0</v>
      </c>
      <c r="AN22" s="158">
        <f t="shared" si="14"/>
        <v>0</v>
      </c>
      <c r="AO22" s="158">
        <f>+AJ22+IFERROR(+VLOOKUP($A22,'B0 2264預收'!$1:$1048576,38,0),0)</f>
        <v>0</v>
      </c>
      <c r="AP22" s="158">
        <f t="shared" si="15"/>
        <v>0</v>
      </c>
      <c r="AQ22" s="157">
        <f>+AL22+IFERROR(VLOOKUP($A22,'A0 BS 1240在建'!$1:$1048576,41,0),0)</f>
        <v>0</v>
      </c>
      <c r="AR22" s="157">
        <f>+AM22+IFERROR(VLOOKUP($A22,'B0 2264預收'!$1:$1048576,41,0),0)</f>
        <v>0</v>
      </c>
      <c r="AS22" s="157">
        <f t="shared" si="16"/>
        <v>0</v>
      </c>
      <c r="AT22" s="157">
        <f>+AO22+IFERROR(+VLOOKUP($A22,'B0 2264預收'!$1:$1048576,42,0),0)</f>
        <v>0</v>
      </c>
      <c r="AU22" s="157">
        <f t="shared" si="17"/>
        <v>0</v>
      </c>
      <c r="AV22" s="158">
        <f>+AQ22+IFERROR(VLOOKUP($A22,'A0 BS 1240在建'!$1:$1048576,45,0),0)</f>
        <v>0</v>
      </c>
      <c r="AW22" s="158">
        <f>+AR22+IFERROR(VLOOKUP($A22,'B0 2264預收'!$1:$1048576,45,0),0)</f>
        <v>0</v>
      </c>
      <c r="AX22" s="158">
        <f t="shared" si="18"/>
        <v>0</v>
      </c>
      <c r="AY22" s="158">
        <f>+AT22+IFERROR(+VLOOKUP($A22,'B0 2264預收'!$1:$1048576,46,0),0)</f>
        <v>0</v>
      </c>
      <c r="AZ22" s="158">
        <f t="shared" si="19"/>
        <v>0</v>
      </c>
      <c r="BA22" s="157">
        <f>+AV22+IFERROR(VLOOKUP($A22,'A0 BS 1240在建'!$1:$1048576,49,0),0)</f>
        <v>0</v>
      </c>
      <c r="BB22" s="157">
        <f>+AW22+IFERROR(VLOOKUP($A22,'B0 2264預收'!$1:$1048576,49,0),0)</f>
        <v>0</v>
      </c>
      <c r="BC22" s="157">
        <f t="shared" si="20"/>
        <v>0</v>
      </c>
      <c r="BD22" s="157">
        <f>+AY22+IFERROR(+VLOOKUP($A22,'B0 2264預收'!$1:$1048576,50,0),0)</f>
        <v>0</v>
      </c>
      <c r="BE22" s="157">
        <f t="shared" si="21"/>
        <v>0</v>
      </c>
      <c r="BF22" s="158">
        <f>+BA22+IFERROR(VLOOKUP($A22,'A0 BS 1240在建'!$1:$1048576,53,0),0)</f>
        <v>0</v>
      </c>
      <c r="BG22" s="158">
        <f>+BB22+IFERROR(VLOOKUP($A22,'B0 2264預收'!$1:$1048576,53,0),0)</f>
        <v>0</v>
      </c>
      <c r="BH22" s="158">
        <f t="shared" si="22"/>
        <v>0</v>
      </c>
      <c r="BI22" s="158">
        <f>+BD22+IFERROR(+VLOOKUP($A22,'B0 2264預收'!$1:$1048576,54,0),0)</f>
        <v>0</v>
      </c>
      <c r="BJ22" s="158">
        <f t="shared" si="23"/>
        <v>0</v>
      </c>
      <c r="BK22" s="157">
        <f>+BF22+IFERROR(VLOOKUP($A22,'A0 BS 1240在建'!$1:$1048576,57,0),0)</f>
        <v>0</v>
      </c>
      <c r="BL22" s="157">
        <f>+BG22+IFERROR(VLOOKUP($A22,'B0 2264預收'!$1:$1048576,57,0),0)</f>
        <v>0</v>
      </c>
      <c r="BM22" s="157">
        <f t="shared" si="24"/>
        <v>0</v>
      </c>
      <c r="BN22" s="157">
        <f>+BI22+IFERROR(+VLOOKUP($A22,'B0 2264預收'!$1:$1048576,58,0),0)</f>
        <v>0</v>
      </c>
      <c r="BO22" s="157">
        <f t="shared" si="25"/>
        <v>0</v>
      </c>
      <c r="BP22" s="158">
        <f>+BK22+IFERROR(VLOOKUP($A22,'A0 BS 1240在建'!$1:$1048576,61,0),0)</f>
        <v>0</v>
      </c>
      <c r="BQ22" s="170">
        <f>+BL22+IFERROR(VLOOKUP($A22,'B0 2264預收'!$1:$1048576,61,0),0)</f>
        <v>0</v>
      </c>
      <c r="BR22" s="159">
        <f t="shared" si="26"/>
        <v>0</v>
      </c>
      <c r="BS22" s="158">
        <f>+BN22+IFERROR(+VLOOKUP($A22,'B0 2264預收'!$1:$1048576,62,0),0)</f>
        <v>0</v>
      </c>
      <c r="BT22" s="158">
        <f t="shared" si="27"/>
        <v>0</v>
      </c>
      <c r="BU22" s="157">
        <f>+IFERROR(VLOOKUP($A22,'A0 BS 1240在建'!$1:$1048576,77,0),0)</f>
        <v>0</v>
      </c>
      <c r="BV22" s="157">
        <f>+IFERROR(VLOOKUP($A22,'B0 2264預收'!$1:$1048576,77,0),0)</f>
        <v>0</v>
      </c>
      <c r="BW22" s="157">
        <f t="shared" si="28"/>
        <v>0</v>
      </c>
      <c r="BX22" s="157">
        <f>+IFERROR(+VLOOKUP($A22,'B0 2264預收'!$1:$1048576,78,0),0)</f>
        <v>0</v>
      </c>
      <c r="BY22" s="157">
        <f t="shared" si="29"/>
        <v>0</v>
      </c>
      <c r="BZ22" s="158">
        <f>IFERROR(+VLOOKUP($A22,'A0 BS 1240在建'!$1:$1048576,85,0),0)</f>
        <v>0</v>
      </c>
      <c r="CA22" s="158">
        <f>IFERROR(+VLOOKUP($A22,'B0 2264預收'!$1:$1048576,85,0),0)</f>
        <v>0</v>
      </c>
      <c r="CB22" s="158">
        <f t="shared" si="30"/>
        <v>0</v>
      </c>
      <c r="CC22" s="158">
        <f>+IFERROR(+VLOOKUP($A22,'B0 2264預收'!$1:$1048576,86,0),0)</f>
        <v>0</v>
      </c>
      <c r="CD22" s="158">
        <f t="shared" si="31"/>
        <v>0</v>
      </c>
      <c r="CE22" s="157">
        <f>+IFERROR(VLOOKUP($A22,'A0 BS 1240在建'!$1:$1048576,93,0),0)</f>
        <v>0</v>
      </c>
      <c r="CF22" s="157">
        <f>+IFERROR(VLOOKUP($A22,'B0 2264預收'!$1:$1048576,93,0),0)</f>
        <v>0</v>
      </c>
      <c r="CG22" s="157">
        <f t="shared" si="32"/>
        <v>0</v>
      </c>
      <c r="CH22" s="157">
        <f>+IFERROR(+VLOOKUP($A22,'B0 2264預收'!$1:$1048576,94,0),0)</f>
        <v>0</v>
      </c>
      <c r="CI22" s="157">
        <f t="shared" si="33"/>
        <v>0</v>
      </c>
      <c r="CJ22" s="158">
        <f>IFERROR(+VLOOKUP($A22,'A0 BS 1240在建'!$1:$1048576,101,0),0)</f>
        <v>0</v>
      </c>
      <c r="CK22" s="158">
        <f>IFERROR(+VLOOKUP($A22,'B0 2264預收'!$1:$1048576,101,0),0)</f>
        <v>0</v>
      </c>
      <c r="CL22" s="158">
        <f t="shared" si="34"/>
        <v>0</v>
      </c>
      <c r="CM22" s="158">
        <f>+IFERROR(+VLOOKUP($A22,'B0 2264預收'!$1:$1048576,102,0),0)</f>
        <v>0</v>
      </c>
      <c r="CN22" s="158">
        <f t="shared" si="35"/>
        <v>0</v>
      </c>
      <c r="CP22" s="98">
        <f t="shared" ref="CP22:CP42" si="48">+J22-E22</f>
        <v>0</v>
      </c>
      <c r="CU22" s="98">
        <f t="shared" ref="CU22:CU42" si="49">+BR22-J22</f>
        <v>0</v>
      </c>
      <c r="CY22" s="162" t="str">
        <f t="shared" si="38"/>
        <v/>
      </c>
      <c r="CZ22" s="98" t="str">
        <f t="shared" si="39"/>
        <v xml:space="preserve"> </v>
      </c>
      <c r="DA22" s="98" t="str">
        <f t="shared" si="40"/>
        <v xml:space="preserve"> </v>
      </c>
      <c r="DB22" s="98" t="str">
        <f t="shared" si="41"/>
        <v xml:space="preserve"> </v>
      </c>
      <c r="DC22" s="163">
        <f t="shared" si="42"/>
        <v>0</v>
      </c>
      <c r="DD22" s="162" t="str">
        <f t="shared" si="44"/>
        <v/>
      </c>
      <c r="DE22" s="98" t="str">
        <f t="shared" si="45"/>
        <v xml:space="preserve"> </v>
      </c>
      <c r="DF22" s="98" t="str">
        <f t="shared" si="46"/>
        <v xml:space="preserve"> </v>
      </c>
      <c r="DG22" s="98" t="str">
        <f t="shared" si="47"/>
        <v xml:space="preserve"> </v>
      </c>
      <c r="DH22" s="163">
        <f t="shared" si="43"/>
        <v>0</v>
      </c>
    </row>
    <row r="23" spans="1:112">
      <c r="A23" s="155" t="s">
        <v>343</v>
      </c>
      <c r="B23" s="169" t="s">
        <v>344</v>
      </c>
      <c r="C23" s="157">
        <f>IFERROR(VLOOKUP($A23,'A0 BS 1240在建'!$1:$1048576,5,0),0)</f>
        <v>0</v>
      </c>
      <c r="D23" s="157">
        <f>IFERROR(VLOOKUP($A23,'B0 2264預收'!$1:$1048576,5,0),0)</f>
        <v>0</v>
      </c>
      <c r="E23" s="157">
        <f t="shared" si="0"/>
        <v>0</v>
      </c>
      <c r="F23" s="157">
        <f>IFERROR(VLOOKUP($A23,'B0 2264預收'!$1:$1048576,6,0),0)</f>
        <v>0</v>
      </c>
      <c r="G23" s="157">
        <f t="shared" si="1"/>
        <v>0</v>
      </c>
      <c r="H23" s="158">
        <f>IFERROR(VLOOKUP($A23,'A0 BS 1240在建'!$1:$1048576,13,0),0)</f>
        <v>0</v>
      </c>
      <c r="I23" s="158">
        <f>IFERROR(VLOOKUP($A23,'B0 2264預收'!$1:$1048576,13,0),0)</f>
        <v>0</v>
      </c>
      <c r="J23" s="158">
        <f t="shared" si="2"/>
        <v>0</v>
      </c>
      <c r="K23" s="158">
        <f>IFERROR(VLOOKUP($A23,'B0 2264預收'!$1:$1048576,14,0),0)</f>
        <v>0</v>
      </c>
      <c r="L23" s="158">
        <f t="shared" si="3"/>
        <v>0</v>
      </c>
      <c r="M23" s="157">
        <f>H23+IFERROR(VLOOKUP($A23,'A0 BS 1240在建'!$1:$1048576,17,0),0)</f>
        <v>0</v>
      </c>
      <c r="N23" s="157">
        <f>I23+IFERROR(VLOOKUP($A23,'B0 2264預收'!$1:$1048576,17,0),0)</f>
        <v>0</v>
      </c>
      <c r="O23" s="157">
        <f t="shared" si="4"/>
        <v>0</v>
      </c>
      <c r="P23" s="157">
        <f>K23+IFERROR(+VLOOKUP($A23,'B0 2264預收'!$1:$1048576,18,0),0)</f>
        <v>0</v>
      </c>
      <c r="Q23" s="157">
        <f t="shared" si="5"/>
        <v>0</v>
      </c>
      <c r="R23" s="158">
        <f>M23+IFERROR(VLOOKUP($A23,'A0 BS 1240在建'!$1:$1048576,21,0),0)</f>
        <v>0</v>
      </c>
      <c r="S23" s="158">
        <f>+N23+IFERROR(VLOOKUP($A23,'B0 2264預收'!$1:$1048576,21,0),0)</f>
        <v>0</v>
      </c>
      <c r="T23" s="158">
        <f t="shared" si="6"/>
        <v>0</v>
      </c>
      <c r="U23" s="158">
        <f>+P23+IFERROR(+VLOOKUP($A23,'B0 2264預收'!$1:$1048576,22,0),0)</f>
        <v>0</v>
      </c>
      <c r="V23" s="158">
        <f t="shared" si="7"/>
        <v>0</v>
      </c>
      <c r="W23" s="157">
        <f>+R23+IFERROR(VLOOKUP($A23,'A0 BS 1240在建'!$1:$1048576,25,0),0)</f>
        <v>0</v>
      </c>
      <c r="X23" s="157">
        <f>+S23+IFERROR(VLOOKUP($A23,'B0 2264預收'!$1:$1048576,25,0),0)</f>
        <v>0</v>
      </c>
      <c r="Y23" s="157">
        <f t="shared" si="8"/>
        <v>0</v>
      </c>
      <c r="Z23" s="157">
        <f>+U23+IFERROR(+VLOOKUP($A23,'B0 2264預收'!$1:$1048576,26,0),0)</f>
        <v>0</v>
      </c>
      <c r="AA23" s="157">
        <f t="shared" si="9"/>
        <v>0</v>
      </c>
      <c r="AB23" s="158">
        <f>+W23+IFERROR(VLOOKUP($A23,'A0 BS 1240在建'!$1:$1048576,29,0),0)</f>
        <v>0</v>
      </c>
      <c r="AC23" s="158">
        <f>+X23+IFERROR(VLOOKUP($A23,'B0 2264預收'!$1:$1048576,29,0),0)</f>
        <v>0</v>
      </c>
      <c r="AD23" s="158">
        <f t="shared" si="10"/>
        <v>0</v>
      </c>
      <c r="AE23" s="158">
        <f>+Z23+IFERROR(+VLOOKUP($A23,'B0 2264預收'!$1:$1048576,30,0),0)</f>
        <v>0</v>
      </c>
      <c r="AF23" s="158">
        <f t="shared" si="11"/>
        <v>0</v>
      </c>
      <c r="AG23" s="157">
        <f>+AB23+IFERROR(VLOOKUP($A23,'A0 BS 1240在建'!$1:$1048576,33,0),0)</f>
        <v>0</v>
      </c>
      <c r="AH23" s="157">
        <f>+AC23+IFERROR(VLOOKUP($A23,'B0 2264預收'!$1:$1048576,33,0),0)</f>
        <v>0</v>
      </c>
      <c r="AI23" s="157">
        <f t="shared" si="12"/>
        <v>0</v>
      </c>
      <c r="AJ23" s="157">
        <f>+AE23+IFERROR(+VLOOKUP($A23,'B0 2264預收'!$1:$1048576,34,0),0)</f>
        <v>0</v>
      </c>
      <c r="AK23" s="157">
        <f t="shared" si="13"/>
        <v>0</v>
      </c>
      <c r="AL23" s="158">
        <f>+AG23+IFERROR(VLOOKUP($A23,'A0 BS 1240在建'!$1:$1048576,37,0),0)</f>
        <v>0</v>
      </c>
      <c r="AM23" s="158">
        <f>+AH23+IFERROR(VLOOKUP($A23,'B0 2264預收'!$1:$1048576,37,0),0)</f>
        <v>0</v>
      </c>
      <c r="AN23" s="158">
        <f t="shared" si="14"/>
        <v>0</v>
      </c>
      <c r="AO23" s="158">
        <f>+AJ23+IFERROR(+VLOOKUP($A23,'B0 2264預收'!$1:$1048576,38,0),0)</f>
        <v>0</v>
      </c>
      <c r="AP23" s="158">
        <f t="shared" si="15"/>
        <v>0</v>
      </c>
      <c r="AQ23" s="157">
        <f>+AL23+IFERROR(VLOOKUP($A23,'A0 BS 1240在建'!$1:$1048576,41,0),0)</f>
        <v>0</v>
      </c>
      <c r="AR23" s="157">
        <f>+AM23+IFERROR(VLOOKUP($A23,'B0 2264預收'!$1:$1048576,41,0),0)</f>
        <v>0</v>
      </c>
      <c r="AS23" s="157">
        <f t="shared" si="16"/>
        <v>0</v>
      </c>
      <c r="AT23" s="157">
        <f>+AO23+IFERROR(+VLOOKUP($A23,'B0 2264預收'!$1:$1048576,42,0),0)</f>
        <v>0</v>
      </c>
      <c r="AU23" s="157">
        <f t="shared" si="17"/>
        <v>0</v>
      </c>
      <c r="AV23" s="158">
        <f>+AQ23+IFERROR(VLOOKUP($A23,'A0 BS 1240在建'!$1:$1048576,45,0),0)</f>
        <v>0</v>
      </c>
      <c r="AW23" s="158">
        <f>+AR23+IFERROR(VLOOKUP($A23,'B0 2264預收'!$1:$1048576,45,0),0)</f>
        <v>0</v>
      </c>
      <c r="AX23" s="158">
        <f t="shared" si="18"/>
        <v>0</v>
      </c>
      <c r="AY23" s="158">
        <f>+AT23+IFERROR(+VLOOKUP($A23,'B0 2264預收'!$1:$1048576,46,0),0)</f>
        <v>0</v>
      </c>
      <c r="AZ23" s="158">
        <f t="shared" si="19"/>
        <v>0</v>
      </c>
      <c r="BA23" s="157">
        <f>+AV23+IFERROR(VLOOKUP($A23,'A0 BS 1240在建'!$1:$1048576,49,0),0)</f>
        <v>0</v>
      </c>
      <c r="BB23" s="157">
        <f>+AW23+IFERROR(VLOOKUP($A23,'B0 2264預收'!$1:$1048576,49,0),0)</f>
        <v>0</v>
      </c>
      <c r="BC23" s="157">
        <f t="shared" si="20"/>
        <v>0</v>
      </c>
      <c r="BD23" s="157">
        <f>+AY23+IFERROR(+VLOOKUP($A23,'B0 2264預收'!$1:$1048576,50,0),0)</f>
        <v>0</v>
      </c>
      <c r="BE23" s="157">
        <f t="shared" si="21"/>
        <v>0</v>
      </c>
      <c r="BF23" s="158">
        <f>+BA23+IFERROR(VLOOKUP($A23,'A0 BS 1240在建'!$1:$1048576,53,0),0)</f>
        <v>0</v>
      </c>
      <c r="BG23" s="158">
        <f>+BB23+IFERROR(VLOOKUP($A23,'B0 2264預收'!$1:$1048576,53,0),0)</f>
        <v>0</v>
      </c>
      <c r="BH23" s="158">
        <f t="shared" si="22"/>
        <v>0</v>
      </c>
      <c r="BI23" s="158">
        <f>+BD23+IFERROR(+VLOOKUP($A23,'B0 2264預收'!$1:$1048576,54,0),0)</f>
        <v>0</v>
      </c>
      <c r="BJ23" s="158">
        <f t="shared" si="23"/>
        <v>0</v>
      </c>
      <c r="BK23" s="157">
        <f>+BF23+IFERROR(VLOOKUP($A23,'A0 BS 1240在建'!$1:$1048576,57,0),0)</f>
        <v>0</v>
      </c>
      <c r="BL23" s="157">
        <f>+BG23+IFERROR(VLOOKUP($A23,'B0 2264預收'!$1:$1048576,57,0),0)</f>
        <v>0</v>
      </c>
      <c r="BM23" s="157">
        <f t="shared" si="24"/>
        <v>0</v>
      </c>
      <c r="BN23" s="157">
        <f>+BI23+IFERROR(+VLOOKUP($A23,'B0 2264預收'!$1:$1048576,58,0),0)</f>
        <v>0</v>
      </c>
      <c r="BO23" s="157">
        <f t="shared" si="25"/>
        <v>0</v>
      </c>
      <c r="BP23" s="158">
        <f>+BK23+IFERROR(VLOOKUP($A23,'A0 BS 1240在建'!$1:$1048576,61,0),0)</f>
        <v>0</v>
      </c>
      <c r="BQ23" s="170">
        <f>+BL23+IFERROR(VLOOKUP($A23,'B0 2264預收'!$1:$1048576,61,0),0)</f>
        <v>0</v>
      </c>
      <c r="BR23" s="159">
        <f t="shared" si="26"/>
        <v>0</v>
      </c>
      <c r="BS23" s="158">
        <f>+BN23+IFERROR(+VLOOKUP($A23,'B0 2264預收'!$1:$1048576,62,0),0)</f>
        <v>0</v>
      </c>
      <c r="BT23" s="158">
        <f t="shared" si="27"/>
        <v>0</v>
      </c>
      <c r="BU23" s="157">
        <f>+IFERROR(VLOOKUP($A23,'A0 BS 1240在建'!$1:$1048576,77,0),0)</f>
        <v>0</v>
      </c>
      <c r="BV23" s="157">
        <f>+IFERROR(VLOOKUP($A23,'B0 2264預收'!$1:$1048576,77,0),0)</f>
        <v>0</v>
      </c>
      <c r="BW23" s="157">
        <f t="shared" si="28"/>
        <v>0</v>
      </c>
      <c r="BX23" s="157">
        <f>+IFERROR(+VLOOKUP($A23,'B0 2264預收'!$1:$1048576,78,0),0)</f>
        <v>0</v>
      </c>
      <c r="BY23" s="157">
        <f t="shared" si="29"/>
        <v>0</v>
      </c>
      <c r="BZ23" s="158">
        <f>IFERROR(+VLOOKUP($A23,'A0 BS 1240在建'!$1:$1048576,85,0),0)</f>
        <v>0</v>
      </c>
      <c r="CA23" s="158">
        <f>IFERROR(+VLOOKUP($A23,'B0 2264預收'!$1:$1048576,85,0),0)</f>
        <v>0</v>
      </c>
      <c r="CB23" s="158">
        <f t="shared" si="30"/>
        <v>0</v>
      </c>
      <c r="CC23" s="158">
        <f>+IFERROR(+VLOOKUP($A23,'B0 2264預收'!$1:$1048576,86,0),0)</f>
        <v>0</v>
      </c>
      <c r="CD23" s="158">
        <f t="shared" si="31"/>
        <v>0</v>
      </c>
      <c r="CE23" s="157">
        <f>+IFERROR(VLOOKUP($A23,'A0 BS 1240在建'!$1:$1048576,93,0),0)</f>
        <v>0</v>
      </c>
      <c r="CF23" s="157">
        <f>+IFERROR(VLOOKUP($A23,'B0 2264預收'!$1:$1048576,93,0),0)</f>
        <v>0</v>
      </c>
      <c r="CG23" s="157">
        <f t="shared" si="32"/>
        <v>0</v>
      </c>
      <c r="CH23" s="157">
        <f>+IFERROR(+VLOOKUP($A23,'B0 2264預收'!$1:$1048576,94,0),0)</f>
        <v>0</v>
      </c>
      <c r="CI23" s="157">
        <f t="shared" si="33"/>
        <v>0</v>
      </c>
      <c r="CJ23" s="158">
        <f>IFERROR(+VLOOKUP($A23,'A0 BS 1240在建'!$1:$1048576,101,0),0)</f>
        <v>0</v>
      </c>
      <c r="CK23" s="158">
        <f>IFERROR(+VLOOKUP($A23,'B0 2264預收'!$1:$1048576,101,0),0)</f>
        <v>0</v>
      </c>
      <c r="CL23" s="158">
        <f t="shared" si="34"/>
        <v>0</v>
      </c>
      <c r="CM23" s="158">
        <f>+IFERROR(+VLOOKUP($A23,'B0 2264預收'!$1:$1048576,102,0),0)</f>
        <v>0</v>
      </c>
      <c r="CN23" s="158">
        <f t="shared" si="35"/>
        <v>0</v>
      </c>
      <c r="CP23" s="98">
        <f t="shared" si="48"/>
        <v>0</v>
      </c>
      <c r="CU23" s="166">
        <f t="shared" si="49"/>
        <v>0</v>
      </c>
      <c r="CV23" s="98">
        <f>+CU23</f>
        <v>0</v>
      </c>
      <c r="CY23" s="162" t="str">
        <f t="shared" si="38"/>
        <v/>
      </c>
      <c r="CZ23" s="98" t="str">
        <f t="shared" si="39"/>
        <v xml:space="preserve"> </v>
      </c>
      <c r="DA23" s="98" t="str">
        <f t="shared" si="40"/>
        <v xml:space="preserve"> </v>
      </c>
      <c r="DB23" s="98" t="str">
        <f t="shared" si="41"/>
        <v xml:space="preserve"> </v>
      </c>
      <c r="DC23" s="163">
        <f t="shared" si="42"/>
        <v>0</v>
      </c>
      <c r="DD23" s="162" t="str">
        <f t="shared" si="44"/>
        <v/>
      </c>
      <c r="DE23" s="98" t="str">
        <f t="shared" si="45"/>
        <v xml:space="preserve"> </v>
      </c>
      <c r="DF23" s="98" t="str">
        <f t="shared" si="46"/>
        <v xml:space="preserve"> </v>
      </c>
      <c r="DG23" s="98" t="str">
        <f t="shared" si="47"/>
        <v xml:space="preserve"> </v>
      </c>
      <c r="DH23" s="163">
        <f t="shared" si="43"/>
        <v>0</v>
      </c>
    </row>
    <row r="24" spans="1:112">
      <c r="A24" s="155" t="s">
        <v>345</v>
      </c>
      <c r="B24" s="169" t="s">
        <v>346</v>
      </c>
      <c r="C24" s="157">
        <f>IFERROR(VLOOKUP($A24,'A0 BS 1240在建'!$1:$1048576,5,0),0)</f>
        <v>0</v>
      </c>
      <c r="D24" s="157">
        <f>IFERROR(VLOOKUP($A24,'B0 2264預收'!$1:$1048576,5,0),0)</f>
        <v>0</v>
      </c>
      <c r="E24" s="157">
        <f t="shared" si="0"/>
        <v>0</v>
      </c>
      <c r="F24" s="157">
        <f>IFERROR(VLOOKUP($A24,'B0 2264預收'!$1:$1048576,6,0),0)</f>
        <v>0</v>
      </c>
      <c r="G24" s="157">
        <f t="shared" si="1"/>
        <v>0</v>
      </c>
      <c r="H24" s="158">
        <f>IFERROR(VLOOKUP($A24,'A0 BS 1240在建'!$1:$1048576,13,0),0)</f>
        <v>0</v>
      </c>
      <c r="I24" s="158">
        <f>IFERROR(VLOOKUP($A24,'B0 2264預收'!$1:$1048576,13,0),0)</f>
        <v>0</v>
      </c>
      <c r="J24" s="158">
        <f t="shared" si="2"/>
        <v>0</v>
      </c>
      <c r="K24" s="158">
        <f>IFERROR(VLOOKUP($A24,'B0 2264預收'!$1:$1048576,14,0),0)</f>
        <v>0</v>
      </c>
      <c r="L24" s="158">
        <f t="shared" si="3"/>
        <v>0</v>
      </c>
      <c r="M24" s="157">
        <f>H24+IFERROR(VLOOKUP($A24,'A0 BS 1240在建'!$1:$1048576,17,0),0)</f>
        <v>0</v>
      </c>
      <c r="N24" s="157">
        <f>I24+IFERROR(VLOOKUP($A24,'B0 2264預收'!$1:$1048576,17,0),0)</f>
        <v>0</v>
      </c>
      <c r="O24" s="157">
        <f t="shared" si="4"/>
        <v>0</v>
      </c>
      <c r="P24" s="157">
        <f>K24+IFERROR(+VLOOKUP($A24,'B0 2264預收'!$1:$1048576,18,0),0)</f>
        <v>0</v>
      </c>
      <c r="Q24" s="157">
        <f t="shared" si="5"/>
        <v>0</v>
      </c>
      <c r="R24" s="158">
        <f>M24+IFERROR(VLOOKUP($A24,'A0 BS 1240在建'!$1:$1048576,21,0),0)</f>
        <v>0</v>
      </c>
      <c r="S24" s="158">
        <f>+N24+IFERROR(VLOOKUP($A24,'B0 2264預收'!$1:$1048576,21,0),0)</f>
        <v>0</v>
      </c>
      <c r="T24" s="158">
        <f t="shared" si="6"/>
        <v>0</v>
      </c>
      <c r="U24" s="158">
        <f>+P24+IFERROR(+VLOOKUP($A24,'B0 2264預收'!$1:$1048576,22,0),0)</f>
        <v>0</v>
      </c>
      <c r="V24" s="158">
        <f t="shared" si="7"/>
        <v>0</v>
      </c>
      <c r="W24" s="157">
        <f>+R24+IFERROR(VLOOKUP($A24,'A0 BS 1240在建'!$1:$1048576,25,0),0)</f>
        <v>0</v>
      </c>
      <c r="X24" s="157">
        <f>+S24+IFERROR(VLOOKUP($A24,'B0 2264預收'!$1:$1048576,25,0),0)</f>
        <v>0</v>
      </c>
      <c r="Y24" s="157">
        <f t="shared" si="8"/>
        <v>0</v>
      </c>
      <c r="Z24" s="157">
        <f>+U24+IFERROR(+VLOOKUP($A24,'B0 2264預收'!$1:$1048576,26,0),0)</f>
        <v>0</v>
      </c>
      <c r="AA24" s="157">
        <f t="shared" si="9"/>
        <v>0</v>
      </c>
      <c r="AB24" s="158">
        <f>+W24+IFERROR(VLOOKUP($A24,'A0 BS 1240在建'!$1:$1048576,29,0),0)</f>
        <v>0</v>
      </c>
      <c r="AC24" s="158">
        <f>+X24+IFERROR(VLOOKUP($A24,'B0 2264預收'!$1:$1048576,29,0),0)</f>
        <v>0</v>
      </c>
      <c r="AD24" s="158">
        <f t="shared" si="10"/>
        <v>0</v>
      </c>
      <c r="AE24" s="158">
        <f>+Z24+IFERROR(+VLOOKUP($A24,'B0 2264預收'!$1:$1048576,30,0),0)</f>
        <v>0</v>
      </c>
      <c r="AF24" s="158">
        <f t="shared" si="11"/>
        <v>0</v>
      </c>
      <c r="AG24" s="157">
        <f>+AB24+IFERROR(VLOOKUP($A24,'A0 BS 1240在建'!$1:$1048576,33,0),0)</f>
        <v>0</v>
      </c>
      <c r="AH24" s="157">
        <f>+AC24+IFERROR(VLOOKUP($A24,'B0 2264預收'!$1:$1048576,33,0),0)</f>
        <v>0</v>
      </c>
      <c r="AI24" s="157">
        <f t="shared" si="12"/>
        <v>0</v>
      </c>
      <c r="AJ24" s="157">
        <f>+AE24+IFERROR(+VLOOKUP($A24,'B0 2264預收'!$1:$1048576,34,0),0)</f>
        <v>0</v>
      </c>
      <c r="AK24" s="157">
        <f t="shared" si="13"/>
        <v>0</v>
      </c>
      <c r="AL24" s="158">
        <f>+AG24+IFERROR(VLOOKUP($A24,'A0 BS 1240在建'!$1:$1048576,37,0),0)</f>
        <v>0</v>
      </c>
      <c r="AM24" s="158">
        <f>+AH24+IFERROR(VLOOKUP($A24,'B0 2264預收'!$1:$1048576,37,0),0)</f>
        <v>0</v>
      </c>
      <c r="AN24" s="158">
        <f t="shared" si="14"/>
        <v>0</v>
      </c>
      <c r="AO24" s="158">
        <f>+AJ24+IFERROR(+VLOOKUP($A24,'B0 2264預收'!$1:$1048576,38,0),0)</f>
        <v>0</v>
      </c>
      <c r="AP24" s="158">
        <f t="shared" si="15"/>
        <v>0</v>
      </c>
      <c r="AQ24" s="157">
        <f>+AL24+IFERROR(VLOOKUP($A24,'A0 BS 1240在建'!$1:$1048576,41,0),0)</f>
        <v>0</v>
      </c>
      <c r="AR24" s="157">
        <f>+AM24+IFERROR(VLOOKUP($A24,'B0 2264預收'!$1:$1048576,41,0),0)</f>
        <v>0</v>
      </c>
      <c r="AS24" s="157">
        <f t="shared" si="16"/>
        <v>0</v>
      </c>
      <c r="AT24" s="157">
        <f>+AO24+IFERROR(+VLOOKUP($A24,'B0 2264預收'!$1:$1048576,42,0),0)</f>
        <v>0</v>
      </c>
      <c r="AU24" s="157">
        <f t="shared" si="17"/>
        <v>0</v>
      </c>
      <c r="AV24" s="158">
        <f>+AQ24+IFERROR(VLOOKUP($A24,'A0 BS 1240在建'!$1:$1048576,45,0),0)</f>
        <v>0</v>
      </c>
      <c r="AW24" s="158">
        <f>+AR24+IFERROR(VLOOKUP($A24,'B0 2264預收'!$1:$1048576,45,0),0)</f>
        <v>0</v>
      </c>
      <c r="AX24" s="158">
        <f t="shared" si="18"/>
        <v>0</v>
      </c>
      <c r="AY24" s="158">
        <f>+AT24+IFERROR(+VLOOKUP($A24,'B0 2264預收'!$1:$1048576,46,0),0)</f>
        <v>0</v>
      </c>
      <c r="AZ24" s="158">
        <f t="shared" si="19"/>
        <v>0</v>
      </c>
      <c r="BA24" s="157">
        <f>+AV24+IFERROR(VLOOKUP($A24,'A0 BS 1240在建'!$1:$1048576,49,0),0)</f>
        <v>0</v>
      </c>
      <c r="BB24" s="157">
        <f>+AW24+IFERROR(VLOOKUP($A24,'B0 2264預收'!$1:$1048576,49,0),0)</f>
        <v>0</v>
      </c>
      <c r="BC24" s="157">
        <f t="shared" si="20"/>
        <v>0</v>
      </c>
      <c r="BD24" s="157">
        <f>+AY24+IFERROR(+VLOOKUP($A24,'B0 2264預收'!$1:$1048576,50,0),0)</f>
        <v>0</v>
      </c>
      <c r="BE24" s="157">
        <f t="shared" si="21"/>
        <v>0</v>
      </c>
      <c r="BF24" s="158">
        <f>+BA24+IFERROR(VLOOKUP($A24,'A0 BS 1240在建'!$1:$1048576,53,0),0)</f>
        <v>0</v>
      </c>
      <c r="BG24" s="158">
        <f>+BB24+IFERROR(VLOOKUP($A24,'B0 2264預收'!$1:$1048576,53,0),0)</f>
        <v>0</v>
      </c>
      <c r="BH24" s="158">
        <f t="shared" si="22"/>
        <v>0</v>
      </c>
      <c r="BI24" s="158">
        <f>+BD24+IFERROR(+VLOOKUP($A24,'B0 2264預收'!$1:$1048576,54,0),0)</f>
        <v>0</v>
      </c>
      <c r="BJ24" s="158">
        <f t="shared" si="23"/>
        <v>0</v>
      </c>
      <c r="BK24" s="157">
        <f>+BF24+IFERROR(VLOOKUP($A24,'A0 BS 1240在建'!$1:$1048576,57,0),0)</f>
        <v>0</v>
      </c>
      <c r="BL24" s="157">
        <f>+BG24+IFERROR(VLOOKUP($A24,'B0 2264預收'!$1:$1048576,57,0),0)</f>
        <v>0</v>
      </c>
      <c r="BM24" s="157">
        <f t="shared" si="24"/>
        <v>0</v>
      </c>
      <c r="BN24" s="157">
        <f>+BI24+IFERROR(+VLOOKUP($A24,'B0 2264預收'!$1:$1048576,58,0),0)</f>
        <v>0</v>
      </c>
      <c r="BO24" s="157">
        <f t="shared" si="25"/>
        <v>0</v>
      </c>
      <c r="BP24" s="158">
        <f>+BK24+IFERROR(VLOOKUP($A24,'A0 BS 1240在建'!$1:$1048576,61,0),0)</f>
        <v>0</v>
      </c>
      <c r="BQ24" s="158">
        <f>+BL24+IFERROR(VLOOKUP($A24,'B0 2264預收'!$1:$1048576,61,0),0)</f>
        <v>0</v>
      </c>
      <c r="BR24" s="159">
        <f t="shared" si="26"/>
        <v>0</v>
      </c>
      <c r="BS24" s="158">
        <f>+BN24+IFERROR(+VLOOKUP($A24,'B0 2264預收'!$1:$1048576,62,0),0)</f>
        <v>0</v>
      </c>
      <c r="BT24" s="158">
        <f t="shared" si="27"/>
        <v>0</v>
      </c>
      <c r="BU24" s="157">
        <f>+IFERROR(VLOOKUP($A24,'A0 BS 1240在建'!$1:$1048576,77,0),0)</f>
        <v>0</v>
      </c>
      <c r="BV24" s="157">
        <f>+IFERROR(VLOOKUP($A24,'B0 2264預收'!$1:$1048576,77,0),0)</f>
        <v>0</v>
      </c>
      <c r="BW24" s="157">
        <f t="shared" si="28"/>
        <v>0</v>
      </c>
      <c r="BX24" s="157">
        <f>+IFERROR(+VLOOKUP($A24,'B0 2264預收'!$1:$1048576,78,0),0)</f>
        <v>0</v>
      </c>
      <c r="BY24" s="157">
        <f t="shared" si="29"/>
        <v>0</v>
      </c>
      <c r="BZ24" s="158">
        <f>IFERROR(+VLOOKUP($A24,'A0 BS 1240在建'!$1:$1048576,85,0),0)</f>
        <v>0</v>
      </c>
      <c r="CA24" s="158">
        <f>IFERROR(+VLOOKUP($A24,'B0 2264預收'!$1:$1048576,85,0),0)</f>
        <v>0</v>
      </c>
      <c r="CB24" s="158">
        <f t="shared" si="30"/>
        <v>0</v>
      </c>
      <c r="CC24" s="158">
        <f>+IFERROR(+VLOOKUP($A24,'B0 2264預收'!$1:$1048576,86,0),0)</f>
        <v>0</v>
      </c>
      <c r="CD24" s="158">
        <f t="shared" si="31"/>
        <v>0</v>
      </c>
      <c r="CE24" s="157">
        <f>+IFERROR(VLOOKUP($A24,'A0 BS 1240在建'!$1:$1048576,93,0),0)</f>
        <v>0</v>
      </c>
      <c r="CF24" s="157">
        <f>+IFERROR(VLOOKUP($A24,'B0 2264預收'!$1:$1048576,93,0),0)</f>
        <v>0</v>
      </c>
      <c r="CG24" s="157">
        <f t="shared" si="32"/>
        <v>0</v>
      </c>
      <c r="CH24" s="157">
        <f>+IFERROR(+VLOOKUP($A24,'B0 2264預收'!$1:$1048576,94,0),0)</f>
        <v>0</v>
      </c>
      <c r="CI24" s="157">
        <f t="shared" si="33"/>
        <v>0</v>
      </c>
      <c r="CJ24" s="158">
        <f>IFERROR(+VLOOKUP($A24,'A0 BS 1240在建'!$1:$1048576,101,0),0)</f>
        <v>0</v>
      </c>
      <c r="CK24" s="158">
        <f>IFERROR(+VLOOKUP($A24,'B0 2264預收'!$1:$1048576,101,0),0)</f>
        <v>0</v>
      </c>
      <c r="CL24" s="158">
        <f t="shared" si="34"/>
        <v>0</v>
      </c>
      <c r="CM24" s="158">
        <f>+IFERROR(+VLOOKUP($A24,'B0 2264預收'!$1:$1048576,102,0),0)</f>
        <v>0</v>
      </c>
      <c r="CN24" s="158">
        <f t="shared" si="35"/>
        <v>0</v>
      </c>
      <c r="CP24" s="98">
        <f t="shared" si="48"/>
        <v>0</v>
      </c>
      <c r="CU24" s="98">
        <f t="shared" si="49"/>
        <v>0</v>
      </c>
      <c r="CY24" s="162" t="str">
        <f t="shared" si="38"/>
        <v/>
      </c>
      <c r="CZ24" s="98" t="str">
        <f t="shared" si="39"/>
        <v xml:space="preserve"> </v>
      </c>
      <c r="DA24" s="98" t="str">
        <f t="shared" si="40"/>
        <v xml:space="preserve"> </v>
      </c>
      <c r="DB24" s="98" t="str">
        <f t="shared" si="41"/>
        <v xml:space="preserve"> </v>
      </c>
      <c r="DC24" s="163">
        <f t="shared" si="42"/>
        <v>0</v>
      </c>
      <c r="DD24" s="162" t="str">
        <f t="shared" si="44"/>
        <v/>
      </c>
      <c r="DE24" s="98" t="str">
        <f t="shared" si="45"/>
        <v xml:space="preserve"> </v>
      </c>
      <c r="DF24" s="98" t="str">
        <f t="shared" si="46"/>
        <v xml:space="preserve"> </v>
      </c>
      <c r="DG24" s="98" t="str">
        <f t="shared" si="47"/>
        <v xml:space="preserve"> </v>
      </c>
      <c r="DH24" s="163">
        <f t="shared" si="43"/>
        <v>0</v>
      </c>
    </row>
    <row r="25" spans="1:112">
      <c r="A25" s="155" t="s">
        <v>347</v>
      </c>
      <c r="B25" s="169" t="s">
        <v>348</v>
      </c>
      <c r="C25" s="157">
        <f>IFERROR(VLOOKUP($A25,'A0 BS 1240在建'!$1:$1048576,5,0),0)</f>
        <v>0</v>
      </c>
      <c r="D25" s="157">
        <f>IFERROR(VLOOKUP($A25,'B0 2264預收'!$1:$1048576,5,0),0)</f>
        <v>0</v>
      </c>
      <c r="E25" s="157">
        <f t="shared" si="0"/>
        <v>0</v>
      </c>
      <c r="F25" s="157">
        <f>IFERROR(VLOOKUP($A25,'B0 2264預收'!$1:$1048576,6,0),0)</f>
        <v>0</v>
      </c>
      <c r="G25" s="157">
        <f t="shared" si="1"/>
        <v>0</v>
      </c>
      <c r="H25" s="158">
        <f>IFERROR(VLOOKUP($A25,'A0 BS 1240在建'!$1:$1048576,13,0),0)</f>
        <v>0</v>
      </c>
      <c r="I25" s="158">
        <f>IFERROR(VLOOKUP($A25,'B0 2264預收'!$1:$1048576,13,0),0)</f>
        <v>0</v>
      </c>
      <c r="J25" s="158">
        <f t="shared" si="2"/>
        <v>0</v>
      </c>
      <c r="K25" s="158">
        <f>IFERROR(VLOOKUP($A25,'B0 2264預收'!$1:$1048576,14,0),0)</f>
        <v>0</v>
      </c>
      <c r="L25" s="158">
        <f t="shared" si="3"/>
        <v>0</v>
      </c>
      <c r="M25" s="157">
        <f>H25+IFERROR(VLOOKUP($A25,'A0 BS 1240在建'!$1:$1048576,17,0),0)</f>
        <v>0</v>
      </c>
      <c r="N25" s="157">
        <f>I25+IFERROR(VLOOKUP($A25,'B0 2264預收'!$1:$1048576,17,0),0)</f>
        <v>0</v>
      </c>
      <c r="O25" s="157">
        <f t="shared" si="4"/>
        <v>0</v>
      </c>
      <c r="P25" s="157">
        <f>K25+IFERROR(+VLOOKUP($A25,'B0 2264預收'!$1:$1048576,18,0),0)</f>
        <v>0</v>
      </c>
      <c r="Q25" s="157">
        <f t="shared" si="5"/>
        <v>0</v>
      </c>
      <c r="R25" s="158">
        <f>M25+IFERROR(VLOOKUP($A25,'A0 BS 1240在建'!$1:$1048576,21,0),0)</f>
        <v>0</v>
      </c>
      <c r="S25" s="158">
        <f>+N25+IFERROR(VLOOKUP($A25,'B0 2264預收'!$1:$1048576,21,0),0)</f>
        <v>0</v>
      </c>
      <c r="T25" s="158">
        <f t="shared" si="6"/>
        <v>0</v>
      </c>
      <c r="U25" s="158">
        <f>+P25+IFERROR(+VLOOKUP($A25,'B0 2264預收'!$1:$1048576,22,0),0)</f>
        <v>0</v>
      </c>
      <c r="V25" s="158">
        <f t="shared" si="7"/>
        <v>0</v>
      </c>
      <c r="W25" s="157">
        <f>+R25+IFERROR(VLOOKUP($A25,'A0 BS 1240在建'!$1:$1048576,25,0),0)</f>
        <v>0</v>
      </c>
      <c r="X25" s="157">
        <f>+S25+IFERROR(VLOOKUP($A25,'B0 2264預收'!$1:$1048576,25,0),0)</f>
        <v>0</v>
      </c>
      <c r="Y25" s="157">
        <f t="shared" si="8"/>
        <v>0</v>
      </c>
      <c r="Z25" s="157">
        <f>+U25+IFERROR(+VLOOKUP($A25,'B0 2264預收'!$1:$1048576,26,0),0)</f>
        <v>0</v>
      </c>
      <c r="AA25" s="157">
        <f t="shared" si="9"/>
        <v>0</v>
      </c>
      <c r="AB25" s="158">
        <f>+W25+IFERROR(VLOOKUP($A25,'A0 BS 1240在建'!$1:$1048576,29,0),0)</f>
        <v>0</v>
      </c>
      <c r="AC25" s="158">
        <f>+X25+IFERROR(VLOOKUP($A25,'B0 2264預收'!$1:$1048576,29,0),0)</f>
        <v>0</v>
      </c>
      <c r="AD25" s="158">
        <f t="shared" si="10"/>
        <v>0</v>
      </c>
      <c r="AE25" s="158">
        <f>+Z25+IFERROR(+VLOOKUP($A25,'B0 2264預收'!$1:$1048576,30,0),0)</f>
        <v>0</v>
      </c>
      <c r="AF25" s="158">
        <f t="shared" si="11"/>
        <v>0</v>
      </c>
      <c r="AG25" s="157">
        <f>+AB25+IFERROR(VLOOKUP($A25,'A0 BS 1240在建'!$1:$1048576,33,0),0)</f>
        <v>0</v>
      </c>
      <c r="AH25" s="157">
        <f>+AC25+IFERROR(VLOOKUP($A25,'B0 2264預收'!$1:$1048576,33,0),0)</f>
        <v>0</v>
      </c>
      <c r="AI25" s="157">
        <f t="shared" si="12"/>
        <v>0</v>
      </c>
      <c r="AJ25" s="157">
        <f>+AE25+IFERROR(+VLOOKUP($A25,'B0 2264預收'!$1:$1048576,34,0),0)</f>
        <v>0</v>
      </c>
      <c r="AK25" s="157">
        <f t="shared" si="13"/>
        <v>0</v>
      </c>
      <c r="AL25" s="158">
        <f>+AG25+IFERROR(VLOOKUP($A25,'A0 BS 1240在建'!$1:$1048576,37,0),0)</f>
        <v>0</v>
      </c>
      <c r="AM25" s="158">
        <f>+AH25+IFERROR(VLOOKUP($A25,'B0 2264預收'!$1:$1048576,37,0),0)</f>
        <v>0</v>
      </c>
      <c r="AN25" s="158">
        <f t="shared" si="14"/>
        <v>0</v>
      </c>
      <c r="AO25" s="158">
        <f>+AJ25+IFERROR(+VLOOKUP($A25,'B0 2264預收'!$1:$1048576,38,0),0)</f>
        <v>0</v>
      </c>
      <c r="AP25" s="158">
        <f t="shared" si="15"/>
        <v>0</v>
      </c>
      <c r="AQ25" s="157">
        <f>+AL25+IFERROR(VLOOKUP($A25,'A0 BS 1240在建'!$1:$1048576,41,0),0)</f>
        <v>0</v>
      </c>
      <c r="AR25" s="157">
        <f>+AM25+IFERROR(VLOOKUP($A25,'B0 2264預收'!$1:$1048576,41,0),0)</f>
        <v>0</v>
      </c>
      <c r="AS25" s="157">
        <f t="shared" si="16"/>
        <v>0</v>
      </c>
      <c r="AT25" s="157">
        <f>+AO25+IFERROR(+VLOOKUP($A25,'B0 2264預收'!$1:$1048576,42,0),0)</f>
        <v>0</v>
      </c>
      <c r="AU25" s="157">
        <f t="shared" si="17"/>
        <v>0</v>
      </c>
      <c r="AV25" s="158">
        <f>+AQ25+IFERROR(VLOOKUP($A25,'A0 BS 1240在建'!$1:$1048576,45,0),0)</f>
        <v>0</v>
      </c>
      <c r="AW25" s="158">
        <f>+AR25+IFERROR(VLOOKUP($A25,'B0 2264預收'!$1:$1048576,45,0),0)</f>
        <v>0</v>
      </c>
      <c r="AX25" s="158">
        <f t="shared" si="18"/>
        <v>0</v>
      </c>
      <c r="AY25" s="158">
        <f>+AT25+IFERROR(+VLOOKUP($A25,'B0 2264預收'!$1:$1048576,46,0),0)</f>
        <v>0</v>
      </c>
      <c r="AZ25" s="158">
        <f t="shared" si="19"/>
        <v>0</v>
      </c>
      <c r="BA25" s="157">
        <f>+AV25+IFERROR(VLOOKUP($A25,'A0 BS 1240在建'!$1:$1048576,49,0),0)</f>
        <v>0</v>
      </c>
      <c r="BB25" s="157">
        <f>+AW25+IFERROR(VLOOKUP($A25,'B0 2264預收'!$1:$1048576,49,0),0)</f>
        <v>0</v>
      </c>
      <c r="BC25" s="157">
        <f t="shared" si="20"/>
        <v>0</v>
      </c>
      <c r="BD25" s="157">
        <f>+AY25+IFERROR(+VLOOKUP($A25,'B0 2264預收'!$1:$1048576,50,0),0)</f>
        <v>0</v>
      </c>
      <c r="BE25" s="157">
        <f t="shared" si="21"/>
        <v>0</v>
      </c>
      <c r="BF25" s="158">
        <f>+BA25+IFERROR(VLOOKUP($A25,'A0 BS 1240在建'!$1:$1048576,53,0),0)</f>
        <v>0</v>
      </c>
      <c r="BG25" s="158">
        <f>+BB25+IFERROR(VLOOKUP($A25,'B0 2264預收'!$1:$1048576,53,0),0)</f>
        <v>0</v>
      </c>
      <c r="BH25" s="158">
        <f t="shared" si="22"/>
        <v>0</v>
      </c>
      <c r="BI25" s="158">
        <f>+BD25+IFERROR(+VLOOKUP($A25,'B0 2264預收'!$1:$1048576,54,0),0)</f>
        <v>0</v>
      </c>
      <c r="BJ25" s="158">
        <f t="shared" si="23"/>
        <v>0</v>
      </c>
      <c r="BK25" s="157">
        <f>+BF25+IFERROR(VLOOKUP($A25,'A0 BS 1240在建'!$1:$1048576,57,0),0)</f>
        <v>0</v>
      </c>
      <c r="BL25" s="157">
        <f>+BG25+IFERROR(VLOOKUP($A25,'B0 2264預收'!$1:$1048576,57,0),0)</f>
        <v>0</v>
      </c>
      <c r="BM25" s="157">
        <f t="shared" si="24"/>
        <v>0</v>
      </c>
      <c r="BN25" s="157">
        <f>+BI25+IFERROR(+VLOOKUP($A25,'B0 2264預收'!$1:$1048576,58,0),0)</f>
        <v>0</v>
      </c>
      <c r="BO25" s="157">
        <f t="shared" si="25"/>
        <v>0</v>
      </c>
      <c r="BP25" s="158">
        <f>+BK25+IFERROR(VLOOKUP($A25,'A0 BS 1240在建'!$1:$1048576,61,0),0)</f>
        <v>0</v>
      </c>
      <c r="BQ25" s="158">
        <f>+BL25+IFERROR(VLOOKUP($A25,'B0 2264預收'!$1:$1048576,61,0),0)</f>
        <v>0</v>
      </c>
      <c r="BR25" s="159">
        <f t="shared" si="26"/>
        <v>0</v>
      </c>
      <c r="BS25" s="158">
        <f>+BN25+IFERROR(+VLOOKUP($A25,'B0 2264預收'!$1:$1048576,62,0),0)</f>
        <v>0</v>
      </c>
      <c r="BT25" s="158">
        <f t="shared" si="27"/>
        <v>0</v>
      </c>
      <c r="BU25" s="157">
        <f>+IFERROR(VLOOKUP($A25,'A0 BS 1240在建'!$1:$1048576,77,0),0)</f>
        <v>0</v>
      </c>
      <c r="BV25" s="157">
        <f>+IFERROR(VLOOKUP($A25,'B0 2264預收'!$1:$1048576,77,0),0)</f>
        <v>0</v>
      </c>
      <c r="BW25" s="157">
        <f t="shared" si="28"/>
        <v>0</v>
      </c>
      <c r="BX25" s="157">
        <f>+IFERROR(+VLOOKUP($A25,'B0 2264預收'!$1:$1048576,78,0),0)</f>
        <v>0</v>
      </c>
      <c r="BY25" s="157">
        <f t="shared" si="29"/>
        <v>0</v>
      </c>
      <c r="BZ25" s="158">
        <f>IFERROR(+VLOOKUP($A25,'A0 BS 1240在建'!$1:$1048576,85,0),0)</f>
        <v>0</v>
      </c>
      <c r="CA25" s="158">
        <f>IFERROR(+VLOOKUP($A25,'B0 2264預收'!$1:$1048576,85,0),0)</f>
        <v>0</v>
      </c>
      <c r="CB25" s="158">
        <f t="shared" si="30"/>
        <v>0</v>
      </c>
      <c r="CC25" s="158">
        <f>+IFERROR(+VLOOKUP($A25,'B0 2264預收'!$1:$1048576,86,0),0)</f>
        <v>0</v>
      </c>
      <c r="CD25" s="158">
        <f t="shared" si="31"/>
        <v>0</v>
      </c>
      <c r="CE25" s="157">
        <f>+IFERROR(VLOOKUP($A25,'A0 BS 1240在建'!$1:$1048576,93,0),0)</f>
        <v>0</v>
      </c>
      <c r="CF25" s="157">
        <f>+IFERROR(VLOOKUP($A25,'B0 2264預收'!$1:$1048576,93,0),0)</f>
        <v>0</v>
      </c>
      <c r="CG25" s="157">
        <f t="shared" si="32"/>
        <v>0</v>
      </c>
      <c r="CH25" s="157">
        <f>+IFERROR(+VLOOKUP($A25,'B0 2264預收'!$1:$1048576,94,0),0)</f>
        <v>0</v>
      </c>
      <c r="CI25" s="157">
        <f t="shared" si="33"/>
        <v>0</v>
      </c>
      <c r="CJ25" s="158">
        <f>IFERROR(+VLOOKUP($A25,'A0 BS 1240在建'!$1:$1048576,101,0),0)</f>
        <v>0</v>
      </c>
      <c r="CK25" s="158">
        <f>IFERROR(+VLOOKUP($A25,'B0 2264預收'!$1:$1048576,101,0),0)</f>
        <v>0</v>
      </c>
      <c r="CL25" s="158">
        <f t="shared" si="34"/>
        <v>0</v>
      </c>
      <c r="CM25" s="158">
        <f>+IFERROR(+VLOOKUP($A25,'B0 2264預收'!$1:$1048576,102,0),0)</f>
        <v>0</v>
      </c>
      <c r="CN25" s="158">
        <f t="shared" si="35"/>
        <v>0</v>
      </c>
      <c r="CP25" s="98">
        <f t="shared" si="48"/>
        <v>0</v>
      </c>
      <c r="CU25" s="98">
        <f t="shared" si="49"/>
        <v>0</v>
      </c>
      <c r="CY25" s="162" t="str">
        <f t="shared" si="38"/>
        <v/>
      </c>
      <c r="CZ25" s="98" t="str">
        <f t="shared" si="39"/>
        <v xml:space="preserve"> </v>
      </c>
      <c r="DA25" s="98" t="str">
        <f t="shared" si="40"/>
        <v xml:space="preserve"> </v>
      </c>
      <c r="DB25" s="98" t="str">
        <f t="shared" si="41"/>
        <v xml:space="preserve"> </v>
      </c>
      <c r="DC25" s="163">
        <f t="shared" si="42"/>
        <v>0</v>
      </c>
      <c r="DD25" s="162" t="str">
        <f t="shared" si="44"/>
        <v/>
      </c>
      <c r="DE25" s="98" t="str">
        <f t="shared" si="45"/>
        <v xml:space="preserve"> </v>
      </c>
      <c r="DF25" s="98" t="str">
        <f t="shared" si="46"/>
        <v xml:space="preserve"> </v>
      </c>
      <c r="DG25" s="98" t="str">
        <f t="shared" si="47"/>
        <v xml:space="preserve"> </v>
      </c>
      <c r="DH25" s="163">
        <f t="shared" si="43"/>
        <v>0</v>
      </c>
    </row>
    <row r="26" spans="1:112">
      <c r="A26" s="155" t="s">
        <v>349</v>
      </c>
      <c r="B26" s="169" t="s">
        <v>350</v>
      </c>
      <c r="C26" s="157">
        <f>IFERROR(VLOOKUP($A26,'A0 BS 1240在建'!$1:$1048576,5,0),0)</f>
        <v>0</v>
      </c>
      <c r="D26" s="157">
        <f>IFERROR(VLOOKUP($A26,'B0 2264預收'!$1:$1048576,5,0),0)</f>
        <v>0</v>
      </c>
      <c r="E26" s="157">
        <f t="shared" si="0"/>
        <v>0</v>
      </c>
      <c r="F26" s="157">
        <f>IFERROR(VLOOKUP($A26,'B0 2264預收'!$1:$1048576,6,0),0)</f>
        <v>0</v>
      </c>
      <c r="G26" s="157">
        <f t="shared" si="1"/>
        <v>0</v>
      </c>
      <c r="H26" s="158">
        <f>IFERROR(VLOOKUP($A26,'A0 BS 1240在建'!$1:$1048576,13,0),0)</f>
        <v>0</v>
      </c>
      <c r="I26" s="158">
        <f>IFERROR(VLOOKUP($A26,'B0 2264預收'!$1:$1048576,13,0),0)</f>
        <v>0</v>
      </c>
      <c r="J26" s="158">
        <f t="shared" si="2"/>
        <v>0</v>
      </c>
      <c r="K26" s="158">
        <f>IFERROR(VLOOKUP($A26,'B0 2264預收'!$1:$1048576,14,0),0)</f>
        <v>0</v>
      </c>
      <c r="L26" s="158">
        <f t="shared" si="3"/>
        <v>0</v>
      </c>
      <c r="M26" s="157">
        <f>H26+IFERROR(VLOOKUP($A26,'A0 BS 1240在建'!$1:$1048576,17,0),0)</f>
        <v>0</v>
      </c>
      <c r="N26" s="157">
        <f>I26+IFERROR(VLOOKUP($A26,'B0 2264預收'!$1:$1048576,17,0),0)</f>
        <v>0</v>
      </c>
      <c r="O26" s="157">
        <f t="shared" si="4"/>
        <v>0</v>
      </c>
      <c r="P26" s="157">
        <f>K26+IFERROR(+VLOOKUP($A26,'B0 2264預收'!$1:$1048576,18,0),0)</f>
        <v>0</v>
      </c>
      <c r="Q26" s="157">
        <f t="shared" si="5"/>
        <v>0</v>
      </c>
      <c r="R26" s="158">
        <f>M26+IFERROR(VLOOKUP($A26,'A0 BS 1240在建'!$1:$1048576,21,0),0)</f>
        <v>0</v>
      </c>
      <c r="S26" s="158">
        <f>+N26+IFERROR(VLOOKUP($A26,'B0 2264預收'!$1:$1048576,21,0),0)</f>
        <v>0</v>
      </c>
      <c r="T26" s="158">
        <f t="shared" si="6"/>
        <v>0</v>
      </c>
      <c r="U26" s="158">
        <f>+P26+IFERROR(+VLOOKUP($A26,'B0 2264預收'!$1:$1048576,22,0),0)</f>
        <v>0</v>
      </c>
      <c r="V26" s="158">
        <f t="shared" si="7"/>
        <v>0</v>
      </c>
      <c r="W26" s="157">
        <f>+R26+IFERROR(VLOOKUP($A26,'A0 BS 1240在建'!$1:$1048576,25,0),0)</f>
        <v>0</v>
      </c>
      <c r="X26" s="157">
        <f>+S26+IFERROR(VLOOKUP($A26,'B0 2264預收'!$1:$1048576,25,0),0)</f>
        <v>0</v>
      </c>
      <c r="Y26" s="157">
        <f t="shared" si="8"/>
        <v>0</v>
      </c>
      <c r="Z26" s="157">
        <f>+U26+IFERROR(+VLOOKUP($A26,'B0 2264預收'!$1:$1048576,26,0),0)</f>
        <v>0</v>
      </c>
      <c r="AA26" s="157">
        <f t="shared" si="9"/>
        <v>0</v>
      </c>
      <c r="AB26" s="158">
        <f>+W26+IFERROR(VLOOKUP($A26,'A0 BS 1240在建'!$1:$1048576,29,0),0)</f>
        <v>0</v>
      </c>
      <c r="AC26" s="158">
        <f>+X26+IFERROR(VLOOKUP($A26,'B0 2264預收'!$1:$1048576,29,0),0)</f>
        <v>0</v>
      </c>
      <c r="AD26" s="158">
        <f t="shared" si="10"/>
        <v>0</v>
      </c>
      <c r="AE26" s="158">
        <f>+Z26+IFERROR(+VLOOKUP($A26,'B0 2264預收'!$1:$1048576,30,0),0)</f>
        <v>0</v>
      </c>
      <c r="AF26" s="158">
        <f t="shared" si="11"/>
        <v>0</v>
      </c>
      <c r="AG26" s="157">
        <f>+AB26+IFERROR(VLOOKUP($A26,'A0 BS 1240在建'!$1:$1048576,33,0),0)</f>
        <v>0</v>
      </c>
      <c r="AH26" s="157">
        <f>+AC26+IFERROR(VLOOKUP($A26,'B0 2264預收'!$1:$1048576,33,0),0)</f>
        <v>0</v>
      </c>
      <c r="AI26" s="157">
        <f t="shared" si="12"/>
        <v>0</v>
      </c>
      <c r="AJ26" s="157">
        <f>+AE26+IFERROR(+VLOOKUP($A26,'B0 2264預收'!$1:$1048576,34,0),0)</f>
        <v>0</v>
      </c>
      <c r="AK26" s="157">
        <f t="shared" si="13"/>
        <v>0</v>
      </c>
      <c r="AL26" s="158">
        <f>+AG26+IFERROR(VLOOKUP($A26,'A0 BS 1240在建'!$1:$1048576,37,0),0)</f>
        <v>0</v>
      </c>
      <c r="AM26" s="158">
        <f>+AH26+IFERROR(VLOOKUP($A26,'B0 2264預收'!$1:$1048576,37,0),0)</f>
        <v>0</v>
      </c>
      <c r="AN26" s="158">
        <f t="shared" si="14"/>
        <v>0</v>
      </c>
      <c r="AO26" s="158">
        <f>+AJ26+IFERROR(+VLOOKUP($A26,'B0 2264預收'!$1:$1048576,38,0),0)</f>
        <v>0</v>
      </c>
      <c r="AP26" s="158">
        <f t="shared" si="15"/>
        <v>0</v>
      </c>
      <c r="AQ26" s="157">
        <f>+AL26+IFERROR(VLOOKUP($A26,'A0 BS 1240在建'!$1:$1048576,41,0),0)</f>
        <v>0</v>
      </c>
      <c r="AR26" s="157">
        <f>+AM26+IFERROR(VLOOKUP($A26,'B0 2264預收'!$1:$1048576,41,0),0)</f>
        <v>0</v>
      </c>
      <c r="AS26" s="157">
        <f t="shared" si="16"/>
        <v>0</v>
      </c>
      <c r="AT26" s="157">
        <f>+AO26+IFERROR(+VLOOKUP($A26,'B0 2264預收'!$1:$1048576,42,0),0)</f>
        <v>0</v>
      </c>
      <c r="AU26" s="157">
        <f t="shared" si="17"/>
        <v>0</v>
      </c>
      <c r="AV26" s="158">
        <f>+AQ26+IFERROR(VLOOKUP($A26,'A0 BS 1240在建'!$1:$1048576,45,0),0)</f>
        <v>0</v>
      </c>
      <c r="AW26" s="158">
        <f>+AR26+IFERROR(VLOOKUP($A26,'B0 2264預收'!$1:$1048576,45,0),0)</f>
        <v>0</v>
      </c>
      <c r="AX26" s="158">
        <f t="shared" si="18"/>
        <v>0</v>
      </c>
      <c r="AY26" s="158">
        <f>+AT26+IFERROR(+VLOOKUP($A26,'B0 2264預收'!$1:$1048576,46,0),0)</f>
        <v>0</v>
      </c>
      <c r="AZ26" s="158">
        <f t="shared" si="19"/>
        <v>0</v>
      </c>
      <c r="BA26" s="157">
        <f>+AV26+IFERROR(VLOOKUP($A26,'A0 BS 1240在建'!$1:$1048576,49,0),0)</f>
        <v>0</v>
      </c>
      <c r="BB26" s="157">
        <f>+AW26+IFERROR(VLOOKUP($A26,'B0 2264預收'!$1:$1048576,49,0),0)</f>
        <v>0</v>
      </c>
      <c r="BC26" s="157">
        <f t="shared" si="20"/>
        <v>0</v>
      </c>
      <c r="BD26" s="157">
        <f>+AY26+IFERROR(+VLOOKUP($A26,'B0 2264預收'!$1:$1048576,50,0),0)</f>
        <v>0</v>
      </c>
      <c r="BE26" s="157">
        <f t="shared" si="21"/>
        <v>0</v>
      </c>
      <c r="BF26" s="158">
        <f>+BA26+IFERROR(VLOOKUP($A26,'A0 BS 1240在建'!$1:$1048576,53,0),0)</f>
        <v>0</v>
      </c>
      <c r="BG26" s="158">
        <f>+BB26+IFERROR(VLOOKUP($A26,'B0 2264預收'!$1:$1048576,53,0),0)</f>
        <v>0</v>
      </c>
      <c r="BH26" s="158">
        <f t="shared" si="22"/>
        <v>0</v>
      </c>
      <c r="BI26" s="158">
        <f>+BD26+IFERROR(+VLOOKUP($A26,'B0 2264預收'!$1:$1048576,54,0),0)</f>
        <v>0</v>
      </c>
      <c r="BJ26" s="158">
        <f t="shared" si="23"/>
        <v>0</v>
      </c>
      <c r="BK26" s="157">
        <f>+BF26+IFERROR(VLOOKUP($A26,'A0 BS 1240在建'!$1:$1048576,57,0),0)</f>
        <v>0</v>
      </c>
      <c r="BL26" s="157">
        <f>+BG26+IFERROR(VLOOKUP($A26,'B0 2264預收'!$1:$1048576,57,0),0)</f>
        <v>0</v>
      </c>
      <c r="BM26" s="157">
        <f t="shared" si="24"/>
        <v>0</v>
      </c>
      <c r="BN26" s="157">
        <f>+BI26+IFERROR(+VLOOKUP($A26,'B0 2264預收'!$1:$1048576,58,0),0)</f>
        <v>0</v>
      </c>
      <c r="BO26" s="157">
        <f t="shared" si="25"/>
        <v>0</v>
      </c>
      <c r="BP26" s="158">
        <f>+BK26+IFERROR(VLOOKUP($A26,'A0 BS 1240在建'!$1:$1048576,61,0),0)</f>
        <v>0</v>
      </c>
      <c r="BQ26" s="158">
        <f>+BL26+IFERROR(VLOOKUP($A26,'B0 2264預收'!$1:$1048576,61,0),0)</f>
        <v>0</v>
      </c>
      <c r="BR26" s="159">
        <f t="shared" si="26"/>
        <v>0</v>
      </c>
      <c r="BS26" s="158">
        <f>+BN26+IFERROR(+VLOOKUP($A26,'B0 2264預收'!$1:$1048576,62,0),0)</f>
        <v>0</v>
      </c>
      <c r="BT26" s="158">
        <f t="shared" si="27"/>
        <v>0</v>
      </c>
      <c r="BU26" s="157">
        <f>+IFERROR(VLOOKUP($A26,'A0 BS 1240在建'!$1:$1048576,77,0),0)</f>
        <v>0</v>
      </c>
      <c r="BV26" s="157">
        <f>+IFERROR(VLOOKUP($A26,'B0 2264預收'!$1:$1048576,77,0),0)</f>
        <v>0</v>
      </c>
      <c r="BW26" s="157">
        <f t="shared" si="28"/>
        <v>0</v>
      </c>
      <c r="BX26" s="157">
        <f>+IFERROR(+VLOOKUP($A26,'B0 2264預收'!$1:$1048576,78,0),0)</f>
        <v>0</v>
      </c>
      <c r="BY26" s="157">
        <f t="shared" si="29"/>
        <v>0</v>
      </c>
      <c r="BZ26" s="158">
        <f>IFERROR(+VLOOKUP($A26,'A0 BS 1240在建'!$1:$1048576,85,0),0)</f>
        <v>0</v>
      </c>
      <c r="CA26" s="158">
        <f>IFERROR(+VLOOKUP($A26,'B0 2264預收'!$1:$1048576,85,0),0)</f>
        <v>0</v>
      </c>
      <c r="CB26" s="158">
        <f t="shared" si="30"/>
        <v>0</v>
      </c>
      <c r="CC26" s="158">
        <f>+IFERROR(+VLOOKUP($A26,'B0 2264預收'!$1:$1048576,86,0),0)</f>
        <v>0</v>
      </c>
      <c r="CD26" s="158">
        <f t="shared" si="31"/>
        <v>0</v>
      </c>
      <c r="CE26" s="157">
        <f>+IFERROR(VLOOKUP($A26,'A0 BS 1240在建'!$1:$1048576,93,0),0)</f>
        <v>0</v>
      </c>
      <c r="CF26" s="157">
        <f>+IFERROR(VLOOKUP($A26,'B0 2264預收'!$1:$1048576,93,0),0)</f>
        <v>0</v>
      </c>
      <c r="CG26" s="157">
        <f t="shared" si="32"/>
        <v>0</v>
      </c>
      <c r="CH26" s="157">
        <f>+IFERROR(+VLOOKUP($A26,'B0 2264預收'!$1:$1048576,94,0),0)</f>
        <v>0</v>
      </c>
      <c r="CI26" s="157">
        <f t="shared" si="33"/>
        <v>0</v>
      </c>
      <c r="CJ26" s="158">
        <f>IFERROR(+VLOOKUP($A26,'A0 BS 1240在建'!$1:$1048576,101,0),0)</f>
        <v>0</v>
      </c>
      <c r="CK26" s="158">
        <f>IFERROR(+VLOOKUP($A26,'B0 2264預收'!$1:$1048576,101,0),0)</f>
        <v>0</v>
      </c>
      <c r="CL26" s="158">
        <f t="shared" si="34"/>
        <v>0</v>
      </c>
      <c r="CM26" s="158">
        <f>+IFERROR(+VLOOKUP($A26,'B0 2264預收'!$1:$1048576,102,0),0)</f>
        <v>0</v>
      </c>
      <c r="CN26" s="158">
        <f t="shared" si="35"/>
        <v>0</v>
      </c>
      <c r="CP26" s="98">
        <f t="shared" si="48"/>
        <v>0</v>
      </c>
      <c r="CU26" s="98">
        <f t="shared" si="49"/>
        <v>0</v>
      </c>
      <c r="CY26" s="162" t="str">
        <f t="shared" si="38"/>
        <v/>
      </c>
      <c r="CZ26" s="98" t="str">
        <f t="shared" si="39"/>
        <v xml:space="preserve"> </v>
      </c>
      <c r="DA26" s="98" t="str">
        <f t="shared" si="40"/>
        <v xml:space="preserve"> </v>
      </c>
      <c r="DB26" s="98" t="str">
        <f t="shared" si="41"/>
        <v xml:space="preserve"> </v>
      </c>
      <c r="DC26" s="163">
        <f t="shared" si="42"/>
        <v>0</v>
      </c>
      <c r="DD26" s="162" t="str">
        <f t="shared" si="44"/>
        <v/>
      </c>
      <c r="DE26" s="98" t="str">
        <f t="shared" si="45"/>
        <v xml:space="preserve"> </v>
      </c>
      <c r="DF26" s="98" t="str">
        <f t="shared" si="46"/>
        <v xml:space="preserve"> </v>
      </c>
      <c r="DG26" s="98" t="str">
        <f t="shared" si="47"/>
        <v xml:space="preserve"> </v>
      </c>
      <c r="DH26" s="163">
        <f t="shared" si="43"/>
        <v>0</v>
      </c>
    </row>
    <row r="27" spans="1:112">
      <c r="A27" s="155" t="s">
        <v>351</v>
      </c>
      <c r="B27" s="169" t="s">
        <v>352</v>
      </c>
      <c r="C27" s="157">
        <f>IFERROR(VLOOKUP($A27,'A0 BS 1240在建'!$1:$1048576,5,0),0)</f>
        <v>0</v>
      </c>
      <c r="D27" s="157">
        <f>IFERROR(VLOOKUP($A27,'B0 2264預收'!$1:$1048576,5,0),0)</f>
        <v>0</v>
      </c>
      <c r="E27" s="157">
        <f t="shared" si="0"/>
        <v>0</v>
      </c>
      <c r="F27" s="157">
        <f>IFERROR(VLOOKUP($A27,'B0 2264預收'!$1:$1048576,6,0),0)</f>
        <v>0</v>
      </c>
      <c r="G27" s="157">
        <f t="shared" si="1"/>
        <v>0</v>
      </c>
      <c r="H27" s="158">
        <f>IFERROR(VLOOKUP($A27,'A0 BS 1240在建'!$1:$1048576,13,0),0)</f>
        <v>0</v>
      </c>
      <c r="I27" s="158">
        <f>IFERROR(VLOOKUP($A27,'B0 2264預收'!$1:$1048576,13,0),0)</f>
        <v>0</v>
      </c>
      <c r="J27" s="158">
        <f t="shared" si="2"/>
        <v>0</v>
      </c>
      <c r="K27" s="158">
        <f>IFERROR(VLOOKUP($A27,'B0 2264預收'!$1:$1048576,14,0),0)</f>
        <v>0</v>
      </c>
      <c r="L27" s="158">
        <f t="shared" si="3"/>
        <v>0</v>
      </c>
      <c r="M27" s="157">
        <f>H27+IFERROR(VLOOKUP($A27,'A0 BS 1240在建'!$1:$1048576,17,0),0)</f>
        <v>0</v>
      </c>
      <c r="N27" s="157">
        <f>I27+IFERROR(VLOOKUP($A27,'B0 2264預收'!$1:$1048576,17,0),0)</f>
        <v>0</v>
      </c>
      <c r="O27" s="157">
        <f t="shared" si="4"/>
        <v>0</v>
      </c>
      <c r="P27" s="157">
        <f>K27+IFERROR(+VLOOKUP($A27,'B0 2264預收'!$1:$1048576,18,0),0)</f>
        <v>0</v>
      </c>
      <c r="Q27" s="157">
        <f t="shared" si="5"/>
        <v>0</v>
      </c>
      <c r="R27" s="158">
        <f>M27+IFERROR(VLOOKUP($A27,'A0 BS 1240在建'!$1:$1048576,21,0),0)</f>
        <v>0</v>
      </c>
      <c r="S27" s="158">
        <f>+N27+IFERROR(VLOOKUP($A27,'B0 2264預收'!$1:$1048576,21,0),0)</f>
        <v>0</v>
      </c>
      <c r="T27" s="158">
        <f t="shared" si="6"/>
        <v>0</v>
      </c>
      <c r="U27" s="158">
        <f>+P27+IFERROR(+VLOOKUP($A27,'B0 2264預收'!$1:$1048576,22,0),0)</f>
        <v>0</v>
      </c>
      <c r="V27" s="158">
        <f t="shared" si="7"/>
        <v>0</v>
      </c>
      <c r="W27" s="157">
        <f>+R27+IFERROR(VLOOKUP($A27,'A0 BS 1240在建'!$1:$1048576,25,0),0)</f>
        <v>0</v>
      </c>
      <c r="X27" s="157">
        <f>+S27+IFERROR(VLOOKUP($A27,'B0 2264預收'!$1:$1048576,25,0),0)</f>
        <v>0</v>
      </c>
      <c r="Y27" s="157">
        <f t="shared" si="8"/>
        <v>0</v>
      </c>
      <c r="Z27" s="157">
        <f>+U27+IFERROR(+VLOOKUP($A27,'B0 2264預收'!$1:$1048576,26,0),0)</f>
        <v>0</v>
      </c>
      <c r="AA27" s="157">
        <f t="shared" si="9"/>
        <v>0</v>
      </c>
      <c r="AB27" s="158">
        <f>+W27+IFERROR(VLOOKUP($A27,'A0 BS 1240在建'!$1:$1048576,29,0),0)</f>
        <v>0</v>
      </c>
      <c r="AC27" s="158">
        <f>+X27+IFERROR(VLOOKUP($A27,'B0 2264預收'!$1:$1048576,29,0),0)</f>
        <v>0</v>
      </c>
      <c r="AD27" s="158">
        <f t="shared" si="10"/>
        <v>0</v>
      </c>
      <c r="AE27" s="158">
        <f>+Z27+IFERROR(+VLOOKUP($A27,'B0 2264預收'!$1:$1048576,30,0),0)</f>
        <v>0</v>
      </c>
      <c r="AF27" s="158">
        <f t="shared" si="11"/>
        <v>0</v>
      </c>
      <c r="AG27" s="157">
        <f>+AB27+IFERROR(VLOOKUP($A27,'A0 BS 1240在建'!$1:$1048576,33,0),0)</f>
        <v>0</v>
      </c>
      <c r="AH27" s="157">
        <f>+AC27+IFERROR(VLOOKUP($A27,'B0 2264預收'!$1:$1048576,33,0),0)</f>
        <v>0</v>
      </c>
      <c r="AI27" s="157">
        <f t="shared" si="12"/>
        <v>0</v>
      </c>
      <c r="AJ27" s="157">
        <f>+AE27+IFERROR(+VLOOKUP($A27,'B0 2264預收'!$1:$1048576,34,0),0)</f>
        <v>0</v>
      </c>
      <c r="AK27" s="157">
        <f t="shared" si="13"/>
        <v>0</v>
      </c>
      <c r="AL27" s="158">
        <f>+AG27+IFERROR(VLOOKUP($A27,'A0 BS 1240在建'!$1:$1048576,37,0),0)</f>
        <v>0</v>
      </c>
      <c r="AM27" s="158">
        <f>+AH27+IFERROR(VLOOKUP($A27,'B0 2264預收'!$1:$1048576,37,0),0)</f>
        <v>0</v>
      </c>
      <c r="AN27" s="158">
        <f t="shared" si="14"/>
        <v>0</v>
      </c>
      <c r="AO27" s="158">
        <f>+AJ27+IFERROR(+VLOOKUP($A27,'B0 2264預收'!$1:$1048576,38,0),0)</f>
        <v>0</v>
      </c>
      <c r="AP27" s="158">
        <f t="shared" si="15"/>
        <v>0</v>
      </c>
      <c r="AQ27" s="157">
        <f>+AL27+IFERROR(VLOOKUP($A27,'A0 BS 1240在建'!$1:$1048576,41,0),0)</f>
        <v>0</v>
      </c>
      <c r="AR27" s="157">
        <f>+AM27+IFERROR(VLOOKUP($A27,'B0 2264預收'!$1:$1048576,41,0),0)</f>
        <v>0</v>
      </c>
      <c r="AS27" s="157">
        <f t="shared" si="16"/>
        <v>0</v>
      </c>
      <c r="AT27" s="157">
        <f>+AO27+IFERROR(+VLOOKUP($A27,'B0 2264預收'!$1:$1048576,42,0),0)</f>
        <v>0</v>
      </c>
      <c r="AU27" s="157">
        <f t="shared" si="17"/>
        <v>0</v>
      </c>
      <c r="AV27" s="158">
        <f>+AQ27+IFERROR(VLOOKUP($A27,'A0 BS 1240在建'!$1:$1048576,45,0),0)</f>
        <v>0</v>
      </c>
      <c r="AW27" s="158">
        <f>+AR27+IFERROR(VLOOKUP($A27,'B0 2264預收'!$1:$1048576,45,0),0)</f>
        <v>0</v>
      </c>
      <c r="AX27" s="158">
        <f t="shared" si="18"/>
        <v>0</v>
      </c>
      <c r="AY27" s="158">
        <f>+AT27+IFERROR(+VLOOKUP($A27,'B0 2264預收'!$1:$1048576,46,0),0)</f>
        <v>0</v>
      </c>
      <c r="AZ27" s="158">
        <f t="shared" si="19"/>
        <v>0</v>
      </c>
      <c r="BA27" s="157">
        <f>+AV27+IFERROR(VLOOKUP($A27,'A0 BS 1240在建'!$1:$1048576,49,0),0)</f>
        <v>0</v>
      </c>
      <c r="BB27" s="157">
        <f>+AW27+IFERROR(VLOOKUP($A27,'B0 2264預收'!$1:$1048576,49,0),0)</f>
        <v>0</v>
      </c>
      <c r="BC27" s="157">
        <f t="shared" si="20"/>
        <v>0</v>
      </c>
      <c r="BD27" s="157">
        <f>+AY27+IFERROR(+VLOOKUP($A27,'B0 2264預收'!$1:$1048576,50,0),0)</f>
        <v>0</v>
      </c>
      <c r="BE27" s="157">
        <f t="shared" si="21"/>
        <v>0</v>
      </c>
      <c r="BF27" s="158">
        <f>+BA27+IFERROR(VLOOKUP($A27,'A0 BS 1240在建'!$1:$1048576,53,0),0)</f>
        <v>0</v>
      </c>
      <c r="BG27" s="158">
        <f>+BB27+IFERROR(VLOOKUP($A27,'B0 2264預收'!$1:$1048576,53,0),0)</f>
        <v>0</v>
      </c>
      <c r="BH27" s="158">
        <f t="shared" si="22"/>
        <v>0</v>
      </c>
      <c r="BI27" s="158">
        <f>+BD27+IFERROR(+VLOOKUP($A27,'B0 2264預收'!$1:$1048576,54,0),0)</f>
        <v>0</v>
      </c>
      <c r="BJ27" s="158">
        <f t="shared" si="23"/>
        <v>0</v>
      </c>
      <c r="BK27" s="157">
        <f>+BF27+IFERROR(VLOOKUP($A27,'A0 BS 1240在建'!$1:$1048576,57,0),0)</f>
        <v>0</v>
      </c>
      <c r="BL27" s="157">
        <f>+BG27+IFERROR(VLOOKUP($A27,'B0 2264預收'!$1:$1048576,57,0),0)</f>
        <v>0</v>
      </c>
      <c r="BM27" s="157">
        <f t="shared" si="24"/>
        <v>0</v>
      </c>
      <c r="BN27" s="157">
        <f>+BI27+IFERROR(+VLOOKUP($A27,'B0 2264預收'!$1:$1048576,58,0),0)</f>
        <v>0</v>
      </c>
      <c r="BO27" s="157">
        <f t="shared" si="25"/>
        <v>0</v>
      </c>
      <c r="BP27" s="158">
        <f>+BK27+IFERROR(VLOOKUP($A27,'A0 BS 1240在建'!$1:$1048576,61,0),0)</f>
        <v>0</v>
      </c>
      <c r="BQ27" s="158">
        <f>+BL27+IFERROR(VLOOKUP($A27,'B0 2264預收'!$1:$1048576,61,0),0)</f>
        <v>0</v>
      </c>
      <c r="BR27" s="159">
        <f t="shared" si="26"/>
        <v>0</v>
      </c>
      <c r="BS27" s="158">
        <f>+BN27+IFERROR(+VLOOKUP($A27,'B0 2264預收'!$1:$1048576,62,0),0)</f>
        <v>0</v>
      </c>
      <c r="BT27" s="158">
        <f t="shared" si="27"/>
        <v>0</v>
      </c>
      <c r="BU27" s="157">
        <f>+IFERROR(VLOOKUP($A27,'A0 BS 1240在建'!$1:$1048576,77,0),0)</f>
        <v>0</v>
      </c>
      <c r="BV27" s="157">
        <f>+IFERROR(VLOOKUP($A27,'B0 2264預收'!$1:$1048576,77,0),0)</f>
        <v>0</v>
      </c>
      <c r="BW27" s="157">
        <f t="shared" si="28"/>
        <v>0</v>
      </c>
      <c r="BX27" s="157">
        <f>+IFERROR(+VLOOKUP($A27,'B0 2264預收'!$1:$1048576,78,0),0)</f>
        <v>0</v>
      </c>
      <c r="BY27" s="157">
        <f t="shared" si="29"/>
        <v>0</v>
      </c>
      <c r="BZ27" s="158">
        <f>IFERROR(+VLOOKUP($A27,'A0 BS 1240在建'!$1:$1048576,85,0),0)</f>
        <v>0</v>
      </c>
      <c r="CA27" s="158">
        <f>IFERROR(+VLOOKUP($A27,'B0 2264預收'!$1:$1048576,85,0),0)</f>
        <v>0</v>
      </c>
      <c r="CB27" s="158">
        <f t="shared" si="30"/>
        <v>0</v>
      </c>
      <c r="CC27" s="158">
        <f>+IFERROR(+VLOOKUP($A27,'B0 2264預收'!$1:$1048576,86,0),0)</f>
        <v>0</v>
      </c>
      <c r="CD27" s="158">
        <f t="shared" si="31"/>
        <v>0</v>
      </c>
      <c r="CE27" s="157">
        <f>+IFERROR(VLOOKUP($A27,'A0 BS 1240在建'!$1:$1048576,93,0),0)</f>
        <v>0</v>
      </c>
      <c r="CF27" s="157">
        <f>+IFERROR(VLOOKUP($A27,'B0 2264預收'!$1:$1048576,93,0),0)</f>
        <v>0</v>
      </c>
      <c r="CG27" s="157">
        <f t="shared" si="32"/>
        <v>0</v>
      </c>
      <c r="CH27" s="157">
        <f>+IFERROR(+VLOOKUP($A27,'B0 2264預收'!$1:$1048576,94,0),0)</f>
        <v>0</v>
      </c>
      <c r="CI27" s="157">
        <f t="shared" si="33"/>
        <v>0</v>
      </c>
      <c r="CJ27" s="158">
        <f>IFERROR(+VLOOKUP($A27,'A0 BS 1240在建'!$1:$1048576,101,0),0)</f>
        <v>0</v>
      </c>
      <c r="CK27" s="158">
        <f>IFERROR(+VLOOKUP($A27,'B0 2264預收'!$1:$1048576,101,0),0)</f>
        <v>0</v>
      </c>
      <c r="CL27" s="158">
        <f t="shared" si="34"/>
        <v>0</v>
      </c>
      <c r="CM27" s="158">
        <f>+IFERROR(+VLOOKUP($A27,'B0 2264預收'!$1:$1048576,102,0),0)</f>
        <v>0</v>
      </c>
      <c r="CN27" s="158">
        <f t="shared" si="35"/>
        <v>0</v>
      </c>
      <c r="CP27" s="98">
        <f t="shared" si="48"/>
        <v>0</v>
      </c>
      <c r="CU27" s="98">
        <f t="shared" si="49"/>
        <v>0</v>
      </c>
      <c r="CY27" s="162" t="str">
        <f t="shared" si="38"/>
        <v/>
      </c>
      <c r="CZ27" s="98" t="str">
        <f t="shared" si="39"/>
        <v xml:space="preserve"> </v>
      </c>
      <c r="DA27" s="98" t="str">
        <f t="shared" si="40"/>
        <v xml:space="preserve"> </v>
      </c>
      <c r="DB27" s="98" t="str">
        <f t="shared" si="41"/>
        <v xml:space="preserve"> </v>
      </c>
      <c r="DC27" s="163">
        <f t="shared" si="42"/>
        <v>0</v>
      </c>
      <c r="DD27" s="162" t="str">
        <f t="shared" si="44"/>
        <v/>
      </c>
      <c r="DE27" s="98" t="str">
        <f t="shared" si="45"/>
        <v xml:space="preserve"> </v>
      </c>
      <c r="DF27" s="98" t="str">
        <f t="shared" si="46"/>
        <v xml:space="preserve"> </v>
      </c>
      <c r="DG27" s="98" t="str">
        <f t="shared" si="47"/>
        <v xml:space="preserve"> </v>
      </c>
      <c r="DH27" s="163">
        <f t="shared" si="43"/>
        <v>0</v>
      </c>
    </row>
    <row r="28" spans="1:112">
      <c r="A28" s="171" t="s">
        <v>353</v>
      </c>
      <c r="B28" s="172" t="s">
        <v>354</v>
      </c>
      <c r="C28" s="157">
        <f>IFERROR(VLOOKUP($A28,'A0 BS 1240在建'!$1:$1048576,5,0),0)</f>
        <v>0</v>
      </c>
      <c r="D28" s="157">
        <f>IFERROR(VLOOKUP($A28,'B0 2264預收'!$1:$1048576,5,0),0)</f>
        <v>0</v>
      </c>
      <c r="E28" s="157">
        <f t="shared" si="0"/>
        <v>0</v>
      </c>
      <c r="F28" s="157">
        <f>IFERROR(VLOOKUP($A28,'B0 2264預收'!$1:$1048576,6,0),0)</f>
        <v>0</v>
      </c>
      <c r="G28" s="157">
        <f t="shared" si="1"/>
        <v>0</v>
      </c>
      <c r="H28" s="158">
        <f>IFERROR(VLOOKUP($A28,'A0 BS 1240在建'!$1:$1048576,13,0),0)</f>
        <v>0</v>
      </c>
      <c r="I28" s="158">
        <f>IFERROR(VLOOKUP($A28,'B0 2264預收'!$1:$1048576,13,0),0)</f>
        <v>0</v>
      </c>
      <c r="J28" s="158">
        <f t="shared" si="2"/>
        <v>0</v>
      </c>
      <c r="K28" s="158">
        <f>IFERROR(VLOOKUP($A28,'B0 2264預收'!$1:$1048576,14,0),0)</f>
        <v>0</v>
      </c>
      <c r="L28" s="158">
        <f t="shared" si="3"/>
        <v>0</v>
      </c>
      <c r="M28" s="157">
        <f>H28+IFERROR(VLOOKUP($A28,'A0 BS 1240在建'!$1:$1048576,17,0),0)</f>
        <v>0</v>
      </c>
      <c r="N28" s="157">
        <f>I28+IFERROR(VLOOKUP($A28,'B0 2264預收'!$1:$1048576,17,0),0)</f>
        <v>0</v>
      </c>
      <c r="O28" s="157">
        <f t="shared" si="4"/>
        <v>0</v>
      </c>
      <c r="P28" s="157">
        <f>K28+IFERROR(+VLOOKUP($A28,'B0 2264預收'!$1:$1048576,18,0),0)</f>
        <v>0</v>
      </c>
      <c r="Q28" s="157">
        <f t="shared" si="5"/>
        <v>0</v>
      </c>
      <c r="R28" s="158">
        <f>M28+IFERROR(VLOOKUP($A28,'A0 BS 1240在建'!$1:$1048576,21,0),0)</f>
        <v>0</v>
      </c>
      <c r="S28" s="158">
        <f>+N28+IFERROR(VLOOKUP($A28,'B0 2264預收'!$1:$1048576,21,0),0)</f>
        <v>0</v>
      </c>
      <c r="T28" s="158">
        <f t="shared" si="6"/>
        <v>0</v>
      </c>
      <c r="U28" s="158">
        <f>+P28+IFERROR(+VLOOKUP($A28,'B0 2264預收'!$1:$1048576,22,0),0)</f>
        <v>0</v>
      </c>
      <c r="V28" s="158">
        <f t="shared" si="7"/>
        <v>0</v>
      </c>
      <c r="W28" s="157">
        <f>+R28+IFERROR(VLOOKUP($A28,'A0 BS 1240在建'!$1:$1048576,25,0),0)</f>
        <v>0</v>
      </c>
      <c r="X28" s="157">
        <f>+S28+IFERROR(VLOOKUP($A28,'B0 2264預收'!$1:$1048576,25,0),0)</f>
        <v>0</v>
      </c>
      <c r="Y28" s="157">
        <f t="shared" si="8"/>
        <v>0</v>
      </c>
      <c r="Z28" s="157">
        <f>+U28+IFERROR(+VLOOKUP($A28,'B0 2264預收'!$1:$1048576,26,0),0)</f>
        <v>0</v>
      </c>
      <c r="AA28" s="157">
        <f t="shared" si="9"/>
        <v>0</v>
      </c>
      <c r="AB28" s="158">
        <f>+W28+IFERROR(VLOOKUP($A28,'A0 BS 1240在建'!$1:$1048576,29,0),0)</f>
        <v>0</v>
      </c>
      <c r="AC28" s="158">
        <f>+X28+IFERROR(VLOOKUP($A28,'B0 2264預收'!$1:$1048576,29,0),0)</f>
        <v>0</v>
      </c>
      <c r="AD28" s="158">
        <f t="shared" si="10"/>
        <v>0</v>
      </c>
      <c r="AE28" s="158">
        <f>+Z28+IFERROR(+VLOOKUP($A28,'B0 2264預收'!$1:$1048576,30,0),0)</f>
        <v>0</v>
      </c>
      <c r="AF28" s="158">
        <f t="shared" si="11"/>
        <v>0</v>
      </c>
      <c r="AG28" s="157">
        <f>+AB28+IFERROR(VLOOKUP($A28,'A0 BS 1240在建'!$1:$1048576,33,0),0)</f>
        <v>0</v>
      </c>
      <c r="AH28" s="157">
        <f>+AC28+IFERROR(VLOOKUP($A28,'B0 2264預收'!$1:$1048576,33,0),0)</f>
        <v>0</v>
      </c>
      <c r="AI28" s="157">
        <f t="shared" si="12"/>
        <v>0</v>
      </c>
      <c r="AJ28" s="157">
        <f>+AE28+IFERROR(+VLOOKUP($A28,'B0 2264預收'!$1:$1048576,34,0),0)</f>
        <v>0</v>
      </c>
      <c r="AK28" s="157">
        <f t="shared" si="13"/>
        <v>0</v>
      </c>
      <c r="AL28" s="158">
        <f>+AG28+IFERROR(VLOOKUP($A28,'A0 BS 1240在建'!$1:$1048576,37,0),0)</f>
        <v>0</v>
      </c>
      <c r="AM28" s="158">
        <f>+AH28+IFERROR(VLOOKUP($A28,'B0 2264預收'!$1:$1048576,37,0),0)</f>
        <v>0</v>
      </c>
      <c r="AN28" s="158">
        <f t="shared" si="14"/>
        <v>0</v>
      </c>
      <c r="AO28" s="158">
        <f>+AJ28+IFERROR(+VLOOKUP($A28,'B0 2264預收'!$1:$1048576,38,0),0)</f>
        <v>0</v>
      </c>
      <c r="AP28" s="158">
        <f t="shared" si="15"/>
        <v>0</v>
      </c>
      <c r="AQ28" s="157">
        <f>+AL28+IFERROR(VLOOKUP($A28,'A0 BS 1240在建'!$1:$1048576,41,0),0)</f>
        <v>0</v>
      </c>
      <c r="AR28" s="157">
        <f>+AM28+IFERROR(VLOOKUP($A28,'B0 2264預收'!$1:$1048576,41,0),0)</f>
        <v>0</v>
      </c>
      <c r="AS28" s="157">
        <f t="shared" si="16"/>
        <v>0</v>
      </c>
      <c r="AT28" s="157">
        <f>+AO28+IFERROR(+VLOOKUP($A28,'B0 2264預收'!$1:$1048576,42,0),0)</f>
        <v>0</v>
      </c>
      <c r="AU28" s="157">
        <f t="shared" si="17"/>
        <v>0</v>
      </c>
      <c r="AV28" s="158">
        <f>+AQ28+IFERROR(VLOOKUP($A28,'A0 BS 1240在建'!$1:$1048576,45,0),0)</f>
        <v>0</v>
      </c>
      <c r="AW28" s="158">
        <f>+AR28+IFERROR(VLOOKUP($A28,'B0 2264預收'!$1:$1048576,45,0),0)</f>
        <v>0</v>
      </c>
      <c r="AX28" s="158">
        <f t="shared" si="18"/>
        <v>0</v>
      </c>
      <c r="AY28" s="158">
        <f>+AT28+IFERROR(+VLOOKUP($A28,'B0 2264預收'!$1:$1048576,46,0),0)</f>
        <v>0</v>
      </c>
      <c r="AZ28" s="158">
        <f t="shared" si="19"/>
        <v>0</v>
      </c>
      <c r="BA28" s="157">
        <f>+AV28+IFERROR(VLOOKUP($A28,'A0 BS 1240在建'!$1:$1048576,49,0),0)</f>
        <v>0</v>
      </c>
      <c r="BB28" s="157">
        <f>+AW28+IFERROR(VLOOKUP($A28,'B0 2264預收'!$1:$1048576,49,0),0)</f>
        <v>0</v>
      </c>
      <c r="BC28" s="157">
        <f t="shared" si="20"/>
        <v>0</v>
      </c>
      <c r="BD28" s="157">
        <f>+AY28+IFERROR(+VLOOKUP($A28,'B0 2264預收'!$1:$1048576,50,0),0)</f>
        <v>0</v>
      </c>
      <c r="BE28" s="157">
        <f t="shared" si="21"/>
        <v>0</v>
      </c>
      <c r="BF28" s="158">
        <f>+BA28+IFERROR(VLOOKUP($A28,'A0 BS 1240在建'!$1:$1048576,53,0),0)</f>
        <v>0</v>
      </c>
      <c r="BG28" s="158">
        <f>+BB28+IFERROR(VLOOKUP($A28,'B0 2264預收'!$1:$1048576,53,0),0)</f>
        <v>0</v>
      </c>
      <c r="BH28" s="158">
        <f t="shared" si="22"/>
        <v>0</v>
      </c>
      <c r="BI28" s="158">
        <f>+BD28+IFERROR(+VLOOKUP($A28,'B0 2264預收'!$1:$1048576,54,0),0)</f>
        <v>0</v>
      </c>
      <c r="BJ28" s="158">
        <f t="shared" si="23"/>
        <v>0</v>
      </c>
      <c r="BK28" s="157">
        <f>+BF28+IFERROR(VLOOKUP($A28,'A0 BS 1240在建'!$1:$1048576,57,0),0)</f>
        <v>0</v>
      </c>
      <c r="BL28" s="157">
        <f>+BG28+IFERROR(VLOOKUP($A28,'B0 2264預收'!$1:$1048576,57,0),0)</f>
        <v>0</v>
      </c>
      <c r="BM28" s="157">
        <f t="shared" si="24"/>
        <v>0</v>
      </c>
      <c r="BN28" s="157">
        <f>+BI28+IFERROR(+VLOOKUP($A28,'B0 2264預收'!$1:$1048576,58,0),0)</f>
        <v>0</v>
      </c>
      <c r="BO28" s="157">
        <f t="shared" si="25"/>
        <v>0</v>
      </c>
      <c r="BP28" s="158">
        <f>+BK28+IFERROR(VLOOKUP($A28,'A0 BS 1240在建'!$1:$1048576,61,0),0)</f>
        <v>0</v>
      </c>
      <c r="BQ28" s="158">
        <f>+BL28+IFERROR(VLOOKUP($A28,'B0 2264預收'!$1:$1048576,61,0),0)</f>
        <v>0</v>
      </c>
      <c r="BR28" s="159">
        <f t="shared" si="26"/>
        <v>0</v>
      </c>
      <c r="BS28" s="158">
        <f>+BN28+IFERROR(+VLOOKUP($A28,'B0 2264預收'!$1:$1048576,62,0),0)</f>
        <v>0</v>
      </c>
      <c r="BT28" s="158">
        <f t="shared" si="27"/>
        <v>0</v>
      </c>
      <c r="BU28" s="157">
        <f>+IFERROR(VLOOKUP($A28,'A0 BS 1240在建'!$1:$1048576,77,0),0)</f>
        <v>0</v>
      </c>
      <c r="BV28" s="157">
        <f>+IFERROR(VLOOKUP($A28,'B0 2264預收'!$1:$1048576,77,0),0)</f>
        <v>0</v>
      </c>
      <c r="BW28" s="157">
        <f t="shared" si="28"/>
        <v>0</v>
      </c>
      <c r="BX28" s="157">
        <f>+IFERROR(+VLOOKUP($A28,'B0 2264預收'!$1:$1048576,78,0),0)</f>
        <v>0</v>
      </c>
      <c r="BY28" s="157">
        <f t="shared" si="29"/>
        <v>0</v>
      </c>
      <c r="BZ28" s="158">
        <f>IFERROR(+VLOOKUP($A28,'A0 BS 1240在建'!$1:$1048576,85,0),0)</f>
        <v>0</v>
      </c>
      <c r="CA28" s="158">
        <f>IFERROR(+VLOOKUP($A28,'B0 2264預收'!$1:$1048576,85,0),0)</f>
        <v>0</v>
      </c>
      <c r="CB28" s="158">
        <f t="shared" si="30"/>
        <v>0</v>
      </c>
      <c r="CC28" s="158">
        <f>+IFERROR(+VLOOKUP($A28,'B0 2264預收'!$1:$1048576,86,0),0)</f>
        <v>0</v>
      </c>
      <c r="CD28" s="158">
        <f t="shared" si="31"/>
        <v>0</v>
      </c>
      <c r="CE28" s="157">
        <f>+IFERROR(VLOOKUP($A28,'A0 BS 1240在建'!$1:$1048576,93,0),0)</f>
        <v>0</v>
      </c>
      <c r="CF28" s="157">
        <f>+IFERROR(VLOOKUP($A28,'B0 2264預收'!$1:$1048576,93,0),0)</f>
        <v>0</v>
      </c>
      <c r="CG28" s="157">
        <f t="shared" si="32"/>
        <v>0</v>
      </c>
      <c r="CH28" s="157">
        <f>+IFERROR(+VLOOKUP($A28,'B0 2264預收'!$1:$1048576,94,0),0)</f>
        <v>0</v>
      </c>
      <c r="CI28" s="157">
        <f t="shared" si="33"/>
        <v>0</v>
      </c>
      <c r="CJ28" s="158">
        <f>IFERROR(+VLOOKUP($A28,'A0 BS 1240在建'!$1:$1048576,101,0),0)</f>
        <v>0</v>
      </c>
      <c r="CK28" s="158">
        <f>IFERROR(+VLOOKUP($A28,'B0 2264預收'!$1:$1048576,101,0),0)</f>
        <v>0</v>
      </c>
      <c r="CL28" s="158">
        <f t="shared" si="34"/>
        <v>0</v>
      </c>
      <c r="CM28" s="158">
        <f>+IFERROR(+VLOOKUP($A28,'B0 2264預收'!$1:$1048576,102,0),0)</f>
        <v>0</v>
      </c>
      <c r="CN28" s="158">
        <f t="shared" si="35"/>
        <v>0</v>
      </c>
      <c r="CP28" s="160">
        <f t="shared" si="48"/>
        <v>0</v>
      </c>
      <c r="CQ28" s="118">
        <f>-E28</f>
        <v>0</v>
      </c>
      <c r="CR28" s="98">
        <f>+J28</f>
        <v>0</v>
      </c>
      <c r="CU28" s="165">
        <f t="shared" si="49"/>
        <v>0</v>
      </c>
      <c r="CW28" s="98">
        <f>+CU28</f>
        <v>0</v>
      </c>
      <c r="CY28" s="162" t="str">
        <f t="shared" si="38"/>
        <v/>
      </c>
      <c r="CZ28" s="98" t="str">
        <f t="shared" si="39"/>
        <v xml:space="preserve"> </v>
      </c>
      <c r="DA28" s="98" t="str">
        <f t="shared" si="40"/>
        <v xml:space="preserve"> </v>
      </c>
      <c r="DB28" s="98" t="str">
        <f t="shared" si="41"/>
        <v xml:space="preserve"> </v>
      </c>
      <c r="DC28" s="163">
        <f t="shared" si="42"/>
        <v>0</v>
      </c>
      <c r="DD28" s="162" t="str">
        <f t="shared" si="44"/>
        <v/>
      </c>
      <c r="DE28" s="98" t="str">
        <f t="shared" si="45"/>
        <v xml:space="preserve"> </v>
      </c>
      <c r="DF28" s="98" t="str">
        <f t="shared" si="46"/>
        <v xml:space="preserve"> </v>
      </c>
      <c r="DG28" s="98" t="str">
        <f t="shared" si="47"/>
        <v xml:space="preserve"> </v>
      </c>
      <c r="DH28" s="163">
        <f t="shared" si="43"/>
        <v>0</v>
      </c>
    </row>
    <row r="29" spans="1:112">
      <c r="A29" s="171" t="s">
        <v>355</v>
      </c>
      <c r="B29" s="172" t="s">
        <v>356</v>
      </c>
      <c r="C29" s="157">
        <f>IFERROR(VLOOKUP($A29,'A0 BS 1240在建'!$1:$1048576,5,0),0)</f>
        <v>0</v>
      </c>
      <c r="D29" s="157">
        <f>IFERROR(VLOOKUP($A29,'B0 2264預收'!$1:$1048576,5,0),0)</f>
        <v>0</v>
      </c>
      <c r="E29" s="157">
        <f t="shared" si="0"/>
        <v>0</v>
      </c>
      <c r="F29" s="157">
        <f>IFERROR(VLOOKUP($A29,'B0 2264預收'!$1:$1048576,6,0),0)</f>
        <v>0</v>
      </c>
      <c r="G29" s="157">
        <f t="shared" si="1"/>
        <v>0</v>
      </c>
      <c r="H29" s="158">
        <f>IFERROR(VLOOKUP($A29,'A0 BS 1240在建'!$1:$1048576,13,0),0)</f>
        <v>0</v>
      </c>
      <c r="I29" s="158">
        <f>IFERROR(VLOOKUP($A29,'B0 2264預收'!$1:$1048576,13,0),0)</f>
        <v>0</v>
      </c>
      <c r="J29" s="158">
        <f t="shared" si="2"/>
        <v>0</v>
      </c>
      <c r="K29" s="158">
        <f>IFERROR(VLOOKUP($A29,'B0 2264預收'!$1:$1048576,14,0),0)</f>
        <v>0</v>
      </c>
      <c r="L29" s="158">
        <f t="shared" si="3"/>
        <v>0</v>
      </c>
      <c r="M29" s="157">
        <f>H29+IFERROR(VLOOKUP($A29,'A0 BS 1240在建'!$1:$1048576,17,0),0)</f>
        <v>0</v>
      </c>
      <c r="N29" s="157">
        <f>I29+IFERROR(VLOOKUP($A29,'B0 2264預收'!$1:$1048576,17,0),0)</f>
        <v>0</v>
      </c>
      <c r="O29" s="157">
        <f t="shared" si="4"/>
        <v>0</v>
      </c>
      <c r="P29" s="157">
        <f>K29+IFERROR(+VLOOKUP($A29,'B0 2264預收'!$1:$1048576,18,0),0)</f>
        <v>0</v>
      </c>
      <c r="Q29" s="157">
        <f t="shared" si="5"/>
        <v>0</v>
      </c>
      <c r="R29" s="158">
        <f>M29+IFERROR(VLOOKUP($A29,'A0 BS 1240在建'!$1:$1048576,21,0),0)</f>
        <v>0</v>
      </c>
      <c r="S29" s="158">
        <f>+N29+IFERROR(VLOOKUP($A29,'B0 2264預收'!$1:$1048576,21,0),0)</f>
        <v>0</v>
      </c>
      <c r="T29" s="158">
        <f t="shared" si="6"/>
        <v>0</v>
      </c>
      <c r="U29" s="158">
        <f>+P29+IFERROR(+VLOOKUP($A29,'B0 2264預收'!$1:$1048576,22,0),0)</f>
        <v>0</v>
      </c>
      <c r="V29" s="158">
        <f t="shared" si="7"/>
        <v>0</v>
      </c>
      <c r="W29" s="157">
        <f>+R29+IFERROR(VLOOKUP($A29,'A0 BS 1240在建'!$1:$1048576,25,0),0)</f>
        <v>0</v>
      </c>
      <c r="X29" s="157">
        <f>+S29+IFERROR(VLOOKUP($A29,'B0 2264預收'!$1:$1048576,25,0),0)</f>
        <v>0</v>
      </c>
      <c r="Y29" s="157">
        <f t="shared" si="8"/>
        <v>0</v>
      </c>
      <c r="Z29" s="157">
        <f>+U29+IFERROR(+VLOOKUP($A29,'B0 2264預收'!$1:$1048576,26,0),0)</f>
        <v>0</v>
      </c>
      <c r="AA29" s="157">
        <f t="shared" si="9"/>
        <v>0</v>
      </c>
      <c r="AB29" s="158">
        <f>+W29+IFERROR(VLOOKUP($A29,'A0 BS 1240在建'!$1:$1048576,29,0),0)</f>
        <v>0</v>
      </c>
      <c r="AC29" s="158">
        <f>+X29+IFERROR(VLOOKUP($A29,'B0 2264預收'!$1:$1048576,29,0),0)</f>
        <v>0</v>
      </c>
      <c r="AD29" s="158">
        <f t="shared" si="10"/>
        <v>0</v>
      </c>
      <c r="AE29" s="158">
        <f>+Z29+IFERROR(+VLOOKUP($A29,'B0 2264預收'!$1:$1048576,30,0),0)</f>
        <v>0</v>
      </c>
      <c r="AF29" s="158">
        <f t="shared" si="11"/>
        <v>0</v>
      </c>
      <c r="AG29" s="157">
        <f>+AB29+IFERROR(VLOOKUP($A29,'A0 BS 1240在建'!$1:$1048576,33,0),0)</f>
        <v>0</v>
      </c>
      <c r="AH29" s="157">
        <f>+AC29+IFERROR(VLOOKUP($A29,'B0 2264預收'!$1:$1048576,33,0),0)</f>
        <v>0</v>
      </c>
      <c r="AI29" s="157">
        <f t="shared" si="12"/>
        <v>0</v>
      </c>
      <c r="AJ29" s="157">
        <f>+AE29+IFERROR(+VLOOKUP($A29,'B0 2264預收'!$1:$1048576,34,0),0)</f>
        <v>0</v>
      </c>
      <c r="AK29" s="157">
        <f t="shared" si="13"/>
        <v>0</v>
      </c>
      <c r="AL29" s="158">
        <f>+AG29+IFERROR(VLOOKUP($A29,'A0 BS 1240在建'!$1:$1048576,37,0),0)</f>
        <v>0</v>
      </c>
      <c r="AM29" s="158">
        <f>+AH29+IFERROR(VLOOKUP($A29,'B0 2264預收'!$1:$1048576,37,0),0)</f>
        <v>0</v>
      </c>
      <c r="AN29" s="158">
        <f t="shared" si="14"/>
        <v>0</v>
      </c>
      <c r="AO29" s="158">
        <f>+AJ29+IFERROR(+VLOOKUP($A29,'B0 2264預收'!$1:$1048576,38,0),0)</f>
        <v>0</v>
      </c>
      <c r="AP29" s="158">
        <f t="shared" si="15"/>
        <v>0</v>
      </c>
      <c r="AQ29" s="157">
        <f>+AL29+IFERROR(VLOOKUP($A29,'A0 BS 1240在建'!$1:$1048576,41,0),0)</f>
        <v>0</v>
      </c>
      <c r="AR29" s="157">
        <f>+AM29+IFERROR(VLOOKUP($A29,'B0 2264預收'!$1:$1048576,41,0),0)</f>
        <v>0</v>
      </c>
      <c r="AS29" s="157">
        <f t="shared" si="16"/>
        <v>0</v>
      </c>
      <c r="AT29" s="157">
        <f>+AO29+IFERROR(+VLOOKUP($A29,'B0 2264預收'!$1:$1048576,42,0),0)</f>
        <v>0</v>
      </c>
      <c r="AU29" s="157">
        <f t="shared" si="17"/>
        <v>0</v>
      </c>
      <c r="AV29" s="158">
        <f>+AQ29+IFERROR(VLOOKUP($A29,'A0 BS 1240在建'!$1:$1048576,45,0),0)</f>
        <v>0</v>
      </c>
      <c r="AW29" s="158">
        <f>+AR29+IFERROR(VLOOKUP($A29,'B0 2264預收'!$1:$1048576,45,0),0)</f>
        <v>0</v>
      </c>
      <c r="AX29" s="158">
        <f t="shared" si="18"/>
        <v>0</v>
      </c>
      <c r="AY29" s="158">
        <f>+AT29+IFERROR(+VLOOKUP($A29,'B0 2264預收'!$1:$1048576,46,0),0)</f>
        <v>0</v>
      </c>
      <c r="AZ29" s="158">
        <f t="shared" si="19"/>
        <v>0</v>
      </c>
      <c r="BA29" s="157">
        <f>+AV29+IFERROR(VLOOKUP($A29,'A0 BS 1240在建'!$1:$1048576,49,0),0)</f>
        <v>0</v>
      </c>
      <c r="BB29" s="157">
        <f>+AW29+IFERROR(VLOOKUP($A29,'B0 2264預收'!$1:$1048576,49,0),0)</f>
        <v>0</v>
      </c>
      <c r="BC29" s="157">
        <f t="shared" si="20"/>
        <v>0</v>
      </c>
      <c r="BD29" s="157">
        <f>+AY29+IFERROR(+VLOOKUP($A29,'B0 2264預收'!$1:$1048576,50,0),0)</f>
        <v>0</v>
      </c>
      <c r="BE29" s="157">
        <f t="shared" si="21"/>
        <v>0</v>
      </c>
      <c r="BF29" s="158">
        <f>+BA29+IFERROR(VLOOKUP($A29,'A0 BS 1240在建'!$1:$1048576,53,0),0)</f>
        <v>0</v>
      </c>
      <c r="BG29" s="158">
        <f>+BB29+IFERROR(VLOOKUP($A29,'B0 2264預收'!$1:$1048576,53,0),0)</f>
        <v>0</v>
      </c>
      <c r="BH29" s="158">
        <f t="shared" si="22"/>
        <v>0</v>
      </c>
      <c r="BI29" s="158">
        <f>+BD29+IFERROR(+VLOOKUP($A29,'B0 2264預收'!$1:$1048576,54,0),0)</f>
        <v>0</v>
      </c>
      <c r="BJ29" s="158">
        <f t="shared" si="23"/>
        <v>0</v>
      </c>
      <c r="BK29" s="157">
        <f>+BF29+IFERROR(VLOOKUP($A29,'A0 BS 1240在建'!$1:$1048576,57,0),0)</f>
        <v>0</v>
      </c>
      <c r="BL29" s="157">
        <f>+BG29+IFERROR(VLOOKUP($A29,'B0 2264預收'!$1:$1048576,57,0),0)</f>
        <v>0</v>
      </c>
      <c r="BM29" s="157">
        <f t="shared" si="24"/>
        <v>0</v>
      </c>
      <c r="BN29" s="157">
        <f>+BI29+IFERROR(+VLOOKUP($A29,'B0 2264預收'!$1:$1048576,58,0),0)</f>
        <v>0</v>
      </c>
      <c r="BO29" s="157">
        <f t="shared" si="25"/>
        <v>0</v>
      </c>
      <c r="BP29" s="158">
        <f>+BK29+IFERROR(VLOOKUP($A29,'A0 BS 1240在建'!$1:$1048576,61,0),0)</f>
        <v>0</v>
      </c>
      <c r="BQ29" s="158">
        <f>+BL29+IFERROR(VLOOKUP($A29,'B0 2264預收'!$1:$1048576,61,0),0)</f>
        <v>0</v>
      </c>
      <c r="BR29" s="159">
        <f t="shared" si="26"/>
        <v>0</v>
      </c>
      <c r="BS29" s="158">
        <f>+BN29+IFERROR(+VLOOKUP($A29,'B0 2264預收'!$1:$1048576,62,0),0)</f>
        <v>0</v>
      </c>
      <c r="BT29" s="158">
        <f t="shared" si="27"/>
        <v>0</v>
      </c>
      <c r="BU29" s="157">
        <f>+IFERROR(VLOOKUP($A29,'A0 BS 1240在建'!$1:$1048576,77,0),0)</f>
        <v>0</v>
      </c>
      <c r="BV29" s="157">
        <f>+IFERROR(VLOOKUP($A29,'B0 2264預收'!$1:$1048576,77,0),0)</f>
        <v>0</v>
      </c>
      <c r="BW29" s="157">
        <f t="shared" si="28"/>
        <v>0</v>
      </c>
      <c r="BX29" s="157">
        <f>+IFERROR(+VLOOKUP($A29,'B0 2264預收'!$1:$1048576,78,0),0)</f>
        <v>0</v>
      </c>
      <c r="BY29" s="157">
        <f t="shared" si="29"/>
        <v>0</v>
      </c>
      <c r="BZ29" s="158">
        <f>IFERROR(+VLOOKUP($A29,'A0 BS 1240在建'!$1:$1048576,85,0),0)</f>
        <v>0</v>
      </c>
      <c r="CA29" s="158">
        <f>IFERROR(+VLOOKUP($A29,'B0 2264預收'!$1:$1048576,85,0),0)</f>
        <v>0</v>
      </c>
      <c r="CB29" s="158">
        <f t="shared" si="30"/>
        <v>0</v>
      </c>
      <c r="CC29" s="158">
        <f>+IFERROR(+VLOOKUP($A29,'B0 2264預收'!$1:$1048576,86,0),0)</f>
        <v>0</v>
      </c>
      <c r="CD29" s="158">
        <f t="shared" si="31"/>
        <v>0</v>
      </c>
      <c r="CE29" s="157">
        <f>+IFERROR(VLOOKUP($A29,'A0 BS 1240在建'!$1:$1048576,93,0),0)</f>
        <v>0</v>
      </c>
      <c r="CF29" s="157">
        <f>+IFERROR(VLOOKUP($A29,'B0 2264預收'!$1:$1048576,93,0),0)</f>
        <v>0</v>
      </c>
      <c r="CG29" s="157">
        <f t="shared" si="32"/>
        <v>0</v>
      </c>
      <c r="CH29" s="157">
        <f>+IFERROR(+VLOOKUP($A29,'B0 2264預收'!$1:$1048576,94,0),0)</f>
        <v>0</v>
      </c>
      <c r="CI29" s="157">
        <f t="shared" si="33"/>
        <v>0</v>
      </c>
      <c r="CJ29" s="158">
        <f>IFERROR(+VLOOKUP($A29,'A0 BS 1240在建'!$1:$1048576,101,0),0)</f>
        <v>0</v>
      </c>
      <c r="CK29" s="158">
        <f>IFERROR(+VLOOKUP($A29,'B0 2264預收'!$1:$1048576,101,0),0)</f>
        <v>0</v>
      </c>
      <c r="CL29" s="158">
        <f t="shared" si="34"/>
        <v>0</v>
      </c>
      <c r="CM29" s="158">
        <f>+IFERROR(+VLOOKUP($A29,'B0 2264預收'!$1:$1048576,102,0),0)</f>
        <v>0</v>
      </c>
      <c r="CN29" s="158">
        <f t="shared" si="35"/>
        <v>0</v>
      </c>
      <c r="CP29" s="165">
        <f t="shared" si="48"/>
        <v>0</v>
      </c>
      <c r="CR29" s="98">
        <f>+CP29</f>
        <v>0</v>
      </c>
      <c r="CU29" s="165">
        <f t="shared" si="49"/>
        <v>0</v>
      </c>
      <c r="CW29" s="98">
        <f>+CU29</f>
        <v>0</v>
      </c>
      <c r="CY29" s="162" t="str">
        <f t="shared" si="38"/>
        <v/>
      </c>
      <c r="CZ29" s="98" t="str">
        <f t="shared" si="39"/>
        <v xml:space="preserve"> </v>
      </c>
      <c r="DA29" s="98" t="str">
        <f t="shared" si="40"/>
        <v xml:space="preserve"> </v>
      </c>
      <c r="DB29" s="98" t="str">
        <f t="shared" si="41"/>
        <v xml:space="preserve"> </v>
      </c>
      <c r="DC29" s="163">
        <f t="shared" si="42"/>
        <v>0</v>
      </c>
      <c r="DD29" s="162" t="str">
        <f t="shared" si="44"/>
        <v/>
      </c>
      <c r="DE29" s="98" t="str">
        <f t="shared" si="45"/>
        <v xml:space="preserve"> </v>
      </c>
      <c r="DF29" s="98" t="str">
        <f t="shared" si="46"/>
        <v xml:space="preserve"> </v>
      </c>
      <c r="DG29" s="98" t="str">
        <f t="shared" si="47"/>
        <v xml:space="preserve"> </v>
      </c>
      <c r="DH29" s="163">
        <f t="shared" si="43"/>
        <v>0</v>
      </c>
    </row>
    <row r="30" spans="1:112">
      <c r="A30" s="171" t="s">
        <v>357</v>
      </c>
      <c r="B30" s="172" t="s">
        <v>358</v>
      </c>
      <c r="C30" s="157">
        <f>IFERROR(VLOOKUP($A30,'A0 BS 1240在建'!$1:$1048576,5,0),0)</f>
        <v>0</v>
      </c>
      <c r="D30" s="157">
        <f>IFERROR(VLOOKUP($A30,'B0 2264預收'!$1:$1048576,5,0),0)</f>
        <v>0</v>
      </c>
      <c r="E30" s="157">
        <f t="shared" si="0"/>
        <v>0</v>
      </c>
      <c r="F30" s="157">
        <f>IFERROR(VLOOKUP($A30,'B0 2264預收'!$1:$1048576,6,0),0)</f>
        <v>0</v>
      </c>
      <c r="G30" s="157">
        <f t="shared" si="1"/>
        <v>0</v>
      </c>
      <c r="H30" s="158">
        <f>IFERROR(VLOOKUP($A30,'A0 BS 1240在建'!$1:$1048576,13,0),0)</f>
        <v>0</v>
      </c>
      <c r="I30" s="158">
        <f>IFERROR(VLOOKUP($A30,'B0 2264預收'!$1:$1048576,13,0),0)</f>
        <v>0</v>
      </c>
      <c r="J30" s="158">
        <f t="shared" si="2"/>
        <v>0</v>
      </c>
      <c r="K30" s="158">
        <f>IFERROR(VLOOKUP($A30,'B0 2264預收'!$1:$1048576,14,0),0)</f>
        <v>0</v>
      </c>
      <c r="L30" s="158">
        <f t="shared" si="3"/>
        <v>0</v>
      </c>
      <c r="M30" s="157">
        <f>H30+IFERROR(VLOOKUP($A30,'A0 BS 1240在建'!$1:$1048576,17,0),0)</f>
        <v>0</v>
      </c>
      <c r="N30" s="157">
        <f>I30+IFERROR(VLOOKUP($A30,'B0 2264預收'!$1:$1048576,17,0),0)</f>
        <v>0</v>
      </c>
      <c r="O30" s="157">
        <f t="shared" si="4"/>
        <v>0</v>
      </c>
      <c r="P30" s="157">
        <f>K30+IFERROR(+VLOOKUP($A30,'B0 2264預收'!$1:$1048576,18,0),0)</f>
        <v>0</v>
      </c>
      <c r="Q30" s="157">
        <f t="shared" si="5"/>
        <v>0</v>
      </c>
      <c r="R30" s="158">
        <f>M30+IFERROR(VLOOKUP($A30,'A0 BS 1240在建'!$1:$1048576,21,0),0)</f>
        <v>0</v>
      </c>
      <c r="S30" s="158">
        <f>+N30+IFERROR(VLOOKUP($A30,'B0 2264預收'!$1:$1048576,21,0),0)</f>
        <v>0</v>
      </c>
      <c r="T30" s="158">
        <f t="shared" si="6"/>
        <v>0</v>
      </c>
      <c r="U30" s="158">
        <f>+P30+IFERROR(+VLOOKUP($A30,'B0 2264預收'!$1:$1048576,22,0),0)</f>
        <v>0</v>
      </c>
      <c r="V30" s="158">
        <f t="shared" si="7"/>
        <v>0</v>
      </c>
      <c r="W30" s="157">
        <f>+R30+IFERROR(VLOOKUP($A30,'A0 BS 1240在建'!$1:$1048576,25,0),0)</f>
        <v>0</v>
      </c>
      <c r="X30" s="157">
        <f>+S30+IFERROR(VLOOKUP($A30,'B0 2264預收'!$1:$1048576,25,0),0)</f>
        <v>0</v>
      </c>
      <c r="Y30" s="157">
        <f t="shared" si="8"/>
        <v>0</v>
      </c>
      <c r="Z30" s="157">
        <f>+U30+IFERROR(+VLOOKUP($A30,'B0 2264預收'!$1:$1048576,26,0),0)</f>
        <v>0</v>
      </c>
      <c r="AA30" s="157">
        <f t="shared" si="9"/>
        <v>0</v>
      </c>
      <c r="AB30" s="158">
        <f>+W30+IFERROR(VLOOKUP($A30,'A0 BS 1240在建'!$1:$1048576,29,0),0)</f>
        <v>0</v>
      </c>
      <c r="AC30" s="158">
        <f>+X30+IFERROR(VLOOKUP($A30,'B0 2264預收'!$1:$1048576,29,0),0)</f>
        <v>0</v>
      </c>
      <c r="AD30" s="158">
        <f t="shared" si="10"/>
        <v>0</v>
      </c>
      <c r="AE30" s="158">
        <f>+Z30+IFERROR(+VLOOKUP($A30,'B0 2264預收'!$1:$1048576,30,0),0)</f>
        <v>0</v>
      </c>
      <c r="AF30" s="158">
        <f t="shared" si="11"/>
        <v>0</v>
      </c>
      <c r="AG30" s="157">
        <f>+AB30+IFERROR(VLOOKUP($A30,'A0 BS 1240在建'!$1:$1048576,33,0),0)</f>
        <v>0</v>
      </c>
      <c r="AH30" s="157">
        <f>+AC30+IFERROR(VLOOKUP($A30,'B0 2264預收'!$1:$1048576,33,0),0)</f>
        <v>0</v>
      </c>
      <c r="AI30" s="157">
        <f t="shared" si="12"/>
        <v>0</v>
      </c>
      <c r="AJ30" s="157">
        <f>+AE30+IFERROR(+VLOOKUP($A30,'B0 2264預收'!$1:$1048576,34,0),0)</f>
        <v>0</v>
      </c>
      <c r="AK30" s="157">
        <f t="shared" si="13"/>
        <v>0</v>
      </c>
      <c r="AL30" s="158">
        <f>+AG30+IFERROR(VLOOKUP($A30,'A0 BS 1240在建'!$1:$1048576,37,0),0)</f>
        <v>0</v>
      </c>
      <c r="AM30" s="158">
        <f>+AH30+IFERROR(VLOOKUP($A30,'B0 2264預收'!$1:$1048576,37,0),0)</f>
        <v>0</v>
      </c>
      <c r="AN30" s="158">
        <f t="shared" si="14"/>
        <v>0</v>
      </c>
      <c r="AO30" s="158">
        <f>+AJ30+IFERROR(+VLOOKUP($A30,'B0 2264預收'!$1:$1048576,38,0),0)</f>
        <v>0</v>
      </c>
      <c r="AP30" s="158">
        <f t="shared" si="15"/>
        <v>0</v>
      </c>
      <c r="AQ30" s="157">
        <f>+AL30+IFERROR(VLOOKUP($A30,'A0 BS 1240在建'!$1:$1048576,41,0),0)</f>
        <v>0</v>
      </c>
      <c r="AR30" s="157">
        <f>+AM30+IFERROR(VLOOKUP($A30,'B0 2264預收'!$1:$1048576,41,0),0)</f>
        <v>0</v>
      </c>
      <c r="AS30" s="157">
        <f t="shared" si="16"/>
        <v>0</v>
      </c>
      <c r="AT30" s="157">
        <f>+AO30+IFERROR(+VLOOKUP($A30,'B0 2264預收'!$1:$1048576,42,0),0)</f>
        <v>0</v>
      </c>
      <c r="AU30" s="157">
        <f t="shared" si="17"/>
        <v>0</v>
      </c>
      <c r="AV30" s="158">
        <f>+AQ30+IFERROR(VLOOKUP($A30,'A0 BS 1240在建'!$1:$1048576,45,0),0)</f>
        <v>0</v>
      </c>
      <c r="AW30" s="158">
        <f>+AR30+IFERROR(VLOOKUP($A30,'B0 2264預收'!$1:$1048576,45,0),0)</f>
        <v>0</v>
      </c>
      <c r="AX30" s="158">
        <f t="shared" si="18"/>
        <v>0</v>
      </c>
      <c r="AY30" s="158">
        <f>+AT30+IFERROR(+VLOOKUP($A30,'B0 2264預收'!$1:$1048576,46,0),0)</f>
        <v>0</v>
      </c>
      <c r="AZ30" s="158">
        <f t="shared" si="19"/>
        <v>0</v>
      </c>
      <c r="BA30" s="157">
        <f>+AV30+IFERROR(VLOOKUP($A30,'A0 BS 1240在建'!$1:$1048576,49,0),0)</f>
        <v>0</v>
      </c>
      <c r="BB30" s="157">
        <f>+AW30+IFERROR(VLOOKUP($A30,'B0 2264預收'!$1:$1048576,49,0),0)</f>
        <v>0</v>
      </c>
      <c r="BC30" s="157">
        <f t="shared" si="20"/>
        <v>0</v>
      </c>
      <c r="BD30" s="157">
        <f>+AY30+IFERROR(+VLOOKUP($A30,'B0 2264預收'!$1:$1048576,50,0),0)</f>
        <v>0</v>
      </c>
      <c r="BE30" s="157">
        <f t="shared" si="21"/>
        <v>0</v>
      </c>
      <c r="BF30" s="158">
        <f>+BA30+IFERROR(VLOOKUP($A30,'A0 BS 1240在建'!$1:$1048576,53,0),0)</f>
        <v>0</v>
      </c>
      <c r="BG30" s="158">
        <f>+BB30+IFERROR(VLOOKUP($A30,'B0 2264預收'!$1:$1048576,53,0),0)</f>
        <v>0</v>
      </c>
      <c r="BH30" s="158">
        <f t="shared" si="22"/>
        <v>0</v>
      </c>
      <c r="BI30" s="158">
        <f>+BD30+IFERROR(+VLOOKUP($A30,'B0 2264預收'!$1:$1048576,54,0),0)</f>
        <v>0</v>
      </c>
      <c r="BJ30" s="158">
        <f t="shared" si="23"/>
        <v>0</v>
      </c>
      <c r="BK30" s="157">
        <f>+BF30+IFERROR(VLOOKUP($A30,'A0 BS 1240在建'!$1:$1048576,57,0),0)</f>
        <v>0</v>
      </c>
      <c r="BL30" s="157">
        <f>+BG30+IFERROR(VLOOKUP($A30,'B0 2264預收'!$1:$1048576,57,0),0)</f>
        <v>0</v>
      </c>
      <c r="BM30" s="157">
        <f t="shared" si="24"/>
        <v>0</v>
      </c>
      <c r="BN30" s="157">
        <f>+BI30+IFERROR(+VLOOKUP($A30,'B0 2264預收'!$1:$1048576,58,0),0)</f>
        <v>0</v>
      </c>
      <c r="BO30" s="157">
        <f t="shared" si="25"/>
        <v>0</v>
      </c>
      <c r="BP30" s="158">
        <f>+BK30+IFERROR(VLOOKUP($A30,'A0 BS 1240在建'!$1:$1048576,61,0),0)</f>
        <v>0</v>
      </c>
      <c r="BQ30" s="158">
        <f>+BL30+IFERROR(VLOOKUP($A30,'B0 2264預收'!$1:$1048576,61,0),0)</f>
        <v>0</v>
      </c>
      <c r="BR30" s="159">
        <f t="shared" si="26"/>
        <v>0</v>
      </c>
      <c r="BS30" s="158">
        <f>+BN30+IFERROR(+VLOOKUP($A30,'B0 2264預收'!$1:$1048576,62,0),0)</f>
        <v>0</v>
      </c>
      <c r="BT30" s="158">
        <f t="shared" si="27"/>
        <v>0</v>
      </c>
      <c r="BU30" s="157">
        <f>+IFERROR(VLOOKUP($A30,'A0 BS 1240在建'!$1:$1048576,77,0),0)</f>
        <v>0</v>
      </c>
      <c r="BV30" s="157">
        <f>+IFERROR(VLOOKUP($A30,'B0 2264預收'!$1:$1048576,77,0),0)</f>
        <v>0</v>
      </c>
      <c r="BW30" s="157">
        <f t="shared" si="28"/>
        <v>0</v>
      </c>
      <c r="BX30" s="157">
        <f>+IFERROR(+VLOOKUP($A30,'B0 2264預收'!$1:$1048576,78,0),0)</f>
        <v>0</v>
      </c>
      <c r="BY30" s="157">
        <f t="shared" si="29"/>
        <v>0</v>
      </c>
      <c r="BZ30" s="158">
        <f>IFERROR(+VLOOKUP($A30,'A0 BS 1240在建'!$1:$1048576,85,0),0)</f>
        <v>0</v>
      </c>
      <c r="CA30" s="158">
        <f>IFERROR(+VLOOKUP($A30,'B0 2264預收'!$1:$1048576,85,0),0)</f>
        <v>0</v>
      </c>
      <c r="CB30" s="158">
        <f t="shared" si="30"/>
        <v>0</v>
      </c>
      <c r="CC30" s="158">
        <f>+IFERROR(+VLOOKUP($A30,'B0 2264預收'!$1:$1048576,86,0),0)</f>
        <v>0</v>
      </c>
      <c r="CD30" s="158">
        <f t="shared" si="31"/>
        <v>0</v>
      </c>
      <c r="CE30" s="157">
        <f>+IFERROR(VLOOKUP($A30,'A0 BS 1240在建'!$1:$1048576,93,0),0)</f>
        <v>0</v>
      </c>
      <c r="CF30" s="157">
        <f>+IFERROR(VLOOKUP($A30,'B0 2264預收'!$1:$1048576,93,0),0)</f>
        <v>0</v>
      </c>
      <c r="CG30" s="157">
        <f t="shared" si="32"/>
        <v>0</v>
      </c>
      <c r="CH30" s="157">
        <f>+IFERROR(+VLOOKUP($A30,'B0 2264預收'!$1:$1048576,94,0),0)</f>
        <v>0</v>
      </c>
      <c r="CI30" s="157">
        <f t="shared" si="33"/>
        <v>0</v>
      </c>
      <c r="CJ30" s="158">
        <f>IFERROR(+VLOOKUP($A30,'A0 BS 1240在建'!$1:$1048576,101,0),0)</f>
        <v>0</v>
      </c>
      <c r="CK30" s="158">
        <f>IFERROR(+VLOOKUP($A30,'B0 2264預收'!$1:$1048576,101,0),0)</f>
        <v>0</v>
      </c>
      <c r="CL30" s="158">
        <f t="shared" si="34"/>
        <v>0</v>
      </c>
      <c r="CM30" s="158">
        <f>+IFERROR(+VLOOKUP($A30,'B0 2264預收'!$1:$1048576,102,0),0)</f>
        <v>0</v>
      </c>
      <c r="CN30" s="158">
        <f t="shared" si="35"/>
        <v>0</v>
      </c>
      <c r="CP30" s="166">
        <f t="shared" si="48"/>
        <v>0</v>
      </c>
      <c r="CQ30" s="98">
        <f>+CP30</f>
        <v>0</v>
      </c>
      <c r="CU30" s="160">
        <f t="shared" si="49"/>
        <v>0</v>
      </c>
      <c r="CV30" s="118">
        <f>-J30</f>
        <v>0</v>
      </c>
      <c r="CW30" s="98">
        <f>+BR30</f>
        <v>0</v>
      </c>
      <c r="CY30" s="162" t="str">
        <f t="shared" si="38"/>
        <v/>
      </c>
      <c r="CZ30" s="98" t="str">
        <f t="shared" si="39"/>
        <v xml:space="preserve"> </v>
      </c>
      <c r="DA30" s="98" t="str">
        <f t="shared" si="40"/>
        <v xml:space="preserve"> </v>
      </c>
      <c r="DB30" s="98" t="str">
        <f t="shared" si="41"/>
        <v xml:space="preserve"> </v>
      </c>
      <c r="DC30" s="163">
        <f t="shared" si="42"/>
        <v>0</v>
      </c>
      <c r="DD30" s="162" t="str">
        <f t="shared" si="44"/>
        <v/>
      </c>
      <c r="DE30" s="98" t="str">
        <f t="shared" si="45"/>
        <v xml:space="preserve"> </v>
      </c>
      <c r="DF30" s="98" t="str">
        <f t="shared" si="46"/>
        <v xml:space="preserve"> </v>
      </c>
      <c r="DG30" s="98" t="str">
        <f t="shared" si="47"/>
        <v xml:space="preserve"> </v>
      </c>
      <c r="DH30" s="163">
        <f t="shared" si="43"/>
        <v>0</v>
      </c>
    </row>
    <row r="31" spans="1:112">
      <c r="A31" s="171" t="s">
        <v>359</v>
      </c>
      <c r="B31" s="172" t="s">
        <v>360</v>
      </c>
      <c r="C31" s="157">
        <f>IFERROR(VLOOKUP($A31,'A0 BS 1240在建'!$1:$1048576,5,0),0)</f>
        <v>0</v>
      </c>
      <c r="D31" s="157">
        <f>IFERROR(VLOOKUP($A31,'B0 2264預收'!$1:$1048576,5,0),0)</f>
        <v>0</v>
      </c>
      <c r="E31" s="157">
        <f t="shared" si="0"/>
        <v>0</v>
      </c>
      <c r="F31" s="157">
        <f>IFERROR(VLOOKUP($A31,'B0 2264預收'!$1:$1048576,6,0),0)</f>
        <v>0</v>
      </c>
      <c r="G31" s="157">
        <f t="shared" si="1"/>
        <v>0</v>
      </c>
      <c r="H31" s="158">
        <f>IFERROR(VLOOKUP($A31,'A0 BS 1240在建'!$1:$1048576,13,0),0)</f>
        <v>0</v>
      </c>
      <c r="I31" s="158">
        <f>IFERROR(VLOOKUP($A31,'B0 2264預收'!$1:$1048576,13,0),0)</f>
        <v>0</v>
      </c>
      <c r="J31" s="158">
        <f t="shared" si="2"/>
        <v>0</v>
      </c>
      <c r="K31" s="158">
        <f>IFERROR(VLOOKUP($A31,'B0 2264預收'!$1:$1048576,14,0),0)</f>
        <v>0</v>
      </c>
      <c r="L31" s="158">
        <f t="shared" si="3"/>
        <v>0</v>
      </c>
      <c r="M31" s="157">
        <f>H31+IFERROR(VLOOKUP($A31,'A0 BS 1240在建'!$1:$1048576,17,0),0)</f>
        <v>0</v>
      </c>
      <c r="N31" s="157">
        <f>I31+IFERROR(VLOOKUP($A31,'B0 2264預收'!$1:$1048576,17,0),0)</f>
        <v>0</v>
      </c>
      <c r="O31" s="157">
        <f t="shared" si="4"/>
        <v>0</v>
      </c>
      <c r="P31" s="157">
        <f>K31+IFERROR(+VLOOKUP($A31,'B0 2264預收'!$1:$1048576,18,0),0)</f>
        <v>0</v>
      </c>
      <c r="Q31" s="157">
        <f t="shared" si="5"/>
        <v>0</v>
      </c>
      <c r="R31" s="158">
        <f>M31+IFERROR(VLOOKUP($A31,'A0 BS 1240在建'!$1:$1048576,21,0),0)</f>
        <v>0</v>
      </c>
      <c r="S31" s="158">
        <f>+N31+IFERROR(VLOOKUP($A31,'B0 2264預收'!$1:$1048576,21,0),0)</f>
        <v>0</v>
      </c>
      <c r="T31" s="158">
        <f t="shared" si="6"/>
        <v>0</v>
      </c>
      <c r="U31" s="158">
        <f>+P31+IFERROR(+VLOOKUP($A31,'B0 2264預收'!$1:$1048576,22,0),0)</f>
        <v>0</v>
      </c>
      <c r="V31" s="158">
        <f t="shared" si="7"/>
        <v>0</v>
      </c>
      <c r="W31" s="157">
        <f>+R31+IFERROR(VLOOKUP($A31,'A0 BS 1240在建'!$1:$1048576,25,0),0)</f>
        <v>0</v>
      </c>
      <c r="X31" s="157">
        <f>+S31+IFERROR(VLOOKUP($A31,'B0 2264預收'!$1:$1048576,25,0),0)</f>
        <v>0</v>
      </c>
      <c r="Y31" s="157">
        <f t="shared" si="8"/>
        <v>0</v>
      </c>
      <c r="Z31" s="157">
        <f>+U31+IFERROR(+VLOOKUP($A31,'B0 2264預收'!$1:$1048576,26,0),0)</f>
        <v>0</v>
      </c>
      <c r="AA31" s="157">
        <f t="shared" si="9"/>
        <v>0</v>
      </c>
      <c r="AB31" s="158">
        <f>+W31+IFERROR(VLOOKUP($A31,'A0 BS 1240在建'!$1:$1048576,29,0),0)</f>
        <v>0</v>
      </c>
      <c r="AC31" s="158">
        <f>+X31+IFERROR(VLOOKUP($A31,'B0 2264預收'!$1:$1048576,29,0),0)</f>
        <v>0</v>
      </c>
      <c r="AD31" s="158">
        <f t="shared" si="10"/>
        <v>0</v>
      </c>
      <c r="AE31" s="158">
        <f>+Z31+IFERROR(+VLOOKUP($A31,'B0 2264預收'!$1:$1048576,30,0),0)</f>
        <v>0</v>
      </c>
      <c r="AF31" s="158">
        <f t="shared" si="11"/>
        <v>0</v>
      </c>
      <c r="AG31" s="157">
        <f>+AB31+IFERROR(VLOOKUP($A31,'A0 BS 1240在建'!$1:$1048576,33,0),0)</f>
        <v>0</v>
      </c>
      <c r="AH31" s="157">
        <f>+AC31+IFERROR(VLOOKUP($A31,'B0 2264預收'!$1:$1048576,33,0),0)</f>
        <v>0</v>
      </c>
      <c r="AI31" s="157">
        <f t="shared" si="12"/>
        <v>0</v>
      </c>
      <c r="AJ31" s="157">
        <f>+AE31+IFERROR(+VLOOKUP($A31,'B0 2264預收'!$1:$1048576,34,0),0)</f>
        <v>0</v>
      </c>
      <c r="AK31" s="157">
        <f t="shared" si="13"/>
        <v>0</v>
      </c>
      <c r="AL31" s="158">
        <f>+AG31+IFERROR(VLOOKUP($A31,'A0 BS 1240在建'!$1:$1048576,37,0),0)</f>
        <v>0</v>
      </c>
      <c r="AM31" s="158">
        <f>+AH31+IFERROR(VLOOKUP($A31,'B0 2264預收'!$1:$1048576,37,0),0)</f>
        <v>0</v>
      </c>
      <c r="AN31" s="158">
        <f t="shared" si="14"/>
        <v>0</v>
      </c>
      <c r="AO31" s="158">
        <f>+AJ31+IFERROR(+VLOOKUP($A31,'B0 2264預收'!$1:$1048576,38,0),0)</f>
        <v>0</v>
      </c>
      <c r="AP31" s="158">
        <f t="shared" si="15"/>
        <v>0</v>
      </c>
      <c r="AQ31" s="157">
        <f>+AL31+IFERROR(VLOOKUP($A31,'A0 BS 1240在建'!$1:$1048576,41,0),0)</f>
        <v>0</v>
      </c>
      <c r="AR31" s="157">
        <f>+AM31+IFERROR(VLOOKUP($A31,'B0 2264預收'!$1:$1048576,41,0),0)</f>
        <v>0</v>
      </c>
      <c r="AS31" s="157">
        <f t="shared" si="16"/>
        <v>0</v>
      </c>
      <c r="AT31" s="157">
        <f>+AO31+IFERROR(+VLOOKUP($A31,'B0 2264預收'!$1:$1048576,42,0),0)</f>
        <v>0</v>
      </c>
      <c r="AU31" s="157">
        <f t="shared" si="17"/>
        <v>0</v>
      </c>
      <c r="AV31" s="158">
        <f>+AQ31+IFERROR(VLOOKUP($A31,'A0 BS 1240在建'!$1:$1048576,45,0),0)</f>
        <v>0</v>
      </c>
      <c r="AW31" s="158">
        <f>+AR31+IFERROR(VLOOKUP($A31,'B0 2264預收'!$1:$1048576,45,0),0)</f>
        <v>0</v>
      </c>
      <c r="AX31" s="158">
        <f t="shared" si="18"/>
        <v>0</v>
      </c>
      <c r="AY31" s="158">
        <f>+AT31+IFERROR(+VLOOKUP($A31,'B0 2264預收'!$1:$1048576,46,0),0)</f>
        <v>0</v>
      </c>
      <c r="AZ31" s="158">
        <f t="shared" si="19"/>
        <v>0</v>
      </c>
      <c r="BA31" s="157">
        <f>+AV31+IFERROR(VLOOKUP($A31,'A0 BS 1240在建'!$1:$1048576,49,0),0)</f>
        <v>0</v>
      </c>
      <c r="BB31" s="157">
        <f>+AW31+IFERROR(VLOOKUP($A31,'B0 2264預收'!$1:$1048576,49,0),0)</f>
        <v>0</v>
      </c>
      <c r="BC31" s="157">
        <f t="shared" si="20"/>
        <v>0</v>
      </c>
      <c r="BD31" s="157">
        <f>+AY31+IFERROR(+VLOOKUP($A31,'B0 2264預收'!$1:$1048576,50,0),0)</f>
        <v>0</v>
      </c>
      <c r="BE31" s="157">
        <f t="shared" si="21"/>
        <v>0</v>
      </c>
      <c r="BF31" s="158">
        <f>+BA31+IFERROR(VLOOKUP($A31,'A0 BS 1240在建'!$1:$1048576,53,0),0)</f>
        <v>0</v>
      </c>
      <c r="BG31" s="158">
        <f>+BB31+IFERROR(VLOOKUP($A31,'B0 2264預收'!$1:$1048576,53,0),0)</f>
        <v>0</v>
      </c>
      <c r="BH31" s="158">
        <f t="shared" si="22"/>
        <v>0</v>
      </c>
      <c r="BI31" s="158">
        <f>+BD31+IFERROR(+VLOOKUP($A31,'B0 2264預收'!$1:$1048576,54,0),0)</f>
        <v>0</v>
      </c>
      <c r="BJ31" s="158">
        <f t="shared" si="23"/>
        <v>0</v>
      </c>
      <c r="BK31" s="157">
        <f>+BF31+IFERROR(VLOOKUP($A31,'A0 BS 1240在建'!$1:$1048576,57,0),0)</f>
        <v>0</v>
      </c>
      <c r="BL31" s="157">
        <f>+BG31+IFERROR(VLOOKUP($A31,'B0 2264預收'!$1:$1048576,57,0),0)</f>
        <v>0</v>
      </c>
      <c r="BM31" s="157">
        <f t="shared" si="24"/>
        <v>0</v>
      </c>
      <c r="BN31" s="157">
        <f>+BI31+IFERROR(+VLOOKUP($A31,'B0 2264預收'!$1:$1048576,58,0),0)</f>
        <v>0</v>
      </c>
      <c r="BO31" s="157">
        <f t="shared" si="25"/>
        <v>0</v>
      </c>
      <c r="BP31" s="158">
        <f>+BK31+IFERROR(VLOOKUP($A31,'A0 BS 1240在建'!$1:$1048576,61,0),0)</f>
        <v>0</v>
      </c>
      <c r="BQ31" s="158">
        <f>+BL31+IFERROR(VLOOKUP($A31,'B0 2264預收'!$1:$1048576,61,0),0)</f>
        <v>0</v>
      </c>
      <c r="BR31" s="159">
        <f t="shared" si="26"/>
        <v>0</v>
      </c>
      <c r="BS31" s="158">
        <f>+BN31+IFERROR(+VLOOKUP($A31,'B0 2264預收'!$1:$1048576,62,0),0)</f>
        <v>0</v>
      </c>
      <c r="BT31" s="158">
        <f t="shared" si="27"/>
        <v>0</v>
      </c>
      <c r="BU31" s="157">
        <f>+IFERROR(VLOOKUP($A31,'A0 BS 1240在建'!$1:$1048576,77,0),0)</f>
        <v>0</v>
      </c>
      <c r="BV31" s="157">
        <f>+IFERROR(VLOOKUP($A31,'B0 2264預收'!$1:$1048576,77,0),0)</f>
        <v>0</v>
      </c>
      <c r="BW31" s="157">
        <f t="shared" si="28"/>
        <v>0</v>
      </c>
      <c r="BX31" s="157">
        <f>+IFERROR(+VLOOKUP($A31,'B0 2264預收'!$1:$1048576,78,0),0)</f>
        <v>0</v>
      </c>
      <c r="BY31" s="157">
        <f t="shared" si="29"/>
        <v>0</v>
      </c>
      <c r="BZ31" s="158">
        <f>IFERROR(+VLOOKUP($A31,'A0 BS 1240在建'!$1:$1048576,85,0),0)</f>
        <v>0</v>
      </c>
      <c r="CA31" s="158">
        <f>IFERROR(+VLOOKUP($A31,'B0 2264預收'!$1:$1048576,85,0),0)</f>
        <v>0</v>
      </c>
      <c r="CB31" s="158">
        <f t="shared" si="30"/>
        <v>0</v>
      </c>
      <c r="CC31" s="158">
        <f>+IFERROR(+VLOOKUP($A31,'B0 2264預收'!$1:$1048576,86,0),0)</f>
        <v>0</v>
      </c>
      <c r="CD31" s="158">
        <f t="shared" si="31"/>
        <v>0</v>
      </c>
      <c r="CE31" s="157">
        <f>+IFERROR(VLOOKUP($A31,'A0 BS 1240在建'!$1:$1048576,93,0),0)</f>
        <v>0</v>
      </c>
      <c r="CF31" s="157">
        <f>+IFERROR(VLOOKUP($A31,'B0 2264預收'!$1:$1048576,93,0),0)</f>
        <v>0</v>
      </c>
      <c r="CG31" s="157">
        <f t="shared" si="32"/>
        <v>0</v>
      </c>
      <c r="CH31" s="157">
        <f>+IFERROR(+VLOOKUP($A31,'B0 2264預收'!$1:$1048576,94,0),0)</f>
        <v>0</v>
      </c>
      <c r="CI31" s="157">
        <f t="shared" si="33"/>
        <v>0</v>
      </c>
      <c r="CJ31" s="158">
        <f>IFERROR(+VLOOKUP($A31,'A0 BS 1240在建'!$1:$1048576,101,0),0)</f>
        <v>0</v>
      </c>
      <c r="CK31" s="158">
        <f>IFERROR(+VLOOKUP($A31,'B0 2264預收'!$1:$1048576,101,0),0)</f>
        <v>0</v>
      </c>
      <c r="CL31" s="158">
        <f t="shared" si="34"/>
        <v>0</v>
      </c>
      <c r="CM31" s="158">
        <f>+IFERROR(+VLOOKUP($A31,'B0 2264預收'!$1:$1048576,102,0),0)</f>
        <v>0</v>
      </c>
      <c r="CN31" s="158">
        <f t="shared" si="35"/>
        <v>0</v>
      </c>
      <c r="CP31" s="160">
        <f t="shared" si="48"/>
        <v>0</v>
      </c>
      <c r="CQ31" s="118">
        <f>-E31</f>
        <v>0</v>
      </c>
      <c r="CR31" s="98">
        <f>+J31</f>
        <v>0</v>
      </c>
      <c r="CU31" s="165">
        <f t="shared" si="49"/>
        <v>0</v>
      </c>
      <c r="CW31" s="98">
        <f>+CU31</f>
        <v>0</v>
      </c>
      <c r="CY31" s="162" t="str">
        <f t="shared" si="38"/>
        <v/>
      </c>
      <c r="CZ31" s="98" t="str">
        <f t="shared" si="39"/>
        <v xml:space="preserve"> </v>
      </c>
      <c r="DA31" s="98" t="str">
        <f t="shared" si="40"/>
        <v xml:space="preserve"> </v>
      </c>
      <c r="DB31" s="98" t="str">
        <f t="shared" si="41"/>
        <v xml:space="preserve"> </v>
      </c>
      <c r="DC31" s="163">
        <f t="shared" si="42"/>
        <v>0</v>
      </c>
      <c r="DD31" s="162" t="str">
        <f t="shared" si="44"/>
        <v/>
      </c>
      <c r="DE31" s="98" t="str">
        <f t="shared" si="45"/>
        <v xml:space="preserve"> </v>
      </c>
      <c r="DF31" s="98" t="str">
        <f t="shared" si="46"/>
        <v xml:space="preserve"> </v>
      </c>
      <c r="DG31" s="98" t="str">
        <f t="shared" si="47"/>
        <v xml:space="preserve"> </v>
      </c>
      <c r="DH31" s="163">
        <f t="shared" si="43"/>
        <v>0</v>
      </c>
    </row>
    <row r="32" spans="1:112">
      <c r="A32" s="171" t="s">
        <v>361</v>
      </c>
      <c r="B32" s="172" t="s">
        <v>362</v>
      </c>
      <c r="C32" s="157">
        <f>IFERROR(VLOOKUP($A32,'A0 BS 1240在建'!$1:$1048576,5,0),0)</f>
        <v>0</v>
      </c>
      <c r="D32" s="157">
        <f>IFERROR(VLOOKUP($A32,'B0 2264預收'!$1:$1048576,5,0),0)</f>
        <v>0</v>
      </c>
      <c r="E32" s="157">
        <f t="shared" si="0"/>
        <v>0</v>
      </c>
      <c r="F32" s="157">
        <f>IFERROR(VLOOKUP($A32,'B0 2264預收'!$1:$1048576,6,0),0)</f>
        <v>0</v>
      </c>
      <c r="G32" s="157">
        <f t="shared" si="1"/>
        <v>0</v>
      </c>
      <c r="H32" s="158">
        <f>IFERROR(VLOOKUP($A32,'A0 BS 1240在建'!$1:$1048576,13,0),0)</f>
        <v>0</v>
      </c>
      <c r="I32" s="158">
        <f>IFERROR(VLOOKUP($A32,'B0 2264預收'!$1:$1048576,13,0),0)</f>
        <v>0</v>
      </c>
      <c r="J32" s="158">
        <f t="shared" si="2"/>
        <v>0</v>
      </c>
      <c r="K32" s="158">
        <f>IFERROR(VLOOKUP($A32,'B0 2264預收'!$1:$1048576,14,0),0)</f>
        <v>0</v>
      </c>
      <c r="L32" s="158">
        <f t="shared" si="3"/>
        <v>0</v>
      </c>
      <c r="M32" s="157">
        <f>H32+IFERROR(VLOOKUP($A32,'A0 BS 1240在建'!$1:$1048576,17,0),0)</f>
        <v>0</v>
      </c>
      <c r="N32" s="157">
        <f>I32+IFERROR(VLOOKUP($A32,'B0 2264預收'!$1:$1048576,17,0),0)</f>
        <v>0</v>
      </c>
      <c r="O32" s="157">
        <f t="shared" si="4"/>
        <v>0</v>
      </c>
      <c r="P32" s="157">
        <f>K32+IFERROR(+VLOOKUP($A32,'B0 2264預收'!$1:$1048576,18,0),0)</f>
        <v>0</v>
      </c>
      <c r="Q32" s="157">
        <f t="shared" si="5"/>
        <v>0</v>
      </c>
      <c r="R32" s="158">
        <f>M32+IFERROR(VLOOKUP($A32,'A0 BS 1240在建'!$1:$1048576,21,0),0)</f>
        <v>0</v>
      </c>
      <c r="S32" s="158">
        <f>+N32+IFERROR(VLOOKUP($A32,'B0 2264預收'!$1:$1048576,21,0),0)</f>
        <v>0</v>
      </c>
      <c r="T32" s="158">
        <f t="shared" si="6"/>
        <v>0</v>
      </c>
      <c r="U32" s="158">
        <f>+P32+IFERROR(+VLOOKUP($A32,'B0 2264預收'!$1:$1048576,22,0),0)</f>
        <v>0</v>
      </c>
      <c r="V32" s="158">
        <f t="shared" si="7"/>
        <v>0</v>
      </c>
      <c r="W32" s="157">
        <f>+R32+IFERROR(VLOOKUP($A32,'A0 BS 1240在建'!$1:$1048576,25,0),0)</f>
        <v>0</v>
      </c>
      <c r="X32" s="157">
        <f>+S32+IFERROR(VLOOKUP($A32,'B0 2264預收'!$1:$1048576,25,0),0)</f>
        <v>0</v>
      </c>
      <c r="Y32" s="157">
        <f t="shared" si="8"/>
        <v>0</v>
      </c>
      <c r="Z32" s="157">
        <f>+U32+IFERROR(+VLOOKUP($A32,'B0 2264預收'!$1:$1048576,26,0),0)</f>
        <v>0</v>
      </c>
      <c r="AA32" s="157">
        <f t="shared" si="9"/>
        <v>0</v>
      </c>
      <c r="AB32" s="158">
        <f>+W32+IFERROR(VLOOKUP($A32,'A0 BS 1240在建'!$1:$1048576,29,0),0)</f>
        <v>0</v>
      </c>
      <c r="AC32" s="158">
        <f>+X32+IFERROR(VLOOKUP($A32,'B0 2264預收'!$1:$1048576,29,0),0)</f>
        <v>0</v>
      </c>
      <c r="AD32" s="158">
        <f t="shared" si="10"/>
        <v>0</v>
      </c>
      <c r="AE32" s="158">
        <f>+Z32+IFERROR(+VLOOKUP($A32,'B0 2264預收'!$1:$1048576,30,0),0)</f>
        <v>0</v>
      </c>
      <c r="AF32" s="158">
        <f t="shared" si="11"/>
        <v>0</v>
      </c>
      <c r="AG32" s="157">
        <f>+AB32+IFERROR(VLOOKUP($A32,'A0 BS 1240在建'!$1:$1048576,33,0),0)</f>
        <v>0</v>
      </c>
      <c r="AH32" s="157">
        <f>+AC32+IFERROR(VLOOKUP($A32,'B0 2264預收'!$1:$1048576,33,0),0)</f>
        <v>0</v>
      </c>
      <c r="AI32" s="157">
        <f t="shared" si="12"/>
        <v>0</v>
      </c>
      <c r="AJ32" s="157">
        <f>+AE32+IFERROR(+VLOOKUP($A32,'B0 2264預收'!$1:$1048576,34,0),0)</f>
        <v>0</v>
      </c>
      <c r="AK32" s="157">
        <f t="shared" si="13"/>
        <v>0</v>
      </c>
      <c r="AL32" s="158">
        <f>+AG32+IFERROR(VLOOKUP($A32,'A0 BS 1240在建'!$1:$1048576,37,0),0)</f>
        <v>0</v>
      </c>
      <c r="AM32" s="158">
        <f>+AH32+IFERROR(VLOOKUP($A32,'B0 2264預收'!$1:$1048576,37,0),0)</f>
        <v>0</v>
      </c>
      <c r="AN32" s="158">
        <f t="shared" si="14"/>
        <v>0</v>
      </c>
      <c r="AO32" s="158">
        <f>+AJ32+IFERROR(+VLOOKUP($A32,'B0 2264預收'!$1:$1048576,38,0),0)</f>
        <v>0</v>
      </c>
      <c r="AP32" s="158">
        <f t="shared" si="15"/>
        <v>0</v>
      </c>
      <c r="AQ32" s="157">
        <f>+AL32+IFERROR(VLOOKUP($A32,'A0 BS 1240在建'!$1:$1048576,41,0),0)</f>
        <v>0</v>
      </c>
      <c r="AR32" s="157">
        <f>+AM32+IFERROR(VLOOKUP($A32,'B0 2264預收'!$1:$1048576,41,0),0)</f>
        <v>0</v>
      </c>
      <c r="AS32" s="157">
        <f t="shared" si="16"/>
        <v>0</v>
      </c>
      <c r="AT32" s="157">
        <f>+AO32+IFERROR(+VLOOKUP($A32,'B0 2264預收'!$1:$1048576,42,0),0)</f>
        <v>0</v>
      </c>
      <c r="AU32" s="157">
        <f t="shared" si="17"/>
        <v>0</v>
      </c>
      <c r="AV32" s="158">
        <f>+AQ32+IFERROR(VLOOKUP($A32,'A0 BS 1240在建'!$1:$1048576,45,0),0)</f>
        <v>0</v>
      </c>
      <c r="AW32" s="158">
        <f>+AR32+IFERROR(VLOOKUP($A32,'B0 2264預收'!$1:$1048576,45,0),0)</f>
        <v>0</v>
      </c>
      <c r="AX32" s="158">
        <f t="shared" si="18"/>
        <v>0</v>
      </c>
      <c r="AY32" s="158">
        <f>+AT32+IFERROR(+VLOOKUP($A32,'B0 2264預收'!$1:$1048576,46,0),0)</f>
        <v>0</v>
      </c>
      <c r="AZ32" s="158">
        <f t="shared" si="19"/>
        <v>0</v>
      </c>
      <c r="BA32" s="157">
        <f>+AV32+IFERROR(VLOOKUP($A32,'A0 BS 1240在建'!$1:$1048576,49,0),0)</f>
        <v>0</v>
      </c>
      <c r="BB32" s="157">
        <f>+AW32+IFERROR(VLOOKUP($A32,'B0 2264預收'!$1:$1048576,49,0),0)</f>
        <v>0</v>
      </c>
      <c r="BC32" s="157">
        <f t="shared" si="20"/>
        <v>0</v>
      </c>
      <c r="BD32" s="157">
        <f>+AY32+IFERROR(+VLOOKUP($A32,'B0 2264預收'!$1:$1048576,50,0),0)</f>
        <v>0</v>
      </c>
      <c r="BE32" s="157">
        <f t="shared" si="21"/>
        <v>0</v>
      </c>
      <c r="BF32" s="158">
        <f>+BA32+IFERROR(VLOOKUP($A32,'A0 BS 1240在建'!$1:$1048576,53,0),0)</f>
        <v>0</v>
      </c>
      <c r="BG32" s="158">
        <f>+BB32+IFERROR(VLOOKUP($A32,'B0 2264預收'!$1:$1048576,53,0),0)</f>
        <v>0</v>
      </c>
      <c r="BH32" s="158">
        <f t="shared" si="22"/>
        <v>0</v>
      </c>
      <c r="BI32" s="158">
        <f>+BD32+IFERROR(+VLOOKUP($A32,'B0 2264預收'!$1:$1048576,54,0),0)</f>
        <v>0</v>
      </c>
      <c r="BJ32" s="158">
        <f t="shared" si="23"/>
        <v>0</v>
      </c>
      <c r="BK32" s="157">
        <f>+BF32+IFERROR(VLOOKUP($A32,'A0 BS 1240在建'!$1:$1048576,57,0),0)</f>
        <v>0</v>
      </c>
      <c r="BL32" s="157">
        <f>+BG32+IFERROR(VLOOKUP($A32,'B0 2264預收'!$1:$1048576,57,0),0)</f>
        <v>0</v>
      </c>
      <c r="BM32" s="157">
        <f t="shared" si="24"/>
        <v>0</v>
      </c>
      <c r="BN32" s="157">
        <f>+BI32+IFERROR(+VLOOKUP($A32,'B0 2264預收'!$1:$1048576,58,0),0)</f>
        <v>0</v>
      </c>
      <c r="BO32" s="157">
        <f t="shared" si="25"/>
        <v>0</v>
      </c>
      <c r="BP32" s="158">
        <f>+BK32+IFERROR(VLOOKUP($A32,'A0 BS 1240在建'!$1:$1048576,61,0),0)</f>
        <v>0</v>
      </c>
      <c r="BQ32" s="158">
        <f>+BL32+IFERROR(VLOOKUP($A32,'B0 2264預收'!$1:$1048576,61,0),0)</f>
        <v>0</v>
      </c>
      <c r="BR32" s="159">
        <f t="shared" si="26"/>
        <v>0</v>
      </c>
      <c r="BS32" s="158">
        <f>+BN32+IFERROR(+VLOOKUP($A32,'B0 2264預收'!$1:$1048576,62,0),0)</f>
        <v>0</v>
      </c>
      <c r="BT32" s="158">
        <f t="shared" si="27"/>
        <v>0</v>
      </c>
      <c r="BU32" s="157">
        <f>+IFERROR(VLOOKUP($A32,'A0 BS 1240在建'!$1:$1048576,77,0),0)</f>
        <v>0</v>
      </c>
      <c r="BV32" s="157">
        <f>+IFERROR(VLOOKUP($A32,'B0 2264預收'!$1:$1048576,77,0),0)</f>
        <v>0</v>
      </c>
      <c r="BW32" s="157">
        <f t="shared" si="28"/>
        <v>0</v>
      </c>
      <c r="BX32" s="157">
        <f>+IFERROR(+VLOOKUP($A32,'B0 2264預收'!$1:$1048576,78,0),0)</f>
        <v>0</v>
      </c>
      <c r="BY32" s="157">
        <f t="shared" si="29"/>
        <v>0</v>
      </c>
      <c r="BZ32" s="158">
        <f>IFERROR(+VLOOKUP($A32,'A0 BS 1240在建'!$1:$1048576,85,0),0)</f>
        <v>0</v>
      </c>
      <c r="CA32" s="158">
        <f>IFERROR(+VLOOKUP($A32,'B0 2264預收'!$1:$1048576,85,0),0)</f>
        <v>0</v>
      </c>
      <c r="CB32" s="158">
        <f t="shared" si="30"/>
        <v>0</v>
      </c>
      <c r="CC32" s="158">
        <f>+IFERROR(+VLOOKUP($A32,'B0 2264預收'!$1:$1048576,86,0),0)</f>
        <v>0</v>
      </c>
      <c r="CD32" s="158">
        <f t="shared" si="31"/>
        <v>0</v>
      </c>
      <c r="CE32" s="157">
        <f>+IFERROR(VLOOKUP($A32,'A0 BS 1240在建'!$1:$1048576,93,0),0)</f>
        <v>0</v>
      </c>
      <c r="CF32" s="157">
        <f>+IFERROR(VLOOKUP($A32,'B0 2264預收'!$1:$1048576,93,0),0)</f>
        <v>0</v>
      </c>
      <c r="CG32" s="157">
        <f t="shared" si="32"/>
        <v>0</v>
      </c>
      <c r="CH32" s="157">
        <f>+IFERROR(+VLOOKUP($A32,'B0 2264預收'!$1:$1048576,94,0),0)</f>
        <v>0</v>
      </c>
      <c r="CI32" s="157">
        <f t="shared" si="33"/>
        <v>0</v>
      </c>
      <c r="CJ32" s="158">
        <f>IFERROR(+VLOOKUP($A32,'A0 BS 1240在建'!$1:$1048576,101,0),0)</f>
        <v>0</v>
      </c>
      <c r="CK32" s="158">
        <f>IFERROR(+VLOOKUP($A32,'B0 2264預收'!$1:$1048576,101,0),0)</f>
        <v>0</v>
      </c>
      <c r="CL32" s="158">
        <f t="shared" si="34"/>
        <v>0</v>
      </c>
      <c r="CM32" s="158">
        <f>+IFERROR(+VLOOKUP($A32,'B0 2264預收'!$1:$1048576,102,0),0)</f>
        <v>0</v>
      </c>
      <c r="CN32" s="158">
        <f t="shared" si="35"/>
        <v>0</v>
      </c>
      <c r="CP32" s="166">
        <f t="shared" si="48"/>
        <v>0</v>
      </c>
      <c r="CQ32" s="98">
        <f>+CP32</f>
        <v>0</v>
      </c>
      <c r="CU32" s="166">
        <f t="shared" si="49"/>
        <v>0</v>
      </c>
      <c r="CV32" s="98">
        <f>+CU32</f>
        <v>0</v>
      </c>
      <c r="CY32" s="162" t="str">
        <f t="shared" si="38"/>
        <v/>
      </c>
      <c r="CZ32" s="98" t="str">
        <f t="shared" si="39"/>
        <v xml:space="preserve"> </v>
      </c>
      <c r="DA32" s="98" t="str">
        <f t="shared" si="40"/>
        <v xml:space="preserve"> </v>
      </c>
      <c r="DB32" s="98" t="str">
        <f t="shared" si="41"/>
        <v xml:space="preserve"> </v>
      </c>
      <c r="DC32" s="163">
        <f t="shared" si="42"/>
        <v>0</v>
      </c>
      <c r="DD32" s="162" t="str">
        <f t="shared" si="44"/>
        <v/>
      </c>
      <c r="DE32" s="98" t="str">
        <f t="shared" si="45"/>
        <v xml:space="preserve"> </v>
      </c>
      <c r="DF32" s="98" t="str">
        <f t="shared" si="46"/>
        <v xml:space="preserve"> </v>
      </c>
      <c r="DG32" s="98" t="str">
        <f t="shared" si="47"/>
        <v xml:space="preserve"> </v>
      </c>
      <c r="DH32" s="163">
        <f t="shared" si="43"/>
        <v>0</v>
      </c>
    </row>
    <row r="33" spans="1:112">
      <c r="A33" s="171" t="s">
        <v>363</v>
      </c>
      <c r="B33" s="172" t="s">
        <v>364</v>
      </c>
      <c r="C33" s="157">
        <f>IFERROR(VLOOKUP($A33,'A0 BS 1240在建'!$1:$1048576,5,0),0)</f>
        <v>0</v>
      </c>
      <c r="D33" s="157">
        <f>IFERROR(VLOOKUP($A33,'B0 2264預收'!$1:$1048576,5,0),0)</f>
        <v>0</v>
      </c>
      <c r="E33" s="157">
        <f t="shared" si="0"/>
        <v>0</v>
      </c>
      <c r="F33" s="157">
        <f>IFERROR(VLOOKUP($A33,'B0 2264預收'!$1:$1048576,6,0),0)</f>
        <v>0</v>
      </c>
      <c r="G33" s="157">
        <f t="shared" si="1"/>
        <v>0</v>
      </c>
      <c r="H33" s="158">
        <f>IFERROR(VLOOKUP($A33,'A0 BS 1240在建'!$1:$1048576,13,0),0)</f>
        <v>0</v>
      </c>
      <c r="I33" s="158">
        <f>IFERROR(VLOOKUP($A33,'B0 2264預收'!$1:$1048576,13,0),0)</f>
        <v>0</v>
      </c>
      <c r="J33" s="158">
        <f t="shared" si="2"/>
        <v>0</v>
      </c>
      <c r="K33" s="158">
        <f>IFERROR(VLOOKUP($A33,'B0 2264預收'!$1:$1048576,14,0),0)</f>
        <v>0</v>
      </c>
      <c r="L33" s="158">
        <f t="shared" si="3"/>
        <v>0</v>
      </c>
      <c r="M33" s="157">
        <f>H33+IFERROR(VLOOKUP($A33,'A0 BS 1240在建'!$1:$1048576,17,0),0)</f>
        <v>0</v>
      </c>
      <c r="N33" s="157">
        <f>I33+IFERROR(VLOOKUP($A33,'B0 2264預收'!$1:$1048576,17,0),0)</f>
        <v>0</v>
      </c>
      <c r="O33" s="157">
        <f t="shared" si="4"/>
        <v>0</v>
      </c>
      <c r="P33" s="157">
        <f>K33+IFERROR(+VLOOKUP($A33,'B0 2264預收'!$1:$1048576,18,0),0)</f>
        <v>0</v>
      </c>
      <c r="Q33" s="157">
        <f t="shared" si="5"/>
        <v>0</v>
      </c>
      <c r="R33" s="158">
        <f>M33+IFERROR(VLOOKUP($A33,'A0 BS 1240在建'!$1:$1048576,21,0),0)</f>
        <v>0</v>
      </c>
      <c r="S33" s="158">
        <f>+N33+IFERROR(VLOOKUP($A33,'B0 2264預收'!$1:$1048576,21,0),0)</f>
        <v>0</v>
      </c>
      <c r="T33" s="158">
        <f t="shared" si="6"/>
        <v>0</v>
      </c>
      <c r="U33" s="158">
        <f>+P33+IFERROR(+VLOOKUP($A33,'B0 2264預收'!$1:$1048576,22,0),0)</f>
        <v>0</v>
      </c>
      <c r="V33" s="158">
        <f t="shared" si="7"/>
        <v>0</v>
      </c>
      <c r="W33" s="157">
        <f>+R33+IFERROR(VLOOKUP($A33,'A0 BS 1240在建'!$1:$1048576,25,0),0)</f>
        <v>0</v>
      </c>
      <c r="X33" s="157">
        <f>+S33+IFERROR(VLOOKUP($A33,'B0 2264預收'!$1:$1048576,25,0),0)</f>
        <v>0</v>
      </c>
      <c r="Y33" s="157">
        <f t="shared" si="8"/>
        <v>0</v>
      </c>
      <c r="Z33" s="157">
        <f>+U33+IFERROR(+VLOOKUP($A33,'B0 2264預收'!$1:$1048576,26,0),0)</f>
        <v>0</v>
      </c>
      <c r="AA33" s="157">
        <f t="shared" si="9"/>
        <v>0</v>
      </c>
      <c r="AB33" s="158">
        <f>+W33+IFERROR(VLOOKUP($A33,'A0 BS 1240在建'!$1:$1048576,29,0),0)</f>
        <v>0</v>
      </c>
      <c r="AC33" s="158">
        <f>+X33+IFERROR(VLOOKUP($A33,'B0 2264預收'!$1:$1048576,29,0),0)</f>
        <v>0</v>
      </c>
      <c r="AD33" s="158">
        <f t="shared" si="10"/>
        <v>0</v>
      </c>
      <c r="AE33" s="158">
        <f>+Z33+IFERROR(+VLOOKUP($A33,'B0 2264預收'!$1:$1048576,30,0),0)</f>
        <v>0</v>
      </c>
      <c r="AF33" s="158">
        <f t="shared" si="11"/>
        <v>0</v>
      </c>
      <c r="AG33" s="157">
        <f>+AB33+IFERROR(VLOOKUP($A33,'A0 BS 1240在建'!$1:$1048576,33,0),0)</f>
        <v>0</v>
      </c>
      <c r="AH33" s="157">
        <f>+AC33+IFERROR(VLOOKUP($A33,'B0 2264預收'!$1:$1048576,33,0),0)</f>
        <v>0</v>
      </c>
      <c r="AI33" s="157">
        <f t="shared" si="12"/>
        <v>0</v>
      </c>
      <c r="AJ33" s="157">
        <f>+AE33+IFERROR(+VLOOKUP($A33,'B0 2264預收'!$1:$1048576,34,0),0)</f>
        <v>0</v>
      </c>
      <c r="AK33" s="157">
        <f t="shared" si="13"/>
        <v>0</v>
      </c>
      <c r="AL33" s="158">
        <f>+AG33+IFERROR(VLOOKUP($A33,'A0 BS 1240在建'!$1:$1048576,37,0),0)</f>
        <v>0</v>
      </c>
      <c r="AM33" s="158">
        <f>+AH33+IFERROR(VLOOKUP($A33,'B0 2264預收'!$1:$1048576,37,0),0)</f>
        <v>0</v>
      </c>
      <c r="AN33" s="158">
        <f t="shared" si="14"/>
        <v>0</v>
      </c>
      <c r="AO33" s="158">
        <f>+AJ33+IFERROR(+VLOOKUP($A33,'B0 2264預收'!$1:$1048576,38,0),0)</f>
        <v>0</v>
      </c>
      <c r="AP33" s="158">
        <f t="shared" si="15"/>
        <v>0</v>
      </c>
      <c r="AQ33" s="157">
        <f>+AL33+IFERROR(VLOOKUP($A33,'A0 BS 1240在建'!$1:$1048576,41,0),0)</f>
        <v>0</v>
      </c>
      <c r="AR33" s="157">
        <f>+AM33+IFERROR(VLOOKUP($A33,'B0 2264預收'!$1:$1048576,41,0),0)</f>
        <v>0</v>
      </c>
      <c r="AS33" s="157">
        <f t="shared" si="16"/>
        <v>0</v>
      </c>
      <c r="AT33" s="157">
        <f>+AO33+IFERROR(+VLOOKUP($A33,'B0 2264預收'!$1:$1048576,42,0),0)</f>
        <v>0</v>
      </c>
      <c r="AU33" s="157">
        <f t="shared" si="17"/>
        <v>0</v>
      </c>
      <c r="AV33" s="158">
        <f>+AQ33+IFERROR(VLOOKUP($A33,'A0 BS 1240在建'!$1:$1048576,45,0),0)</f>
        <v>0</v>
      </c>
      <c r="AW33" s="158">
        <f>+AR33+IFERROR(VLOOKUP($A33,'B0 2264預收'!$1:$1048576,45,0),0)</f>
        <v>0</v>
      </c>
      <c r="AX33" s="158">
        <f t="shared" si="18"/>
        <v>0</v>
      </c>
      <c r="AY33" s="158">
        <f>+AT33+IFERROR(+VLOOKUP($A33,'B0 2264預收'!$1:$1048576,46,0),0)</f>
        <v>0</v>
      </c>
      <c r="AZ33" s="158">
        <f t="shared" si="19"/>
        <v>0</v>
      </c>
      <c r="BA33" s="157">
        <f>+AV33+IFERROR(VLOOKUP($A33,'A0 BS 1240在建'!$1:$1048576,49,0),0)</f>
        <v>0</v>
      </c>
      <c r="BB33" s="157">
        <f>+AW33+IFERROR(VLOOKUP($A33,'B0 2264預收'!$1:$1048576,49,0),0)</f>
        <v>0</v>
      </c>
      <c r="BC33" s="157">
        <f t="shared" si="20"/>
        <v>0</v>
      </c>
      <c r="BD33" s="157">
        <f>+AY33+IFERROR(+VLOOKUP($A33,'B0 2264預收'!$1:$1048576,50,0),0)</f>
        <v>0</v>
      </c>
      <c r="BE33" s="157">
        <f t="shared" si="21"/>
        <v>0</v>
      </c>
      <c r="BF33" s="158">
        <f>+BA33+IFERROR(VLOOKUP($A33,'A0 BS 1240在建'!$1:$1048576,53,0),0)</f>
        <v>0</v>
      </c>
      <c r="BG33" s="158">
        <f>+BB33+IFERROR(VLOOKUP($A33,'B0 2264預收'!$1:$1048576,53,0),0)</f>
        <v>0</v>
      </c>
      <c r="BH33" s="158">
        <f t="shared" si="22"/>
        <v>0</v>
      </c>
      <c r="BI33" s="158">
        <f>+BD33+IFERROR(+VLOOKUP($A33,'B0 2264預收'!$1:$1048576,54,0),0)</f>
        <v>0</v>
      </c>
      <c r="BJ33" s="158">
        <f t="shared" si="23"/>
        <v>0</v>
      </c>
      <c r="BK33" s="157">
        <f>+BF33+IFERROR(VLOOKUP($A33,'A0 BS 1240在建'!$1:$1048576,57,0),0)</f>
        <v>0</v>
      </c>
      <c r="BL33" s="157">
        <f>+BG33+IFERROR(VLOOKUP($A33,'B0 2264預收'!$1:$1048576,57,0),0)</f>
        <v>0</v>
      </c>
      <c r="BM33" s="157">
        <f t="shared" si="24"/>
        <v>0</v>
      </c>
      <c r="BN33" s="157">
        <f>+BI33+IFERROR(+VLOOKUP($A33,'B0 2264預收'!$1:$1048576,58,0),0)</f>
        <v>0</v>
      </c>
      <c r="BO33" s="157">
        <f t="shared" si="25"/>
        <v>0</v>
      </c>
      <c r="BP33" s="158">
        <f>+BK33+IFERROR(VLOOKUP($A33,'A0 BS 1240在建'!$1:$1048576,61,0),0)</f>
        <v>0</v>
      </c>
      <c r="BQ33" s="158">
        <f>+BL33+IFERROR(VLOOKUP($A33,'B0 2264預收'!$1:$1048576,61,0),0)</f>
        <v>0</v>
      </c>
      <c r="BR33" s="159">
        <f t="shared" si="26"/>
        <v>0</v>
      </c>
      <c r="BS33" s="158">
        <f>+BN33+IFERROR(+VLOOKUP($A33,'B0 2264預收'!$1:$1048576,62,0),0)</f>
        <v>0</v>
      </c>
      <c r="BT33" s="158">
        <f t="shared" si="27"/>
        <v>0</v>
      </c>
      <c r="BU33" s="157">
        <f>+IFERROR(VLOOKUP($A33,'A0 BS 1240在建'!$1:$1048576,77,0),0)</f>
        <v>0</v>
      </c>
      <c r="BV33" s="157">
        <f>+IFERROR(VLOOKUP($A33,'B0 2264預收'!$1:$1048576,77,0),0)</f>
        <v>0</v>
      </c>
      <c r="BW33" s="157">
        <f t="shared" si="28"/>
        <v>0</v>
      </c>
      <c r="BX33" s="157">
        <f>+IFERROR(+VLOOKUP($A33,'B0 2264預收'!$1:$1048576,78,0),0)</f>
        <v>0</v>
      </c>
      <c r="BY33" s="157">
        <f t="shared" si="29"/>
        <v>0</v>
      </c>
      <c r="BZ33" s="158">
        <f>IFERROR(+VLOOKUP($A33,'A0 BS 1240在建'!$1:$1048576,85,0),0)</f>
        <v>0</v>
      </c>
      <c r="CA33" s="158">
        <f>IFERROR(+VLOOKUP($A33,'B0 2264預收'!$1:$1048576,85,0),0)</f>
        <v>0</v>
      </c>
      <c r="CB33" s="158">
        <f t="shared" si="30"/>
        <v>0</v>
      </c>
      <c r="CC33" s="158">
        <f>+IFERROR(+VLOOKUP($A33,'B0 2264預收'!$1:$1048576,86,0),0)</f>
        <v>0</v>
      </c>
      <c r="CD33" s="158">
        <f t="shared" si="31"/>
        <v>0</v>
      </c>
      <c r="CE33" s="157">
        <f>+IFERROR(VLOOKUP($A33,'A0 BS 1240在建'!$1:$1048576,93,0),0)</f>
        <v>0</v>
      </c>
      <c r="CF33" s="157">
        <f>+IFERROR(VLOOKUP($A33,'B0 2264預收'!$1:$1048576,93,0),0)</f>
        <v>0</v>
      </c>
      <c r="CG33" s="157">
        <f t="shared" si="32"/>
        <v>0</v>
      </c>
      <c r="CH33" s="157">
        <f>+IFERROR(+VLOOKUP($A33,'B0 2264預收'!$1:$1048576,94,0),0)</f>
        <v>0</v>
      </c>
      <c r="CI33" s="157">
        <f t="shared" si="33"/>
        <v>0</v>
      </c>
      <c r="CJ33" s="158">
        <f>IFERROR(+VLOOKUP($A33,'A0 BS 1240在建'!$1:$1048576,101,0),0)</f>
        <v>0</v>
      </c>
      <c r="CK33" s="158">
        <f>IFERROR(+VLOOKUP($A33,'B0 2264預收'!$1:$1048576,101,0),0)</f>
        <v>0</v>
      </c>
      <c r="CL33" s="158">
        <f t="shared" si="34"/>
        <v>0</v>
      </c>
      <c r="CM33" s="158">
        <f>+IFERROR(+VLOOKUP($A33,'B0 2264預收'!$1:$1048576,102,0),0)</f>
        <v>0</v>
      </c>
      <c r="CN33" s="158">
        <f t="shared" si="35"/>
        <v>0</v>
      </c>
      <c r="CP33" s="160">
        <f t="shared" si="48"/>
        <v>0</v>
      </c>
      <c r="CQ33" s="118">
        <f>-E33</f>
        <v>0</v>
      </c>
      <c r="CR33" s="98">
        <f>+J33</f>
        <v>0</v>
      </c>
      <c r="CU33" s="165">
        <f t="shared" si="49"/>
        <v>0</v>
      </c>
      <c r="CW33" s="98">
        <f>+CU33</f>
        <v>0</v>
      </c>
      <c r="CY33" s="162" t="str">
        <f t="shared" si="38"/>
        <v/>
      </c>
      <c r="CZ33" s="98" t="str">
        <f t="shared" si="39"/>
        <v xml:space="preserve"> </v>
      </c>
      <c r="DA33" s="98" t="str">
        <f t="shared" si="40"/>
        <v xml:space="preserve"> </v>
      </c>
      <c r="DB33" s="98" t="str">
        <f t="shared" si="41"/>
        <v xml:space="preserve"> </v>
      </c>
      <c r="DC33" s="163">
        <f t="shared" si="42"/>
        <v>0</v>
      </c>
      <c r="DD33" s="162" t="str">
        <f t="shared" si="44"/>
        <v/>
      </c>
      <c r="DE33" s="98" t="str">
        <f t="shared" si="45"/>
        <v xml:space="preserve"> </v>
      </c>
      <c r="DF33" s="98" t="str">
        <f t="shared" si="46"/>
        <v xml:space="preserve"> </v>
      </c>
      <c r="DG33" s="98" t="str">
        <f t="shared" si="47"/>
        <v xml:space="preserve"> </v>
      </c>
      <c r="DH33" s="163">
        <f t="shared" si="43"/>
        <v>0</v>
      </c>
    </row>
    <row r="34" spans="1:112">
      <c r="A34" s="171" t="s">
        <v>365</v>
      </c>
      <c r="B34" s="172" t="s">
        <v>366</v>
      </c>
      <c r="C34" s="157">
        <f>IFERROR(VLOOKUP($A34,'A0 BS 1240在建'!$1:$1048576,5,0),0)</f>
        <v>0</v>
      </c>
      <c r="D34" s="157">
        <f>IFERROR(VLOOKUP($A34,'B0 2264預收'!$1:$1048576,5,0),0)</f>
        <v>0</v>
      </c>
      <c r="E34" s="157">
        <f t="shared" si="0"/>
        <v>0</v>
      </c>
      <c r="F34" s="157">
        <f>IFERROR(VLOOKUP($A34,'B0 2264預收'!$1:$1048576,6,0),0)</f>
        <v>0</v>
      </c>
      <c r="G34" s="157">
        <f t="shared" si="1"/>
        <v>0</v>
      </c>
      <c r="H34" s="158">
        <f>IFERROR(VLOOKUP($A34,'A0 BS 1240在建'!$1:$1048576,13,0),0)</f>
        <v>0</v>
      </c>
      <c r="I34" s="158">
        <f>IFERROR(VLOOKUP($A34,'B0 2264預收'!$1:$1048576,13,0),0)</f>
        <v>0</v>
      </c>
      <c r="J34" s="158">
        <f t="shared" si="2"/>
        <v>0</v>
      </c>
      <c r="K34" s="158">
        <f>IFERROR(VLOOKUP($A34,'B0 2264預收'!$1:$1048576,14,0),0)</f>
        <v>0</v>
      </c>
      <c r="L34" s="158">
        <f t="shared" si="3"/>
        <v>0</v>
      </c>
      <c r="M34" s="157">
        <f>H34+IFERROR(VLOOKUP($A34,'A0 BS 1240在建'!$1:$1048576,17,0),0)</f>
        <v>0</v>
      </c>
      <c r="N34" s="157">
        <f>I34+IFERROR(VLOOKUP($A34,'B0 2264預收'!$1:$1048576,17,0),0)</f>
        <v>0</v>
      </c>
      <c r="O34" s="157">
        <f t="shared" si="4"/>
        <v>0</v>
      </c>
      <c r="P34" s="157">
        <f>K34+IFERROR(+VLOOKUP($A34,'B0 2264預收'!$1:$1048576,18,0),0)</f>
        <v>0</v>
      </c>
      <c r="Q34" s="157">
        <f t="shared" si="5"/>
        <v>0</v>
      </c>
      <c r="R34" s="158">
        <f>M34+IFERROR(VLOOKUP($A34,'A0 BS 1240在建'!$1:$1048576,21,0),0)</f>
        <v>0</v>
      </c>
      <c r="S34" s="158">
        <f>+N34+IFERROR(VLOOKUP($A34,'B0 2264預收'!$1:$1048576,21,0),0)</f>
        <v>0</v>
      </c>
      <c r="T34" s="158">
        <f t="shared" si="6"/>
        <v>0</v>
      </c>
      <c r="U34" s="158">
        <f>+P34+IFERROR(+VLOOKUP($A34,'B0 2264預收'!$1:$1048576,22,0),0)</f>
        <v>0</v>
      </c>
      <c r="V34" s="158">
        <f t="shared" si="7"/>
        <v>0</v>
      </c>
      <c r="W34" s="157">
        <f>+R34+IFERROR(VLOOKUP($A34,'A0 BS 1240在建'!$1:$1048576,25,0),0)</f>
        <v>0</v>
      </c>
      <c r="X34" s="157">
        <f>+S34+IFERROR(VLOOKUP($A34,'B0 2264預收'!$1:$1048576,25,0),0)</f>
        <v>0</v>
      </c>
      <c r="Y34" s="157">
        <f t="shared" si="8"/>
        <v>0</v>
      </c>
      <c r="Z34" s="157">
        <f>+U34+IFERROR(+VLOOKUP($A34,'B0 2264預收'!$1:$1048576,26,0),0)</f>
        <v>0</v>
      </c>
      <c r="AA34" s="157">
        <f t="shared" si="9"/>
        <v>0</v>
      </c>
      <c r="AB34" s="158">
        <f>+W34+IFERROR(VLOOKUP($A34,'A0 BS 1240在建'!$1:$1048576,29,0),0)</f>
        <v>0</v>
      </c>
      <c r="AC34" s="158">
        <f>+X34+IFERROR(VLOOKUP($A34,'B0 2264預收'!$1:$1048576,29,0),0)</f>
        <v>0</v>
      </c>
      <c r="AD34" s="158">
        <f t="shared" si="10"/>
        <v>0</v>
      </c>
      <c r="AE34" s="158">
        <f>+Z34+IFERROR(+VLOOKUP($A34,'B0 2264預收'!$1:$1048576,30,0),0)</f>
        <v>0</v>
      </c>
      <c r="AF34" s="158">
        <f t="shared" si="11"/>
        <v>0</v>
      </c>
      <c r="AG34" s="157">
        <f>+AB34+IFERROR(VLOOKUP($A34,'A0 BS 1240在建'!$1:$1048576,33,0),0)</f>
        <v>0</v>
      </c>
      <c r="AH34" s="157">
        <f>+AC34+IFERROR(VLOOKUP($A34,'B0 2264預收'!$1:$1048576,33,0),0)</f>
        <v>0</v>
      </c>
      <c r="AI34" s="157">
        <f t="shared" si="12"/>
        <v>0</v>
      </c>
      <c r="AJ34" s="157">
        <f>+AE34+IFERROR(+VLOOKUP($A34,'B0 2264預收'!$1:$1048576,34,0),0)</f>
        <v>0</v>
      </c>
      <c r="AK34" s="157">
        <f t="shared" si="13"/>
        <v>0</v>
      </c>
      <c r="AL34" s="158">
        <f>+AG34+IFERROR(VLOOKUP($A34,'A0 BS 1240在建'!$1:$1048576,37,0),0)</f>
        <v>0</v>
      </c>
      <c r="AM34" s="158">
        <f>+AH34+IFERROR(VLOOKUP($A34,'B0 2264預收'!$1:$1048576,37,0),0)</f>
        <v>0</v>
      </c>
      <c r="AN34" s="158">
        <f t="shared" si="14"/>
        <v>0</v>
      </c>
      <c r="AO34" s="158">
        <f>+AJ34+IFERROR(+VLOOKUP($A34,'B0 2264預收'!$1:$1048576,38,0),0)</f>
        <v>0</v>
      </c>
      <c r="AP34" s="158">
        <f t="shared" si="15"/>
        <v>0</v>
      </c>
      <c r="AQ34" s="157">
        <f>+AL34+IFERROR(VLOOKUP($A34,'A0 BS 1240在建'!$1:$1048576,41,0),0)</f>
        <v>0</v>
      </c>
      <c r="AR34" s="157">
        <f>+AM34+IFERROR(VLOOKUP($A34,'B0 2264預收'!$1:$1048576,41,0),0)</f>
        <v>0</v>
      </c>
      <c r="AS34" s="157">
        <f t="shared" si="16"/>
        <v>0</v>
      </c>
      <c r="AT34" s="157">
        <f>+AO34+IFERROR(+VLOOKUP($A34,'B0 2264預收'!$1:$1048576,42,0),0)</f>
        <v>0</v>
      </c>
      <c r="AU34" s="157">
        <f t="shared" si="17"/>
        <v>0</v>
      </c>
      <c r="AV34" s="158">
        <f>+AQ34+IFERROR(VLOOKUP($A34,'A0 BS 1240在建'!$1:$1048576,45,0),0)</f>
        <v>0</v>
      </c>
      <c r="AW34" s="158">
        <f>+AR34+IFERROR(VLOOKUP($A34,'B0 2264預收'!$1:$1048576,45,0),0)</f>
        <v>0</v>
      </c>
      <c r="AX34" s="158">
        <f t="shared" si="18"/>
        <v>0</v>
      </c>
      <c r="AY34" s="158">
        <f>+AT34+IFERROR(+VLOOKUP($A34,'B0 2264預收'!$1:$1048576,46,0),0)</f>
        <v>0</v>
      </c>
      <c r="AZ34" s="158">
        <f t="shared" si="19"/>
        <v>0</v>
      </c>
      <c r="BA34" s="157">
        <f>+AV34+IFERROR(VLOOKUP($A34,'A0 BS 1240在建'!$1:$1048576,49,0),0)</f>
        <v>0</v>
      </c>
      <c r="BB34" s="157">
        <f>+AW34+IFERROR(VLOOKUP($A34,'B0 2264預收'!$1:$1048576,49,0),0)</f>
        <v>0</v>
      </c>
      <c r="BC34" s="157">
        <f t="shared" si="20"/>
        <v>0</v>
      </c>
      <c r="BD34" s="157">
        <f>+AY34+IFERROR(+VLOOKUP($A34,'B0 2264預收'!$1:$1048576,50,0),0)</f>
        <v>0</v>
      </c>
      <c r="BE34" s="157">
        <f t="shared" si="21"/>
        <v>0</v>
      </c>
      <c r="BF34" s="158">
        <f>+BA34+IFERROR(VLOOKUP($A34,'A0 BS 1240在建'!$1:$1048576,53,0),0)</f>
        <v>0</v>
      </c>
      <c r="BG34" s="158">
        <f>+BB34+IFERROR(VLOOKUP($A34,'B0 2264預收'!$1:$1048576,53,0),0)</f>
        <v>0</v>
      </c>
      <c r="BH34" s="158">
        <f t="shared" si="22"/>
        <v>0</v>
      </c>
      <c r="BI34" s="158">
        <f>+BD34+IFERROR(+VLOOKUP($A34,'B0 2264預收'!$1:$1048576,54,0),0)</f>
        <v>0</v>
      </c>
      <c r="BJ34" s="158">
        <f t="shared" si="23"/>
        <v>0</v>
      </c>
      <c r="BK34" s="157">
        <f>+BF34+IFERROR(VLOOKUP($A34,'A0 BS 1240在建'!$1:$1048576,57,0),0)</f>
        <v>0</v>
      </c>
      <c r="BL34" s="157">
        <f>+BG34+IFERROR(VLOOKUP($A34,'B0 2264預收'!$1:$1048576,57,0),0)</f>
        <v>0</v>
      </c>
      <c r="BM34" s="157">
        <f t="shared" si="24"/>
        <v>0</v>
      </c>
      <c r="BN34" s="157">
        <f>+BI34+IFERROR(+VLOOKUP($A34,'B0 2264預收'!$1:$1048576,58,0),0)</f>
        <v>0</v>
      </c>
      <c r="BO34" s="157">
        <f t="shared" si="25"/>
        <v>0</v>
      </c>
      <c r="BP34" s="158">
        <f>+BK34+IFERROR(VLOOKUP($A34,'A0 BS 1240在建'!$1:$1048576,61,0),0)</f>
        <v>0</v>
      </c>
      <c r="BQ34" s="158">
        <f>+BL34+IFERROR(VLOOKUP($A34,'B0 2264預收'!$1:$1048576,61,0),0)</f>
        <v>0</v>
      </c>
      <c r="BR34" s="159">
        <f t="shared" si="26"/>
        <v>0</v>
      </c>
      <c r="BS34" s="158">
        <f>+BN34+IFERROR(+VLOOKUP($A34,'B0 2264預收'!$1:$1048576,62,0),0)</f>
        <v>0</v>
      </c>
      <c r="BT34" s="158">
        <f t="shared" si="27"/>
        <v>0</v>
      </c>
      <c r="BU34" s="157">
        <f>+IFERROR(VLOOKUP($A34,'A0 BS 1240在建'!$1:$1048576,77,0),0)</f>
        <v>0</v>
      </c>
      <c r="BV34" s="157">
        <f>+IFERROR(VLOOKUP($A34,'B0 2264預收'!$1:$1048576,77,0),0)</f>
        <v>0</v>
      </c>
      <c r="BW34" s="157">
        <f t="shared" si="28"/>
        <v>0</v>
      </c>
      <c r="BX34" s="157">
        <f>+IFERROR(+VLOOKUP($A34,'B0 2264預收'!$1:$1048576,78,0),0)</f>
        <v>0</v>
      </c>
      <c r="BY34" s="157">
        <f t="shared" si="29"/>
        <v>0</v>
      </c>
      <c r="BZ34" s="158">
        <f>IFERROR(+VLOOKUP($A34,'A0 BS 1240在建'!$1:$1048576,85,0),0)</f>
        <v>0</v>
      </c>
      <c r="CA34" s="158">
        <f>IFERROR(+VLOOKUP($A34,'B0 2264預收'!$1:$1048576,85,0),0)</f>
        <v>0</v>
      </c>
      <c r="CB34" s="158">
        <f t="shared" si="30"/>
        <v>0</v>
      </c>
      <c r="CC34" s="158">
        <f>+IFERROR(+VLOOKUP($A34,'B0 2264預收'!$1:$1048576,86,0),0)</f>
        <v>0</v>
      </c>
      <c r="CD34" s="158">
        <f t="shared" si="31"/>
        <v>0</v>
      </c>
      <c r="CE34" s="157">
        <f>+IFERROR(VLOOKUP($A34,'A0 BS 1240在建'!$1:$1048576,93,0),0)</f>
        <v>0</v>
      </c>
      <c r="CF34" s="157">
        <f>+IFERROR(VLOOKUP($A34,'B0 2264預收'!$1:$1048576,93,0),0)</f>
        <v>0</v>
      </c>
      <c r="CG34" s="157">
        <f t="shared" si="32"/>
        <v>0</v>
      </c>
      <c r="CH34" s="157">
        <f>+IFERROR(+VLOOKUP($A34,'B0 2264預收'!$1:$1048576,94,0),0)</f>
        <v>0</v>
      </c>
      <c r="CI34" s="157">
        <f t="shared" si="33"/>
        <v>0</v>
      </c>
      <c r="CJ34" s="158">
        <f>IFERROR(+VLOOKUP($A34,'A0 BS 1240在建'!$1:$1048576,101,0),0)</f>
        <v>0</v>
      </c>
      <c r="CK34" s="158">
        <f>IFERROR(+VLOOKUP($A34,'B0 2264預收'!$1:$1048576,101,0),0)</f>
        <v>0</v>
      </c>
      <c r="CL34" s="158">
        <f t="shared" si="34"/>
        <v>0</v>
      </c>
      <c r="CM34" s="158">
        <f>+IFERROR(+VLOOKUP($A34,'B0 2264預收'!$1:$1048576,102,0),0)</f>
        <v>0</v>
      </c>
      <c r="CN34" s="158">
        <f t="shared" si="35"/>
        <v>0</v>
      </c>
      <c r="CP34" s="166">
        <f t="shared" si="48"/>
        <v>0</v>
      </c>
      <c r="CQ34" s="98">
        <f>+CP34</f>
        <v>0</v>
      </c>
      <c r="CU34" s="160">
        <f t="shared" si="49"/>
        <v>0</v>
      </c>
      <c r="CV34" s="98">
        <f>-J34</f>
        <v>0</v>
      </c>
      <c r="CW34" s="98">
        <f>+BR34</f>
        <v>0</v>
      </c>
      <c r="CY34" s="162" t="str">
        <f t="shared" si="38"/>
        <v/>
      </c>
      <c r="CZ34" s="98" t="str">
        <f t="shared" si="39"/>
        <v xml:space="preserve"> </v>
      </c>
      <c r="DA34" s="98" t="str">
        <f t="shared" si="40"/>
        <v xml:space="preserve"> </v>
      </c>
      <c r="DB34" s="98" t="str">
        <f t="shared" si="41"/>
        <v xml:space="preserve"> </v>
      </c>
      <c r="DC34" s="163">
        <f t="shared" si="42"/>
        <v>0</v>
      </c>
      <c r="DD34" s="162" t="str">
        <f t="shared" si="44"/>
        <v/>
      </c>
      <c r="DE34" s="98" t="str">
        <f t="shared" si="45"/>
        <v xml:space="preserve"> </v>
      </c>
      <c r="DF34" s="98" t="str">
        <f t="shared" si="46"/>
        <v xml:space="preserve"> </v>
      </c>
      <c r="DG34" s="98" t="str">
        <f t="shared" si="47"/>
        <v xml:space="preserve"> </v>
      </c>
      <c r="DH34" s="163">
        <f t="shared" si="43"/>
        <v>0</v>
      </c>
    </row>
    <row r="35" spans="1:112">
      <c r="A35" s="171" t="s">
        <v>367</v>
      </c>
      <c r="B35" s="172" t="s">
        <v>368</v>
      </c>
      <c r="C35" s="157">
        <f>IFERROR(VLOOKUP($A35,'A0 BS 1240在建'!$1:$1048576,5,0),0)</f>
        <v>0</v>
      </c>
      <c r="D35" s="157">
        <f>IFERROR(VLOOKUP($A35,'B0 2264預收'!$1:$1048576,5,0),0)</f>
        <v>0</v>
      </c>
      <c r="E35" s="157">
        <f t="shared" si="0"/>
        <v>0</v>
      </c>
      <c r="F35" s="157">
        <f>IFERROR(VLOOKUP($A35,'B0 2264預收'!$1:$1048576,6,0),0)</f>
        <v>0</v>
      </c>
      <c r="G35" s="157">
        <f t="shared" si="1"/>
        <v>0</v>
      </c>
      <c r="H35" s="158">
        <f>IFERROR(VLOOKUP($A35,'A0 BS 1240在建'!$1:$1048576,13,0),0)</f>
        <v>0</v>
      </c>
      <c r="I35" s="158">
        <f>IFERROR(VLOOKUP($A35,'B0 2264預收'!$1:$1048576,13,0),0)</f>
        <v>0</v>
      </c>
      <c r="J35" s="158">
        <f t="shared" si="2"/>
        <v>0</v>
      </c>
      <c r="K35" s="158">
        <f>IFERROR(VLOOKUP($A35,'B0 2264預收'!$1:$1048576,14,0),0)</f>
        <v>0</v>
      </c>
      <c r="L35" s="158">
        <f t="shared" si="3"/>
        <v>0</v>
      </c>
      <c r="M35" s="157">
        <f>H35+IFERROR(VLOOKUP($A35,'A0 BS 1240在建'!$1:$1048576,17,0),0)</f>
        <v>0</v>
      </c>
      <c r="N35" s="157">
        <f>I35+IFERROR(VLOOKUP($A35,'B0 2264預收'!$1:$1048576,17,0),0)</f>
        <v>0</v>
      </c>
      <c r="O35" s="157">
        <f t="shared" si="4"/>
        <v>0</v>
      </c>
      <c r="P35" s="157">
        <f>K35+IFERROR(+VLOOKUP($A35,'B0 2264預收'!$1:$1048576,18,0),0)</f>
        <v>0</v>
      </c>
      <c r="Q35" s="157">
        <f t="shared" si="5"/>
        <v>0</v>
      </c>
      <c r="R35" s="158">
        <f>M35+IFERROR(VLOOKUP($A35,'A0 BS 1240在建'!$1:$1048576,21,0),0)</f>
        <v>0</v>
      </c>
      <c r="S35" s="158">
        <f>+N35+IFERROR(VLOOKUP($A35,'B0 2264預收'!$1:$1048576,21,0),0)</f>
        <v>0</v>
      </c>
      <c r="T35" s="158">
        <f t="shared" si="6"/>
        <v>0</v>
      </c>
      <c r="U35" s="158">
        <f>+P35+IFERROR(+VLOOKUP($A35,'B0 2264預收'!$1:$1048576,22,0),0)</f>
        <v>0</v>
      </c>
      <c r="V35" s="158">
        <f t="shared" si="7"/>
        <v>0</v>
      </c>
      <c r="W35" s="157">
        <f>+R35+IFERROR(VLOOKUP($A35,'A0 BS 1240在建'!$1:$1048576,25,0),0)</f>
        <v>0</v>
      </c>
      <c r="X35" s="157">
        <f>+S35+IFERROR(VLOOKUP($A35,'B0 2264預收'!$1:$1048576,25,0),0)</f>
        <v>0</v>
      </c>
      <c r="Y35" s="157">
        <f t="shared" si="8"/>
        <v>0</v>
      </c>
      <c r="Z35" s="157">
        <f>+U35+IFERROR(+VLOOKUP($A35,'B0 2264預收'!$1:$1048576,26,0),0)</f>
        <v>0</v>
      </c>
      <c r="AA35" s="157">
        <f t="shared" si="9"/>
        <v>0</v>
      </c>
      <c r="AB35" s="158">
        <f>+W35+IFERROR(VLOOKUP($A35,'A0 BS 1240在建'!$1:$1048576,29,0),0)</f>
        <v>0</v>
      </c>
      <c r="AC35" s="158">
        <f>+X35+IFERROR(VLOOKUP($A35,'B0 2264預收'!$1:$1048576,29,0),0)</f>
        <v>0</v>
      </c>
      <c r="AD35" s="158">
        <f t="shared" si="10"/>
        <v>0</v>
      </c>
      <c r="AE35" s="158">
        <f>+Z35+IFERROR(+VLOOKUP($A35,'B0 2264預收'!$1:$1048576,30,0),0)</f>
        <v>0</v>
      </c>
      <c r="AF35" s="158">
        <f t="shared" si="11"/>
        <v>0</v>
      </c>
      <c r="AG35" s="157">
        <f>+AB35+IFERROR(VLOOKUP($A35,'A0 BS 1240在建'!$1:$1048576,33,0),0)</f>
        <v>0</v>
      </c>
      <c r="AH35" s="157">
        <f>+AC35+IFERROR(VLOOKUP($A35,'B0 2264預收'!$1:$1048576,33,0),0)</f>
        <v>0</v>
      </c>
      <c r="AI35" s="157">
        <f t="shared" si="12"/>
        <v>0</v>
      </c>
      <c r="AJ35" s="157">
        <f>+AE35+IFERROR(+VLOOKUP($A35,'B0 2264預收'!$1:$1048576,34,0),0)</f>
        <v>0</v>
      </c>
      <c r="AK35" s="157">
        <f t="shared" si="13"/>
        <v>0</v>
      </c>
      <c r="AL35" s="158">
        <f>+AG35+IFERROR(VLOOKUP($A35,'A0 BS 1240在建'!$1:$1048576,37,0),0)</f>
        <v>0</v>
      </c>
      <c r="AM35" s="158">
        <f>+AH35+IFERROR(VLOOKUP($A35,'B0 2264預收'!$1:$1048576,37,0),0)</f>
        <v>0</v>
      </c>
      <c r="AN35" s="158">
        <f t="shared" si="14"/>
        <v>0</v>
      </c>
      <c r="AO35" s="158">
        <f>+AJ35+IFERROR(+VLOOKUP($A35,'B0 2264預收'!$1:$1048576,38,0),0)</f>
        <v>0</v>
      </c>
      <c r="AP35" s="158">
        <f t="shared" si="15"/>
        <v>0</v>
      </c>
      <c r="AQ35" s="157">
        <f>+AL35+IFERROR(VLOOKUP($A35,'A0 BS 1240在建'!$1:$1048576,41,0),0)</f>
        <v>0</v>
      </c>
      <c r="AR35" s="157">
        <f>+AM35+IFERROR(VLOOKUP($A35,'B0 2264預收'!$1:$1048576,41,0),0)</f>
        <v>0</v>
      </c>
      <c r="AS35" s="157">
        <f t="shared" si="16"/>
        <v>0</v>
      </c>
      <c r="AT35" s="157">
        <f>+AO35+IFERROR(+VLOOKUP($A35,'B0 2264預收'!$1:$1048576,42,0),0)</f>
        <v>0</v>
      </c>
      <c r="AU35" s="157">
        <f t="shared" si="17"/>
        <v>0</v>
      </c>
      <c r="AV35" s="158">
        <f>+AQ35+IFERROR(VLOOKUP($A35,'A0 BS 1240在建'!$1:$1048576,45,0),0)</f>
        <v>0</v>
      </c>
      <c r="AW35" s="158">
        <f>+AR35+IFERROR(VLOOKUP($A35,'B0 2264預收'!$1:$1048576,45,0),0)</f>
        <v>0</v>
      </c>
      <c r="AX35" s="158">
        <f t="shared" si="18"/>
        <v>0</v>
      </c>
      <c r="AY35" s="158">
        <f>+AT35+IFERROR(+VLOOKUP($A35,'B0 2264預收'!$1:$1048576,46,0),0)</f>
        <v>0</v>
      </c>
      <c r="AZ35" s="158">
        <f t="shared" si="19"/>
        <v>0</v>
      </c>
      <c r="BA35" s="157">
        <f>+AV35+IFERROR(VLOOKUP($A35,'A0 BS 1240在建'!$1:$1048576,49,0),0)</f>
        <v>0</v>
      </c>
      <c r="BB35" s="157">
        <f>+AW35+IFERROR(VLOOKUP($A35,'B0 2264預收'!$1:$1048576,49,0),0)</f>
        <v>0</v>
      </c>
      <c r="BC35" s="157">
        <f t="shared" si="20"/>
        <v>0</v>
      </c>
      <c r="BD35" s="157">
        <f>+AY35+IFERROR(+VLOOKUP($A35,'B0 2264預收'!$1:$1048576,50,0),0)</f>
        <v>0</v>
      </c>
      <c r="BE35" s="157">
        <f t="shared" si="21"/>
        <v>0</v>
      </c>
      <c r="BF35" s="158">
        <f>+BA35+IFERROR(VLOOKUP($A35,'A0 BS 1240在建'!$1:$1048576,53,0),0)</f>
        <v>0</v>
      </c>
      <c r="BG35" s="158">
        <f>+BB35+IFERROR(VLOOKUP($A35,'B0 2264預收'!$1:$1048576,53,0),0)</f>
        <v>0</v>
      </c>
      <c r="BH35" s="158">
        <f t="shared" si="22"/>
        <v>0</v>
      </c>
      <c r="BI35" s="158">
        <f>+BD35+IFERROR(+VLOOKUP($A35,'B0 2264預收'!$1:$1048576,54,0),0)</f>
        <v>0</v>
      </c>
      <c r="BJ35" s="158">
        <f t="shared" si="23"/>
        <v>0</v>
      </c>
      <c r="BK35" s="157">
        <f>+BF35+IFERROR(VLOOKUP($A35,'A0 BS 1240在建'!$1:$1048576,57,0),0)</f>
        <v>0</v>
      </c>
      <c r="BL35" s="157">
        <f>+BG35+IFERROR(VLOOKUP($A35,'B0 2264預收'!$1:$1048576,57,0),0)</f>
        <v>0</v>
      </c>
      <c r="BM35" s="157">
        <f t="shared" si="24"/>
        <v>0</v>
      </c>
      <c r="BN35" s="157">
        <f>+BI35+IFERROR(+VLOOKUP($A35,'B0 2264預收'!$1:$1048576,58,0),0)</f>
        <v>0</v>
      </c>
      <c r="BO35" s="157">
        <f t="shared" si="25"/>
        <v>0</v>
      </c>
      <c r="BP35" s="158">
        <f>+BK35+IFERROR(VLOOKUP($A35,'A0 BS 1240在建'!$1:$1048576,61,0),0)</f>
        <v>0</v>
      </c>
      <c r="BQ35" s="158">
        <f>+BL35+IFERROR(VLOOKUP($A35,'B0 2264預收'!$1:$1048576,61,0),0)</f>
        <v>0</v>
      </c>
      <c r="BR35" s="159">
        <f t="shared" si="26"/>
        <v>0</v>
      </c>
      <c r="BS35" s="158">
        <f>+BN35+IFERROR(+VLOOKUP($A35,'B0 2264預收'!$1:$1048576,62,0),0)</f>
        <v>0</v>
      </c>
      <c r="BT35" s="158">
        <f t="shared" si="27"/>
        <v>0</v>
      </c>
      <c r="BU35" s="157">
        <f>+IFERROR(VLOOKUP($A35,'A0 BS 1240在建'!$1:$1048576,77,0),0)</f>
        <v>0</v>
      </c>
      <c r="BV35" s="157">
        <f>+IFERROR(VLOOKUP($A35,'B0 2264預收'!$1:$1048576,77,0),0)</f>
        <v>0</v>
      </c>
      <c r="BW35" s="157">
        <f t="shared" si="28"/>
        <v>0</v>
      </c>
      <c r="BX35" s="157">
        <f>+IFERROR(+VLOOKUP($A35,'B0 2264預收'!$1:$1048576,78,0),0)</f>
        <v>0</v>
      </c>
      <c r="BY35" s="157">
        <f t="shared" si="29"/>
        <v>0</v>
      </c>
      <c r="BZ35" s="158">
        <f>IFERROR(+VLOOKUP($A35,'A0 BS 1240在建'!$1:$1048576,85,0),0)</f>
        <v>0</v>
      </c>
      <c r="CA35" s="158">
        <f>IFERROR(+VLOOKUP($A35,'B0 2264預收'!$1:$1048576,85,0),0)</f>
        <v>0</v>
      </c>
      <c r="CB35" s="158">
        <f t="shared" si="30"/>
        <v>0</v>
      </c>
      <c r="CC35" s="158">
        <f>+IFERROR(+VLOOKUP($A35,'B0 2264預收'!$1:$1048576,86,0),0)</f>
        <v>0</v>
      </c>
      <c r="CD35" s="158">
        <f t="shared" si="31"/>
        <v>0</v>
      </c>
      <c r="CE35" s="157">
        <f>+IFERROR(VLOOKUP($A35,'A0 BS 1240在建'!$1:$1048576,93,0),0)</f>
        <v>0</v>
      </c>
      <c r="CF35" s="157">
        <f>+IFERROR(VLOOKUP($A35,'B0 2264預收'!$1:$1048576,93,0),0)</f>
        <v>0</v>
      </c>
      <c r="CG35" s="157">
        <f t="shared" si="32"/>
        <v>0</v>
      </c>
      <c r="CH35" s="157">
        <f>+IFERROR(+VLOOKUP($A35,'B0 2264預收'!$1:$1048576,94,0),0)</f>
        <v>0</v>
      </c>
      <c r="CI35" s="157">
        <f t="shared" si="33"/>
        <v>0</v>
      </c>
      <c r="CJ35" s="158">
        <f>IFERROR(+VLOOKUP($A35,'A0 BS 1240在建'!$1:$1048576,101,0),0)</f>
        <v>0</v>
      </c>
      <c r="CK35" s="158">
        <f>IFERROR(+VLOOKUP($A35,'B0 2264預收'!$1:$1048576,101,0),0)</f>
        <v>0</v>
      </c>
      <c r="CL35" s="158">
        <f t="shared" si="34"/>
        <v>0</v>
      </c>
      <c r="CM35" s="158">
        <f>+IFERROR(+VLOOKUP($A35,'B0 2264預收'!$1:$1048576,102,0),0)</f>
        <v>0</v>
      </c>
      <c r="CN35" s="158">
        <f t="shared" si="35"/>
        <v>0</v>
      </c>
      <c r="CP35" s="160">
        <f t="shared" si="48"/>
        <v>0</v>
      </c>
      <c r="CQ35" s="118">
        <f>-E35</f>
        <v>0</v>
      </c>
      <c r="CR35" s="98">
        <f>+J35</f>
        <v>0</v>
      </c>
      <c r="CU35" s="165">
        <f t="shared" si="49"/>
        <v>0</v>
      </c>
      <c r="CW35" s="98">
        <f>+CU35</f>
        <v>0</v>
      </c>
      <c r="CY35" s="162" t="str">
        <f t="shared" si="38"/>
        <v/>
      </c>
      <c r="CZ35" s="98" t="str">
        <f t="shared" si="39"/>
        <v xml:space="preserve"> </v>
      </c>
      <c r="DA35" s="98" t="str">
        <f t="shared" si="40"/>
        <v xml:space="preserve"> </v>
      </c>
      <c r="DB35" s="98" t="str">
        <f t="shared" si="41"/>
        <v xml:space="preserve"> </v>
      </c>
      <c r="DC35" s="163">
        <f t="shared" si="42"/>
        <v>0</v>
      </c>
      <c r="DD35" s="162" t="str">
        <f t="shared" si="44"/>
        <v/>
      </c>
      <c r="DE35" s="98" t="str">
        <f t="shared" si="45"/>
        <v xml:space="preserve"> </v>
      </c>
      <c r="DF35" s="98" t="str">
        <f t="shared" si="46"/>
        <v xml:space="preserve"> </v>
      </c>
      <c r="DG35" s="98" t="str">
        <f t="shared" si="47"/>
        <v xml:space="preserve"> </v>
      </c>
      <c r="DH35" s="163">
        <f t="shared" si="43"/>
        <v>0</v>
      </c>
    </row>
    <row r="36" spans="1:112">
      <c r="A36" s="171" t="s">
        <v>369</v>
      </c>
      <c r="B36" s="172" t="s">
        <v>370</v>
      </c>
      <c r="C36" s="157">
        <f>IFERROR(VLOOKUP($A36,'A0 BS 1240在建'!$1:$1048576,5,0),0)</f>
        <v>0</v>
      </c>
      <c r="D36" s="157">
        <f>IFERROR(VLOOKUP($A36,'B0 2264預收'!$1:$1048576,5,0),0)</f>
        <v>0</v>
      </c>
      <c r="E36" s="157">
        <f t="shared" si="0"/>
        <v>0</v>
      </c>
      <c r="F36" s="157">
        <f>IFERROR(VLOOKUP($A36,'B0 2264預收'!$1:$1048576,6,0),0)</f>
        <v>0</v>
      </c>
      <c r="G36" s="157">
        <f t="shared" si="1"/>
        <v>0</v>
      </c>
      <c r="H36" s="158">
        <f>IFERROR(VLOOKUP($A36,'A0 BS 1240在建'!$1:$1048576,13,0),0)</f>
        <v>0</v>
      </c>
      <c r="I36" s="158">
        <f>IFERROR(VLOOKUP($A36,'B0 2264預收'!$1:$1048576,13,0),0)</f>
        <v>0</v>
      </c>
      <c r="J36" s="158">
        <f t="shared" si="2"/>
        <v>0</v>
      </c>
      <c r="K36" s="158">
        <f>IFERROR(VLOOKUP($A36,'B0 2264預收'!$1:$1048576,14,0),0)</f>
        <v>0</v>
      </c>
      <c r="L36" s="158">
        <f t="shared" si="3"/>
        <v>0</v>
      </c>
      <c r="M36" s="157">
        <f>H36+IFERROR(VLOOKUP($A36,'A0 BS 1240在建'!$1:$1048576,17,0),0)</f>
        <v>0</v>
      </c>
      <c r="N36" s="157">
        <f>I36+IFERROR(VLOOKUP($A36,'B0 2264預收'!$1:$1048576,17,0),0)</f>
        <v>0</v>
      </c>
      <c r="O36" s="157">
        <f t="shared" si="4"/>
        <v>0</v>
      </c>
      <c r="P36" s="157">
        <f>K36+IFERROR(+VLOOKUP($A36,'B0 2264預收'!$1:$1048576,18,0),0)</f>
        <v>0</v>
      </c>
      <c r="Q36" s="157">
        <f t="shared" si="5"/>
        <v>0</v>
      </c>
      <c r="R36" s="158">
        <f>M36+IFERROR(VLOOKUP($A36,'A0 BS 1240在建'!$1:$1048576,21,0),0)</f>
        <v>0</v>
      </c>
      <c r="S36" s="158">
        <f>+N36+IFERROR(VLOOKUP($A36,'B0 2264預收'!$1:$1048576,21,0),0)</f>
        <v>0</v>
      </c>
      <c r="T36" s="158">
        <f t="shared" si="6"/>
        <v>0</v>
      </c>
      <c r="U36" s="158">
        <f>+P36+IFERROR(+VLOOKUP($A36,'B0 2264預收'!$1:$1048576,22,0),0)</f>
        <v>0</v>
      </c>
      <c r="V36" s="158">
        <f t="shared" si="7"/>
        <v>0</v>
      </c>
      <c r="W36" s="157">
        <f>+R36+IFERROR(VLOOKUP($A36,'A0 BS 1240在建'!$1:$1048576,25,0),0)</f>
        <v>0</v>
      </c>
      <c r="X36" s="157">
        <f>+S36+IFERROR(VLOOKUP($A36,'B0 2264預收'!$1:$1048576,25,0),0)</f>
        <v>0</v>
      </c>
      <c r="Y36" s="157">
        <f t="shared" si="8"/>
        <v>0</v>
      </c>
      <c r="Z36" s="157">
        <f>+U36+IFERROR(+VLOOKUP($A36,'B0 2264預收'!$1:$1048576,26,0),0)</f>
        <v>0</v>
      </c>
      <c r="AA36" s="157">
        <f t="shared" si="9"/>
        <v>0</v>
      </c>
      <c r="AB36" s="158">
        <f>+W36+IFERROR(VLOOKUP($A36,'A0 BS 1240在建'!$1:$1048576,29,0),0)</f>
        <v>0</v>
      </c>
      <c r="AC36" s="158">
        <f>+X36+IFERROR(VLOOKUP($A36,'B0 2264預收'!$1:$1048576,29,0),0)</f>
        <v>0</v>
      </c>
      <c r="AD36" s="158">
        <f t="shared" si="10"/>
        <v>0</v>
      </c>
      <c r="AE36" s="158">
        <f>+Z36+IFERROR(+VLOOKUP($A36,'B0 2264預收'!$1:$1048576,30,0),0)</f>
        <v>0</v>
      </c>
      <c r="AF36" s="158">
        <f t="shared" si="11"/>
        <v>0</v>
      </c>
      <c r="AG36" s="157">
        <f>+AB36+IFERROR(VLOOKUP($A36,'A0 BS 1240在建'!$1:$1048576,33,0),0)</f>
        <v>0</v>
      </c>
      <c r="AH36" s="157">
        <f>+AC36+IFERROR(VLOOKUP($A36,'B0 2264預收'!$1:$1048576,33,0),0)</f>
        <v>0</v>
      </c>
      <c r="AI36" s="157">
        <f t="shared" si="12"/>
        <v>0</v>
      </c>
      <c r="AJ36" s="157">
        <f>+AE36+IFERROR(+VLOOKUP($A36,'B0 2264預收'!$1:$1048576,34,0),0)</f>
        <v>0</v>
      </c>
      <c r="AK36" s="157">
        <f t="shared" si="13"/>
        <v>0</v>
      </c>
      <c r="AL36" s="158">
        <f>+AG36+IFERROR(VLOOKUP($A36,'A0 BS 1240在建'!$1:$1048576,37,0),0)</f>
        <v>0</v>
      </c>
      <c r="AM36" s="158">
        <f>+AH36+IFERROR(VLOOKUP($A36,'B0 2264預收'!$1:$1048576,37,0),0)</f>
        <v>0</v>
      </c>
      <c r="AN36" s="158">
        <f t="shared" si="14"/>
        <v>0</v>
      </c>
      <c r="AO36" s="158">
        <f>+AJ36+IFERROR(+VLOOKUP($A36,'B0 2264預收'!$1:$1048576,38,0),0)</f>
        <v>0</v>
      </c>
      <c r="AP36" s="158">
        <f t="shared" si="15"/>
        <v>0</v>
      </c>
      <c r="AQ36" s="157">
        <f>+AL36+IFERROR(VLOOKUP($A36,'A0 BS 1240在建'!$1:$1048576,41,0),0)</f>
        <v>0</v>
      </c>
      <c r="AR36" s="157">
        <f>+AM36+IFERROR(VLOOKUP($A36,'B0 2264預收'!$1:$1048576,41,0),0)</f>
        <v>0</v>
      </c>
      <c r="AS36" s="157">
        <f t="shared" si="16"/>
        <v>0</v>
      </c>
      <c r="AT36" s="157">
        <f>+AO36+IFERROR(+VLOOKUP($A36,'B0 2264預收'!$1:$1048576,42,0),0)</f>
        <v>0</v>
      </c>
      <c r="AU36" s="157">
        <f t="shared" si="17"/>
        <v>0</v>
      </c>
      <c r="AV36" s="158">
        <f>+AQ36+IFERROR(VLOOKUP($A36,'A0 BS 1240在建'!$1:$1048576,45,0),0)</f>
        <v>0</v>
      </c>
      <c r="AW36" s="158">
        <f>+AR36+IFERROR(VLOOKUP($A36,'B0 2264預收'!$1:$1048576,45,0),0)</f>
        <v>0</v>
      </c>
      <c r="AX36" s="158">
        <f t="shared" si="18"/>
        <v>0</v>
      </c>
      <c r="AY36" s="158">
        <f>+AT36+IFERROR(+VLOOKUP($A36,'B0 2264預收'!$1:$1048576,46,0),0)</f>
        <v>0</v>
      </c>
      <c r="AZ36" s="158">
        <f t="shared" si="19"/>
        <v>0</v>
      </c>
      <c r="BA36" s="157">
        <f>+AV36+IFERROR(VLOOKUP($A36,'A0 BS 1240在建'!$1:$1048576,49,0),0)</f>
        <v>0</v>
      </c>
      <c r="BB36" s="157">
        <f>+AW36+IFERROR(VLOOKUP($A36,'B0 2264預收'!$1:$1048576,49,0),0)</f>
        <v>0</v>
      </c>
      <c r="BC36" s="157">
        <f t="shared" si="20"/>
        <v>0</v>
      </c>
      <c r="BD36" s="157">
        <f>+AY36+IFERROR(+VLOOKUP($A36,'B0 2264預收'!$1:$1048576,50,0),0)</f>
        <v>0</v>
      </c>
      <c r="BE36" s="157">
        <f t="shared" si="21"/>
        <v>0</v>
      </c>
      <c r="BF36" s="158">
        <f>+BA36+IFERROR(VLOOKUP($A36,'A0 BS 1240在建'!$1:$1048576,53,0),0)</f>
        <v>0</v>
      </c>
      <c r="BG36" s="158">
        <f>+BB36+IFERROR(VLOOKUP($A36,'B0 2264預收'!$1:$1048576,53,0),0)</f>
        <v>0</v>
      </c>
      <c r="BH36" s="158">
        <f t="shared" si="22"/>
        <v>0</v>
      </c>
      <c r="BI36" s="158">
        <f>+BD36+IFERROR(+VLOOKUP($A36,'B0 2264預收'!$1:$1048576,54,0),0)</f>
        <v>0</v>
      </c>
      <c r="BJ36" s="158">
        <f t="shared" si="23"/>
        <v>0</v>
      </c>
      <c r="BK36" s="157">
        <f>+BF36+IFERROR(VLOOKUP($A36,'A0 BS 1240在建'!$1:$1048576,57,0),0)</f>
        <v>0</v>
      </c>
      <c r="BL36" s="157">
        <f>+BG36+IFERROR(VLOOKUP($A36,'B0 2264預收'!$1:$1048576,57,0),0)</f>
        <v>0</v>
      </c>
      <c r="BM36" s="157">
        <f t="shared" si="24"/>
        <v>0</v>
      </c>
      <c r="BN36" s="157">
        <f>+BI36+IFERROR(+VLOOKUP($A36,'B0 2264預收'!$1:$1048576,58,0),0)</f>
        <v>0</v>
      </c>
      <c r="BO36" s="157">
        <f t="shared" si="25"/>
        <v>0</v>
      </c>
      <c r="BP36" s="158">
        <f>+BK36+IFERROR(VLOOKUP($A36,'A0 BS 1240在建'!$1:$1048576,61,0),0)</f>
        <v>0</v>
      </c>
      <c r="BQ36" s="158">
        <f>+BL36+IFERROR(VLOOKUP($A36,'B0 2264預收'!$1:$1048576,61,0),0)</f>
        <v>0</v>
      </c>
      <c r="BR36" s="159">
        <f t="shared" si="26"/>
        <v>0</v>
      </c>
      <c r="BS36" s="158">
        <f>+BN36+IFERROR(+VLOOKUP($A36,'B0 2264預收'!$1:$1048576,62,0),0)</f>
        <v>0</v>
      </c>
      <c r="BT36" s="158">
        <f t="shared" si="27"/>
        <v>0</v>
      </c>
      <c r="BU36" s="157">
        <f>+IFERROR(VLOOKUP($A36,'A0 BS 1240在建'!$1:$1048576,77,0),0)</f>
        <v>0</v>
      </c>
      <c r="BV36" s="157">
        <f>+IFERROR(VLOOKUP($A36,'B0 2264預收'!$1:$1048576,77,0),0)</f>
        <v>0</v>
      </c>
      <c r="BW36" s="157">
        <f t="shared" si="28"/>
        <v>0</v>
      </c>
      <c r="BX36" s="157">
        <f>+IFERROR(+VLOOKUP($A36,'B0 2264預收'!$1:$1048576,78,0),0)</f>
        <v>0</v>
      </c>
      <c r="BY36" s="157">
        <f t="shared" si="29"/>
        <v>0</v>
      </c>
      <c r="BZ36" s="158">
        <f>IFERROR(+VLOOKUP($A36,'A0 BS 1240在建'!$1:$1048576,85,0),0)</f>
        <v>0</v>
      </c>
      <c r="CA36" s="158">
        <f>IFERROR(+VLOOKUP($A36,'B0 2264預收'!$1:$1048576,85,0),0)</f>
        <v>0</v>
      </c>
      <c r="CB36" s="158">
        <f t="shared" si="30"/>
        <v>0</v>
      </c>
      <c r="CC36" s="158">
        <f>+IFERROR(+VLOOKUP($A36,'B0 2264預收'!$1:$1048576,86,0),0)</f>
        <v>0</v>
      </c>
      <c r="CD36" s="158">
        <f t="shared" si="31"/>
        <v>0</v>
      </c>
      <c r="CE36" s="157">
        <f>+IFERROR(VLOOKUP($A36,'A0 BS 1240在建'!$1:$1048576,93,0),0)</f>
        <v>0</v>
      </c>
      <c r="CF36" s="157">
        <f>+IFERROR(VLOOKUP($A36,'B0 2264預收'!$1:$1048576,93,0),0)</f>
        <v>0</v>
      </c>
      <c r="CG36" s="157">
        <f t="shared" si="32"/>
        <v>0</v>
      </c>
      <c r="CH36" s="157">
        <f>+IFERROR(+VLOOKUP($A36,'B0 2264預收'!$1:$1048576,94,0),0)</f>
        <v>0</v>
      </c>
      <c r="CI36" s="157">
        <f t="shared" si="33"/>
        <v>0</v>
      </c>
      <c r="CJ36" s="158">
        <f>IFERROR(+VLOOKUP($A36,'A0 BS 1240在建'!$1:$1048576,101,0),0)</f>
        <v>0</v>
      </c>
      <c r="CK36" s="158">
        <f>IFERROR(+VLOOKUP($A36,'B0 2264預收'!$1:$1048576,101,0),0)</f>
        <v>0</v>
      </c>
      <c r="CL36" s="158">
        <f t="shared" si="34"/>
        <v>0</v>
      </c>
      <c r="CM36" s="158">
        <f>+IFERROR(+VLOOKUP($A36,'B0 2264預收'!$1:$1048576,102,0),0)</f>
        <v>0</v>
      </c>
      <c r="CN36" s="158">
        <f t="shared" si="35"/>
        <v>0</v>
      </c>
      <c r="CP36" s="160">
        <f t="shared" si="48"/>
        <v>0</v>
      </c>
      <c r="CQ36" s="118">
        <f>-E36</f>
        <v>0</v>
      </c>
      <c r="CR36" s="98">
        <f>+J36</f>
        <v>0</v>
      </c>
      <c r="CU36" s="165">
        <f t="shared" si="49"/>
        <v>0</v>
      </c>
      <c r="CW36" s="98">
        <f>+CU36</f>
        <v>0</v>
      </c>
      <c r="CY36" s="162" t="str">
        <f t="shared" si="38"/>
        <v/>
      </c>
      <c r="CZ36" s="98" t="str">
        <f t="shared" si="39"/>
        <v xml:space="preserve"> </v>
      </c>
      <c r="DA36" s="98" t="str">
        <f t="shared" si="40"/>
        <v xml:space="preserve"> </v>
      </c>
      <c r="DB36" s="98" t="str">
        <f t="shared" si="41"/>
        <v xml:space="preserve"> </v>
      </c>
      <c r="DC36" s="163">
        <f t="shared" si="42"/>
        <v>0</v>
      </c>
      <c r="DD36" s="162" t="str">
        <f t="shared" si="44"/>
        <v/>
      </c>
      <c r="DE36" s="98" t="str">
        <f t="shared" si="45"/>
        <v xml:space="preserve"> </v>
      </c>
      <c r="DF36" s="98" t="str">
        <f t="shared" si="46"/>
        <v xml:space="preserve"> </v>
      </c>
      <c r="DG36" s="98" t="str">
        <f t="shared" si="47"/>
        <v xml:space="preserve"> </v>
      </c>
      <c r="DH36" s="163">
        <f t="shared" si="43"/>
        <v>0</v>
      </c>
    </row>
    <row r="37" spans="1:112">
      <c r="A37" s="171" t="s">
        <v>371</v>
      </c>
      <c r="B37" s="172" t="s">
        <v>372</v>
      </c>
      <c r="C37" s="157">
        <f>IFERROR(VLOOKUP($A37,'A0 BS 1240在建'!$1:$1048576,5,0),0)</f>
        <v>0</v>
      </c>
      <c r="D37" s="157">
        <f>IFERROR(VLOOKUP($A37,'B0 2264預收'!$1:$1048576,5,0),0)</f>
        <v>0</v>
      </c>
      <c r="E37" s="157">
        <f t="shared" ref="E37:E68" si="50">+C37-D37</f>
        <v>0</v>
      </c>
      <c r="F37" s="157">
        <f>IFERROR(VLOOKUP($A37,'B0 2264預收'!$1:$1048576,6,0),0)</f>
        <v>0</v>
      </c>
      <c r="G37" s="157">
        <f t="shared" ref="G37:G68" si="51">+E37-F37</f>
        <v>0</v>
      </c>
      <c r="H37" s="158">
        <f>IFERROR(VLOOKUP($A37,'A0 BS 1240在建'!$1:$1048576,13,0),0)</f>
        <v>0</v>
      </c>
      <c r="I37" s="158">
        <f>IFERROR(VLOOKUP($A37,'B0 2264預收'!$1:$1048576,13,0),0)</f>
        <v>0</v>
      </c>
      <c r="J37" s="158">
        <f t="shared" ref="J37:J68" si="52">+H37-I37</f>
        <v>0</v>
      </c>
      <c r="K37" s="158">
        <f>IFERROR(VLOOKUP($A37,'B0 2264預收'!$1:$1048576,14,0),0)</f>
        <v>0</v>
      </c>
      <c r="L37" s="158">
        <f t="shared" ref="L37:L68" si="53">+H37-I37-K37</f>
        <v>0</v>
      </c>
      <c r="M37" s="157">
        <f>H37+IFERROR(VLOOKUP($A37,'A0 BS 1240在建'!$1:$1048576,17,0),0)</f>
        <v>0</v>
      </c>
      <c r="N37" s="157">
        <f>I37+IFERROR(VLOOKUP($A37,'B0 2264預收'!$1:$1048576,17,0),0)</f>
        <v>0</v>
      </c>
      <c r="O37" s="157">
        <f t="shared" ref="O37:O68" si="54">+M37-N37</f>
        <v>0</v>
      </c>
      <c r="P37" s="157">
        <f>K37+IFERROR(+VLOOKUP($A37,'B0 2264預收'!$1:$1048576,18,0),0)</f>
        <v>0</v>
      </c>
      <c r="Q37" s="157">
        <f t="shared" ref="Q37:Q68" si="55">+O37-P37</f>
        <v>0</v>
      </c>
      <c r="R37" s="158">
        <f>M37+IFERROR(VLOOKUP($A37,'A0 BS 1240在建'!$1:$1048576,21,0),0)</f>
        <v>0</v>
      </c>
      <c r="S37" s="158">
        <f>+N37+IFERROR(VLOOKUP($A37,'B0 2264預收'!$1:$1048576,21,0),0)</f>
        <v>0</v>
      </c>
      <c r="T37" s="158">
        <f t="shared" ref="T37:T68" si="56">+R37-S37</f>
        <v>0</v>
      </c>
      <c r="U37" s="158">
        <f>+P37+IFERROR(+VLOOKUP($A37,'B0 2264預收'!$1:$1048576,22,0),0)</f>
        <v>0</v>
      </c>
      <c r="V37" s="158">
        <f t="shared" ref="V37:V68" si="57">+T37-U37</f>
        <v>0</v>
      </c>
      <c r="W37" s="157">
        <f>+R37+IFERROR(VLOOKUP($A37,'A0 BS 1240在建'!$1:$1048576,25,0),0)</f>
        <v>0</v>
      </c>
      <c r="X37" s="157">
        <f>+S37+IFERROR(VLOOKUP($A37,'B0 2264預收'!$1:$1048576,25,0),0)</f>
        <v>0</v>
      </c>
      <c r="Y37" s="157">
        <f t="shared" ref="Y37:Y68" si="58">+W37-X37</f>
        <v>0</v>
      </c>
      <c r="Z37" s="157">
        <f>+U37+IFERROR(+VLOOKUP($A37,'B0 2264預收'!$1:$1048576,26,0),0)</f>
        <v>0</v>
      </c>
      <c r="AA37" s="157">
        <f t="shared" ref="AA37:AA68" si="59">+Y37-Z37</f>
        <v>0</v>
      </c>
      <c r="AB37" s="158">
        <f>+W37+IFERROR(VLOOKUP($A37,'A0 BS 1240在建'!$1:$1048576,29,0),0)</f>
        <v>0</v>
      </c>
      <c r="AC37" s="158">
        <f>+X37+IFERROR(VLOOKUP($A37,'B0 2264預收'!$1:$1048576,29,0),0)</f>
        <v>0</v>
      </c>
      <c r="AD37" s="158">
        <f t="shared" ref="AD37:AD68" si="60">+AB37-AC37</f>
        <v>0</v>
      </c>
      <c r="AE37" s="158">
        <f>+Z37+IFERROR(+VLOOKUP($A37,'B0 2264預收'!$1:$1048576,30,0),0)</f>
        <v>0</v>
      </c>
      <c r="AF37" s="158">
        <f t="shared" ref="AF37:AF68" si="61">+AD37-AE37</f>
        <v>0</v>
      </c>
      <c r="AG37" s="157">
        <f>+AB37+IFERROR(VLOOKUP($A37,'A0 BS 1240在建'!$1:$1048576,33,0),0)</f>
        <v>0</v>
      </c>
      <c r="AH37" s="157">
        <f>+AC37+IFERROR(VLOOKUP($A37,'B0 2264預收'!$1:$1048576,33,0),0)</f>
        <v>0</v>
      </c>
      <c r="AI37" s="157">
        <f t="shared" ref="AI37:AI68" si="62">+AG37-AH37</f>
        <v>0</v>
      </c>
      <c r="AJ37" s="157">
        <f>+AE37+IFERROR(+VLOOKUP($A37,'B0 2264預收'!$1:$1048576,34,0),0)</f>
        <v>0</v>
      </c>
      <c r="AK37" s="157">
        <f t="shared" ref="AK37:AK68" si="63">+AI37-AJ37</f>
        <v>0</v>
      </c>
      <c r="AL37" s="158">
        <f>+AG37+IFERROR(VLOOKUP($A37,'A0 BS 1240在建'!$1:$1048576,37,0),0)</f>
        <v>0</v>
      </c>
      <c r="AM37" s="158">
        <f>+AH37+IFERROR(VLOOKUP($A37,'B0 2264預收'!$1:$1048576,37,0),0)</f>
        <v>0</v>
      </c>
      <c r="AN37" s="158">
        <f t="shared" ref="AN37:AN68" si="64">+AL37-AM37</f>
        <v>0</v>
      </c>
      <c r="AO37" s="158">
        <f>+AJ37+IFERROR(+VLOOKUP($A37,'B0 2264預收'!$1:$1048576,38,0),0)</f>
        <v>0</v>
      </c>
      <c r="AP37" s="158">
        <f t="shared" ref="AP37:AP68" si="65">+AN37-AO37</f>
        <v>0</v>
      </c>
      <c r="AQ37" s="157">
        <f>+AL37+IFERROR(VLOOKUP($A37,'A0 BS 1240在建'!$1:$1048576,41,0),0)</f>
        <v>0</v>
      </c>
      <c r="AR37" s="157">
        <f>+AM37+IFERROR(VLOOKUP($A37,'B0 2264預收'!$1:$1048576,41,0),0)</f>
        <v>0</v>
      </c>
      <c r="AS37" s="157">
        <f t="shared" ref="AS37:AS68" si="66">+AQ37-AR37</f>
        <v>0</v>
      </c>
      <c r="AT37" s="157">
        <f>+AO37+IFERROR(+VLOOKUP($A37,'B0 2264預收'!$1:$1048576,42,0),0)</f>
        <v>0</v>
      </c>
      <c r="AU37" s="157">
        <f t="shared" ref="AU37:AU68" si="67">+AS37-AT37</f>
        <v>0</v>
      </c>
      <c r="AV37" s="158">
        <f>+AQ37+IFERROR(VLOOKUP($A37,'A0 BS 1240在建'!$1:$1048576,45,0),0)</f>
        <v>0</v>
      </c>
      <c r="AW37" s="158">
        <f>+AR37+IFERROR(VLOOKUP($A37,'B0 2264預收'!$1:$1048576,45,0),0)</f>
        <v>0</v>
      </c>
      <c r="AX37" s="158">
        <f t="shared" ref="AX37:AX68" si="68">+AV37-AW37</f>
        <v>0</v>
      </c>
      <c r="AY37" s="158">
        <f>+AT37+IFERROR(+VLOOKUP($A37,'B0 2264預收'!$1:$1048576,46,0),0)</f>
        <v>0</v>
      </c>
      <c r="AZ37" s="158">
        <f t="shared" ref="AZ37:AZ68" si="69">+AX37-AY37</f>
        <v>0</v>
      </c>
      <c r="BA37" s="157">
        <f>+AV37+IFERROR(VLOOKUP($A37,'A0 BS 1240在建'!$1:$1048576,49,0),0)</f>
        <v>0</v>
      </c>
      <c r="BB37" s="157">
        <f>+AW37+IFERROR(VLOOKUP($A37,'B0 2264預收'!$1:$1048576,49,0),0)</f>
        <v>0</v>
      </c>
      <c r="BC37" s="157">
        <f t="shared" ref="BC37:BC68" si="70">+BA37-BB37</f>
        <v>0</v>
      </c>
      <c r="BD37" s="157">
        <f>+AY37+IFERROR(+VLOOKUP($A37,'B0 2264預收'!$1:$1048576,50,0),0)</f>
        <v>0</v>
      </c>
      <c r="BE37" s="157">
        <f t="shared" ref="BE37:BE68" si="71">+BC37-BD37</f>
        <v>0</v>
      </c>
      <c r="BF37" s="158">
        <f>+BA37+IFERROR(VLOOKUP($A37,'A0 BS 1240在建'!$1:$1048576,53,0),0)</f>
        <v>0</v>
      </c>
      <c r="BG37" s="158">
        <f>+BB37+IFERROR(VLOOKUP($A37,'B0 2264預收'!$1:$1048576,53,0),0)</f>
        <v>0</v>
      </c>
      <c r="BH37" s="158">
        <f t="shared" ref="BH37:BH68" si="72">+BF37-BG37</f>
        <v>0</v>
      </c>
      <c r="BI37" s="158">
        <f>+BD37+IFERROR(+VLOOKUP($A37,'B0 2264預收'!$1:$1048576,54,0),0)</f>
        <v>0</v>
      </c>
      <c r="BJ37" s="158">
        <f t="shared" ref="BJ37:BJ68" si="73">+BH37-BI37</f>
        <v>0</v>
      </c>
      <c r="BK37" s="157">
        <f>+BF37+IFERROR(VLOOKUP($A37,'A0 BS 1240在建'!$1:$1048576,57,0),0)</f>
        <v>0</v>
      </c>
      <c r="BL37" s="157">
        <f>+BG37+IFERROR(VLOOKUP($A37,'B0 2264預收'!$1:$1048576,57,0),0)</f>
        <v>0</v>
      </c>
      <c r="BM37" s="157">
        <f t="shared" ref="BM37:BM68" si="74">+BK37-BL37</f>
        <v>0</v>
      </c>
      <c r="BN37" s="157">
        <f>+BI37+IFERROR(+VLOOKUP($A37,'B0 2264預收'!$1:$1048576,58,0),0)</f>
        <v>0</v>
      </c>
      <c r="BO37" s="157">
        <f t="shared" ref="BO37:BO68" si="75">+BM37-BN37</f>
        <v>0</v>
      </c>
      <c r="BP37" s="158">
        <f>+BK37+IFERROR(VLOOKUP($A37,'A0 BS 1240在建'!$1:$1048576,61,0),0)</f>
        <v>0</v>
      </c>
      <c r="BQ37" s="158">
        <f>+BL37+IFERROR(VLOOKUP($A37,'B0 2264預收'!$1:$1048576,61,0),0)</f>
        <v>0</v>
      </c>
      <c r="BR37" s="159">
        <f t="shared" ref="BR37:BR68" si="76">+BP37-BQ37</f>
        <v>0</v>
      </c>
      <c r="BS37" s="158">
        <f>+BN37+IFERROR(+VLOOKUP($A37,'B0 2264預收'!$1:$1048576,62,0),0)</f>
        <v>0</v>
      </c>
      <c r="BT37" s="158">
        <f t="shared" ref="BT37:BT68" si="77">+BR37-BS37</f>
        <v>0</v>
      </c>
      <c r="BU37" s="157">
        <f>+IFERROR(VLOOKUP($A37,'A0 BS 1240在建'!$1:$1048576,77,0),0)</f>
        <v>0</v>
      </c>
      <c r="BV37" s="157">
        <f>+IFERROR(VLOOKUP($A37,'B0 2264預收'!$1:$1048576,77,0),0)</f>
        <v>0</v>
      </c>
      <c r="BW37" s="157">
        <f t="shared" ref="BW37:BW68" si="78">+BU37-BV37</f>
        <v>0</v>
      </c>
      <c r="BX37" s="157">
        <f>+IFERROR(+VLOOKUP($A37,'B0 2264預收'!$1:$1048576,78,0),0)</f>
        <v>0</v>
      </c>
      <c r="BY37" s="157">
        <f t="shared" ref="BY37:BY68" si="79">+BW37-BX37</f>
        <v>0</v>
      </c>
      <c r="BZ37" s="158">
        <f>IFERROR(+VLOOKUP($A37,'A0 BS 1240在建'!$1:$1048576,85,0),0)</f>
        <v>0</v>
      </c>
      <c r="CA37" s="158">
        <f>IFERROR(+VLOOKUP($A37,'B0 2264預收'!$1:$1048576,85,0),0)</f>
        <v>0</v>
      </c>
      <c r="CB37" s="158">
        <f t="shared" ref="CB37:CB68" si="80">+BZ37-CA37</f>
        <v>0</v>
      </c>
      <c r="CC37" s="158">
        <f>+IFERROR(+VLOOKUP($A37,'B0 2264預收'!$1:$1048576,86,0),0)</f>
        <v>0</v>
      </c>
      <c r="CD37" s="158">
        <f t="shared" ref="CD37:CD68" si="81">+CB37-CC37</f>
        <v>0</v>
      </c>
      <c r="CE37" s="157">
        <f>+IFERROR(VLOOKUP($A37,'A0 BS 1240在建'!$1:$1048576,93,0),0)</f>
        <v>0</v>
      </c>
      <c r="CF37" s="157">
        <f>+IFERROR(VLOOKUP($A37,'B0 2264預收'!$1:$1048576,93,0),0)</f>
        <v>0</v>
      </c>
      <c r="CG37" s="157">
        <f t="shared" ref="CG37:CG68" si="82">+CE37-CF37</f>
        <v>0</v>
      </c>
      <c r="CH37" s="157">
        <f>+IFERROR(+VLOOKUP($A37,'B0 2264預收'!$1:$1048576,94,0),0)</f>
        <v>0</v>
      </c>
      <c r="CI37" s="157">
        <f t="shared" ref="CI37:CI68" si="83">+CG37-CH37</f>
        <v>0</v>
      </c>
      <c r="CJ37" s="158">
        <f>IFERROR(+VLOOKUP($A37,'A0 BS 1240在建'!$1:$1048576,101,0),0)</f>
        <v>0</v>
      </c>
      <c r="CK37" s="158">
        <f>IFERROR(+VLOOKUP($A37,'B0 2264預收'!$1:$1048576,101,0),0)</f>
        <v>0</v>
      </c>
      <c r="CL37" s="158">
        <f t="shared" ref="CL37:CL68" si="84">+CJ37-CK37</f>
        <v>0</v>
      </c>
      <c r="CM37" s="158">
        <f>+IFERROR(+VLOOKUP($A37,'B0 2264預收'!$1:$1048576,102,0),0)</f>
        <v>0</v>
      </c>
      <c r="CN37" s="158">
        <f t="shared" ref="CN37:CN68" si="85">+CL37-CM37</f>
        <v>0</v>
      </c>
      <c r="CP37" s="165">
        <f t="shared" si="48"/>
        <v>0</v>
      </c>
      <c r="CR37" s="98">
        <f>+CP37</f>
        <v>0</v>
      </c>
      <c r="CU37" s="165">
        <f t="shared" si="49"/>
        <v>0</v>
      </c>
      <c r="CW37" s="98">
        <f>+CU37</f>
        <v>0</v>
      </c>
      <c r="CY37" s="162" t="str">
        <f t="shared" ref="CY37:CY68" si="86">IF(AND(BR37&gt;0, J37&gt;0), BR37-J37, "")</f>
        <v/>
      </c>
      <c r="CZ37" s="98" t="str">
        <f t="shared" ref="CZ37:CZ68" si="87">IF(AND(BR37&lt;0,J37&gt;0),-J37," ")</f>
        <v xml:space="preserve"> </v>
      </c>
      <c r="DA37" s="98" t="str">
        <f t="shared" ref="DA37:DA68" si="88">IF(AND(BR37&gt;0,J37&lt;0),BR37," ")</f>
        <v xml:space="preserve"> </v>
      </c>
      <c r="DB37" s="98" t="str">
        <f t="shared" ref="DB37:DB68" si="89">IF(AND(L37=0,BR37&lt;0),-BR37," ")</f>
        <v xml:space="preserve"> </v>
      </c>
      <c r="DC37" s="163">
        <f t="shared" ref="DC37:DC68" si="90">SUM(CY37:DB37)</f>
        <v>0</v>
      </c>
      <c r="DD37" s="162" t="str">
        <f t="shared" si="44"/>
        <v/>
      </c>
      <c r="DE37" s="98" t="str">
        <f t="shared" si="45"/>
        <v xml:space="preserve"> </v>
      </c>
      <c r="DF37" s="98" t="str">
        <f t="shared" si="46"/>
        <v xml:space="preserve"> </v>
      </c>
      <c r="DG37" s="98" t="str">
        <f t="shared" si="47"/>
        <v xml:space="preserve"> </v>
      </c>
      <c r="DH37" s="163">
        <f t="shared" ref="DH37:DH68" si="91">SUM(DD37:DG37)</f>
        <v>0</v>
      </c>
    </row>
    <row r="38" spans="1:112">
      <c r="A38" s="171" t="s">
        <v>373</v>
      </c>
      <c r="B38" s="172" t="s">
        <v>374</v>
      </c>
      <c r="C38" s="157">
        <f>IFERROR(VLOOKUP($A38,'A0 BS 1240在建'!$1:$1048576,5,0),0)</f>
        <v>0</v>
      </c>
      <c r="D38" s="157">
        <f>IFERROR(VLOOKUP($A38,'B0 2264預收'!$1:$1048576,5,0),0)</f>
        <v>0</v>
      </c>
      <c r="E38" s="157">
        <f t="shared" si="50"/>
        <v>0</v>
      </c>
      <c r="F38" s="157">
        <f>IFERROR(VLOOKUP($A38,'B0 2264預收'!$1:$1048576,6,0),0)</f>
        <v>0</v>
      </c>
      <c r="G38" s="157">
        <f t="shared" si="51"/>
        <v>0</v>
      </c>
      <c r="H38" s="158">
        <f>IFERROR(VLOOKUP($A38,'A0 BS 1240在建'!$1:$1048576,13,0),0)</f>
        <v>0</v>
      </c>
      <c r="I38" s="158">
        <f>IFERROR(VLOOKUP($A38,'B0 2264預收'!$1:$1048576,13,0),0)</f>
        <v>0</v>
      </c>
      <c r="J38" s="158">
        <f t="shared" si="52"/>
        <v>0</v>
      </c>
      <c r="K38" s="158">
        <f>IFERROR(VLOOKUP($A38,'B0 2264預收'!$1:$1048576,14,0),0)</f>
        <v>0</v>
      </c>
      <c r="L38" s="158">
        <f t="shared" si="53"/>
        <v>0</v>
      </c>
      <c r="M38" s="157">
        <f>H38+IFERROR(VLOOKUP($A38,'A0 BS 1240在建'!$1:$1048576,17,0),0)</f>
        <v>0</v>
      </c>
      <c r="N38" s="157">
        <f>I38+IFERROR(VLOOKUP($A38,'B0 2264預收'!$1:$1048576,17,0),0)</f>
        <v>0</v>
      </c>
      <c r="O38" s="157">
        <f t="shared" si="54"/>
        <v>0</v>
      </c>
      <c r="P38" s="157">
        <f>K38+IFERROR(+VLOOKUP($A38,'B0 2264預收'!$1:$1048576,18,0),0)</f>
        <v>0</v>
      </c>
      <c r="Q38" s="157">
        <f t="shared" si="55"/>
        <v>0</v>
      </c>
      <c r="R38" s="158">
        <f>M38+IFERROR(VLOOKUP($A38,'A0 BS 1240在建'!$1:$1048576,21,0),0)</f>
        <v>0</v>
      </c>
      <c r="S38" s="158">
        <f>+N38+IFERROR(VLOOKUP($A38,'B0 2264預收'!$1:$1048576,21,0),0)</f>
        <v>0</v>
      </c>
      <c r="T38" s="158">
        <f t="shared" si="56"/>
        <v>0</v>
      </c>
      <c r="U38" s="158">
        <f>+P38+IFERROR(+VLOOKUP($A38,'B0 2264預收'!$1:$1048576,22,0),0)</f>
        <v>0</v>
      </c>
      <c r="V38" s="158">
        <f t="shared" si="57"/>
        <v>0</v>
      </c>
      <c r="W38" s="157">
        <f>+R38+IFERROR(VLOOKUP($A38,'A0 BS 1240在建'!$1:$1048576,25,0),0)</f>
        <v>0</v>
      </c>
      <c r="X38" s="157">
        <f>+S38+IFERROR(VLOOKUP($A38,'B0 2264預收'!$1:$1048576,25,0),0)</f>
        <v>0</v>
      </c>
      <c r="Y38" s="157">
        <f t="shared" si="58"/>
        <v>0</v>
      </c>
      <c r="Z38" s="157">
        <f>+U38+IFERROR(+VLOOKUP($A38,'B0 2264預收'!$1:$1048576,26,0),0)</f>
        <v>0</v>
      </c>
      <c r="AA38" s="157">
        <f t="shared" si="59"/>
        <v>0</v>
      </c>
      <c r="AB38" s="158">
        <f>+W38+IFERROR(VLOOKUP($A38,'A0 BS 1240在建'!$1:$1048576,29,0),0)</f>
        <v>0</v>
      </c>
      <c r="AC38" s="158">
        <f>+X38+IFERROR(VLOOKUP($A38,'B0 2264預收'!$1:$1048576,29,0),0)</f>
        <v>0</v>
      </c>
      <c r="AD38" s="158">
        <f t="shared" si="60"/>
        <v>0</v>
      </c>
      <c r="AE38" s="158">
        <f>+Z38+IFERROR(+VLOOKUP($A38,'B0 2264預收'!$1:$1048576,30,0),0)</f>
        <v>0</v>
      </c>
      <c r="AF38" s="158">
        <f t="shared" si="61"/>
        <v>0</v>
      </c>
      <c r="AG38" s="157">
        <f>+AB38+IFERROR(VLOOKUP($A38,'A0 BS 1240在建'!$1:$1048576,33,0),0)</f>
        <v>0</v>
      </c>
      <c r="AH38" s="157">
        <f>+AC38+IFERROR(VLOOKUP($A38,'B0 2264預收'!$1:$1048576,33,0),0)</f>
        <v>0</v>
      </c>
      <c r="AI38" s="157">
        <f t="shared" si="62"/>
        <v>0</v>
      </c>
      <c r="AJ38" s="157">
        <f>+AE38+IFERROR(+VLOOKUP($A38,'B0 2264預收'!$1:$1048576,34,0),0)</f>
        <v>0</v>
      </c>
      <c r="AK38" s="157">
        <f t="shared" si="63"/>
        <v>0</v>
      </c>
      <c r="AL38" s="158">
        <f>+AG38+IFERROR(VLOOKUP($A38,'A0 BS 1240在建'!$1:$1048576,37,0),0)</f>
        <v>0</v>
      </c>
      <c r="AM38" s="158">
        <f>+AH38+IFERROR(VLOOKUP($A38,'B0 2264預收'!$1:$1048576,37,0),0)</f>
        <v>0</v>
      </c>
      <c r="AN38" s="158">
        <f t="shared" si="64"/>
        <v>0</v>
      </c>
      <c r="AO38" s="158">
        <f>+AJ38+IFERROR(+VLOOKUP($A38,'B0 2264預收'!$1:$1048576,38,0),0)</f>
        <v>0</v>
      </c>
      <c r="AP38" s="158">
        <f t="shared" si="65"/>
        <v>0</v>
      </c>
      <c r="AQ38" s="157">
        <f>+AL38+IFERROR(VLOOKUP($A38,'A0 BS 1240在建'!$1:$1048576,41,0),0)</f>
        <v>0</v>
      </c>
      <c r="AR38" s="157">
        <f>+AM38+IFERROR(VLOOKUP($A38,'B0 2264預收'!$1:$1048576,41,0),0)</f>
        <v>0</v>
      </c>
      <c r="AS38" s="157">
        <f t="shared" si="66"/>
        <v>0</v>
      </c>
      <c r="AT38" s="157">
        <f>+AO38+IFERROR(+VLOOKUP($A38,'B0 2264預收'!$1:$1048576,42,0),0)</f>
        <v>0</v>
      </c>
      <c r="AU38" s="157">
        <f t="shared" si="67"/>
        <v>0</v>
      </c>
      <c r="AV38" s="158">
        <f>+AQ38+IFERROR(VLOOKUP($A38,'A0 BS 1240在建'!$1:$1048576,45,0),0)</f>
        <v>0</v>
      </c>
      <c r="AW38" s="158">
        <f>+AR38+IFERROR(VLOOKUP($A38,'B0 2264預收'!$1:$1048576,45,0),0)</f>
        <v>0</v>
      </c>
      <c r="AX38" s="158">
        <f t="shared" si="68"/>
        <v>0</v>
      </c>
      <c r="AY38" s="158">
        <f>+AT38+IFERROR(+VLOOKUP($A38,'B0 2264預收'!$1:$1048576,46,0),0)</f>
        <v>0</v>
      </c>
      <c r="AZ38" s="158">
        <f t="shared" si="69"/>
        <v>0</v>
      </c>
      <c r="BA38" s="157">
        <f>+AV38+IFERROR(VLOOKUP($A38,'A0 BS 1240在建'!$1:$1048576,49,0),0)</f>
        <v>0</v>
      </c>
      <c r="BB38" s="157">
        <f>+AW38+IFERROR(VLOOKUP($A38,'B0 2264預收'!$1:$1048576,49,0),0)</f>
        <v>0</v>
      </c>
      <c r="BC38" s="157">
        <f t="shared" si="70"/>
        <v>0</v>
      </c>
      <c r="BD38" s="157">
        <f>+AY38+IFERROR(+VLOOKUP($A38,'B0 2264預收'!$1:$1048576,50,0),0)</f>
        <v>0</v>
      </c>
      <c r="BE38" s="157">
        <f t="shared" si="71"/>
        <v>0</v>
      </c>
      <c r="BF38" s="158">
        <f>+BA38+IFERROR(VLOOKUP($A38,'A0 BS 1240在建'!$1:$1048576,53,0),0)</f>
        <v>0</v>
      </c>
      <c r="BG38" s="158">
        <f>+BB38+IFERROR(VLOOKUP($A38,'B0 2264預收'!$1:$1048576,53,0),0)</f>
        <v>0</v>
      </c>
      <c r="BH38" s="158">
        <f t="shared" si="72"/>
        <v>0</v>
      </c>
      <c r="BI38" s="158">
        <f>+BD38+IFERROR(+VLOOKUP($A38,'B0 2264預收'!$1:$1048576,54,0),0)</f>
        <v>0</v>
      </c>
      <c r="BJ38" s="158">
        <f t="shared" si="73"/>
        <v>0</v>
      </c>
      <c r="BK38" s="157">
        <f>+BF38+IFERROR(VLOOKUP($A38,'A0 BS 1240在建'!$1:$1048576,57,0),0)</f>
        <v>0</v>
      </c>
      <c r="BL38" s="157">
        <f>+BG38+IFERROR(VLOOKUP($A38,'B0 2264預收'!$1:$1048576,57,0),0)</f>
        <v>0</v>
      </c>
      <c r="BM38" s="157">
        <f t="shared" si="74"/>
        <v>0</v>
      </c>
      <c r="BN38" s="157">
        <f>+BI38+IFERROR(+VLOOKUP($A38,'B0 2264預收'!$1:$1048576,58,0),0)</f>
        <v>0</v>
      </c>
      <c r="BO38" s="157">
        <f t="shared" si="75"/>
        <v>0</v>
      </c>
      <c r="BP38" s="158">
        <f>+BK38+IFERROR(VLOOKUP($A38,'A0 BS 1240在建'!$1:$1048576,61,0),0)</f>
        <v>0</v>
      </c>
      <c r="BQ38" s="158">
        <f>+BL38+IFERROR(VLOOKUP($A38,'B0 2264預收'!$1:$1048576,61,0),0)</f>
        <v>0</v>
      </c>
      <c r="BR38" s="159">
        <f t="shared" si="76"/>
        <v>0</v>
      </c>
      <c r="BS38" s="158">
        <f>+BN38+IFERROR(+VLOOKUP($A38,'B0 2264預收'!$1:$1048576,62,0),0)</f>
        <v>0</v>
      </c>
      <c r="BT38" s="158">
        <f t="shared" si="77"/>
        <v>0</v>
      </c>
      <c r="BU38" s="157">
        <f>+IFERROR(VLOOKUP($A38,'A0 BS 1240在建'!$1:$1048576,77,0),0)</f>
        <v>0</v>
      </c>
      <c r="BV38" s="157">
        <f>+IFERROR(VLOOKUP($A38,'B0 2264預收'!$1:$1048576,77,0),0)</f>
        <v>0</v>
      </c>
      <c r="BW38" s="157">
        <f t="shared" si="78"/>
        <v>0</v>
      </c>
      <c r="BX38" s="157">
        <f>+IFERROR(+VLOOKUP($A38,'B0 2264預收'!$1:$1048576,78,0),0)</f>
        <v>0</v>
      </c>
      <c r="BY38" s="157">
        <f t="shared" si="79"/>
        <v>0</v>
      </c>
      <c r="BZ38" s="158">
        <f>IFERROR(+VLOOKUP($A38,'A0 BS 1240在建'!$1:$1048576,85,0),0)</f>
        <v>0</v>
      </c>
      <c r="CA38" s="158">
        <f>IFERROR(+VLOOKUP($A38,'B0 2264預收'!$1:$1048576,85,0),0)</f>
        <v>0</v>
      </c>
      <c r="CB38" s="158">
        <f t="shared" si="80"/>
        <v>0</v>
      </c>
      <c r="CC38" s="158">
        <f>+IFERROR(+VLOOKUP($A38,'B0 2264預收'!$1:$1048576,86,0),0)</f>
        <v>0</v>
      </c>
      <c r="CD38" s="158">
        <f t="shared" si="81"/>
        <v>0</v>
      </c>
      <c r="CE38" s="157">
        <f>+IFERROR(VLOOKUP($A38,'A0 BS 1240在建'!$1:$1048576,93,0),0)</f>
        <v>0</v>
      </c>
      <c r="CF38" s="157">
        <f>+IFERROR(VLOOKUP($A38,'B0 2264預收'!$1:$1048576,93,0),0)</f>
        <v>0</v>
      </c>
      <c r="CG38" s="157">
        <f t="shared" si="82"/>
        <v>0</v>
      </c>
      <c r="CH38" s="157">
        <f>+IFERROR(+VLOOKUP($A38,'B0 2264預收'!$1:$1048576,94,0),0)</f>
        <v>0</v>
      </c>
      <c r="CI38" s="157">
        <f t="shared" si="83"/>
        <v>0</v>
      </c>
      <c r="CJ38" s="158">
        <f>IFERROR(+VLOOKUP($A38,'A0 BS 1240在建'!$1:$1048576,101,0),0)</f>
        <v>0</v>
      </c>
      <c r="CK38" s="158">
        <f>IFERROR(+VLOOKUP($A38,'B0 2264預收'!$1:$1048576,101,0),0)</f>
        <v>0</v>
      </c>
      <c r="CL38" s="158">
        <f t="shared" si="84"/>
        <v>0</v>
      </c>
      <c r="CM38" s="158">
        <f>+IFERROR(+VLOOKUP($A38,'B0 2264預收'!$1:$1048576,102,0),0)</f>
        <v>0</v>
      </c>
      <c r="CN38" s="158">
        <f t="shared" si="85"/>
        <v>0</v>
      </c>
      <c r="CP38" s="166">
        <f t="shared" si="48"/>
        <v>0</v>
      </c>
      <c r="CQ38" s="98">
        <f>+CP38</f>
        <v>0</v>
      </c>
      <c r="CU38" s="160">
        <f t="shared" si="49"/>
        <v>0</v>
      </c>
      <c r="CV38" s="118">
        <f>-J38</f>
        <v>0</v>
      </c>
      <c r="CW38" s="98">
        <f>+BR38</f>
        <v>0</v>
      </c>
      <c r="CY38" s="162" t="str">
        <f t="shared" si="86"/>
        <v/>
      </c>
      <c r="CZ38" s="98" t="str">
        <f t="shared" si="87"/>
        <v xml:space="preserve"> </v>
      </c>
      <c r="DA38" s="98" t="str">
        <f t="shared" si="88"/>
        <v xml:space="preserve"> </v>
      </c>
      <c r="DB38" s="98" t="str">
        <f t="shared" si="89"/>
        <v xml:space="preserve"> </v>
      </c>
      <c r="DC38" s="163">
        <f t="shared" si="90"/>
        <v>0</v>
      </c>
      <c r="DD38" s="162" t="str">
        <f t="shared" ref="DD38:DD69" si="92">IF(AND(BR38&lt;0, J38&lt;0), (BR38-J38)*-1, "")</f>
        <v/>
      </c>
      <c r="DE38" s="98" t="str">
        <f t="shared" ref="DE38:DE69" si="93">IF(AND(BR38&lt;0,J38&gt;0),-BR38," ")</f>
        <v xml:space="preserve"> </v>
      </c>
      <c r="DF38" s="98" t="str">
        <f t="shared" ref="DF38:DF69" si="94">IF(AND(BR38&gt;0,J38&lt;0),-J38*-1," ")</f>
        <v xml:space="preserve"> </v>
      </c>
      <c r="DG38" s="98" t="str">
        <f t="shared" ref="DG38:DG69" si="95">IF(AND(L38&lt;0,BR38=0),-L38*-1," ")</f>
        <v xml:space="preserve"> </v>
      </c>
      <c r="DH38" s="163">
        <f t="shared" si="91"/>
        <v>0</v>
      </c>
    </row>
    <row r="39" spans="1:112">
      <c r="A39" s="171" t="s">
        <v>375</v>
      </c>
      <c r="B39" s="172" t="s">
        <v>376</v>
      </c>
      <c r="C39" s="157">
        <f>IFERROR(VLOOKUP($A39,'A0 BS 1240在建'!$1:$1048576,5,0),0)</f>
        <v>0</v>
      </c>
      <c r="D39" s="157">
        <f>IFERROR(VLOOKUP($A39,'B0 2264預收'!$1:$1048576,5,0),0)</f>
        <v>0</v>
      </c>
      <c r="E39" s="157">
        <f t="shared" si="50"/>
        <v>0</v>
      </c>
      <c r="F39" s="157">
        <f>IFERROR(VLOOKUP($A39,'B0 2264預收'!$1:$1048576,6,0),0)</f>
        <v>0</v>
      </c>
      <c r="G39" s="157">
        <f t="shared" si="51"/>
        <v>0</v>
      </c>
      <c r="H39" s="158">
        <f>IFERROR(VLOOKUP($A39,'A0 BS 1240在建'!$1:$1048576,13,0),0)</f>
        <v>0</v>
      </c>
      <c r="I39" s="158">
        <f>IFERROR(VLOOKUP($A39,'B0 2264預收'!$1:$1048576,13,0),0)</f>
        <v>0</v>
      </c>
      <c r="J39" s="158">
        <f t="shared" si="52"/>
        <v>0</v>
      </c>
      <c r="K39" s="158">
        <f>IFERROR(VLOOKUP($A39,'B0 2264預收'!$1:$1048576,14,0),0)</f>
        <v>0</v>
      </c>
      <c r="L39" s="158">
        <f t="shared" si="53"/>
        <v>0</v>
      </c>
      <c r="M39" s="157">
        <f>H39+IFERROR(VLOOKUP($A39,'A0 BS 1240在建'!$1:$1048576,17,0),0)</f>
        <v>0</v>
      </c>
      <c r="N39" s="157">
        <f>I39+IFERROR(VLOOKUP($A39,'B0 2264預收'!$1:$1048576,17,0),0)</f>
        <v>0</v>
      </c>
      <c r="O39" s="157">
        <f t="shared" si="54"/>
        <v>0</v>
      </c>
      <c r="P39" s="157">
        <f>K39+IFERROR(+VLOOKUP($A39,'B0 2264預收'!$1:$1048576,18,0),0)</f>
        <v>0</v>
      </c>
      <c r="Q39" s="157">
        <f t="shared" si="55"/>
        <v>0</v>
      </c>
      <c r="R39" s="158">
        <f>M39+IFERROR(VLOOKUP($A39,'A0 BS 1240在建'!$1:$1048576,21,0),0)</f>
        <v>0</v>
      </c>
      <c r="S39" s="158">
        <f>+N39+IFERROR(VLOOKUP($A39,'B0 2264預收'!$1:$1048576,21,0),0)</f>
        <v>0</v>
      </c>
      <c r="T39" s="158">
        <f t="shared" si="56"/>
        <v>0</v>
      </c>
      <c r="U39" s="158">
        <f>+P39+IFERROR(+VLOOKUP($A39,'B0 2264預收'!$1:$1048576,22,0),0)</f>
        <v>0</v>
      </c>
      <c r="V39" s="158">
        <f t="shared" si="57"/>
        <v>0</v>
      </c>
      <c r="W39" s="157">
        <f>+R39+IFERROR(VLOOKUP($A39,'A0 BS 1240在建'!$1:$1048576,25,0),0)</f>
        <v>0</v>
      </c>
      <c r="X39" s="157">
        <f>+S39+IFERROR(VLOOKUP($A39,'B0 2264預收'!$1:$1048576,25,0),0)</f>
        <v>0</v>
      </c>
      <c r="Y39" s="157">
        <f t="shared" si="58"/>
        <v>0</v>
      </c>
      <c r="Z39" s="157">
        <f>+U39+IFERROR(+VLOOKUP($A39,'B0 2264預收'!$1:$1048576,26,0),0)</f>
        <v>0</v>
      </c>
      <c r="AA39" s="157">
        <f t="shared" si="59"/>
        <v>0</v>
      </c>
      <c r="AB39" s="158">
        <f>+W39+IFERROR(VLOOKUP($A39,'A0 BS 1240在建'!$1:$1048576,29,0),0)</f>
        <v>0</v>
      </c>
      <c r="AC39" s="158">
        <f>+X39+IFERROR(VLOOKUP($A39,'B0 2264預收'!$1:$1048576,29,0),0)</f>
        <v>0</v>
      </c>
      <c r="AD39" s="158">
        <f t="shared" si="60"/>
        <v>0</v>
      </c>
      <c r="AE39" s="158">
        <f>+Z39+IFERROR(+VLOOKUP($A39,'B0 2264預收'!$1:$1048576,30,0),0)</f>
        <v>0</v>
      </c>
      <c r="AF39" s="158">
        <f t="shared" si="61"/>
        <v>0</v>
      </c>
      <c r="AG39" s="157">
        <f>+AB39+IFERROR(VLOOKUP($A39,'A0 BS 1240在建'!$1:$1048576,33,0),0)</f>
        <v>0</v>
      </c>
      <c r="AH39" s="157">
        <f>+AC39+IFERROR(VLOOKUP($A39,'B0 2264預收'!$1:$1048576,33,0),0)</f>
        <v>0</v>
      </c>
      <c r="AI39" s="157">
        <f t="shared" si="62"/>
        <v>0</v>
      </c>
      <c r="AJ39" s="157">
        <f>+AE39+IFERROR(+VLOOKUP($A39,'B0 2264預收'!$1:$1048576,34,0),0)</f>
        <v>0</v>
      </c>
      <c r="AK39" s="157">
        <f t="shared" si="63"/>
        <v>0</v>
      </c>
      <c r="AL39" s="158">
        <f>+AG39+IFERROR(VLOOKUP($A39,'A0 BS 1240在建'!$1:$1048576,37,0),0)</f>
        <v>0</v>
      </c>
      <c r="AM39" s="158">
        <f>+AH39+IFERROR(VLOOKUP($A39,'B0 2264預收'!$1:$1048576,37,0),0)</f>
        <v>0</v>
      </c>
      <c r="AN39" s="158">
        <f t="shared" si="64"/>
        <v>0</v>
      </c>
      <c r="AO39" s="158">
        <f>+AJ39+IFERROR(+VLOOKUP($A39,'B0 2264預收'!$1:$1048576,38,0),0)</f>
        <v>0</v>
      </c>
      <c r="AP39" s="158">
        <f t="shared" si="65"/>
        <v>0</v>
      </c>
      <c r="AQ39" s="157">
        <f>+AL39+IFERROR(VLOOKUP($A39,'A0 BS 1240在建'!$1:$1048576,41,0),0)</f>
        <v>0</v>
      </c>
      <c r="AR39" s="157">
        <f>+AM39+IFERROR(VLOOKUP($A39,'B0 2264預收'!$1:$1048576,41,0),0)</f>
        <v>0</v>
      </c>
      <c r="AS39" s="157">
        <f t="shared" si="66"/>
        <v>0</v>
      </c>
      <c r="AT39" s="157">
        <f>+AO39+IFERROR(+VLOOKUP($A39,'B0 2264預收'!$1:$1048576,42,0),0)</f>
        <v>0</v>
      </c>
      <c r="AU39" s="157">
        <f t="shared" si="67"/>
        <v>0</v>
      </c>
      <c r="AV39" s="158">
        <f>+AQ39+IFERROR(VLOOKUP($A39,'A0 BS 1240在建'!$1:$1048576,45,0),0)</f>
        <v>0</v>
      </c>
      <c r="AW39" s="158">
        <f>+AR39+IFERROR(VLOOKUP($A39,'B0 2264預收'!$1:$1048576,45,0),0)</f>
        <v>0</v>
      </c>
      <c r="AX39" s="158">
        <f t="shared" si="68"/>
        <v>0</v>
      </c>
      <c r="AY39" s="158">
        <f>+AT39+IFERROR(+VLOOKUP($A39,'B0 2264預收'!$1:$1048576,46,0),0)</f>
        <v>0</v>
      </c>
      <c r="AZ39" s="158">
        <f t="shared" si="69"/>
        <v>0</v>
      </c>
      <c r="BA39" s="157">
        <f>+AV39+IFERROR(VLOOKUP($A39,'A0 BS 1240在建'!$1:$1048576,49,0),0)</f>
        <v>0</v>
      </c>
      <c r="BB39" s="157">
        <f>+AW39+IFERROR(VLOOKUP($A39,'B0 2264預收'!$1:$1048576,49,0),0)</f>
        <v>0</v>
      </c>
      <c r="BC39" s="157">
        <f t="shared" si="70"/>
        <v>0</v>
      </c>
      <c r="BD39" s="157">
        <f>+AY39+IFERROR(+VLOOKUP($A39,'B0 2264預收'!$1:$1048576,50,0),0)</f>
        <v>0</v>
      </c>
      <c r="BE39" s="157">
        <f t="shared" si="71"/>
        <v>0</v>
      </c>
      <c r="BF39" s="158">
        <f>+BA39+IFERROR(VLOOKUP($A39,'A0 BS 1240在建'!$1:$1048576,53,0),0)</f>
        <v>0</v>
      </c>
      <c r="BG39" s="158">
        <f>+BB39+IFERROR(VLOOKUP($A39,'B0 2264預收'!$1:$1048576,53,0),0)</f>
        <v>0</v>
      </c>
      <c r="BH39" s="158">
        <f t="shared" si="72"/>
        <v>0</v>
      </c>
      <c r="BI39" s="158">
        <f>+BD39+IFERROR(+VLOOKUP($A39,'B0 2264預收'!$1:$1048576,54,0),0)</f>
        <v>0</v>
      </c>
      <c r="BJ39" s="158">
        <f t="shared" si="73"/>
        <v>0</v>
      </c>
      <c r="BK39" s="157">
        <f>+BF39+IFERROR(VLOOKUP($A39,'A0 BS 1240在建'!$1:$1048576,57,0),0)</f>
        <v>0</v>
      </c>
      <c r="BL39" s="157">
        <f>+BG39+IFERROR(VLOOKUP($A39,'B0 2264預收'!$1:$1048576,57,0),0)</f>
        <v>0</v>
      </c>
      <c r="BM39" s="157">
        <f t="shared" si="74"/>
        <v>0</v>
      </c>
      <c r="BN39" s="157">
        <f>+BI39+IFERROR(+VLOOKUP($A39,'B0 2264預收'!$1:$1048576,58,0),0)</f>
        <v>0</v>
      </c>
      <c r="BO39" s="157">
        <f t="shared" si="75"/>
        <v>0</v>
      </c>
      <c r="BP39" s="158">
        <f>+BK39+IFERROR(VLOOKUP($A39,'A0 BS 1240在建'!$1:$1048576,61,0),0)</f>
        <v>0</v>
      </c>
      <c r="BQ39" s="158">
        <f>+BL39+IFERROR(VLOOKUP($A39,'B0 2264預收'!$1:$1048576,61,0),0)</f>
        <v>0</v>
      </c>
      <c r="BR39" s="159">
        <f t="shared" si="76"/>
        <v>0</v>
      </c>
      <c r="BS39" s="158">
        <f>+BN39+IFERROR(+VLOOKUP($A39,'B0 2264預收'!$1:$1048576,62,0),0)</f>
        <v>0</v>
      </c>
      <c r="BT39" s="158">
        <f t="shared" si="77"/>
        <v>0</v>
      </c>
      <c r="BU39" s="157">
        <f>+IFERROR(VLOOKUP($A39,'A0 BS 1240在建'!$1:$1048576,77,0),0)</f>
        <v>0</v>
      </c>
      <c r="BV39" s="157">
        <f>+IFERROR(VLOOKUP($A39,'B0 2264預收'!$1:$1048576,77,0),0)</f>
        <v>0</v>
      </c>
      <c r="BW39" s="157">
        <f t="shared" si="78"/>
        <v>0</v>
      </c>
      <c r="BX39" s="157">
        <f>+IFERROR(+VLOOKUP($A39,'B0 2264預收'!$1:$1048576,78,0),0)</f>
        <v>0</v>
      </c>
      <c r="BY39" s="157">
        <f t="shared" si="79"/>
        <v>0</v>
      </c>
      <c r="BZ39" s="158">
        <f>IFERROR(+VLOOKUP($A39,'A0 BS 1240在建'!$1:$1048576,85,0),0)</f>
        <v>0</v>
      </c>
      <c r="CA39" s="158">
        <f>IFERROR(+VLOOKUP($A39,'B0 2264預收'!$1:$1048576,85,0),0)</f>
        <v>0</v>
      </c>
      <c r="CB39" s="158">
        <f t="shared" si="80"/>
        <v>0</v>
      </c>
      <c r="CC39" s="158">
        <f>+IFERROR(+VLOOKUP($A39,'B0 2264預收'!$1:$1048576,86,0),0)</f>
        <v>0</v>
      </c>
      <c r="CD39" s="158">
        <f t="shared" si="81"/>
        <v>0</v>
      </c>
      <c r="CE39" s="157">
        <f>+IFERROR(VLOOKUP($A39,'A0 BS 1240在建'!$1:$1048576,93,0),0)</f>
        <v>0</v>
      </c>
      <c r="CF39" s="157">
        <f>+IFERROR(VLOOKUP($A39,'B0 2264預收'!$1:$1048576,93,0),0)</f>
        <v>0</v>
      </c>
      <c r="CG39" s="157">
        <f t="shared" si="82"/>
        <v>0</v>
      </c>
      <c r="CH39" s="157">
        <f>+IFERROR(+VLOOKUP($A39,'B0 2264預收'!$1:$1048576,94,0),0)</f>
        <v>0</v>
      </c>
      <c r="CI39" s="157">
        <f t="shared" si="83"/>
        <v>0</v>
      </c>
      <c r="CJ39" s="158">
        <f>IFERROR(+VLOOKUP($A39,'A0 BS 1240在建'!$1:$1048576,101,0),0)</f>
        <v>0</v>
      </c>
      <c r="CK39" s="158">
        <f>IFERROR(+VLOOKUP($A39,'B0 2264預收'!$1:$1048576,101,0),0)</f>
        <v>0</v>
      </c>
      <c r="CL39" s="158">
        <f t="shared" si="84"/>
        <v>0</v>
      </c>
      <c r="CM39" s="158">
        <f>+IFERROR(+VLOOKUP($A39,'B0 2264預收'!$1:$1048576,102,0),0)</f>
        <v>0</v>
      </c>
      <c r="CN39" s="158">
        <f t="shared" si="85"/>
        <v>0</v>
      </c>
      <c r="CP39" s="166">
        <f t="shared" si="48"/>
        <v>0</v>
      </c>
      <c r="CQ39" s="98">
        <f>+CP39</f>
        <v>0</v>
      </c>
      <c r="CU39" s="160">
        <f t="shared" si="49"/>
        <v>0</v>
      </c>
      <c r="CV39" s="118">
        <f>-J39</f>
        <v>0</v>
      </c>
      <c r="CW39" s="98">
        <f>+BR39</f>
        <v>0</v>
      </c>
      <c r="CY39" s="162" t="str">
        <f t="shared" si="86"/>
        <v/>
      </c>
      <c r="CZ39" s="98" t="str">
        <f t="shared" si="87"/>
        <v xml:space="preserve"> </v>
      </c>
      <c r="DA39" s="98" t="str">
        <f t="shared" si="88"/>
        <v xml:space="preserve"> </v>
      </c>
      <c r="DB39" s="98" t="str">
        <f t="shared" si="89"/>
        <v xml:space="preserve"> </v>
      </c>
      <c r="DC39" s="163">
        <f t="shared" si="90"/>
        <v>0</v>
      </c>
      <c r="DD39" s="162" t="str">
        <f t="shared" si="92"/>
        <v/>
      </c>
      <c r="DE39" s="98" t="str">
        <f t="shared" si="93"/>
        <v xml:space="preserve"> </v>
      </c>
      <c r="DF39" s="98" t="str">
        <f t="shared" si="94"/>
        <v xml:space="preserve"> </v>
      </c>
      <c r="DG39" s="98" t="str">
        <f t="shared" si="95"/>
        <v xml:space="preserve"> </v>
      </c>
      <c r="DH39" s="163">
        <f t="shared" si="91"/>
        <v>0</v>
      </c>
    </row>
    <row r="40" spans="1:112">
      <c r="A40" s="171" t="s">
        <v>377</v>
      </c>
      <c r="B40" s="172" t="s">
        <v>378</v>
      </c>
      <c r="C40" s="157">
        <f>IFERROR(VLOOKUP($A40,'A0 BS 1240在建'!$1:$1048576,5,0),0)</f>
        <v>0</v>
      </c>
      <c r="D40" s="157">
        <f>IFERROR(VLOOKUP($A40,'B0 2264預收'!$1:$1048576,5,0),0)</f>
        <v>0</v>
      </c>
      <c r="E40" s="157">
        <f t="shared" si="50"/>
        <v>0</v>
      </c>
      <c r="F40" s="157">
        <f>IFERROR(VLOOKUP($A40,'B0 2264預收'!$1:$1048576,6,0),0)</f>
        <v>0</v>
      </c>
      <c r="G40" s="157">
        <f t="shared" si="51"/>
        <v>0</v>
      </c>
      <c r="H40" s="158">
        <f>IFERROR(VLOOKUP($A40,'A0 BS 1240在建'!$1:$1048576,13,0),0)</f>
        <v>0</v>
      </c>
      <c r="I40" s="158">
        <f>IFERROR(VLOOKUP($A40,'B0 2264預收'!$1:$1048576,13,0),0)</f>
        <v>0</v>
      </c>
      <c r="J40" s="158">
        <f t="shared" si="52"/>
        <v>0</v>
      </c>
      <c r="K40" s="158">
        <f>IFERROR(VLOOKUP($A40,'B0 2264預收'!$1:$1048576,14,0),0)</f>
        <v>0</v>
      </c>
      <c r="L40" s="158">
        <f t="shared" si="53"/>
        <v>0</v>
      </c>
      <c r="M40" s="157">
        <f>H40+IFERROR(VLOOKUP($A40,'A0 BS 1240在建'!$1:$1048576,17,0),0)</f>
        <v>0</v>
      </c>
      <c r="N40" s="157">
        <f>I40+IFERROR(VLOOKUP($A40,'B0 2264預收'!$1:$1048576,17,0),0)</f>
        <v>0</v>
      </c>
      <c r="O40" s="157">
        <f t="shared" si="54"/>
        <v>0</v>
      </c>
      <c r="P40" s="157">
        <f>K40+IFERROR(+VLOOKUP($A40,'B0 2264預收'!$1:$1048576,18,0),0)</f>
        <v>0</v>
      </c>
      <c r="Q40" s="157">
        <f t="shared" si="55"/>
        <v>0</v>
      </c>
      <c r="R40" s="158">
        <f>M40+IFERROR(VLOOKUP($A40,'A0 BS 1240在建'!$1:$1048576,21,0),0)</f>
        <v>0</v>
      </c>
      <c r="S40" s="158">
        <f>+N40+IFERROR(VLOOKUP($A40,'B0 2264預收'!$1:$1048576,21,0),0)</f>
        <v>0</v>
      </c>
      <c r="T40" s="158">
        <f t="shared" si="56"/>
        <v>0</v>
      </c>
      <c r="U40" s="158">
        <f>+P40+IFERROR(+VLOOKUP($A40,'B0 2264預收'!$1:$1048576,22,0),0)</f>
        <v>0</v>
      </c>
      <c r="V40" s="158">
        <f t="shared" si="57"/>
        <v>0</v>
      </c>
      <c r="W40" s="157">
        <f>+R40+IFERROR(VLOOKUP($A40,'A0 BS 1240在建'!$1:$1048576,25,0),0)</f>
        <v>0</v>
      </c>
      <c r="X40" s="157">
        <f>+S40+IFERROR(VLOOKUP($A40,'B0 2264預收'!$1:$1048576,25,0),0)</f>
        <v>0</v>
      </c>
      <c r="Y40" s="157">
        <f t="shared" si="58"/>
        <v>0</v>
      </c>
      <c r="Z40" s="157">
        <f>+U40+IFERROR(+VLOOKUP($A40,'B0 2264預收'!$1:$1048576,26,0),0)</f>
        <v>0</v>
      </c>
      <c r="AA40" s="157">
        <f t="shared" si="59"/>
        <v>0</v>
      </c>
      <c r="AB40" s="158">
        <f>+W40+IFERROR(VLOOKUP($A40,'A0 BS 1240在建'!$1:$1048576,29,0),0)</f>
        <v>0</v>
      </c>
      <c r="AC40" s="158">
        <f>+X40+IFERROR(VLOOKUP($A40,'B0 2264預收'!$1:$1048576,29,0),0)</f>
        <v>0</v>
      </c>
      <c r="AD40" s="158">
        <f t="shared" si="60"/>
        <v>0</v>
      </c>
      <c r="AE40" s="158">
        <f>+Z40+IFERROR(+VLOOKUP($A40,'B0 2264預收'!$1:$1048576,30,0),0)</f>
        <v>0</v>
      </c>
      <c r="AF40" s="158">
        <f t="shared" si="61"/>
        <v>0</v>
      </c>
      <c r="AG40" s="157">
        <f>+AB40+IFERROR(VLOOKUP($A40,'A0 BS 1240在建'!$1:$1048576,33,0),0)</f>
        <v>0</v>
      </c>
      <c r="AH40" s="157">
        <f>+AC40+IFERROR(VLOOKUP($A40,'B0 2264預收'!$1:$1048576,33,0),0)</f>
        <v>0</v>
      </c>
      <c r="AI40" s="157">
        <f t="shared" si="62"/>
        <v>0</v>
      </c>
      <c r="AJ40" s="157">
        <f>+AE40+IFERROR(+VLOOKUP($A40,'B0 2264預收'!$1:$1048576,34,0),0)</f>
        <v>0</v>
      </c>
      <c r="AK40" s="157">
        <f t="shared" si="63"/>
        <v>0</v>
      </c>
      <c r="AL40" s="158">
        <f>+AG40+IFERROR(VLOOKUP($A40,'A0 BS 1240在建'!$1:$1048576,37,0),0)</f>
        <v>0</v>
      </c>
      <c r="AM40" s="158">
        <f>+AH40+IFERROR(VLOOKUP($A40,'B0 2264預收'!$1:$1048576,37,0),0)</f>
        <v>0</v>
      </c>
      <c r="AN40" s="158">
        <f t="shared" si="64"/>
        <v>0</v>
      </c>
      <c r="AO40" s="158">
        <f>+AJ40+IFERROR(+VLOOKUP($A40,'B0 2264預收'!$1:$1048576,38,0),0)</f>
        <v>0</v>
      </c>
      <c r="AP40" s="158">
        <f t="shared" si="65"/>
        <v>0</v>
      </c>
      <c r="AQ40" s="157">
        <f>+AL40+IFERROR(VLOOKUP($A40,'A0 BS 1240在建'!$1:$1048576,41,0),0)</f>
        <v>0</v>
      </c>
      <c r="AR40" s="157">
        <f>+AM40+IFERROR(VLOOKUP($A40,'B0 2264預收'!$1:$1048576,41,0),0)</f>
        <v>0</v>
      </c>
      <c r="AS40" s="157">
        <f t="shared" si="66"/>
        <v>0</v>
      </c>
      <c r="AT40" s="157">
        <f>+AO40+IFERROR(+VLOOKUP($A40,'B0 2264預收'!$1:$1048576,42,0),0)</f>
        <v>0</v>
      </c>
      <c r="AU40" s="157">
        <f t="shared" si="67"/>
        <v>0</v>
      </c>
      <c r="AV40" s="158">
        <f>+AQ40+IFERROR(VLOOKUP($A40,'A0 BS 1240在建'!$1:$1048576,45,0),0)</f>
        <v>0</v>
      </c>
      <c r="AW40" s="158">
        <f>+AR40+IFERROR(VLOOKUP($A40,'B0 2264預收'!$1:$1048576,45,0),0)</f>
        <v>0</v>
      </c>
      <c r="AX40" s="158">
        <f t="shared" si="68"/>
        <v>0</v>
      </c>
      <c r="AY40" s="158">
        <f>+AT40+IFERROR(+VLOOKUP($A40,'B0 2264預收'!$1:$1048576,46,0),0)</f>
        <v>0</v>
      </c>
      <c r="AZ40" s="158">
        <f t="shared" si="69"/>
        <v>0</v>
      </c>
      <c r="BA40" s="157">
        <f>+AV40+IFERROR(VLOOKUP($A40,'A0 BS 1240在建'!$1:$1048576,49,0),0)</f>
        <v>0</v>
      </c>
      <c r="BB40" s="157">
        <f>+AW40+IFERROR(VLOOKUP($A40,'B0 2264預收'!$1:$1048576,49,0),0)</f>
        <v>0</v>
      </c>
      <c r="BC40" s="157">
        <f t="shared" si="70"/>
        <v>0</v>
      </c>
      <c r="BD40" s="157">
        <f>+AY40+IFERROR(+VLOOKUP($A40,'B0 2264預收'!$1:$1048576,50,0),0)</f>
        <v>0</v>
      </c>
      <c r="BE40" s="157">
        <f t="shared" si="71"/>
        <v>0</v>
      </c>
      <c r="BF40" s="158">
        <f>+BA40+IFERROR(VLOOKUP($A40,'A0 BS 1240在建'!$1:$1048576,53,0),0)</f>
        <v>0</v>
      </c>
      <c r="BG40" s="158">
        <f>+BB40+IFERROR(VLOOKUP($A40,'B0 2264預收'!$1:$1048576,53,0),0)</f>
        <v>0</v>
      </c>
      <c r="BH40" s="158">
        <f t="shared" si="72"/>
        <v>0</v>
      </c>
      <c r="BI40" s="158">
        <f>+BD40+IFERROR(+VLOOKUP($A40,'B0 2264預收'!$1:$1048576,54,0),0)</f>
        <v>0</v>
      </c>
      <c r="BJ40" s="158">
        <f t="shared" si="73"/>
        <v>0</v>
      </c>
      <c r="BK40" s="157">
        <f>+BF40+IFERROR(VLOOKUP($A40,'A0 BS 1240在建'!$1:$1048576,57,0),0)</f>
        <v>0</v>
      </c>
      <c r="BL40" s="157">
        <f>+BG40+IFERROR(VLOOKUP($A40,'B0 2264預收'!$1:$1048576,57,0),0)</f>
        <v>0</v>
      </c>
      <c r="BM40" s="157">
        <f t="shared" si="74"/>
        <v>0</v>
      </c>
      <c r="BN40" s="157">
        <f>+BI40+IFERROR(+VLOOKUP($A40,'B0 2264預收'!$1:$1048576,58,0),0)</f>
        <v>0</v>
      </c>
      <c r="BO40" s="157">
        <f t="shared" si="75"/>
        <v>0</v>
      </c>
      <c r="BP40" s="158">
        <f>+BK40+IFERROR(VLOOKUP($A40,'A0 BS 1240在建'!$1:$1048576,61,0),0)</f>
        <v>0</v>
      </c>
      <c r="BQ40" s="158">
        <f>+BL40+IFERROR(VLOOKUP($A40,'B0 2264預收'!$1:$1048576,61,0),0)</f>
        <v>0</v>
      </c>
      <c r="BR40" s="159">
        <f t="shared" si="76"/>
        <v>0</v>
      </c>
      <c r="BS40" s="158">
        <f>+BN40+IFERROR(+VLOOKUP($A40,'B0 2264預收'!$1:$1048576,62,0),0)</f>
        <v>0</v>
      </c>
      <c r="BT40" s="158">
        <f t="shared" si="77"/>
        <v>0</v>
      </c>
      <c r="BU40" s="157">
        <f>+IFERROR(VLOOKUP($A40,'A0 BS 1240在建'!$1:$1048576,77,0),0)</f>
        <v>0</v>
      </c>
      <c r="BV40" s="157">
        <f>+IFERROR(VLOOKUP($A40,'B0 2264預收'!$1:$1048576,77,0),0)</f>
        <v>0</v>
      </c>
      <c r="BW40" s="157">
        <f t="shared" si="78"/>
        <v>0</v>
      </c>
      <c r="BX40" s="157">
        <f>+IFERROR(+VLOOKUP($A40,'B0 2264預收'!$1:$1048576,78,0),0)</f>
        <v>0</v>
      </c>
      <c r="BY40" s="157">
        <f t="shared" si="79"/>
        <v>0</v>
      </c>
      <c r="BZ40" s="158">
        <f>IFERROR(+VLOOKUP($A40,'A0 BS 1240在建'!$1:$1048576,85,0),0)</f>
        <v>0</v>
      </c>
      <c r="CA40" s="158">
        <f>IFERROR(+VLOOKUP($A40,'B0 2264預收'!$1:$1048576,85,0),0)</f>
        <v>0</v>
      </c>
      <c r="CB40" s="158">
        <f t="shared" si="80"/>
        <v>0</v>
      </c>
      <c r="CC40" s="158">
        <f>+IFERROR(+VLOOKUP($A40,'B0 2264預收'!$1:$1048576,86,0),0)</f>
        <v>0</v>
      </c>
      <c r="CD40" s="158">
        <f t="shared" si="81"/>
        <v>0</v>
      </c>
      <c r="CE40" s="157">
        <f>+IFERROR(VLOOKUP($A40,'A0 BS 1240在建'!$1:$1048576,93,0),0)</f>
        <v>0</v>
      </c>
      <c r="CF40" s="157">
        <f>+IFERROR(VLOOKUP($A40,'B0 2264預收'!$1:$1048576,93,0),0)</f>
        <v>0</v>
      </c>
      <c r="CG40" s="157">
        <f t="shared" si="82"/>
        <v>0</v>
      </c>
      <c r="CH40" s="157">
        <f>+IFERROR(+VLOOKUP($A40,'B0 2264預收'!$1:$1048576,94,0),0)</f>
        <v>0</v>
      </c>
      <c r="CI40" s="157">
        <f t="shared" si="83"/>
        <v>0</v>
      </c>
      <c r="CJ40" s="158">
        <f>IFERROR(+VLOOKUP($A40,'A0 BS 1240在建'!$1:$1048576,101,0),0)</f>
        <v>0</v>
      </c>
      <c r="CK40" s="158">
        <f>IFERROR(+VLOOKUP($A40,'B0 2264預收'!$1:$1048576,101,0),0)</f>
        <v>0</v>
      </c>
      <c r="CL40" s="158">
        <f t="shared" si="84"/>
        <v>0</v>
      </c>
      <c r="CM40" s="158">
        <f>+IFERROR(+VLOOKUP($A40,'B0 2264預收'!$1:$1048576,102,0),0)</f>
        <v>0</v>
      </c>
      <c r="CN40" s="158">
        <f t="shared" si="85"/>
        <v>0</v>
      </c>
      <c r="CP40" s="166">
        <f t="shared" si="48"/>
        <v>0</v>
      </c>
      <c r="CQ40" s="98">
        <f>+CP40</f>
        <v>0</v>
      </c>
      <c r="CU40" s="160">
        <f t="shared" si="49"/>
        <v>0</v>
      </c>
      <c r="CV40" s="118">
        <f>-J40</f>
        <v>0</v>
      </c>
      <c r="CW40" s="98">
        <f>+BR40</f>
        <v>0</v>
      </c>
      <c r="CY40" s="162" t="str">
        <f t="shared" si="86"/>
        <v/>
      </c>
      <c r="CZ40" s="98" t="str">
        <f t="shared" si="87"/>
        <v xml:space="preserve"> </v>
      </c>
      <c r="DA40" s="98" t="str">
        <f t="shared" si="88"/>
        <v xml:space="preserve"> </v>
      </c>
      <c r="DB40" s="98" t="str">
        <f t="shared" si="89"/>
        <v xml:space="preserve"> </v>
      </c>
      <c r="DC40" s="163">
        <f t="shared" si="90"/>
        <v>0</v>
      </c>
      <c r="DD40" s="162" t="str">
        <f t="shared" si="92"/>
        <v/>
      </c>
      <c r="DE40" s="98" t="str">
        <f t="shared" si="93"/>
        <v xml:space="preserve"> </v>
      </c>
      <c r="DF40" s="98" t="str">
        <f t="shared" si="94"/>
        <v xml:space="preserve"> </v>
      </c>
      <c r="DG40" s="98" t="str">
        <f t="shared" si="95"/>
        <v xml:space="preserve"> </v>
      </c>
      <c r="DH40" s="163">
        <f t="shared" si="91"/>
        <v>0</v>
      </c>
    </row>
    <row r="41" spans="1:112">
      <c r="A41" s="171" t="s">
        <v>379</v>
      </c>
      <c r="B41" s="172" t="s">
        <v>380</v>
      </c>
      <c r="C41" s="157">
        <f>IFERROR(VLOOKUP($A41,'A0 BS 1240在建'!$1:$1048576,5,0),0)</f>
        <v>0</v>
      </c>
      <c r="D41" s="157">
        <f>IFERROR(VLOOKUP($A41,'B0 2264預收'!$1:$1048576,5,0),0)</f>
        <v>0</v>
      </c>
      <c r="E41" s="157">
        <f t="shared" si="50"/>
        <v>0</v>
      </c>
      <c r="F41" s="157">
        <f>IFERROR(VLOOKUP($A41,'B0 2264預收'!$1:$1048576,6,0),0)</f>
        <v>0</v>
      </c>
      <c r="G41" s="157">
        <f t="shared" si="51"/>
        <v>0</v>
      </c>
      <c r="H41" s="158">
        <f>IFERROR(VLOOKUP($A41,'A0 BS 1240在建'!$1:$1048576,13,0),0)</f>
        <v>0</v>
      </c>
      <c r="I41" s="158">
        <f>IFERROR(VLOOKUP($A41,'B0 2264預收'!$1:$1048576,13,0),0)</f>
        <v>0</v>
      </c>
      <c r="J41" s="158">
        <f t="shared" si="52"/>
        <v>0</v>
      </c>
      <c r="K41" s="158">
        <f>IFERROR(VLOOKUP($A41,'B0 2264預收'!$1:$1048576,14,0),0)</f>
        <v>0</v>
      </c>
      <c r="L41" s="158">
        <f t="shared" si="53"/>
        <v>0</v>
      </c>
      <c r="M41" s="157">
        <f>H41+IFERROR(VLOOKUP($A41,'A0 BS 1240在建'!$1:$1048576,17,0),0)</f>
        <v>0</v>
      </c>
      <c r="N41" s="157">
        <f>I41+IFERROR(VLOOKUP($A41,'B0 2264預收'!$1:$1048576,17,0),0)</f>
        <v>0</v>
      </c>
      <c r="O41" s="157">
        <f t="shared" si="54"/>
        <v>0</v>
      </c>
      <c r="P41" s="157">
        <f>K41+IFERROR(+VLOOKUP($A41,'B0 2264預收'!$1:$1048576,18,0),0)</f>
        <v>0</v>
      </c>
      <c r="Q41" s="157">
        <f t="shared" si="55"/>
        <v>0</v>
      </c>
      <c r="R41" s="158">
        <f>M41+IFERROR(VLOOKUP($A41,'A0 BS 1240在建'!$1:$1048576,21,0),0)</f>
        <v>0</v>
      </c>
      <c r="S41" s="158">
        <f>+N41+IFERROR(VLOOKUP($A41,'B0 2264預收'!$1:$1048576,21,0),0)</f>
        <v>0</v>
      </c>
      <c r="T41" s="158">
        <f t="shared" si="56"/>
        <v>0</v>
      </c>
      <c r="U41" s="158">
        <f>+P41+IFERROR(+VLOOKUP($A41,'B0 2264預收'!$1:$1048576,22,0),0)</f>
        <v>0</v>
      </c>
      <c r="V41" s="158">
        <f t="shared" si="57"/>
        <v>0</v>
      </c>
      <c r="W41" s="157">
        <f>+R41+IFERROR(VLOOKUP($A41,'A0 BS 1240在建'!$1:$1048576,25,0),0)</f>
        <v>0</v>
      </c>
      <c r="X41" s="157">
        <f>+S41+IFERROR(VLOOKUP($A41,'B0 2264預收'!$1:$1048576,25,0),0)</f>
        <v>0</v>
      </c>
      <c r="Y41" s="157">
        <f t="shared" si="58"/>
        <v>0</v>
      </c>
      <c r="Z41" s="157">
        <f>+U41+IFERROR(+VLOOKUP($A41,'B0 2264預收'!$1:$1048576,26,0),0)</f>
        <v>0</v>
      </c>
      <c r="AA41" s="157">
        <f t="shared" si="59"/>
        <v>0</v>
      </c>
      <c r="AB41" s="158">
        <f>+W41+IFERROR(VLOOKUP($A41,'A0 BS 1240在建'!$1:$1048576,29,0),0)</f>
        <v>0</v>
      </c>
      <c r="AC41" s="158">
        <f>+X41+IFERROR(VLOOKUP($A41,'B0 2264預收'!$1:$1048576,29,0),0)</f>
        <v>0</v>
      </c>
      <c r="AD41" s="158">
        <f t="shared" si="60"/>
        <v>0</v>
      </c>
      <c r="AE41" s="158">
        <f>+Z41+IFERROR(+VLOOKUP($A41,'B0 2264預收'!$1:$1048576,30,0),0)</f>
        <v>0</v>
      </c>
      <c r="AF41" s="158">
        <f t="shared" si="61"/>
        <v>0</v>
      </c>
      <c r="AG41" s="157">
        <f>+AB41+IFERROR(VLOOKUP($A41,'A0 BS 1240在建'!$1:$1048576,33,0),0)</f>
        <v>0</v>
      </c>
      <c r="AH41" s="157">
        <f>+AC41+IFERROR(VLOOKUP($A41,'B0 2264預收'!$1:$1048576,33,0),0)</f>
        <v>0</v>
      </c>
      <c r="AI41" s="157">
        <f t="shared" si="62"/>
        <v>0</v>
      </c>
      <c r="AJ41" s="157">
        <f>+AE41+IFERROR(+VLOOKUP($A41,'B0 2264預收'!$1:$1048576,34,0),0)</f>
        <v>0</v>
      </c>
      <c r="AK41" s="157">
        <f t="shared" si="63"/>
        <v>0</v>
      </c>
      <c r="AL41" s="158">
        <f>+AG41+IFERROR(VLOOKUP($A41,'A0 BS 1240在建'!$1:$1048576,37,0),0)</f>
        <v>0</v>
      </c>
      <c r="AM41" s="158">
        <f>+AH41+IFERROR(VLOOKUP($A41,'B0 2264預收'!$1:$1048576,37,0),0)</f>
        <v>0</v>
      </c>
      <c r="AN41" s="158">
        <f t="shared" si="64"/>
        <v>0</v>
      </c>
      <c r="AO41" s="158">
        <f>+AJ41+IFERROR(+VLOOKUP($A41,'B0 2264預收'!$1:$1048576,38,0),0)</f>
        <v>0</v>
      </c>
      <c r="AP41" s="158">
        <f t="shared" si="65"/>
        <v>0</v>
      </c>
      <c r="AQ41" s="157">
        <f>+AL41+IFERROR(VLOOKUP($A41,'A0 BS 1240在建'!$1:$1048576,41,0),0)</f>
        <v>0</v>
      </c>
      <c r="AR41" s="157">
        <f>+AM41+IFERROR(VLOOKUP($A41,'B0 2264預收'!$1:$1048576,41,0),0)</f>
        <v>0</v>
      </c>
      <c r="AS41" s="157">
        <f t="shared" si="66"/>
        <v>0</v>
      </c>
      <c r="AT41" s="157">
        <f>+AO41+IFERROR(+VLOOKUP($A41,'B0 2264預收'!$1:$1048576,42,0),0)</f>
        <v>0</v>
      </c>
      <c r="AU41" s="157">
        <f t="shared" si="67"/>
        <v>0</v>
      </c>
      <c r="AV41" s="158">
        <f>+AQ41+IFERROR(VLOOKUP($A41,'A0 BS 1240在建'!$1:$1048576,45,0),0)</f>
        <v>0</v>
      </c>
      <c r="AW41" s="158">
        <f>+AR41+IFERROR(VLOOKUP($A41,'B0 2264預收'!$1:$1048576,45,0),0)</f>
        <v>0</v>
      </c>
      <c r="AX41" s="158">
        <f t="shared" si="68"/>
        <v>0</v>
      </c>
      <c r="AY41" s="158">
        <f>+AT41+IFERROR(+VLOOKUP($A41,'B0 2264預收'!$1:$1048576,46,0),0)</f>
        <v>0</v>
      </c>
      <c r="AZ41" s="158">
        <f t="shared" si="69"/>
        <v>0</v>
      </c>
      <c r="BA41" s="157">
        <f>+AV41+IFERROR(VLOOKUP($A41,'A0 BS 1240在建'!$1:$1048576,49,0),0)</f>
        <v>0</v>
      </c>
      <c r="BB41" s="157">
        <f>+AW41+IFERROR(VLOOKUP($A41,'B0 2264預收'!$1:$1048576,49,0),0)</f>
        <v>0</v>
      </c>
      <c r="BC41" s="157">
        <f t="shared" si="70"/>
        <v>0</v>
      </c>
      <c r="BD41" s="157">
        <f>+AY41+IFERROR(+VLOOKUP($A41,'B0 2264預收'!$1:$1048576,50,0),0)</f>
        <v>0</v>
      </c>
      <c r="BE41" s="157">
        <f t="shared" si="71"/>
        <v>0</v>
      </c>
      <c r="BF41" s="158">
        <f>+BA41+IFERROR(VLOOKUP($A41,'A0 BS 1240在建'!$1:$1048576,53,0),0)</f>
        <v>0</v>
      </c>
      <c r="BG41" s="158">
        <f>+BB41+IFERROR(VLOOKUP($A41,'B0 2264預收'!$1:$1048576,53,0),0)</f>
        <v>0</v>
      </c>
      <c r="BH41" s="158">
        <f t="shared" si="72"/>
        <v>0</v>
      </c>
      <c r="BI41" s="158">
        <f>+BD41+IFERROR(+VLOOKUP($A41,'B0 2264預收'!$1:$1048576,54,0),0)</f>
        <v>0</v>
      </c>
      <c r="BJ41" s="158">
        <f t="shared" si="73"/>
        <v>0</v>
      </c>
      <c r="BK41" s="157">
        <f>+BF41+IFERROR(VLOOKUP($A41,'A0 BS 1240在建'!$1:$1048576,57,0),0)</f>
        <v>0</v>
      </c>
      <c r="BL41" s="157">
        <f>+BG41+IFERROR(VLOOKUP($A41,'B0 2264預收'!$1:$1048576,57,0),0)</f>
        <v>0</v>
      </c>
      <c r="BM41" s="157">
        <f t="shared" si="74"/>
        <v>0</v>
      </c>
      <c r="BN41" s="157">
        <f>+BI41+IFERROR(+VLOOKUP($A41,'B0 2264預收'!$1:$1048576,58,0),0)</f>
        <v>0</v>
      </c>
      <c r="BO41" s="157">
        <f t="shared" si="75"/>
        <v>0</v>
      </c>
      <c r="BP41" s="158">
        <f>+BK41+IFERROR(VLOOKUP($A41,'A0 BS 1240在建'!$1:$1048576,61,0),0)</f>
        <v>0</v>
      </c>
      <c r="BQ41" s="158">
        <f>+BL41+IFERROR(VLOOKUP($A41,'B0 2264預收'!$1:$1048576,61,0),0)</f>
        <v>0</v>
      </c>
      <c r="BR41" s="159">
        <f t="shared" si="76"/>
        <v>0</v>
      </c>
      <c r="BS41" s="158">
        <f>+BN41+IFERROR(+VLOOKUP($A41,'B0 2264預收'!$1:$1048576,62,0),0)</f>
        <v>0</v>
      </c>
      <c r="BT41" s="158">
        <f t="shared" si="77"/>
        <v>0</v>
      </c>
      <c r="BU41" s="157">
        <f>+IFERROR(VLOOKUP($A41,'A0 BS 1240在建'!$1:$1048576,77,0),0)</f>
        <v>0</v>
      </c>
      <c r="BV41" s="157">
        <f>+IFERROR(VLOOKUP($A41,'B0 2264預收'!$1:$1048576,77,0),0)</f>
        <v>0</v>
      </c>
      <c r="BW41" s="157">
        <f t="shared" si="78"/>
        <v>0</v>
      </c>
      <c r="BX41" s="157">
        <f>+IFERROR(+VLOOKUP($A41,'B0 2264預收'!$1:$1048576,78,0),0)</f>
        <v>0</v>
      </c>
      <c r="BY41" s="157">
        <f t="shared" si="79"/>
        <v>0</v>
      </c>
      <c r="BZ41" s="158">
        <f>IFERROR(+VLOOKUP($A41,'A0 BS 1240在建'!$1:$1048576,85,0),0)</f>
        <v>0</v>
      </c>
      <c r="CA41" s="158">
        <f>IFERROR(+VLOOKUP($A41,'B0 2264預收'!$1:$1048576,85,0),0)</f>
        <v>0</v>
      </c>
      <c r="CB41" s="158">
        <f t="shared" si="80"/>
        <v>0</v>
      </c>
      <c r="CC41" s="158">
        <f>+IFERROR(+VLOOKUP($A41,'B0 2264預收'!$1:$1048576,86,0),0)</f>
        <v>0</v>
      </c>
      <c r="CD41" s="158">
        <f t="shared" si="81"/>
        <v>0</v>
      </c>
      <c r="CE41" s="157">
        <f>+IFERROR(VLOOKUP($A41,'A0 BS 1240在建'!$1:$1048576,93,0),0)</f>
        <v>0</v>
      </c>
      <c r="CF41" s="157">
        <f>+IFERROR(VLOOKUP($A41,'B0 2264預收'!$1:$1048576,93,0),0)</f>
        <v>0</v>
      </c>
      <c r="CG41" s="157">
        <f t="shared" si="82"/>
        <v>0</v>
      </c>
      <c r="CH41" s="157">
        <f>+IFERROR(+VLOOKUP($A41,'B0 2264預收'!$1:$1048576,94,0),0)</f>
        <v>0</v>
      </c>
      <c r="CI41" s="157">
        <f t="shared" si="83"/>
        <v>0</v>
      </c>
      <c r="CJ41" s="158">
        <f>IFERROR(+VLOOKUP($A41,'A0 BS 1240在建'!$1:$1048576,101,0),0)</f>
        <v>0</v>
      </c>
      <c r="CK41" s="158">
        <f>IFERROR(+VLOOKUP($A41,'B0 2264預收'!$1:$1048576,101,0),0)</f>
        <v>0</v>
      </c>
      <c r="CL41" s="158">
        <f t="shared" si="84"/>
        <v>0</v>
      </c>
      <c r="CM41" s="158">
        <f>+IFERROR(+VLOOKUP($A41,'B0 2264預收'!$1:$1048576,102,0),0)</f>
        <v>0</v>
      </c>
      <c r="CN41" s="158">
        <f t="shared" si="85"/>
        <v>0</v>
      </c>
      <c r="CP41" s="166">
        <f t="shared" si="48"/>
        <v>0</v>
      </c>
      <c r="CQ41" s="98">
        <f>+CP41</f>
        <v>0</v>
      </c>
      <c r="CU41" s="166">
        <f t="shared" si="49"/>
        <v>0</v>
      </c>
      <c r="CV41" s="98">
        <f>+CU41</f>
        <v>0</v>
      </c>
      <c r="CY41" s="162" t="str">
        <f t="shared" si="86"/>
        <v/>
      </c>
      <c r="CZ41" s="98" t="str">
        <f t="shared" si="87"/>
        <v xml:space="preserve"> </v>
      </c>
      <c r="DA41" s="98" t="str">
        <f t="shared" si="88"/>
        <v xml:space="preserve"> </v>
      </c>
      <c r="DB41" s="98" t="str">
        <f t="shared" si="89"/>
        <v xml:space="preserve"> </v>
      </c>
      <c r="DC41" s="163">
        <f t="shared" si="90"/>
        <v>0</v>
      </c>
      <c r="DD41" s="162" t="str">
        <f t="shared" si="92"/>
        <v/>
      </c>
      <c r="DE41" s="98" t="str">
        <f t="shared" si="93"/>
        <v xml:space="preserve"> </v>
      </c>
      <c r="DF41" s="98" t="str">
        <f t="shared" si="94"/>
        <v xml:space="preserve"> </v>
      </c>
      <c r="DG41" s="98" t="str">
        <f t="shared" si="95"/>
        <v xml:space="preserve"> </v>
      </c>
      <c r="DH41" s="163">
        <f t="shared" si="91"/>
        <v>0</v>
      </c>
    </row>
    <row r="42" spans="1:112">
      <c r="A42" s="171" t="s">
        <v>381</v>
      </c>
      <c r="B42" s="172" t="s">
        <v>382</v>
      </c>
      <c r="C42" s="157">
        <f>IFERROR(VLOOKUP($A42,'A0 BS 1240在建'!$1:$1048576,5,0),0)</f>
        <v>0</v>
      </c>
      <c r="D42" s="157">
        <f>IFERROR(VLOOKUP($A42,'B0 2264預收'!$1:$1048576,5,0),0)</f>
        <v>0</v>
      </c>
      <c r="E42" s="157">
        <f t="shared" si="50"/>
        <v>0</v>
      </c>
      <c r="F42" s="157">
        <f>IFERROR(VLOOKUP($A42,'B0 2264預收'!$1:$1048576,6,0),0)</f>
        <v>0</v>
      </c>
      <c r="G42" s="157">
        <f t="shared" si="51"/>
        <v>0</v>
      </c>
      <c r="H42" s="158">
        <f>IFERROR(VLOOKUP($A42,'A0 BS 1240在建'!$1:$1048576,13,0),0)</f>
        <v>0</v>
      </c>
      <c r="I42" s="158">
        <f>IFERROR(VLOOKUP($A42,'B0 2264預收'!$1:$1048576,13,0),0)</f>
        <v>0</v>
      </c>
      <c r="J42" s="158">
        <f t="shared" si="52"/>
        <v>0</v>
      </c>
      <c r="K42" s="158">
        <f>IFERROR(VLOOKUP($A42,'B0 2264預收'!$1:$1048576,14,0),0)</f>
        <v>0</v>
      </c>
      <c r="L42" s="158">
        <f t="shared" si="53"/>
        <v>0</v>
      </c>
      <c r="M42" s="157">
        <f>H42+IFERROR(VLOOKUP($A42,'A0 BS 1240在建'!$1:$1048576,17,0),0)</f>
        <v>0</v>
      </c>
      <c r="N42" s="157">
        <f>I42+IFERROR(VLOOKUP($A42,'B0 2264預收'!$1:$1048576,17,0),0)</f>
        <v>0</v>
      </c>
      <c r="O42" s="157">
        <f t="shared" si="54"/>
        <v>0</v>
      </c>
      <c r="P42" s="157">
        <f>K42+IFERROR(+VLOOKUP($A42,'B0 2264預收'!$1:$1048576,18,0),0)</f>
        <v>0</v>
      </c>
      <c r="Q42" s="157">
        <f t="shared" si="55"/>
        <v>0</v>
      </c>
      <c r="R42" s="158">
        <f>M42+IFERROR(VLOOKUP($A42,'A0 BS 1240在建'!$1:$1048576,21,0),0)</f>
        <v>0</v>
      </c>
      <c r="S42" s="158">
        <f>+N42+IFERROR(VLOOKUP($A42,'B0 2264預收'!$1:$1048576,21,0),0)</f>
        <v>0</v>
      </c>
      <c r="T42" s="158">
        <f t="shared" si="56"/>
        <v>0</v>
      </c>
      <c r="U42" s="158">
        <f>+P42+IFERROR(+VLOOKUP($A42,'B0 2264預收'!$1:$1048576,22,0),0)</f>
        <v>0</v>
      </c>
      <c r="V42" s="158">
        <f t="shared" si="57"/>
        <v>0</v>
      </c>
      <c r="W42" s="157">
        <f>+R42+IFERROR(VLOOKUP($A42,'A0 BS 1240在建'!$1:$1048576,25,0),0)</f>
        <v>0</v>
      </c>
      <c r="X42" s="157">
        <f>+S42+IFERROR(VLOOKUP($A42,'B0 2264預收'!$1:$1048576,25,0),0)</f>
        <v>0</v>
      </c>
      <c r="Y42" s="157">
        <f t="shared" si="58"/>
        <v>0</v>
      </c>
      <c r="Z42" s="157">
        <f>+U42+IFERROR(+VLOOKUP($A42,'B0 2264預收'!$1:$1048576,26,0),0)</f>
        <v>0</v>
      </c>
      <c r="AA42" s="157">
        <f t="shared" si="59"/>
        <v>0</v>
      </c>
      <c r="AB42" s="158">
        <f>+W42+IFERROR(VLOOKUP($A42,'A0 BS 1240在建'!$1:$1048576,29,0),0)</f>
        <v>0</v>
      </c>
      <c r="AC42" s="158">
        <f>+X42+IFERROR(VLOOKUP($A42,'B0 2264預收'!$1:$1048576,29,0),0)</f>
        <v>0</v>
      </c>
      <c r="AD42" s="158">
        <f t="shared" si="60"/>
        <v>0</v>
      </c>
      <c r="AE42" s="158">
        <f>+Z42+IFERROR(+VLOOKUP($A42,'B0 2264預收'!$1:$1048576,30,0),0)</f>
        <v>0</v>
      </c>
      <c r="AF42" s="158">
        <f t="shared" si="61"/>
        <v>0</v>
      </c>
      <c r="AG42" s="157">
        <f>+AB42+IFERROR(VLOOKUP($A42,'A0 BS 1240在建'!$1:$1048576,33,0),0)</f>
        <v>0</v>
      </c>
      <c r="AH42" s="157">
        <f>+AC42+IFERROR(VLOOKUP($A42,'B0 2264預收'!$1:$1048576,33,0),0)</f>
        <v>0</v>
      </c>
      <c r="AI42" s="157">
        <f t="shared" si="62"/>
        <v>0</v>
      </c>
      <c r="AJ42" s="157">
        <f>+AE42+IFERROR(+VLOOKUP($A42,'B0 2264預收'!$1:$1048576,34,0),0)</f>
        <v>0</v>
      </c>
      <c r="AK42" s="157">
        <f t="shared" si="63"/>
        <v>0</v>
      </c>
      <c r="AL42" s="158">
        <f>+AG42+IFERROR(VLOOKUP($A42,'A0 BS 1240在建'!$1:$1048576,37,0),0)</f>
        <v>0</v>
      </c>
      <c r="AM42" s="158">
        <f>+AH42+IFERROR(VLOOKUP($A42,'B0 2264預收'!$1:$1048576,37,0),0)</f>
        <v>0</v>
      </c>
      <c r="AN42" s="158">
        <f t="shared" si="64"/>
        <v>0</v>
      </c>
      <c r="AO42" s="158">
        <f>+AJ42+IFERROR(+VLOOKUP($A42,'B0 2264預收'!$1:$1048576,38,0),0)</f>
        <v>0</v>
      </c>
      <c r="AP42" s="158">
        <f t="shared" si="65"/>
        <v>0</v>
      </c>
      <c r="AQ42" s="157">
        <f>+AL42+IFERROR(VLOOKUP($A42,'A0 BS 1240在建'!$1:$1048576,41,0),0)</f>
        <v>0</v>
      </c>
      <c r="AR42" s="157">
        <f>+AM42+IFERROR(VLOOKUP($A42,'B0 2264預收'!$1:$1048576,41,0),0)</f>
        <v>0</v>
      </c>
      <c r="AS42" s="157">
        <f t="shared" si="66"/>
        <v>0</v>
      </c>
      <c r="AT42" s="157">
        <f>+AO42+IFERROR(+VLOOKUP($A42,'B0 2264預收'!$1:$1048576,42,0),0)</f>
        <v>0</v>
      </c>
      <c r="AU42" s="157">
        <f t="shared" si="67"/>
        <v>0</v>
      </c>
      <c r="AV42" s="158">
        <f>+AQ42+IFERROR(VLOOKUP($A42,'A0 BS 1240在建'!$1:$1048576,45,0),0)</f>
        <v>0</v>
      </c>
      <c r="AW42" s="158">
        <f>+AR42+IFERROR(VLOOKUP($A42,'B0 2264預收'!$1:$1048576,45,0),0)</f>
        <v>0</v>
      </c>
      <c r="AX42" s="158">
        <f t="shared" si="68"/>
        <v>0</v>
      </c>
      <c r="AY42" s="158">
        <f>+AT42+IFERROR(+VLOOKUP($A42,'B0 2264預收'!$1:$1048576,46,0),0)</f>
        <v>0</v>
      </c>
      <c r="AZ42" s="158">
        <f t="shared" si="69"/>
        <v>0</v>
      </c>
      <c r="BA42" s="157">
        <f>+AV42+IFERROR(VLOOKUP($A42,'A0 BS 1240在建'!$1:$1048576,49,0),0)</f>
        <v>0</v>
      </c>
      <c r="BB42" s="157">
        <f>+AW42+IFERROR(VLOOKUP($A42,'B0 2264預收'!$1:$1048576,49,0),0)</f>
        <v>0</v>
      </c>
      <c r="BC42" s="157">
        <f t="shared" si="70"/>
        <v>0</v>
      </c>
      <c r="BD42" s="157">
        <f>+AY42+IFERROR(+VLOOKUP($A42,'B0 2264預收'!$1:$1048576,50,0),0)</f>
        <v>0</v>
      </c>
      <c r="BE42" s="157">
        <f t="shared" si="71"/>
        <v>0</v>
      </c>
      <c r="BF42" s="158">
        <f>+BA42+IFERROR(VLOOKUP($A42,'A0 BS 1240在建'!$1:$1048576,53,0),0)</f>
        <v>0</v>
      </c>
      <c r="BG42" s="158">
        <f>+BB42+IFERROR(VLOOKUP($A42,'B0 2264預收'!$1:$1048576,53,0),0)</f>
        <v>0</v>
      </c>
      <c r="BH42" s="158">
        <f t="shared" si="72"/>
        <v>0</v>
      </c>
      <c r="BI42" s="158">
        <f>+BD42+IFERROR(+VLOOKUP($A42,'B0 2264預收'!$1:$1048576,54,0),0)</f>
        <v>0</v>
      </c>
      <c r="BJ42" s="158">
        <f t="shared" si="73"/>
        <v>0</v>
      </c>
      <c r="BK42" s="157">
        <f>+BF42+IFERROR(VLOOKUP($A42,'A0 BS 1240在建'!$1:$1048576,57,0),0)</f>
        <v>0</v>
      </c>
      <c r="BL42" s="157">
        <f>+BG42+IFERROR(VLOOKUP($A42,'B0 2264預收'!$1:$1048576,57,0),0)</f>
        <v>0</v>
      </c>
      <c r="BM42" s="157">
        <f t="shared" si="74"/>
        <v>0</v>
      </c>
      <c r="BN42" s="157">
        <f>+BI42+IFERROR(+VLOOKUP($A42,'B0 2264預收'!$1:$1048576,58,0),0)</f>
        <v>0</v>
      </c>
      <c r="BO42" s="157">
        <f t="shared" si="75"/>
        <v>0</v>
      </c>
      <c r="BP42" s="158">
        <f>+BK42+IFERROR(VLOOKUP($A42,'A0 BS 1240在建'!$1:$1048576,61,0),0)</f>
        <v>0</v>
      </c>
      <c r="BQ42" s="158">
        <f>+BL42+IFERROR(VLOOKUP($A42,'B0 2264預收'!$1:$1048576,61,0),0)</f>
        <v>0</v>
      </c>
      <c r="BR42" s="159">
        <f t="shared" si="76"/>
        <v>0</v>
      </c>
      <c r="BS42" s="158">
        <f>+BN42+IFERROR(+VLOOKUP($A42,'B0 2264預收'!$1:$1048576,62,0),0)</f>
        <v>0</v>
      </c>
      <c r="BT42" s="158">
        <f t="shared" si="77"/>
        <v>0</v>
      </c>
      <c r="BU42" s="157">
        <f>+IFERROR(VLOOKUP($A42,'A0 BS 1240在建'!$1:$1048576,77,0),0)</f>
        <v>0</v>
      </c>
      <c r="BV42" s="157">
        <f>+IFERROR(VLOOKUP($A42,'B0 2264預收'!$1:$1048576,77,0),0)</f>
        <v>0</v>
      </c>
      <c r="BW42" s="157">
        <f t="shared" si="78"/>
        <v>0</v>
      </c>
      <c r="BX42" s="157">
        <f>+IFERROR(+VLOOKUP($A42,'B0 2264預收'!$1:$1048576,78,0),0)</f>
        <v>0</v>
      </c>
      <c r="BY42" s="157">
        <f t="shared" si="79"/>
        <v>0</v>
      </c>
      <c r="BZ42" s="158">
        <f>IFERROR(+VLOOKUP($A42,'A0 BS 1240在建'!$1:$1048576,85,0),0)</f>
        <v>0</v>
      </c>
      <c r="CA42" s="158">
        <f>IFERROR(+VLOOKUP($A42,'B0 2264預收'!$1:$1048576,85,0),0)</f>
        <v>0</v>
      </c>
      <c r="CB42" s="158">
        <f t="shared" si="80"/>
        <v>0</v>
      </c>
      <c r="CC42" s="158">
        <f>+IFERROR(+VLOOKUP($A42,'B0 2264預收'!$1:$1048576,86,0),0)</f>
        <v>0</v>
      </c>
      <c r="CD42" s="158">
        <f t="shared" si="81"/>
        <v>0</v>
      </c>
      <c r="CE42" s="157">
        <f>+IFERROR(VLOOKUP($A42,'A0 BS 1240在建'!$1:$1048576,93,0),0)</f>
        <v>0</v>
      </c>
      <c r="CF42" s="157">
        <f>+IFERROR(VLOOKUP($A42,'B0 2264預收'!$1:$1048576,93,0),0)</f>
        <v>0</v>
      </c>
      <c r="CG42" s="157">
        <f t="shared" si="82"/>
        <v>0</v>
      </c>
      <c r="CH42" s="157">
        <f>+IFERROR(+VLOOKUP($A42,'B0 2264預收'!$1:$1048576,94,0),0)</f>
        <v>0</v>
      </c>
      <c r="CI42" s="157">
        <f t="shared" si="83"/>
        <v>0</v>
      </c>
      <c r="CJ42" s="158">
        <f>IFERROR(+VLOOKUP($A42,'A0 BS 1240在建'!$1:$1048576,101,0),0)</f>
        <v>0</v>
      </c>
      <c r="CK42" s="158">
        <f>IFERROR(+VLOOKUP($A42,'B0 2264預收'!$1:$1048576,101,0),0)</f>
        <v>0</v>
      </c>
      <c r="CL42" s="158">
        <f t="shared" si="84"/>
        <v>0</v>
      </c>
      <c r="CM42" s="158">
        <f>+IFERROR(+VLOOKUP($A42,'B0 2264預收'!$1:$1048576,102,0),0)</f>
        <v>0</v>
      </c>
      <c r="CN42" s="158">
        <f t="shared" si="85"/>
        <v>0</v>
      </c>
      <c r="CP42" s="165">
        <f t="shared" si="48"/>
        <v>0</v>
      </c>
      <c r="CR42" s="98">
        <f>+CP42</f>
        <v>0</v>
      </c>
      <c r="CU42" s="165">
        <f t="shared" si="49"/>
        <v>0</v>
      </c>
      <c r="CW42" s="98">
        <f>+CU42</f>
        <v>0</v>
      </c>
      <c r="CY42" s="162" t="str">
        <f t="shared" si="86"/>
        <v/>
      </c>
      <c r="CZ42" s="98" t="str">
        <f t="shared" si="87"/>
        <v xml:space="preserve"> </v>
      </c>
      <c r="DA42" s="98" t="str">
        <f t="shared" si="88"/>
        <v xml:space="preserve"> </v>
      </c>
      <c r="DB42" s="98" t="str">
        <f t="shared" si="89"/>
        <v xml:space="preserve"> </v>
      </c>
      <c r="DC42" s="163">
        <f t="shared" si="90"/>
        <v>0</v>
      </c>
      <c r="DD42" s="162" t="str">
        <f t="shared" si="92"/>
        <v/>
      </c>
      <c r="DE42" s="98" t="str">
        <f t="shared" si="93"/>
        <v xml:space="preserve"> </v>
      </c>
      <c r="DF42" s="98" t="str">
        <f t="shared" si="94"/>
        <v xml:space="preserve"> </v>
      </c>
      <c r="DG42" s="98" t="str">
        <f t="shared" si="95"/>
        <v xml:space="preserve"> </v>
      </c>
      <c r="DH42" s="163">
        <f t="shared" si="91"/>
        <v>0</v>
      </c>
    </row>
    <row r="43" spans="1:112">
      <c r="A43" s="171" t="s">
        <v>383</v>
      </c>
      <c r="B43" s="172" t="s">
        <v>384</v>
      </c>
      <c r="C43" s="157">
        <f>IFERROR(VLOOKUP($A43,'A0 BS 1240在建'!$1:$1048576,5,0),0)</f>
        <v>0</v>
      </c>
      <c r="D43" s="157">
        <f>IFERROR(VLOOKUP($A43,'B0 2264預收'!$1:$1048576,5,0),0)</f>
        <v>0</v>
      </c>
      <c r="E43" s="157">
        <f t="shared" si="50"/>
        <v>0</v>
      </c>
      <c r="F43" s="157">
        <f>IFERROR(VLOOKUP($A43,'B0 2264預收'!$1:$1048576,6,0),0)</f>
        <v>0</v>
      </c>
      <c r="G43" s="157">
        <f t="shared" si="51"/>
        <v>0</v>
      </c>
      <c r="H43" s="158">
        <f>IFERROR(VLOOKUP($A43,'A0 BS 1240在建'!$1:$1048576,13,0),0)</f>
        <v>0</v>
      </c>
      <c r="I43" s="158">
        <f>IFERROR(VLOOKUP($A43,'B0 2264預收'!$1:$1048576,13,0),0)</f>
        <v>0</v>
      </c>
      <c r="J43" s="158">
        <f t="shared" si="52"/>
        <v>0</v>
      </c>
      <c r="K43" s="158">
        <f>IFERROR(VLOOKUP($A43,'B0 2264預收'!$1:$1048576,14,0),0)</f>
        <v>0</v>
      </c>
      <c r="L43" s="158">
        <f t="shared" si="53"/>
        <v>0</v>
      </c>
      <c r="M43" s="157">
        <f>H43+IFERROR(VLOOKUP($A43,'A0 BS 1240在建'!$1:$1048576,17,0),0)</f>
        <v>0</v>
      </c>
      <c r="N43" s="157">
        <f>I43+IFERROR(VLOOKUP($A43,'B0 2264預收'!$1:$1048576,17,0),0)</f>
        <v>0</v>
      </c>
      <c r="O43" s="157">
        <f t="shared" si="54"/>
        <v>0</v>
      </c>
      <c r="P43" s="157">
        <f>K43+IFERROR(+VLOOKUP($A43,'B0 2264預收'!$1:$1048576,18,0),0)</f>
        <v>0</v>
      </c>
      <c r="Q43" s="157">
        <f t="shared" si="55"/>
        <v>0</v>
      </c>
      <c r="R43" s="158">
        <f>M43+IFERROR(VLOOKUP($A43,'A0 BS 1240在建'!$1:$1048576,21,0),0)</f>
        <v>0</v>
      </c>
      <c r="S43" s="158">
        <f>+N43+IFERROR(VLOOKUP($A43,'B0 2264預收'!$1:$1048576,21,0),0)</f>
        <v>0</v>
      </c>
      <c r="T43" s="158">
        <f t="shared" si="56"/>
        <v>0</v>
      </c>
      <c r="U43" s="158">
        <f>+P43+IFERROR(+VLOOKUP($A43,'B0 2264預收'!$1:$1048576,22,0),0)</f>
        <v>0</v>
      </c>
      <c r="V43" s="158">
        <f t="shared" si="57"/>
        <v>0</v>
      </c>
      <c r="W43" s="157">
        <f>+R43+IFERROR(VLOOKUP($A43,'A0 BS 1240在建'!$1:$1048576,25,0),0)</f>
        <v>0</v>
      </c>
      <c r="X43" s="157">
        <f>+S43+IFERROR(VLOOKUP($A43,'B0 2264預收'!$1:$1048576,25,0),0)</f>
        <v>0</v>
      </c>
      <c r="Y43" s="157">
        <f t="shared" si="58"/>
        <v>0</v>
      </c>
      <c r="Z43" s="157">
        <f>+U43+IFERROR(+VLOOKUP($A43,'B0 2264預收'!$1:$1048576,26,0),0)</f>
        <v>0</v>
      </c>
      <c r="AA43" s="157">
        <f t="shared" si="59"/>
        <v>0</v>
      </c>
      <c r="AB43" s="158">
        <f>+W43+IFERROR(VLOOKUP($A43,'A0 BS 1240在建'!$1:$1048576,29,0),0)</f>
        <v>0</v>
      </c>
      <c r="AC43" s="158">
        <f>+X43+IFERROR(VLOOKUP($A43,'B0 2264預收'!$1:$1048576,29,0),0)</f>
        <v>0</v>
      </c>
      <c r="AD43" s="158">
        <f t="shared" si="60"/>
        <v>0</v>
      </c>
      <c r="AE43" s="158">
        <f>+Z43+IFERROR(+VLOOKUP($A43,'B0 2264預收'!$1:$1048576,30,0),0)</f>
        <v>0</v>
      </c>
      <c r="AF43" s="158">
        <f t="shared" si="61"/>
        <v>0</v>
      </c>
      <c r="AG43" s="157">
        <f>+AB43+IFERROR(VLOOKUP($A43,'A0 BS 1240在建'!$1:$1048576,33,0),0)</f>
        <v>0</v>
      </c>
      <c r="AH43" s="157">
        <f>+AC43+IFERROR(VLOOKUP($A43,'B0 2264預收'!$1:$1048576,33,0),0)</f>
        <v>0</v>
      </c>
      <c r="AI43" s="157">
        <f t="shared" si="62"/>
        <v>0</v>
      </c>
      <c r="AJ43" s="157">
        <f>+AE43+IFERROR(+VLOOKUP($A43,'B0 2264預收'!$1:$1048576,34,0),0)</f>
        <v>0</v>
      </c>
      <c r="AK43" s="157">
        <f t="shared" si="63"/>
        <v>0</v>
      </c>
      <c r="AL43" s="158">
        <f>+AG43+IFERROR(VLOOKUP($A43,'A0 BS 1240在建'!$1:$1048576,37,0),0)</f>
        <v>0</v>
      </c>
      <c r="AM43" s="158">
        <f>+AH43+IFERROR(VLOOKUP($A43,'B0 2264預收'!$1:$1048576,37,0),0)</f>
        <v>0</v>
      </c>
      <c r="AN43" s="158">
        <f t="shared" si="64"/>
        <v>0</v>
      </c>
      <c r="AO43" s="158">
        <f>+AJ43+IFERROR(+VLOOKUP($A43,'B0 2264預收'!$1:$1048576,38,0),0)</f>
        <v>0</v>
      </c>
      <c r="AP43" s="158">
        <f t="shared" si="65"/>
        <v>0</v>
      </c>
      <c r="AQ43" s="157">
        <f>+AL43+IFERROR(VLOOKUP($A43,'A0 BS 1240在建'!$1:$1048576,41,0),0)</f>
        <v>0</v>
      </c>
      <c r="AR43" s="157">
        <f>+AM43+IFERROR(VLOOKUP($A43,'B0 2264預收'!$1:$1048576,41,0),0)</f>
        <v>0</v>
      </c>
      <c r="AS43" s="157">
        <f t="shared" si="66"/>
        <v>0</v>
      </c>
      <c r="AT43" s="157">
        <f>+AO43+IFERROR(+VLOOKUP($A43,'B0 2264預收'!$1:$1048576,42,0),0)</f>
        <v>0</v>
      </c>
      <c r="AU43" s="157">
        <f t="shared" si="67"/>
        <v>0</v>
      </c>
      <c r="AV43" s="158">
        <f>+AQ43+IFERROR(VLOOKUP($A43,'A0 BS 1240在建'!$1:$1048576,45,0),0)</f>
        <v>0</v>
      </c>
      <c r="AW43" s="158">
        <f>+AR43+IFERROR(VLOOKUP($A43,'B0 2264預收'!$1:$1048576,45,0),0)</f>
        <v>0</v>
      </c>
      <c r="AX43" s="158">
        <f t="shared" si="68"/>
        <v>0</v>
      </c>
      <c r="AY43" s="158">
        <f>+AT43+IFERROR(+VLOOKUP($A43,'B0 2264預收'!$1:$1048576,46,0),0)</f>
        <v>0</v>
      </c>
      <c r="AZ43" s="158">
        <f t="shared" si="69"/>
        <v>0</v>
      </c>
      <c r="BA43" s="157">
        <f>+AV43+IFERROR(VLOOKUP($A43,'A0 BS 1240在建'!$1:$1048576,49,0),0)</f>
        <v>0</v>
      </c>
      <c r="BB43" s="157">
        <f>+AW43+IFERROR(VLOOKUP($A43,'B0 2264預收'!$1:$1048576,49,0),0)</f>
        <v>0</v>
      </c>
      <c r="BC43" s="157">
        <f t="shared" si="70"/>
        <v>0</v>
      </c>
      <c r="BD43" s="157">
        <f>+AY43+IFERROR(+VLOOKUP($A43,'B0 2264預收'!$1:$1048576,50,0),0)</f>
        <v>0</v>
      </c>
      <c r="BE43" s="157">
        <f t="shared" si="71"/>
        <v>0</v>
      </c>
      <c r="BF43" s="158">
        <f>+BA43+IFERROR(VLOOKUP($A43,'A0 BS 1240在建'!$1:$1048576,53,0),0)</f>
        <v>0</v>
      </c>
      <c r="BG43" s="158">
        <f>+BB43+IFERROR(VLOOKUP($A43,'B0 2264預收'!$1:$1048576,53,0),0)</f>
        <v>0</v>
      </c>
      <c r="BH43" s="158">
        <f t="shared" si="72"/>
        <v>0</v>
      </c>
      <c r="BI43" s="158">
        <f>+BD43+IFERROR(+VLOOKUP($A43,'B0 2264預收'!$1:$1048576,54,0),0)</f>
        <v>0</v>
      </c>
      <c r="BJ43" s="158">
        <f t="shared" si="73"/>
        <v>0</v>
      </c>
      <c r="BK43" s="157">
        <f>+BF43+IFERROR(VLOOKUP($A43,'A0 BS 1240在建'!$1:$1048576,57,0),0)</f>
        <v>0</v>
      </c>
      <c r="BL43" s="157">
        <f>+BG43+IFERROR(VLOOKUP($A43,'B0 2264預收'!$1:$1048576,57,0),0)</f>
        <v>0</v>
      </c>
      <c r="BM43" s="157">
        <f t="shared" si="74"/>
        <v>0</v>
      </c>
      <c r="BN43" s="157">
        <f>+BI43+IFERROR(+VLOOKUP($A43,'B0 2264預收'!$1:$1048576,58,0),0)</f>
        <v>0</v>
      </c>
      <c r="BO43" s="157">
        <f t="shared" si="75"/>
        <v>0</v>
      </c>
      <c r="BP43" s="158">
        <f>+BK43+IFERROR(VLOOKUP($A43,'A0 BS 1240在建'!$1:$1048576,61,0),0)</f>
        <v>0</v>
      </c>
      <c r="BQ43" s="158">
        <f>+BL43+IFERROR(VLOOKUP($A43,'B0 2264預收'!$1:$1048576,61,0),0)</f>
        <v>0</v>
      </c>
      <c r="BR43" s="159">
        <f t="shared" si="76"/>
        <v>0</v>
      </c>
      <c r="BS43" s="158">
        <f>+BN43+IFERROR(+VLOOKUP($A43,'B0 2264預收'!$1:$1048576,62,0),0)</f>
        <v>0</v>
      </c>
      <c r="BT43" s="158">
        <f t="shared" si="77"/>
        <v>0</v>
      </c>
      <c r="BU43" s="157">
        <f>+IFERROR(VLOOKUP($A43,'A0 BS 1240在建'!$1:$1048576,77,0),0)</f>
        <v>0</v>
      </c>
      <c r="BV43" s="157">
        <f>+IFERROR(VLOOKUP($A43,'B0 2264預收'!$1:$1048576,77,0),0)</f>
        <v>0</v>
      </c>
      <c r="BW43" s="157">
        <f t="shared" si="78"/>
        <v>0</v>
      </c>
      <c r="BX43" s="157">
        <f>+IFERROR(+VLOOKUP($A43,'B0 2264預收'!$1:$1048576,78,0),0)</f>
        <v>0</v>
      </c>
      <c r="BY43" s="157">
        <f t="shared" si="79"/>
        <v>0</v>
      </c>
      <c r="BZ43" s="158">
        <f>IFERROR(+VLOOKUP($A43,'A0 BS 1240在建'!$1:$1048576,85,0),0)</f>
        <v>0</v>
      </c>
      <c r="CA43" s="158">
        <f>IFERROR(+VLOOKUP($A43,'B0 2264預收'!$1:$1048576,85,0),0)</f>
        <v>0</v>
      </c>
      <c r="CB43" s="158">
        <f t="shared" si="80"/>
        <v>0</v>
      </c>
      <c r="CC43" s="158">
        <f>+IFERROR(+VLOOKUP($A43,'B0 2264預收'!$1:$1048576,86,0),0)</f>
        <v>0</v>
      </c>
      <c r="CD43" s="158">
        <f t="shared" si="81"/>
        <v>0</v>
      </c>
      <c r="CE43" s="157">
        <f>+IFERROR(VLOOKUP($A43,'A0 BS 1240在建'!$1:$1048576,93,0),0)</f>
        <v>0</v>
      </c>
      <c r="CF43" s="157">
        <f>+IFERROR(VLOOKUP($A43,'B0 2264預收'!$1:$1048576,93,0),0)</f>
        <v>0</v>
      </c>
      <c r="CG43" s="157">
        <f t="shared" si="82"/>
        <v>0</v>
      </c>
      <c r="CH43" s="157">
        <f>+IFERROR(+VLOOKUP($A43,'B0 2264預收'!$1:$1048576,94,0),0)</f>
        <v>0</v>
      </c>
      <c r="CI43" s="157">
        <f t="shared" si="83"/>
        <v>0</v>
      </c>
      <c r="CJ43" s="158">
        <f>IFERROR(+VLOOKUP($A43,'A0 BS 1240在建'!$1:$1048576,101,0),0)</f>
        <v>0</v>
      </c>
      <c r="CK43" s="158">
        <f>IFERROR(+VLOOKUP($A43,'B0 2264預收'!$1:$1048576,101,0),0)</f>
        <v>0</v>
      </c>
      <c r="CL43" s="158">
        <f t="shared" si="84"/>
        <v>0</v>
      </c>
      <c r="CM43" s="158">
        <f>+IFERROR(+VLOOKUP($A43,'B0 2264預收'!$1:$1048576,102,0),0)</f>
        <v>0</v>
      </c>
      <c r="CN43" s="158">
        <f t="shared" si="85"/>
        <v>0</v>
      </c>
      <c r="CP43" s="165"/>
      <c r="CU43" s="165"/>
      <c r="CY43" s="162" t="str">
        <f t="shared" si="86"/>
        <v/>
      </c>
      <c r="CZ43" s="98" t="str">
        <f t="shared" si="87"/>
        <v xml:space="preserve"> </v>
      </c>
      <c r="DA43" s="98" t="str">
        <f t="shared" si="88"/>
        <v xml:space="preserve"> </v>
      </c>
      <c r="DB43" s="98" t="str">
        <f t="shared" si="89"/>
        <v xml:space="preserve"> </v>
      </c>
      <c r="DC43" s="163">
        <f t="shared" si="90"/>
        <v>0</v>
      </c>
      <c r="DD43" s="162" t="str">
        <f t="shared" si="92"/>
        <v/>
      </c>
      <c r="DE43" s="98" t="str">
        <f t="shared" si="93"/>
        <v xml:space="preserve"> </v>
      </c>
      <c r="DF43" s="98" t="str">
        <f t="shared" si="94"/>
        <v xml:space="preserve"> </v>
      </c>
      <c r="DG43" s="98" t="str">
        <f t="shared" si="95"/>
        <v xml:space="preserve"> </v>
      </c>
      <c r="DH43" s="163">
        <f t="shared" si="91"/>
        <v>0</v>
      </c>
    </row>
    <row r="44" spans="1:112">
      <c r="A44" s="171" t="s">
        <v>385</v>
      </c>
      <c r="B44" s="172" t="s">
        <v>386</v>
      </c>
      <c r="C44" s="157">
        <f>IFERROR(VLOOKUP($A44,'A0 BS 1240在建'!$1:$1048576,5,0),0)</f>
        <v>0</v>
      </c>
      <c r="D44" s="157">
        <f>IFERROR(VLOOKUP($A44,'B0 2264預收'!$1:$1048576,5,0),0)</f>
        <v>0</v>
      </c>
      <c r="E44" s="157">
        <f t="shared" si="50"/>
        <v>0</v>
      </c>
      <c r="F44" s="157">
        <f>IFERROR(VLOOKUP($A44,'B0 2264預收'!$1:$1048576,6,0),0)</f>
        <v>0</v>
      </c>
      <c r="G44" s="157">
        <f t="shared" si="51"/>
        <v>0</v>
      </c>
      <c r="H44" s="158">
        <f>IFERROR(VLOOKUP($A44,'A0 BS 1240在建'!$1:$1048576,13,0),0)</f>
        <v>0</v>
      </c>
      <c r="I44" s="158">
        <f>IFERROR(VLOOKUP($A44,'B0 2264預收'!$1:$1048576,13,0),0)</f>
        <v>0</v>
      </c>
      <c r="J44" s="158">
        <f t="shared" si="52"/>
        <v>0</v>
      </c>
      <c r="K44" s="158">
        <f>IFERROR(VLOOKUP($A44,'B0 2264預收'!$1:$1048576,14,0),0)</f>
        <v>0</v>
      </c>
      <c r="L44" s="158">
        <f t="shared" si="53"/>
        <v>0</v>
      </c>
      <c r="M44" s="157">
        <f>H44+IFERROR(VLOOKUP($A44,'A0 BS 1240在建'!$1:$1048576,17,0),0)</f>
        <v>0</v>
      </c>
      <c r="N44" s="157">
        <f>I44+IFERROR(VLOOKUP($A44,'B0 2264預收'!$1:$1048576,17,0),0)</f>
        <v>0</v>
      </c>
      <c r="O44" s="157">
        <f t="shared" si="54"/>
        <v>0</v>
      </c>
      <c r="P44" s="157">
        <f>K44+IFERROR(+VLOOKUP($A44,'B0 2264預收'!$1:$1048576,18,0),0)</f>
        <v>0</v>
      </c>
      <c r="Q44" s="157">
        <f t="shared" si="55"/>
        <v>0</v>
      </c>
      <c r="R44" s="158">
        <f>M44+IFERROR(VLOOKUP($A44,'A0 BS 1240在建'!$1:$1048576,21,0),0)</f>
        <v>0</v>
      </c>
      <c r="S44" s="158">
        <f>+N44+IFERROR(VLOOKUP($A44,'B0 2264預收'!$1:$1048576,21,0),0)</f>
        <v>0</v>
      </c>
      <c r="T44" s="158">
        <f t="shared" si="56"/>
        <v>0</v>
      </c>
      <c r="U44" s="158">
        <f>+P44+IFERROR(+VLOOKUP($A44,'B0 2264預收'!$1:$1048576,22,0),0)</f>
        <v>0</v>
      </c>
      <c r="V44" s="158">
        <f t="shared" si="57"/>
        <v>0</v>
      </c>
      <c r="W44" s="157">
        <f>+R44+IFERROR(VLOOKUP($A44,'A0 BS 1240在建'!$1:$1048576,25,0),0)</f>
        <v>0</v>
      </c>
      <c r="X44" s="157">
        <f>+S44+IFERROR(VLOOKUP($A44,'B0 2264預收'!$1:$1048576,25,0),0)</f>
        <v>0</v>
      </c>
      <c r="Y44" s="157">
        <f t="shared" si="58"/>
        <v>0</v>
      </c>
      <c r="Z44" s="157">
        <f>+U44+IFERROR(+VLOOKUP($A44,'B0 2264預收'!$1:$1048576,26,0),0)</f>
        <v>0</v>
      </c>
      <c r="AA44" s="157">
        <f t="shared" si="59"/>
        <v>0</v>
      </c>
      <c r="AB44" s="158">
        <f>+W44+IFERROR(VLOOKUP($A44,'A0 BS 1240在建'!$1:$1048576,29,0),0)</f>
        <v>0</v>
      </c>
      <c r="AC44" s="158">
        <f>+X44+IFERROR(VLOOKUP($A44,'B0 2264預收'!$1:$1048576,29,0),0)</f>
        <v>0</v>
      </c>
      <c r="AD44" s="158">
        <f t="shared" si="60"/>
        <v>0</v>
      </c>
      <c r="AE44" s="158">
        <f>+Z44+IFERROR(+VLOOKUP($A44,'B0 2264預收'!$1:$1048576,30,0),0)</f>
        <v>0</v>
      </c>
      <c r="AF44" s="158">
        <f t="shared" si="61"/>
        <v>0</v>
      </c>
      <c r="AG44" s="157">
        <f>+AB44+IFERROR(VLOOKUP($A44,'A0 BS 1240在建'!$1:$1048576,33,0),0)</f>
        <v>0</v>
      </c>
      <c r="AH44" s="157">
        <f>+AC44+IFERROR(VLOOKUP($A44,'B0 2264預收'!$1:$1048576,33,0),0)</f>
        <v>0</v>
      </c>
      <c r="AI44" s="157">
        <f t="shared" si="62"/>
        <v>0</v>
      </c>
      <c r="AJ44" s="157">
        <f>+AE44+IFERROR(+VLOOKUP($A44,'B0 2264預收'!$1:$1048576,34,0),0)</f>
        <v>0</v>
      </c>
      <c r="AK44" s="157">
        <f t="shared" si="63"/>
        <v>0</v>
      </c>
      <c r="AL44" s="158">
        <f>+AG44+IFERROR(VLOOKUP($A44,'A0 BS 1240在建'!$1:$1048576,37,0),0)</f>
        <v>0</v>
      </c>
      <c r="AM44" s="158">
        <f>+AH44+IFERROR(VLOOKUP($A44,'B0 2264預收'!$1:$1048576,37,0),0)</f>
        <v>0</v>
      </c>
      <c r="AN44" s="158">
        <f t="shared" si="64"/>
        <v>0</v>
      </c>
      <c r="AO44" s="158">
        <f>+AJ44+IFERROR(+VLOOKUP($A44,'B0 2264預收'!$1:$1048576,38,0),0)</f>
        <v>0</v>
      </c>
      <c r="AP44" s="158">
        <f t="shared" si="65"/>
        <v>0</v>
      </c>
      <c r="AQ44" s="157">
        <f>+AL44+IFERROR(VLOOKUP($A44,'A0 BS 1240在建'!$1:$1048576,41,0),0)</f>
        <v>0</v>
      </c>
      <c r="AR44" s="157">
        <f>+AM44+IFERROR(VLOOKUP($A44,'B0 2264預收'!$1:$1048576,41,0),0)</f>
        <v>0</v>
      </c>
      <c r="AS44" s="157">
        <f t="shared" si="66"/>
        <v>0</v>
      </c>
      <c r="AT44" s="157">
        <f>+AO44+IFERROR(+VLOOKUP($A44,'B0 2264預收'!$1:$1048576,42,0),0)</f>
        <v>0</v>
      </c>
      <c r="AU44" s="157">
        <f t="shared" si="67"/>
        <v>0</v>
      </c>
      <c r="AV44" s="158">
        <f>+AQ44+IFERROR(VLOOKUP($A44,'A0 BS 1240在建'!$1:$1048576,45,0),0)</f>
        <v>0</v>
      </c>
      <c r="AW44" s="158">
        <f>+AR44+IFERROR(VLOOKUP($A44,'B0 2264預收'!$1:$1048576,45,0),0)</f>
        <v>0</v>
      </c>
      <c r="AX44" s="158">
        <f t="shared" si="68"/>
        <v>0</v>
      </c>
      <c r="AY44" s="158">
        <f>+AT44+IFERROR(+VLOOKUP($A44,'B0 2264預收'!$1:$1048576,46,0),0)</f>
        <v>0</v>
      </c>
      <c r="AZ44" s="158">
        <f t="shared" si="69"/>
        <v>0</v>
      </c>
      <c r="BA44" s="157">
        <f>+AV44+IFERROR(VLOOKUP($A44,'A0 BS 1240在建'!$1:$1048576,49,0),0)</f>
        <v>0</v>
      </c>
      <c r="BB44" s="157">
        <f>+AW44+IFERROR(VLOOKUP($A44,'B0 2264預收'!$1:$1048576,49,0),0)</f>
        <v>0</v>
      </c>
      <c r="BC44" s="157">
        <f t="shared" si="70"/>
        <v>0</v>
      </c>
      <c r="BD44" s="157">
        <f>+AY44+IFERROR(+VLOOKUP($A44,'B0 2264預收'!$1:$1048576,50,0),0)</f>
        <v>0</v>
      </c>
      <c r="BE44" s="157">
        <f t="shared" si="71"/>
        <v>0</v>
      </c>
      <c r="BF44" s="158">
        <f>+BA44+IFERROR(VLOOKUP($A44,'A0 BS 1240在建'!$1:$1048576,53,0),0)</f>
        <v>0</v>
      </c>
      <c r="BG44" s="158">
        <f>+BB44+IFERROR(VLOOKUP($A44,'B0 2264預收'!$1:$1048576,53,0),0)</f>
        <v>0</v>
      </c>
      <c r="BH44" s="158">
        <f t="shared" si="72"/>
        <v>0</v>
      </c>
      <c r="BI44" s="158">
        <f>+BD44+IFERROR(+VLOOKUP($A44,'B0 2264預收'!$1:$1048576,54,0),0)</f>
        <v>0</v>
      </c>
      <c r="BJ44" s="158">
        <f t="shared" si="73"/>
        <v>0</v>
      </c>
      <c r="BK44" s="157">
        <f>+BF44+IFERROR(VLOOKUP($A44,'A0 BS 1240在建'!$1:$1048576,57,0),0)</f>
        <v>0</v>
      </c>
      <c r="BL44" s="157">
        <f>+BG44+IFERROR(VLOOKUP($A44,'B0 2264預收'!$1:$1048576,57,0),0)</f>
        <v>0</v>
      </c>
      <c r="BM44" s="157">
        <f t="shared" si="74"/>
        <v>0</v>
      </c>
      <c r="BN44" s="157">
        <f>+BI44+IFERROR(+VLOOKUP($A44,'B0 2264預收'!$1:$1048576,58,0),0)</f>
        <v>0</v>
      </c>
      <c r="BO44" s="157">
        <f t="shared" si="75"/>
        <v>0</v>
      </c>
      <c r="BP44" s="158">
        <f>+BK44+IFERROR(VLOOKUP($A44,'A0 BS 1240在建'!$1:$1048576,61,0),0)</f>
        <v>0</v>
      </c>
      <c r="BQ44" s="158">
        <f>+BL44+IFERROR(VLOOKUP($A44,'B0 2264預收'!$1:$1048576,61,0),0)</f>
        <v>0</v>
      </c>
      <c r="BR44" s="159">
        <f t="shared" si="76"/>
        <v>0</v>
      </c>
      <c r="BS44" s="158">
        <f>+BN44+IFERROR(+VLOOKUP($A44,'B0 2264預收'!$1:$1048576,62,0),0)</f>
        <v>0</v>
      </c>
      <c r="BT44" s="158">
        <f t="shared" si="77"/>
        <v>0</v>
      </c>
      <c r="BU44" s="157">
        <f>+IFERROR(VLOOKUP($A44,'A0 BS 1240在建'!$1:$1048576,77,0),0)</f>
        <v>0</v>
      </c>
      <c r="BV44" s="157">
        <f>+IFERROR(VLOOKUP($A44,'B0 2264預收'!$1:$1048576,77,0),0)</f>
        <v>0</v>
      </c>
      <c r="BW44" s="157">
        <f t="shared" si="78"/>
        <v>0</v>
      </c>
      <c r="BX44" s="157">
        <f>+IFERROR(+VLOOKUP($A44,'B0 2264預收'!$1:$1048576,78,0),0)</f>
        <v>0</v>
      </c>
      <c r="BY44" s="157">
        <f t="shared" si="79"/>
        <v>0</v>
      </c>
      <c r="BZ44" s="158">
        <f>IFERROR(+VLOOKUP($A44,'A0 BS 1240在建'!$1:$1048576,85,0),0)</f>
        <v>0</v>
      </c>
      <c r="CA44" s="158">
        <f>IFERROR(+VLOOKUP($A44,'B0 2264預收'!$1:$1048576,85,0),0)</f>
        <v>0</v>
      </c>
      <c r="CB44" s="158">
        <f t="shared" si="80"/>
        <v>0</v>
      </c>
      <c r="CC44" s="158">
        <f>+IFERROR(+VLOOKUP($A44,'B0 2264預收'!$1:$1048576,86,0),0)</f>
        <v>0</v>
      </c>
      <c r="CD44" s="158">
        <f t="shared" si="81"/>
        <v>0</v>
      </c>
      <c r="CE44" s="157">
        <f>+IFERROR(VLOOKUP($A44,'A0 BS 1240在建'!$1:$1048576,93,0),0)</f>
        <v>0</v>
      </c>
      <c r="CF44" s="157">
        <f>+IFERROR(VLOOKUP($A44,'B0 2264預收'!$1:$1048576,93,0),0)</f>
        <v>0</v>
      </c>
      <c r="CG44" s="157">
        <f t="shared" si="82"/>
        <v>0</v>
      </c>
      <c r="CH44" s="157">
        <f>+IFERROR(+VLOOKUP($A44,'B0 2264預收'!$1:$1048576,94,0),0)</f>
        <v>0</v>
      </c>
      <c r="CI44" s="157">
        <f t="shared" si="83"/>
        <v>0</v>
      </c>
      <c r="CJ44" s="158">
        <f>IFERROR(+VLOOKUP($A44,'A0 BS 1240在建'!$1:$1048576,101,0),0)</f>
        <v>0</v>
      </c>
      <c r="CK44" s="158">
        <f>IFERROR(+VLOOKUP($A44,'B0 2264預收'!$1:$1048576,101,0),0)</f>
        <v>0</v>
      </c>
      <c r="CL44" s="158">
        <f t="shared" si="84"/>
        <v>0</v>
      </c>
      <c r="CM44" s="158">
        <f>+IFERROR(+VLOOKUP($A44,'B0 2264預收'!$1:$1048576,102,0),0)</f>
        <v>0</v>
      </c>
      <c r="CN44" s="158">
        <f t="shared" si="85"/>
        <v>0</v>
      </c>
      <c r="CP44" s="165"/>
      <c r="CU44" s="165"/>
      <c r="CY44" s="162" t="str">
        <f t="shared" si="86"/>
        <v/>
      </c>
      <c r="CZ44" s="98" t="str">
        <f t="shared" si="87"/>
        <v xml:space="preserve"> </v>
      </c>
      <c r="DA44" s="98" t="str">
        <f t="shared" si="88"/>
        <v xml:space="preserve"> </v>
      </c>
      <c r="DB44" s="98" t="str">
        <f t="shared" si="89"/>
        <v xml:space="preserve"> </v>
      </c>
      <c r="DC44" s="163">
        <f t="shared" si="90"/>
        <v>0</v>
      </c>
      <c r="DD44" s="162" t="str">
        <f t="shared" si="92"/>
        <v/>
      </c>
      <c r="DE44" s="98" t="str">
        <f t="shared" si="93"/>
        <v xml:space="preserve"> </v>
      </c>
      <c r="DF44" s="98" t="str">
        <f t="shared" si="94"/>
        <v xml:space="preserve"> </v>
      </c>
      <c r="DG44" s="98" t="str">
        <f t="shared" si="95"/>
        <v xml:space="preserve"> </v>
      </c>
      <c r="DH44" s="163">
        <f t="shared" si="91"/>
        <v>0</v>
      </c>
    </row>
    <row r="45" spans="1:112">
      <c r="A45" s="171" t="s">
        <v>387</v>
      </c>
      <c r="B45" s="172" t="s">
        <v>388</v>
      </c>
      <c r="C45" s="157">
        <f>IFERROR(VLOOKUP($A45,'A0 BS 1240在建'!$1:$1048576,5,0),0)</f>
        <v>0</v>
      </c>
      <c r="D45" s="157">
        <f>IFERROR(VLOOKUP($A45,'B0 2264預收'!$1:$1048576,5,0),0)</f>
        <v>0</v>
      </c>
      <c r="E45" s="157">
        <f t="shared" si="50"/>
        <v>0</v>
      </c>
      <c r="F45" s="157">
        <f>IFERROR(VLOOKUP($A45,'B0 2264預收'!$1:$1048576,6,0),0)</f>
        <v>0</v>
      </c>
      <c r="G45" s="157">
        <f t="shared" si="51"/>
        <v>0</v>
      </c>
      <c r="H45" s="158">
        <f>IFERROR(VLOOKUP($A45,'A0 BS 1240在建'!$1:$1048576,13,0),0)</f>
        <v>0</v>
      </c>
      <c r="I45" s="158">
        <f>IFERROR(VLOOKUP($A45,'B0 2264預收'!$1:$1048576,13,0),0)</f>
        <v>0</v>
      </c>
      <c r="J45" s="158">
        <f t="shared" si="52"/>
        <v>0</v>
      </c>
      <c r="K45" s="158">
        <f>IFERROR(VLOOKUP($A45,'B0 2264預收'!$1:$1048576,14,0),0)</f>
        <v>0</v>
      </c>
      <c r="L45" s="158">
        <f t="shared" si="53"/>
        <v>0</v>
      </c>
      <c r="M45" s="157">
        <f>H45+IFERROR(VLOOKUP($A45,'A0 BS 1240在建'!$1:$1048576,17,0),0)</f>
        <v>0</v>
      </c>
      <c r="N45" s="157">
        <f>I45+IFERROR(VLOOKUP($A45,'B0 2264預收'!$1:$1048576,17,0),0)</f>
        <v>0</v>
      </c>
      <c r="O45" s="157">
        <f t="shared" si="54"/>
        <v>0</v>
      </c>
      <c r="P45" s="157">
        <f>K45+IFERROR(+VLOOKUP($A45,'B0 2264預收'!$1:$1048576,18,0),0)</f>
        <v>0</v>
      </c>
      <c r="Q45" s="157">
        <f t="shared" si="55"/>
        <v>0</v>
      </c>
      <c r="R45" s="158">
        <f>M45+IFERROR(VLOOKUP($A45,'A0 BS 1240在建'!$1:$1048576,21,0),0)</f>
        <v>0</v>
      </c>
      <c r="S45" s="158">
        <f>+N45+IFERROR(VLOOKUP($A45,'B0 2264預收'!$1:$1048576,21,0),0)</f>
        <v>0</v>
      </c>
      <c r="T45" s="158">
        <f t="shared" si="56"/>
        <v>0</v>
      </c>
      <c r="U45" s="158">
        <f>+P45+IFERROR(+VLOOKUP($A45,'B0 2264預收'!$1:$1048576,22,0),0)</f>
        <v>0</v>
      </c>
      <c r="V45" s="158">
        <f t="shared" si="57"/>
        <v>0</v>
      </c>
      <c r="W45" s="157">
        <f>+R45+IFERROR(VLOOKUP($A45,'A0 BS 1240在建'!$1:$1048576,25,0),0)</f>
        <v>0</v>
      </c>
      <c r="X45" s="157">
        <f>+S45+IFERROR(VLOOKUP($A45,'B0 2264預收'!$1:$1048576,25,0),0)</f>
        <v>0</v>
      </c>
      <c r="Y45" s="157">
        <f t="shared" si="58"/>
        <v>0</v>
      </c>
      <c r="Z45" s="157">
        <f>+U45+IFERROR(+VLOOKUP($A45,'B0 2264預收'!$1:$1048576,26,0),0)</f>
        <v>0</v>
      </c>
      <c r="AA45" s="157">
        <f t="shared" si="59"/>
        <v>0</v>
      </c>
      <c r="AB45" s="158">
        <f>+W45+IFERROR(VLOOKUP($A45,'A0 BS 1240在建'!$1:$1048576,29,0),0)</f>
        <v>0</v>
      </c>
      <c r="AC45" s="158">
        <f>+X45+IFERROR(VLOOKUP($A45,'B0 2264預收'!$1:$1048576,29,0),0)</f>
        <v>0</v>
      </c>
      <c r="AD45" s="158">
        <f t="shared" si="60"/>
        <v>0</v>
      </c>
      <c r="AE45" s="158">
        <f>+Z45+IFERROR(+VLOOKUP($A45,'B0 2264預收'!$1:$1048576,30,0),0)</f>
        <v>0</v>
      </c>
      <c r="AF45" s="158">
        <f t="shared" si="61"/>
        <v>0</v>
      </c>
      <c r="AG45" s="157">
        <f>+AB45+IFERROR(VLOOKUP($A45,'A0 BS 1240在建'!$1:$1048576,33,0),0)</f>
        <v>0</v>
      </c>
      <c r="AH45" s="157">
        <f>+AC45+IFERROR(VLOOKUP($A45,'B0 2264預收'!$1:$1048576,33,0),0)</f>
        <v>0</v>
      </c>
      <c r="AI45" s="157">
        <f t="shared" si="62"/>
        <v>0</v>
      </c>
      <c r="AJ45" s="157">
        <f>+AE45+IFERROR(+VLOOKUP($A45,'B0 2264預收'!$1:$1048576,34,0),0)</f>
        <v>0</v>
      </c>
      <c r="AK45" s="157">
        <f t="shared" si="63"/>
        <v>0</v>
      </c>
      <c r="AL45" s="158">
        <f>+AG45+IFERROR(VLOOKUP($A45,'A0 BS 1240在建'!$1:$1048576,37,0),0)</f>
        <v>0</v>
      </c>
      <c r="AM45" s="158">
        <f>+AH45+IFERROR(VLOOKUP($A45,'B0 2264預收'!$1:$1048576,37,0),0)</f>
        <v>0</v>
      </c>
      <c r="AN45" s="158">
        <f t="shared" si="64"/>
        <v>0</v>
      </c>
      <c r="AO45" s="158">
        <f>+AJ45+IFERROR(+VLOOKUP($A45,'B0 2264預收'!$1:$1048576,38,0),0)</f>
        <v>0</v>
      </c>
      <c r="AP45" s="158">
        <f t="shared" si="65"/>
        <v>0</v>
      </c>
      <c r="AQ45" s="157">
        <f>+AL45+IFERROR(VLOOKUP($A45,'A0 BS 1240在建'!$1:$1048576,41,0),0)</f>
        <v>0</v>
      </c>
      <c r="AR45" s="157">
        <f>+AM45+IFERROR(VLOOKUP($A45,'B0 2264預收'!$1:$1048576,41,0),0)</f>
        <v>0</v>
      </c>
      <c r="AS45" s="157">
        <f t="shared" si="66"/>
        <v>0</v>
      </c>
      <c r="AT45" s="157">
        <f>+AO45+IFERROR(+VLOOKUP($A45,'B0 2264預收'!$1:$1048576,42,0),0)</f>
        <v>0</v>
      </c>
      <c r="AU45" s="157">
        <f t="shared" si="67"/>
        <v>0</v>
      </c>
      <c r="AV45" s="158">
        <f>+AQ45+IFERROR(VLOOKUP($A45,'A0 BS 1240在建'!$1:$1048576,45,0),0)</f>
        <v>0</v>
      </c>
      <c r="AW45" s="158">
        <f>+AR45+IFERROR(VLOOKUP($A45,'B0 2264預收'!$1:$1048576,45,0),0)</f>
        <v>0</v>
      </c>
      <c r="AX45" s="158">
        <f t="shared" si="68"/>
        <v>0</v>
      </c>
      <c r="AY45" s="158">
        <f>+AT45+IFERROR(+VLOOKUP($A45,'B0 2264預收'!$1:$1048576,46,0),0)</f>
        <v>0</v>
      </c>
      <c r="AZ45" s="158">
        <f t="shared" si="69"/>
        <v>0</v>
      </c>
      <c r="BA45" s="157">
        <f>+AV45+IFERROR(VLOOKUP($A45,'A0 BS 1240在建'!$1:$1048576,49,0),0)</f>
        <v>0</v>
      </c>
      <c r="BB45" s="157">
        <f>+AW45+IFERROR(VLOOKUP($A45,'B0 2264預收'!$1:$1048576,49,0),0)</f>
        <v>0</v>
      </c>
      <c r="BC45" s="157">
        <f t="shared" si="70"/>
        <v>0</v>
      </c>
      <c r="BD45" s="157">
        <f>+AY45+IFERROR(+VLOOKUP($A45,'B0 2264預收'!$1:$1048576,50,0),0)</f>
        <v>0</v>
      </c>
      <c r="BE45" s="157">
        <f t="shared" si="71"/>
        <v>0</v>
      </c>
      <c r="BF45" s="158">
        <f>+BA45+IFERROR(VLOOKUP($A45,'A0 BS 1240在建'!$1:$1048576,53,0),0)</f>
        <v>0</v>
      </c>
      <c r="BG45" s="158">
        <f>+BB45+IFERROR(VLOOKUP($A45,'B0 2264預收'!$1:$1048576,53,0),0)</f>
        <v>0</v>
      </c>
      <c r="BH45" s="158">
        <f t="shared" si="72"/>
        <v>0</v>
      </c>
      <c r="BI45" s="158">
        <f>+BD45+IFERROR(+VLOOKUP($A45,'B0 2264預收'!$1:$1048576,54,0),0)</f>
        <v>0</v>
      </c>
      <c r="BJ45" s="158">
        <f t="shared" si="73"/>
        <v>0</v>
      </c>
      <c r="BK45" s="157">
        <f>+BF45+IFERROR(VLOOKUP($A45,'A0 BS 1240在建'!$1:$1048576,57,0),0)</f>
        <v>0</v>
      </c>
      <c r="BL45" s="157">
        <f>+BG45+IFERROR(VLOOKUP($A45,'B0 2264預收'!$1:$1048576,57,0),0)</f>
        <v>0</v>
      </c>
      <c r="BM45" s="157">
        <f t="shared" si="74"/>
        <v>0</v>
      </c>
      <c r="BN45" s="157">
        <f>+BI45+IFERROR(+VLOOKUP($A45,'B0 2264預收'!$1:$1048576,58,0),0)</f>
        <v>0</v>
      </c>
      <c r="BO45" s="157">
        <f t="shared" si="75"/>
        <v>0</v>
      </c>
      <c r="BP45" s="158">
        <f>+BK45+IFERROR(VLOOKUP($A45,'A0 BS 1240在建'!$1:$1048576,61,0),0)</f>
        <v>0</v>
      </c>
      <c r="BQ45" s="158">
        <f>+BL45+IFERROR(VLOOKUP($A45,'B0 2264預收'!$1:$1048576,61,0),0)</f>
        <v>0</v>
      </c>
      <c r="BR45" s="159">
        <f t="shared" si="76"/>
        <v>0</v>
      </c>
      <c r="BS45" s="158">
        <f>+BN45+IFERROR(+VLOOKUP($A45,'B0 2264預收'!$1:$1048576,62,0),0)</f>
        <v>0</v>
      </c>
      <c r="BT45" s="158">
        <f t="shared" si="77"/>
        <v>0</v>
      </c>
      <c r="BU45" s="157">
        <f>+IFERROR(VLOOKUP($A45,'A0 BS 1240在建'!$1:$1048576,77,0),0)</f>
        <v>0</v>
      </c>
      <c r="BV45" s="157">
        <f>+IFERROR(VLOOKUP($A45,'B0 2264預收'!$1:$1048576,77,0),0)</f>
        <v>0</v>
      </c>
      <c r="BW45" s="157">
        <f t="shared" si="78"/>
        <v>0</v>
      </c>
      <c r="BX45" s="157">
        <f>+IFERROR(+VLOOKUP($A45,'B0 2264預收'!$1:$1048576,78,0),0)</f>
        <v>0</v>
      </c>
      <c r="BY45" s="157">
        <f t="shared" si="79"/>
        <v>0</v>
      </c>
      <c r="BZ45" s="158">
        <f>IFERROR(+VLOOKUP($A45,'A0 BS 1240在建'!$1:$1048576,85,0),0)</f>
        <v>0</v>
      </c>
      <c r="CA45" s="158">
        <f>IFERROR(+VLOOKUP($A45,'B0 2264預收'!$1:$1048576,85,0),0)</f>
        <v>0</v>
      </c>
      <c r="CB45" s="158">
        <f t="shared" si="80"/>
        <v>0</v>
      </c>
      <c r="CC45" s="158">
        <f>+IFERROR(+VLOOKUP($A45,'B0 2264預收'!$1:$1048576,86,0),0)</f>
        <v>0</v>
      </c>
      <c r="CD45" s="158">
        <f t="shared" si="81"/>
        <v>0</v>
      </c>
      <c r="CE45" s="157">
        <f>+IFERROR(VLOOKUP($A45,'A0 BS 1240在建'!$1:$1048576,93,0),0)</f>
        <v>0</v>
      </c>
      <c r="CF45" s="157">
        <f>+IFERROR(VLOOKUP($A45,'B0 2264預收'!$1:$1048576,93,0),0)</f>
        <v>0</v>
      </c>
      <c r="CG45" s="157">
        <f t="shared" si="82"/>
        <v>0</v>
      </c>
      <c r="CH45" s="157">
        <f>+IFERROR(+VLOOKUP($A45,'B0 2264預收'!$1:$1048576,94,0),0)</f>
        <v>0</v>
      </c>
      <c r="CI45" s="157">
        <f t="shared" si="83"/>
        <v>0</v>
      </c>
      <c r="CJ45" s="158">
        <f>IFERROR(+VLOOKUP($A45,'A0 BS 1240在建'!$1:$1048576,101,0),0)</f>
        <v>0</v>
      </c>
      <c r="CK45" s="158">
        <f>IFERROR(+VLOOKUP($A45,'B0 2264預收'!$1:$1048576,101,0),0)</f>
        <v>0</v>
      </c>
      <c r="CL45" s="158">
        <f t="shared" si="84"/>
        <v>0</v>
      </c>
      <c r="CM45" s="158">
        <f>+IFERROR(+VLOOKUP($A45,'B0 2264預收'!$1:$1048576,102,0),0)</f>
        <v>0</v>
      </c>
      <c r="CN45" s="158">
        <f t="shared" si="85"/>
        <v>0</v>
      </c>
      <c r="CP45" s="165">
        <f t="shared" ref="CP45:CP51" si="96">+J45-E45</f>
        <v>0</v>
      </c>
      <c r="CR45" s="98">
        <f>+CP45</f>
        <v>0</v>
      </c>
      <c r="CU45" s="165">
        <f t="shared" ref="CU45:CU51" si="97">+BR45-J45</f>
        <v>0</v>
      </c>
      <c r="CW45" s="98">
        <f t="shared" ref="CW45:CW50" si="98">+CU45</f>
        <v>0</v>
      </c>
      <c r="CY45" s="162" t="str">
        <f t="shared" si="86"/>
        <v/>
      </c>
      <c r="CZ45" s="98" t="str">
        <f t="shared" si="87"/>
        <v xml:space="preserve"> </v>
      </c>
      <c r="DA45" s="98" t="str">
        <f t="shared" si="88"/>
        <v xml:space="preserve"> </v>
      </c>
      <c r="DB45" s="98" t="str">
        <f t="shared" si="89"/>
        <v xml:space="preserve"> </v>
      </c>
      <c r="DC45" s="163">
        <f t="shared" si="90"/>
        <v>0</v>
      </c>
      <c r="DD45" s="162" t="str">
        <f t="shared" si="92"/>
        <v/>
      </c>
      <c r="DE45" s="98" t="str">
        <f t="shared" si="93"/>
        <v xml:space="preserve"> </v>
      </c>
      <c r="DF45" s="98" t="str">
        <f t="shared" si="94"/>
        <v xml:space="preserve"> </v>
      </c>
      <c r="DG45" s="98" t="str">
        <f t="shared" si="95"/>
        <v xml:space="preserve"> </v>
      </c>
      <c r="DH45" s="163">
        <f t="shared" si="91"/>
        <v>0</v>
      </c>
    </row>
    <row r="46" spans="1:112">
      <c r="A46" s="171" t="s">
        <v>389</v>
      </c>
      <c r="B46" s="172" t="s">
        <v>390</v>
      </c>
      <c r="C46" s="157">
        <f>IFERROR(VLOOKUP($A46,'A0 BS 1240在建'!$1:$1048576,5,0),0)</f>
        <v>0</v>
      </c>
      <c r="D46" s="157">
        <f>IFERROR(VLOOKUP($A46,'B0 2264預收'!$1:$1048576,5,0),0)</f>
        <v>0</v>
      </c>
      <c r="E46" s="157">
        <f t="shared" si="50"/>
        <v>0</v>
      </c>
      <c r="F46" s="157">
        <f>IFERROR(VLOOKUP($A46,'B0 2264預收'!$1:$1048576,6,0),0)</f>
        <v>0</v>
      </c>
      <c r="G46" s="157">
        <f t="shared" si="51"/>
        <v>0</v>
      </c>
      <c r="H46" s="158">
        <f>IFERROR(VLOOKUP($A46,'A0 BS 1240在建'!$1:$1048576,13,0),0)</f>
        <v>0</v>
      </c>
      <c r="I46" s="158">
        <f>IFERROR(VLOOKUP($A46,'B0 2264預收'!$1:$1048576,13,0),0)</f>
        <v>0</v>
      </c>
      <c r="J46" s="158">
        <f t="shared" si="52"/>
        <v>0</v>
      </c>
      <c r="K46" s="158">
        <f>IFERROR(VLOOKUP($A46,'B0 2264預收'!$1:$1048576,14,0),0)</f>
        <v>0</v>
      </c>
      <c r="L46" s="158">
        <f t="shared" si="53"/>
        <v>0</v>
      </c>
      <c r="M46" s="157">
        <f>H46+IFERROR(VLOOKUP($A46,'A0 BS 1240在建'!$1:$1048576,17,0),0)</f>
        <v>0</v>
      </c>
      <c r="N46" s="157">
        <f>I46+IFERROR(VLOOKUP($A46,'B0 2264預收'!$1:$1048576,17,0),0)</f>
        <v>0</v>
      </c>
      <c r="O46" s="157">
        <f t="shared" si="54"/>
        <v>0</v>
      </c>
      <c r="P46" s="157">
        <f>K46+IFERROR(+VLOOKUP($A46,'B0 2264預收'!$1:$1048576,18,0),0)</f>
        <v>0</v>
      </c>
      <c r="Q46" s="157">
        <f t="shared" si="55"/>
        <v>0</v>
      </c>
      <c r="R46" s="158">
        <f>M46+IFERROR(VLOOKUP($A46,'A0 BS 1240在建'!$1:$1048576,21,0),0)</f>
        <v>0</v>
      </c>
      <c r="S46" s="158">
        <f>+N46+IFERROR(VLOOKUP($A46,'B0 2264預收'!$1:$1048576,21,0),0)</f>
        <v>0</v>
      </c>
      <c r="T46" s="158">
        <f t="shared" si="56"/>
        <v>0</v>
      </c>
      <c r="U46" s="158">
        <f>+P46+IFERROR(+VLOOKUP($A46,'B0 2264預收'!$1:$1048576,22,0),0)</f>
        <v>0</v>
      </c>
      <c r="V46" s="158">
        <f t="shared" si="57"/>
        <v>0</v>
      </c>
      <c r="W46" s="157">
        <f>+R46+IFERROR(VLOOKUP($A46,'A0 BS 1240在建'!$1:$1048576,25,0),0)</f>
        <v>0</v>
      </c>
      <c r="X46" s="157">
        <f>+S46+IFERROR(VLOOKUP($A46,'B0 2264預收'!$1:$1048576,25,0),0)</f>
        <v>0</v>
      </c>
      <c r="Y46" s="157">
        <f t="shared" si="58"/>
        <v>0</v>
      </c>
      <c r="Z46" s="157">
        <f>+U46+IFERROR(+VLOOKUP($A46,'B0 2264預收'!$1:$1048576,26,0),0)</f>
        <v>0</v>
      </c>
      <c r="AA46" s="157">
        <f t="shared" si="59"/>
        <v>0</v>
      </c>
      <c r="AB46" s="158">
        <f>+W46+IFERROR(VLOOKUP($A46,'A0 BS 1240在建'!$1:$1048576,29,0),0)</f>
        <v>0</v>
      </c>
      <c r="AC46" s="158">
        <f>+X46+IFERROR(VLOOKUP($A46,'B0 2264預收'!$1:$1048576,29,0),0)</f>
        <v>0</v>
      </c>
      <c r="AD46" s="158">
        <f t="shared" si="60"/>
        <v>0</v>
      </c>
      <c r="AE46" s="158">
        <f>+Z46+IFERROR(+VLOOKUP($A46,'B0 2264預收'!$1:$1048576,30,0),0)</f>
        <v>0</v>
      </c>
      <c r="AF46" s="158">
        <f t="shared" si="61"/>
        <v>0</v>
      </c>
      <c r="AG46" s="157">
        <f>+AB46+IFERROR(VLOOKUP($A46,'A0 BS 1240在建'!$1:$1048576,33,0),0)</f>
        <v>0</v>
      </c>
      <c r="AH46" s="157">
        <f>+AC46+IFERROR(VLOOKUP($A46,'B0 2264預收'!$1:$1048576,33,0),0)</f>
        <v>0</v>
      </c>
      <c r="AI46" s="157">
        <f t="shared" si="62"/>
        <v>0</v>
      </c>
      <c r="AJ46" s="157">
        <f>+AE46+IFERROR(+VLOOKUP($A46,'B0 2264預收'!$1:$1048576,34,0),0)</f>
        <v>0</v>
      </c>
      <c r="AK46" s="157">
        <f t="shared" si="63"/>
        <v>0</v>
      </c>
      <c r="AL46" s="158">
        <f>+AG46+IFERROR(VLOOKUP($A46,'A0 BS 1240在建'!$1:$1048576,37,0),0)</f>
        <v>0</v>
      </c>
      <c r="AM46" s="158">
        <f>+AH46+IFERROR(VLOOKUP($A46,'B0 2264預收'!$1:$1048576,37,0),0)</f>
        <v>0</v>
      </c>
      <c r="AN46" s="158">
        <f t="shared" si="64"/>
        <v>0</v>
      </c>
      <c r="AO46" s="158">
        <f>+AJ46+IFERROR(+VLOOKUP($A46,'B0 2264預收'!$1:$1048576,38,0),0)</f>
        <v>0</v>
      </c>
      <c r="AP46" s="158">
        <f t="shared" si="65"/>
        <v>0</v>
      </c>
      <c r="AQ46" s="157">
        <f>+AL46+IFERROR(VLOOKUP($A46,'A0 BS 1240在建'!$1:$1048576,41,0),0)</f>
        <v>0</v>
      </c>
      <c r="AR46" s="157">
        <f>+AM46+IFERROR(VLOOKUP($A46,'B0 2264預收'!$1:$1048576,41,0),0)</f>
        <v>0</v>
      </c>
      <c r="AS46" s="157">
        <f t="shared" si="66"/>
        <v>0</v>
      </c>
      <c r="AT46" s="157">
        <f>+AO46+IFERROR(+VLOOKUP($A46,'B0 2264預收'!$1:$1048576,42,0),0)</f>
        <v>0</v>
      </c>
      <c r="AU46" s="157">
        <f t="shared" si="67"/>
        <v>0</v>
      </c>
      <c r="AV46" s="158">
        <f>+AQ46+IFERROR(VLOOKUP($A46,'A0 BS 1240在建'!$1:$1048576,45,0),0)</f>
        <v>0</v>
      </c>
      <c r="AW46" s="158">
        <f>+AR46+IFERROR(VLOOKUP($A46,'B0 2264預收'!$1:$1048576,45,0),0)</f>
        <v>0</v>
      </c>
      <c r="AX46" s="158">
        <f t="shared" si="68"/>
        <v>0</v>
      </c>
      <c r="AY46" s="158">
        <f>+AT46+IFERROR(+VLOOKUP($A46,'B0 2264預收'!$1:$1048576,46,0),0)</f>
        <v>0</v>
      </c>
      <c r="AZ46" s="158">
        <f t="shared" si="69"/>
        <v>0</v>
      </c>
      <c r="BA46" s="157">
        <f>+AV46+IFERROR(VLOOKUP($A46,'A0 BS 1240在建'!$1:$1048576,49,0),0)</f>
        <v>0</v>
      </c>
      <c r="BB46" s="157">
        <f>+AW46+IFERROR(VLOOKUP($A46,'B0 2264預收'!$1:$1048576,49,0),0)</f>
        <v>0</v>
      </c>
      <c r="BC46" s="157">
        <f t="shared" si="70"/>
        <v>0</v>
      </c>
      <c r="BD46" s="157">
        <f>+AY46+IFERROR(+VLOOKUP($A46,'B0 2264預收'!$1:$1048576,50,0),0)</f>
        <v>0</v>
      </c>
      <c r="BE46" s="157">
        <f t="shared" si="71"/>
        <v>0</v>
      </c>
      <c r="BF46" s="158">
        <f>+BA46+IFERROR(VLOOKUP($A46,'A0 BS 1240在建'!$1:$1048576,53,0),0)</f>
        <v>0</v>
      </c>
      <c r="BG46" s="158">
        <f>+BB46+IFERROR(VLOOKUP($A46,'B0 2264預收'!$1:$1048576,53,0),0)</f>
        <v>0</v>
      </c>
      <c r="BH46" s="158">
        <f t="shared" si="72"/>
        <v>0</v>
      </c>
      <c r="BI46" s="158">
        <f>+BD46+IFERROR(+VLOOKUP($A46,'B0 2264預收'!$1:$1048576,54,0),0)</f>
        <v>0</v>
      </c>
      <c r="BJ46" s="158">
        <f t="shared" si="73"/>
        <v>0</v>
      </c>
      <c r="BK46" s="157">
        <f>+BF46+IFERROR(VLOOKUP($A46,'A0 BS 1240在建'!$1:$1048576,57,0),0)</f>
        <v>0</v>
      </c>
      <c r="BL46" s="157">
        <f>+BG46+IFERROR(VLOOKUP($A46,'B0 2264預收'!$1:$1048576,57,0),0)</f>
        <v>0</v>
      </c>
      <c r="BM46" s="157">
        <f t="shared" si="74"/>
        <v>0</v>
      </c>
      <c r="BN46" s="157">
        <f>+BI46+IFERROR(+VLOOKUP($A46,'B0 2264預收'!$1:$1048576,58,0),0)</f>
        <v>0</v>
      </c>
      <c r="BO46" s="157">
        <f t="shared" si="75"/>
        <v>0</v>
      </c>
      <c r="BP46" s="158">
        <f>+BK46+IFERROR(VLOOKUP($A46,'A0 BS 1240在建'!$1:$1048576,61,0),0)</f>
        <v>0</v>
      </c>
      <c r="BQ46" s="158">
        <f>+BL46+IFERROR(VLOOKUP($A46,'B0 2264預收'!$1:$1048576,61,0),0)</f>
        <v>0</v>
      </c>
      <c r="BR46" s="159">
        <f t="shared" si="76"/>
        <v>0</v>
      </c>
      <c r="BS46" s="158">
        <f>+BN46+IFERROR(+VLOOKUP($A46,'B0 2264預收'!$1:$1048576,62,0),0)</f>
        <v>0</v>
      </c>
      <c r="BT46" s="158">
        <f t="shared" si="77"/>
        <v>0</v>
      </c>
      <c r="BU46" s="157">
        <f>+IFERROR(VLOOKUP($A46,'A0 BS 1240在建'!$1:$1048576,77,0),0)</f>
        <v>0</v>
      </c>
      <c r="BV46" s="157">
        <f>+IFERROR(VLOOKUP($A46,'B0 2264預收'!$1:$1048576,77,0),0)</f>
        <v>0</v>
      </c>
      <c r="BW46" s="157">
        <f t="shared" si="78"/>
        <v>0</v>
      </c>
      <c r="BX46" s="157">
        <f>+IFERROR(+VLOOKUP($A46,'B0 2264預收'!$1:$1048576,78,0),0)</f>
        <v>0</v>
      </c>
      <c r="BY46" s="157">
        <f t="shared" si="79"/>
        <v>0</v>
      </c>
      <c r="BZ46" s="158">
        <f>IFERROR(+VLOOKUP($A46,'A0 BS 1240在建'!$1:$1048576,85,0),0)</f>
        <v>0</v>
      </c>
      <c r="CA46" s="158">
        <f>IFERROR(+VLOOKUP($A46,'B0 2264預收'!$1:$1048576,85,0),0)</f>
        <v>0</v>
      </c>
      <c r="CB46" s="158">
        <f t="shared" si="80"/>
        <v>0</v>
      </c>
      <c r="CC46" s="158">
        <f>+IFERROR(+VLOOKUP($A46,'B0 2264預收'!$1:$1048576,86,0),0)</f>
        <v>0</v>
      </c>
      <c r="CD46" s="158">
        <f t="shared" si="81"/>
        <v>0</v>
      </c>
      <c r="CE46" s="157">
        <f>+IFERROR(VLOOKUP($A46,'A0 BS 1240在建'!$1:$1048576,93,0),0)</f>
        <v>0</v>
      </c>
      <c r="CF46" s="157">
        <f>+IFERROR(VLOOKUP($A46,'B0 2264預收'!$1:$1048576,93,0),0)</f>
        <v>0</v>
      </c>
      <c r="CG46" s="157">
        <f t="shared" si="82"/>
        <v>0</v>
      </c>
      <c r="CH46" s="157">
        <f>+IFERROR(+VLOOKUP($A46,'B0 2264預收'!$1:$1048576,94,0),0)</f>
        <v>0</v>
      </c>
      <c r="CI46" s="157">
        <f t="shared" si="83"/>
        <v>0</v>
      </c>
      <c r="CJ46" s="158">
        <f>IFERROR(+VLOOKUP($A46,'A0 BS 1240在建'!$1:$1048576,101,0),0)</f>
        <v>0</v>
      </c>
      <c r="CK46" s="158">
        <f>IFERROR(+VLOOKUP($A46,'B0 2264預收'!$1:$1048576,101,0),0)</f>
        <v>0</v>
      </c>
      <c r="CL46" s="158">
        <f t="shared" si="84"/>
        <v>0</v>
      </c>
      <c r="CM46" s="158">
        <f>+IFERROR(+VLOOKUP($A46,'B0 2264預收'!$1:$1048576,102,0),0)</f>
        <v>0</v>
      </c>
      <c r="CN46" s="158">
        <f t="shared" si="85"/>
        <v>0</v>
      </c>
      <c r="CP46" s="165">
        <f t="shared" si="96"/>
        <v>0</v>
      </c>
      <c r="CR46" s="98">
        <f>+CP46</f>
        <v>0</v>
      </c>
      <c r="CU46" s="165">
        <f t="shared" si="97"/>
        <v>0</v>
      </c>
      <c r="CW46" s="98">
        <f t="shared" si="98"/>
        <v>0</v>
      </c>
      <c r="CY46" s="162" t="str">
        <f t="shared" si="86"/>
        <v/>
      </c>
      <c r="CZ46" s="98" t="str">
        <f t="shared" si="87"/>
        <v xml:space="preserve"> </v>
      </c>
      <c r="DA46" s="98" t="str">
        <f t="shared" si="88"/>
        <v xml:space="preserve"> </v>
      </c>
      <c r="DB46" s="98" t="str">
        <f t="shared" si="89"/>
        <v xml:space="preserve"> </v>
      </c>
      <c r="DC46" s="163">
        <f t="shared" si="90"/>
        <v>0</v>
      </c>
      <c r="DD46" s="173" t="str">
        <f t="shared" si="92"/>
        <v/>
      </c>
      <c r="DE46" s="98" t="str">
        <f t="shared" si="93"/>
        <v xml:space="preserve"> </v>
      </c>
      <c r="DF46" s="98" t="str">
        <f t="shared" si="94"/>
        <v xml:space="preserve"> </v>
      </c>
      <c r="DG46" s="98" t="str">
        <f t="shared" si="95"/>
        <v xml:space="preserve"> </v>
      </c>
      <c r="DH46" s="163">
        <f t="shared" si="91"/>
        <v>0</v>
      </c>
    </row>
    <row r="47" spans="1:112">
      <c r="A47" s="171" t="s">
        <v>391</v>
      </c>
      <c r="B47" s="172" t="s">
        <v>392</v>
      </c>
      <c r="C47" s="157">
        <f>IFERROR(VLOOKUP($A47,'A0 BS 1240在建'!$1:$1048576,5,0),0)</f>
        <v>0</v>
      </c>
      <c r="D47" s="157">
        <f>IFERROR(VLOOKUP($A47,'B0 2264預收'!$1:$1048576,5,0),0)</f>
        <v>0</v>
      </c>
      <c r="E47" s="157">
        <f t="shared" si="50"/>
        <v>0</v>
      </c>
      <c r="F47" s="157">
        <f>IFERROR(VLOOKUP($A47,'B0 2264預收'!$1:$1048576,6,0),0)</f>
        <v>0</v>
      </c>
      <c r="G47" s="157">
        <f t="shared" si="51"/>
        <v>0</v>
      </c>
      <c r="H47" s="158">
        <f>IFERROR(VLOOKUP($A47,'A0 BS 1240在建'!$1:$1048576,13,0),0)</f>
        <v>0</v>
      </c>
      <c r="I47" s="158">
        <f>IFERROR(VLOOKUP($A47,'B0 2264預收'!$1:$1048576,13,0),0)</f>
        <v>0</v>
      </c>
      <c r="J47" s="158">
        <f t="shared" si="52"/>
        <v>0</v>
      </c>
      <c r="K47" s="158">
        <f>IFERROR(VLOOKUP($A47,'B0 2264預收'!$1:$1048576,14,0),0)</f>
        <v>0</v>
      </c>
      <c r="L47" s="158">
        <f t="shared" si="53"/>
        <v>0</v>
      </c>
      <c r="M47" s="157">
        <f>H47+IFERROR(VLOOKUP($A47,'A0 BS 1240在建'!$1:$1048576,17,0),0)</f>
        <v>0</v>
      </c>
      <c r="N47" s="157">
        <f>I47+IFERROR(VLOOKUP($A47,'B0 2264預收'!$1:$1048576,17,0),0)</f>
        <v>0</v>
      </c>
      <c r="O47" s="157">
        <f t="shared" si="54"/>
        <v>0</v>
      </c>
      <c r="P47" s="157">
        <f>K47+IFERROR(+VLOOKUP($A47,'B0 2264預收'!$1:$1048576,18,0),0)</f>
        <v>0</v>
      </c>
      <c r="Q47" s="157">
        <f t="shared" si="55"/>
        <v>0</v>
      </c>
      <c r="R47" s="158">
        <f>M47+IFERROR(VLOOKUP($A47,'A0 BS 1240在建'!$1:$1048576,21,0),0)</f>
        <v>0</v>
      </c>
      <c r="S47" s="158">
        <f>+N47+IFERROR(VLOOKUP($A47,'B0 2264預收'!$1:$1048576,21,0),0)</f>
        <v>0</v>
      </c>
      <c r="T47" s="158">
        <f t="shared" si="56"/>
        <v>0</v>
      </c>
      <c r="U47" s="158">
        <f>+P47+IFERROR(+VLOOKUP($A47,'B0 2264預收'!$1:$1048576,22,0),0)</f>
        <v>0</v>
      </c>
      <c r="V47" s="158">
        <f t="shared" si="57"/>
        <v>0</v>
      </c>
      <c r="W47" s="157">
        <f>+R47+IFERROR(VLOOKUP($A47,'A0 BS 1240在建'!$1:$1048576,25,0),0)</f>
        <v>0</v>
      </c>
      <c r="X47" s="157">
        <f>+S47+IFERROR(VLOOKUP($A47,'B0 2264預收'!$1:$1048576,25,0),0)</f>
        <v>0</v>
      </c>
      <c r="Y47" s="157">
        <f t="shared" si="58"/>
        <v>0</v>
      </c>
      <c r="Z47" s="157">
        <f>+U47+IFERROR(+VLOOKUP($A47,'B0 2264預收'!$1:$1048576,26,0),0)</f>
        <v>0</v>
      </c>
      <c r="AA47" s="157">
        <f t="shared" si="59"/>
        <v>0</v>
      </c>
      <c r="AB47" s="158">
        <f>+W47+IFERROR(VLOOKUP($A47,'A0 BS 1240在建'!$1:$1048576,29,0),0)</f>
        <v>0</v>
      </c>
      <c r="AC47" s="158">
        <f>+X47+IFERROR(VLOOKUP($A47,'B0 2264預收'!$1:$1048576,29,0),0)</f>
        <v>0</v>
      </c>
      <c r="AD47" s="158">
        <f t="shared" si="60"/>
        <v>0</v>
      </c>
      <c r="AE47" s="158">
        <f>+Z47+IFERROR(+VLOOKUP($A47,'B0 2264預收'!$1:$1048576,30,0),0)</f>
        <v>0</v>
      </c>
      <c r="AF47" s="158">
        <f t="shared" si="61"/>
        <v>0</v>
      </c>
      <c r="AG47" s="157">
        <f>+AB47+IFERROR(VLOOKUP($A47,'A0 BS 1240在建'!$1:$1048576,33,0),0)</f>
        <v>0</v>
      </c>
      <c r="AH47" s="157">
        <f>+AC47+IFERROR(VLOOKUP($A47,'B0 2264預收'!$1:$1048576,33,0),0)</f>
        <v>0</v>
      </c>
      <c r="AI47" s="157">
        <f t="shared" si="62"/>
        <v>0</v>
      </c>
      <c r="AJ47" s="157">
        <f>+AE47+IFERROR(+VLOOKUP($A47,'B0 2264預收'!$1:$1048576,34,0),0)</f>
        <v>0</v>
      </c>
      <c r="AK47" s="157">
        <f t="shared" si="63"/>
        <v>0</v>
      </c>
      <c r="AL47" s="158">
        <f>+AG47+IFERROR(VLOOKUP($A47,'A0 BS 1240在建'!$1:$1048576,37,0),0)</f>
        <v>0</v>
      </c>
      <c r="AM47" s="158">
        <f>+AH47+IFERROR(VLOOKUP($A47,'B0 2264預收'!$1:$1048576,37,0),0)</f>
        <v>0</v>
      </c>
      <c r="AN47" s="158">
        <f t="shared" si="64"/>
        <v>0</v>
      </c>
      <c r="AO47" s="158">
        <f>+AJ47+IFERROR(+VLOOKUP($A47,'B0 2264預收'!$1:$1048576,38,0),0)</f>
        <v>0</v>
      </c>
      <c r="AP47" s="158">
        <f t="shared" si="65"/>
        <v>0</v>
      </c>
      <c r="AQ47" s="157">
        <f>+AL47+IFERROR(VLOOKUP($A47,'A0 BS 1240在建'!$1:$1048576,41,0),0)</f>
        <v>0</v>
      </c>
      <c r="AR47" s="157">
        <f>+AM47+IFERROR(VLOOKUP($A47,'B0 2264預收'!$1:$1048576,41,0),0)</f>
        <v>0</v>
      </c>
      <c r="AS47" s="157">
        <f t="shared" si="66"/>
        <v>0</v>
      </c>
      <c r="AT47" s="157">
        <f>+AO47+IFERROR(+VLOOKUP($A47,'B0 2264預收'!$1:$1048576,42,0),0)</f>
        <v>0</v>
      </c>
      <c r="AU47" s="157">
        <f t="shared" si="67"/>
        <v>0</v>
      </c>
      <c r="AV47" s="158">
        <f>+AQ47+IFERROR(VLOOKUP($A47,'A0 BS 1240在建'!$1:$1048576,45,0),0)</f>
        <v>0</v>
      </c>
      <c r="AW47" s="158">
        <f>+AR47+IFERROR(VLOOKUP($A47,'B0 2264預收'!$1:$1048576,45,0),0)</f>
        <v>0</v>
      </c>
      <c r="AX47" s="158">
        <f t="shared" si="68"/>
        <v>0</v>
      </c>
      <c r="AY47" s="158">
        <f>+AT47+IFERROR(+VLOOKUP($A47,'B0 2264預收'!$1:$1048576,46,0),0)</f>
        <v>0</v>
      </c>
      <c r="AZ47" s="158">
        <f t="shared" si="69"/>
        <v>0</v>
      </c>
      <c r="BA47" s="157">
        <f>+AV47+IFERROR(VLOOKUP($A47,'A0 BS 1240在建'!$1:$1048576,49,0),0)</f>
        <v>0</v>
      </c>
      <c r="BB47" s="157">
        <f>+AW47+IFERROR(VLOOKUP($A47,'B0 2264預收'!$1:$1048576,49,0),0)</f>
        <v>0</v>
      </c>
      <c r="BC47" s="157">
        <f t="shared" si="70"/>
        <v>0</v>
      </c>
      <c r="BD47" s="157">
        <f>+AY47+IFERROR(+VLOOKUP($A47,'B0 2264預收'!$1:$1048576,50,0),0)</f>
        <v>0</v>
      </c>
      <c r="BE47" s="157">
        <f t="shared" si="71"/>
        <v>0</v>
      </c>
      <c r="BF47" s="158">
        <f>+BA47+IFERROR(VLOOKUP($A47,'A0 BS 1240在建'!$1:$1048576,53,0),0)</f>
        <v>0</v>
      </c>
      <c r="BG47" s="158">
        <f>+BB47+IFERROR(VLOOKUP($A47,'B0 2264預收'!$1:$1048576,53,0),0)</f>
        <v>0</v>
      </c>
      <c r="BH47" s="158">
        <f t="shared" si="72"/>
        <v>0</v>
      </c>
      <c r="BI47" s="158">
        <f>+BD47+IFERROR(+VLOOKUP($A47,'B0 2264預收'!$1:$1048576,54,0),0)</f>
        <v>0</v>
      </c>
      <c r="BJ47" s="158">
        <f t="shared" si="73"/>
        <v>0</v>
      </c>
      <c r="BK47" s="157">
        <f>+BF47+IFERROR(VLOOKUP($A47,'A0 BS 1240在建'!$1:$1048576,57,0),0)</f>
        <v>0</v>
      </c>
      <c r="BL47" s="157">
        <f>+BG47+IFERROR(VLOOKUP($A47,'B0 2264預收'!$1:$1048576,57,0),0)</f>
        <v>0</v>
      </c>
      <c r="BM47" s="157">
        <f t="shared" si="74"/>
        <v>0</v>
      </c>
      <c r="BN47" s="157">
        <f>+BI47+IFERROR(+VLOOKUP($A47,'B0 2264預收'!$1:$1048576,58,0),0)</f>
        <v>0</v>
      </c>
      <c r="BO47" s="157">
        <f t="shared" si="75"/>
        <v>0</v>
      </c>
      <c r="BP47" s="158">
        <f>+BK47+IFERROR(VLOOKUP($A47,'A0 BS 1240在建'!$1:$1048576,61,0),0)</f>
        <v>0</v>
      </c>
      <c r="BQ47" s="158">
        <f>+BL47+IFERROR(VLOOKUP($A47,'B0 2264預收'!$1:$1048576,61,0),0)</f>
        <v>0</v>
      </c>
      <c r="BR47" s="159">
        <f t="shared" si="76"/>
        <v>0</v>
      </c>
      <c r="BS47" s="158">
        <f>+BN47+IFERROR(+VLOOKUP($A47,'B0 2264預收'!$1:$1048576,62,0),0)</f>
        <v>0</v>
      </c>
      <c r="BT47" s="158">
        <f t="shared" si="77"/>
        <v>0</v>
      </c>
      <c r="BU47" s="157">
        <f>+IFERROR(VLOOKUP($A47,'A0 BS 1240在建'!$1:$1048576,77,0),0)</f>
        <v>0</v>
      </c>
      <c r="BV47" s="157">
        <f>+IFERROR(VLOOKUP($A47,'B0 2264預收'!$1:$1048576,77,0),0)</f>
        <v>0</v>
      </c>
      <c r="BW47" s="157">
        <f t="shared" si="78"/>
        <v>0</v>
      </c>
      <c r="BX47" s="157">
        <f>+IFERROR(+VLOOKUP($A47,'B0 2264預收'!$1:$1048576,78,0),0)</f>
        <v>0</v>
      </c>
      <c r="BY47" s="157">
        <f t="shared" si="79"/>
        <v>0</v>
      </c>
      <c r="BZ47" s="158">
        <f>IFERROR(+VLOOKUP($A47,'A0 BS 1240在建'!$1:$1048576,85,0),0)</f>
        <v>0</v>
      </c>
      <c r="CA47" s="158">
        <f>IFERROR(+VLOOKUP($A47,'B0 2264預收'!$1:$1048576,85,0),0)</f>
        <v>0</v>
      </c>
      <c r="CB47" s="158">
        <f t="shared" si="80"/>
        <v>0</v>
      </c>
      <c r="CC47" s="158">
        <f>+IFERROR(+VLOOKUP($A47,'B0 2264預收'!$1:$1048576,86,0),0)</f>
        <v>0</v>
      </c>
      <c r="CD47" s="158">
        <f t="shared" si="81"/>
        <v>0</v>
      </c>
      <c r="CE47" s="157">
        <f>+IFERROR(VLOOKUP($A47,'A0 BS 1240在建'!$1:$1048576,93,0),0)</f>
        <v>0</v>
      </c>
      <c r="CF47" s="157">
        <f>+IFERROR(VLOOKUP($A47,'B0 2264預收'!$1:$1048576,93,0),0)</f>
        <v>0</v>
      </c>
      <c r="CG47" s="157">
        <f t="shared" si="82"/>
        <v>0</v>
      </c>
      <c r="CH47" s="157">
        <f>+IFERROR(+VLOOKUP($A47,'B0 2264預收'!$1:$1048576,94,0),0)</f>
        <v>0</v>
      </c>
      <c r="CI47" s="157">
        <f t="shared" si="83"/>
        <v>0</v>
      </c>
      <c r="CJ47" s="158">
        <f>IFERROR(+VLOOKUP($A47,'A0 BS 1240在建'!$1:$1048576,101,0),0)</f>
        <v>0</v>
      </c>
      <c r="CK47" s="158">
        <f>IFERROR(+VLOOKUP($A47,'B0 2264預收'!$1:$1048576,101,0),0)</f>
        <v>0</v>
      </c>
      <c r="CL47" s="158">
        <f t="shared" si="84"/>
        <v>0</v>
      </c>
      <c r="CM47" s="158">
        <f>+IFERROR(+VLOOKUP($A47,'B0 2264預收'!$1:$1048576,102,0),0)</f>
        <v>0</v>
      </c>
      <c r="CN47" s="158">
        <f t="shared" si="85"/>
        <v>0</v>
      </c>
      <c r="CP47" s="165">
        <f t="shared" si="96"/>
        <v>0</v>
      </c>
      <c r="CR47" s="98">
        <f>+CP47</f>
        <v>0</v>
      </c>
      <c r="CU47" s="165">
        <f t="shared" si="97"/>
        <v>0</v>
      </c>
      <c r="CW47" s="98">
        <f t="shared" si="98"/>
        <v>0</v>
      </c>
      <c r="CY47" s="162" t="str">
        <f t="shared" si="86"/>
        <v/>
      </c>
      <c r="CZ47" s="98" t="str">
        <f t="shared" si="87"/>
        <v xml:space="preserve"> </v>
      </c>
      <c r="DA47" s="98" t="str">
        <f t="shared" si="88"/>
        <v xml:space="preserve"> </v>
      </c>
      <c r="DB47" s="98" t="str">
        <f t="shared" si="89"/>
        <v xml:space="preserve"> </v>
      </c>
      <c r="DC47" s="163">
        <f t="shared" si="90"/>
        <v>0</v>
      </c>
      <c r="DD47" s="162" t="str">
        <f t="shared" si="92"/>
        <v/>
      </c>
      <c r="DE47" s="98" t="str">
        <f t="shared" si="93"/>
        <v xml:space="preserve"> </v>
      </c>
      <c r="DF47" s="98" t="str">
        <f t="shared" si="94"/>
        <v xml:space="preserve"> </v>
      </c>
      <c r="DG47" s="98" t="str">
        <f t="shared" si="95"/>
        <v xml:space="preserve"> </v>
      </c>
      <c r="DH47" s="163">
        <f t="shared" si="91"/>
        <v>0</v>
      </c>
    </row>
    <row r="48" spans="1:112">
      <c r="A48" s="171" t="s">
        <v>393</v>
      </c>
      <c r="B48" s="172" t="s">
        <v>394</v>
      </c>
      <c r="C48" s="157">
        <f>IFERROR(VLOOKUP($A48,'A0 BS 1240在建'!$1:$1048576,5,0),0)</f>
        <v>0</v>
      </c>
      <c r="D48" s="157">
        <f>IFERROR(VLOOKUP($A48,'B0 2264預收'!$1:$1048576,5,0),0)</f>
        <v>0</v>
      </c>
      <c r="E48" s="157">
        <f t="shared" si="50"/>
        <v>0</v>
      </c>
      <c r="F48" s="157">
        <f>IFERROR(VLOOKUP($A48,'B0 2264預收'!$1:$1048576,6,0),0)</f>
        <v>0</v>
      </c>
      <c r="G48" s="157">
        <f t="shared" si="51"/>
        <v>0</v>
      </c>
      <c r="H48" s="158">
        <f>IFERROR(VLOOKUP($A48,'A0 BS 1240在建'!$1:$1048576,13,0),0)</f>
        <v>0</v>
      </c>
      <c r="I48" s="158">
        <f>IFERROR(VLOOKUP($A48,'B0 2264預收'!$1:$1048576,13,0),0)</f>
        <v>0</v>
      </c>
      <c r="J48" s="158">
        <f t="shared" si="52"/>
        <v>0</v>
      </c>
      <c r="K48" s="158">
        <f>IFERROR(VLOOKUP($A48,'B0 2264預收'!$1:$1048576,14,0),0)</f>
        <v>0</v>
      </c>
      <c r="L48" s="158">
        <f t="shared" si="53"/>
        <v>0</v>
      </c>
      <c r="M48" s="157">
        <f>H48+IFERROR(VLOOKUP($A48,'A0 BS 1240在建'!$1:$1048576,17,0),0)</f>
        <v>0</v>
      </c>
      <c r="N48" s="157">
        <f>I48+IFERROR(VLOOKUP($A48,'B0 2264預收'!$1:$1048576,17,0),0)</f>
        <v>0</v>
      </c>
      <c r="O48" s="157">
        <f t="shared" si="54"/>
        <v>0</v>
      </c>
      <c r="P48" s="157">
        <f>K48+IFERROR(+VLOOKUP($A48,'B0 2264預收'!$1:$1048576,18,0),0)</f>
        <v>0</v>
      </c>
      <c r="Q48" s="157">
        <f t="shared" si="55"/>
        <v>0</v>
      </c>
      <c r="R48" s="158">
        <f>M48+IFERROR(VLOOKUP($A48,'A0 BS 1240在建'!$1:$1048576,21,0),0)</f>
        <v>0</v>
      </c>
      <c r="S48" s="158">
        <f>+N48+IFERROR(VLOOKUP($A48,'B0 2264預收'!$1:$1048576,21,0),0)</f>
        <v>0</v>
      </c>
      <c r="T48" s="158">
        <f t="shared" si="56"/>
        <v>0</v>
      </c>
      <c r="U48" s="158">
        <f>+P48+IFERROR(+VLOOKUP($A48,'B0 2264預收'!$1:$1048576,22,0),0)</f>
        <v>0</v>
      </c>
      <c r="V48" s="158">
        <f t="shared" si="57"/>
        <v>0</v>
      </c>
      <c r="W48" s="157">
        <f>+R48+IFERROR(VLOOKUP($A48,'A0 BS 1240在建'!$1:$1048576,25,0),0)</f>
        <v>0</v>
      </c>
      <c r="X48" s="157">
        <f>+S48+IFERROR(VLOOKUP($A48,'B0 2264預收'!$1:$1048576,25,0),0)</f>
        <v>0</v>
      </c>
      <c r="Y48" s="157">
        <f t="shared" si="58"/>
        <v>0</v>
      </c>
      <c r="Z48" s="157">
        <f>+U48+IFERROR(+VLOOKUP($A48,'B0 2264預收'!$1:$1048576,26,0),0)</f>
        <v>0</v>
      </c>
      <c r="AA48" s="157">
        <f t="shared" si="59"/>
        <v>0</v>
      </c>
      <c r="AB48" s="158">
        <f>+W48+IFERROR(VLOOKUP($A48,'A0 BS 1240在建'!$1:$1048576,29,0),0)</f>
        <v>0</v>
      </c>
      <c r="AC48" s="158">
        <f>+X48+IFERROR(VLOOKUP($A48,'B0 2264預收'!$1:$1048576,29,0),0)</f>
        <v>0</v>
      </c>
      <c r="AD48" s="158">
        <f t="shared" si="60"/>
        <v>0</v>
      </c>
      <c r="AE48" s="158">
        <f>+Z48+IFERROR(+VLOOKUP($A48,'B0 2264預收'!$1:$1048576,30,0),0)</f>
        <v>0</v>
      </c>
      <c r="AF48" s="158">
        <f t="shared" si="61"/>
        <v>0</v>
      </c>
      <c r="AG48" s="157">
        <f>+AB48+IFERROR(VLOOKUP($A48,'A0 BS 1240在建'!$1:$1048576,33,0),0)</f>
        <v>0</v>
      </c>
      <c r="AH48" s="157">
        <f>+AC48+IFERROR(VLOOKUP($A48,'B0 2264預收'!$1:$1048576,33,0),0)</f>
        <v>0</v>
      </c>
      <c r="AI48" s="157">
        <f t="shared" si="62"/>
        <v>0</v>
      </c>
      <c r="AJ48" s="157">
        <f>+AE48+IFERROR(+VLOOKUP($A48,'B0 2264預收'!$1:$1048576,34,0),0)</f>
        <v>0</v>
      </c>
      <c r="AK48" s="157">
        <f t="shared" si="63"/>
        <v>0</v>
      </c>
      <c r="AL48" s="158">
        <f>+AG48+IFERROR(VLOOKUP($A48,'A0 BS 1240在建'!$1:$1048576,37,0),0)</f>
        <v>0</v>
      </c>
      <c r="AM48" s="158">
        <f>+AH48+IFERROR(VLOOKUP($A48,'B0 2264預收'!$1:$1048576,37,0),0)</f>
        <v>0</v>
      </c>
      <c r="AN48" s="158">
        <f t="shared" si="64"/>
        <v>0</v>
      </c>
      <c r="AO48" s="158">
        <f>+AJ48+IFERROR(+VLOOKUP($A48,'B0 2264預收'!$1:$1048576,38,0),0)</f>
        <v>0</v>
      </c>
      <c r="AP48" s="158">
        <f t="shared" si="65"/>
        <v>0</v>
      </c>
      <c r="AQ48" s="157">
        <f>+AL48+IFERROR(VLOOKUP($A48,'A0 BS 1240在建'!$1:$1048576,41,0),0)</f>
        <v>0</v>
      </c>
      <c r="AR48" s="157">
        <f>+AM48+IFERROR(VLOOKUP($A48,'B0 2264預收'!$1:$1048576,41,0),0)</f>
        <v>0</v>
      </c>
      <c r="AS48" s="157">
        <f t="shared" si="66"/>
        <v>0</v>
      </c>
      <c r="AT48" s="157">
        <f>+AO48+IFERROR(+VLOOKUP($A48,'B0 2264預收'!$1:$1048576,42,0),0)</f>
        <v>0</v>
      </c>
      <c r="AU48" s="157">
        <f t="shared" si="67"/>
        <v>0</v>
      </c>
      <c r="AV48" s="158">
        <f>+AQ48+IFERROR(VLOOKUP($A48,'A0 BS 1240在建'!$1:$1048576,45,0),0)</f>
        <v>0</v>
      </c>
      <c r="AW48" s="158">
        <f>+AR48+IFERROR(VLOOKUP($A48,'B0 2264預收'!$1:$1048576,45,0),0)</f>
        <v>0</v>
      </c>
      <c r="AX48" s="158">
        <f t="shared" si="68"/>
        <v>0</v>
      </c>
      <c r="AY48" s="158">
        <f>+AT48+IFERROR(+VLOOKUP($A48,'B0 2264預收'!$1:$1048576,46,0),0)</f>
        <v>0</v>
      </c>
      <c r="AZ48" s="158">
        <f t="shared" si="69"/>
        <v>0</v>
      </c>
      <c r="BA48" s="157">
        <f>+AV48+IFERROR(VLOOKUP($A48,'A0 BS 1240在建'!$1:$1048576,49,0),0)</f>
        <v>0</v>
      </c>
      <c r="BB48" s="157">
        <f>+AW48+IFERROR(VLOOKUP($A48,'B0 2264預收'!$1:$1048576,49,0),0)</f>
        <v>0</v>
      </c>
      <c r="BC48" s="157">
        <f t="shared" si="70"/>
        <v>0</v>
      </c>
      <c r="BD48" s="157">
        <f>+AY48+IFERROR(+VLOOKUP($A48,'B0 2264預收'!$1:$1048576,50,0),0)</f>
        <v>0</v>
      </c>
      <c r="BE48" s="157">
        <f t="shared" si="71"/>
        <v>0</v>
      </c>
      <c r="BF48" s="158">
        <f>+BA48+IFERROR(VLOOKUP($A48,'A0 BS 1240在建'!$1:$1048576,53,0),0)</f>
        <v>0</v>
      </c>
      <c r="BG48" s="158">
        <f>+BB48+IFERROR(VLOOKUP($A48,'B0 2264預收'!$1:$1048576,53,0),0)</f>
        <v>0</v>
      </c>
      <c r="BH48" s="158">
        <f t="shared" si="72"/>
        <v>0</v>
      </c>
      <c r="BI48" s="158">
        <f>+BD48+IFERROR(+VLOOKUP($A48,'B0 2264預收'!$1:$1048576,54,0),0)</f>
        <v>0</v>
      </c>
      <c r="BJ48" s="158">
        <f t="shared" si="73"/>
        <v>0</v>
      </c>
      <c r="BK48" s="157">
        <f>+BF48+IFERROR(VLOOKUP($A48,'A0 BS 1240在建'!$1:$1048576,57,0),0)</f>
        <v>0</v>
      </c>
      <c r="BL48" s="157">
        <f>+BG48+IFERROR(VLOOKUP($A48,'B0 2264預收'!$1:$1048576,57,0),0)</f>
        <v>0</v>
      </c>
      <c r="BM48" s="157">
        <f t="shared" si="74"/>
        <v>0</v>
      </c>
      <c r="BN48" s="157">
        <f>+BI48+IFERROR(+VLOOKUP($A48,'B0 2264預收'!$1:$1048576,58,0),0)</f>
        <v>0</v>
      </c>
      <c r="BO48" s="157">
        <f t="shared" si="75"/>
        <v>0</v>
      </c>
      <c r="BP48" s="158">
        <f>+BK48+IFERROR(VLOOKUP($A48,'A0 BS 1240在建'!$1:$1048576,61,0),0)</f>
        <v>0</v>
      </c>
      <c r="BQ48" s="158">
        <f>+BL48+IFERROR(VLOOKUP($A48,'B0 2264預收'!$1:$1048576,61,0),0)</f>
        <v>0</v>
      </c>
      <c r="BR48" s="159">
        <f t="shared" si="76"/>
        <v>0</v>
      </c>
      <c r="BS48" s="158">
        <f>+BN48+IFERROR(+VLOOKUP($A48,'B0 2264預收'!$1:$1048576,62,0),0)</f>
        <v>0</v>
      </c>
      <c r="BT48" s="158">
        <f t="shared" si="77"/>
        <v>0</v>
      </c>
      <c r="BU48" s="157">
        <f>+IFERROR(VLOOKUP($A48,'A0 BS 1240在建'!$1:$1048576,77,0),0)</f>
        <v>0</v>
      </c>
      <c r="BV48" s="157">
        <f>+IFERROR(VLOOKUP($A48,'B0 2264預收'!$1:$1048576,77,0),0)</f>
        <v>0</v>
      </c>
      <c r="BW48" s="157">
        <f t="shared" si="78"/>
        <v>0</v>
      </c>
      <c r="BX48" s="157">
        <f>+IFERROR(+VLOOKUP($A48,'B0 2264預收'!$1:$1048576,78,0),0)</f>
        <v>0</v>
      </c>
      <c r="BY48" s="157">
        <f t="shared" si="79"/>
        <v>0</v>
      </c>
      <c r="BZ48" s="158">
        <f>IFERROR(+VLOOKUP($A48,'A0 BS 1240在建'!$1:$1048576,85,0),0)</f>
        <v>0</v>
      </c>
      <c r="CA48" s="158">
        <f>IFERROR(+VLOOKUP($A48,'B0 2264預收'!$1:$1048576,85,0),0)</f>
        <v>0</v>
      </c>
      <c r="CB48" s="158">
        <f t="shared" si="80"/>
        <v>0</v>
      </c>
      <c r="CC48" s="158">
        <f>+IFERROR(+VLOOKUP($A48,'B0 2264預收'!$1:$1048576,86,0),0)</f>
        <v>0</v>
      </c>
      <c r="CD48" s="158">
        <f t="shared" si="81"/>
        <v>0</v>
      </c>
      <c r="CE48" s="157">
        <f>+IFERROR(VLOOKUP($A48,'A0 BS 1240在建'!$1:$1048576,93,0),0)</f>
        <v>0</v>
      </c>
      <c r="CF48" s="157">
        <f>+IFERROR(VLOOKUP($A48,'B0 2264預收'!$1:$1048576,93,0),0)</f>
        <v>0</v>
      </c>
      <c r="CG48" s="157">
        <f t="shared" si="82"/>
        <v>0</v>
      </c>
      <c r="CH48" s="157">
        <f>+IFERROR(+VLOOKUP($A48,'B0 2264預收'!$1:$1048576,94,0),0)</f>
        <v>0</v>
      </c>
      <c r="CI48" s="157">
        <f t="shared" si="83"/>
        <v>0</v>
      </c>
      <c r="CJ48" s="158">
        <f>IFERROR(+VLOOKUP($A48,'A0 BS 1240在建'!$1:$1048576,101,0),0)</f>
        <v>0</v>
      </c>
      <c r="CK48" s="158">
        <f>IFERROR(+VLOOKUP($A48,'B0 2264預收'!$1:$1048576,101,0),0)</f>
        <v>0</v>
      </c>
      <c r="CL48" s="158">
        <f t="shared" si="84"/>
        <v>0</v>
      </c>
      <c r="CM48" s="158">
        <f>+IFERROR(+VLOOKUP($A48,'B0 2264預收'!$1:$1048576,102,0),0)</f>
        <v>0</v>
      </c>
      <c r="CN48" s="158">
        <f t="shared" si="85"/>
        <v>0</v>
      </c>
      <c r="CP48" s="165">
        <f t="shared" si="96"/>
        <v>0</v>
      </c>
      <c r="CR48" s="98">
        <f>+CP48</f>
        <v>0</v>
      </c>
      <c r="CU48" s="165">
        <f t="shared" si="97"/>
        <v>0</v>
      </c>
      <c r="CW48" s="98">
        <f t="shared" si="98"/>
        <v>0</v>
      </c>
      <c r="CY48" s="162" t="str">
        <f t="shared" si="86"/>
        <v/>
      </c>
      <c r="CZ48" s="98" t="str">
        <f t="shared" si="87"/>
        <v xml:space="preserve"> </v>
      </c>
      <c r="DA48" s="98" t="str">
        <f t="shared" si="88"/>
        <v xml:space="preserve"> </v>
      </c>
      <c r="DB48" s="98" t="str">
        <f t="shared" si="89"/>
        <v xml:space="preserve"> </v>
      </c>
      <c r="DC48" s="163">
        <f t="shared" si="90"/>
        <v>0</v>
      </c>
      <c r="DD48" s="162" t="str">
        <f t="shared" si="92"/>
        <v/>
      </c>
      <c r="DE48" s="98" t="str">
        <f t="shared" si="93"/>
        <v xml:space="preserve"> </v>
      </c>
      <c r="DF48" s="98" t="str">
        <f t="shared" si="94"/>
        <v xml:space="preserve"> </v>
      </c>
      <c r="DG48" s="98" t="str">
        <f t="shared" si="95"/>
        <v xml:space="preserve"> </v>
      </c>
      <c r="DH48" s="163">
        <f t="shared" si="91"/>
        <v>0</v>
      </c>
    </row>
    <row r="49" spans="1:112">
      <c r="A49" s="171" t="s">
        <v>395</v>
      </c>
      <c r="B49" s="172" t="s">
        <v>396</v>
      </c>
      <c r="C49" s="157">
        <f>IFERROR(VLOOKUP($A49,'A0 BS 1240在建'!$1:$1048576,5,0),0)</f>
        <v>0</v>
      </c>
      <c r="D49" s="157">
        <f>IFERROR(VLOOKUP($A49,'B0 2264預收'!$1:$1048576,5,0),0)</f>
        <v>0</v>
      </c>
      <c r="E49" s="157">
        <f t="shared" si="50"/>
        <v>0</v>
      </c>
      <c r="F49" s="157">
        <f>IFERROR(VLOOKUP($A49,'B0 2264預收'!$1:$1048576,6,0),0)</f>
        <v>0</v>
      </c>
      <c r="G49" s="157">
        <f t="shared" si="51"/>
        <v>0</v>
      </c>
      <c r="H49" s="158">
        <f>IFERROR(VLOOKUP($A49,'A0 BS 1240在建'!$1:$1048576,13,0),0)</f>
        <v>0</v>
      </c>
      <c r="I49" s="158">
        <f>IFERROR(VLOOKUP($A49,'B0 2264預收'!$1:$1048576,13,0),0)</f>
        <v>0</v>
      </c>
      <c r="J49" s="158">
        <f t="shared" si="52"/>
        <v>0</v>
      </c>
      <c r="K49" s="158">
        <f>IFERROR(VLOOKUP($A49,'B0 2264預收'!$1:$1048576,14,0),0)</f>
        <v>0</v>
      </c>
      <c r="L49" s="158">
        <f t="shared" si="53"/>
        <v>0</v>
      </c>
      <c r="M49" s="157">
        <f>H49+IFERROR(VLOOKUP($A49,'A0 BS 1240在建'!$1:$1048576,17,0),0)</f>
        <v>0</v>
      </c>
      <c r="N49" s="157">
        <f>I49+IFERROR(VLOOKUP($A49,'B0 2264預收'!$1:$1048576,17,0),0)</f>
        <v>0</v>
      </c>
      <c r="O49" s="157">
        <f t="shared" si="54"/>
        <v>0</v>
      </c>
      <c r="P49" s="157">
        <f>K49+IFERROR(+VLOOKUP($A49,'B0 2264預收'!$1:$1048576,18,0),0)</f>
        <v>0</v>
      </c>
      <c r="Q49" s="157">
        <f t="shared" si="55"/>
        <v>0</v>
      </c>
      <c r="R49" s="158">
        <f>M49+IFERROR(VLOOKUP($A49,'A0 BS 1240在建'!$1:$1048576,21,0),0)</f>
        <v>0</v>
      </c>
      <c r="S49" s="158">
        <f>+N49+IFERROR(VLOOKUP($A49,'B0 2264預收'!$1:$1048576,21,0),0)</f>
        <v>0</v>
      </c>
      <c r="T49" s="158">
        <f t="shared" si="56"/>
        <v>0</v>
      </c>
      <c r="U49" s="158">
        <f>+P49+IFERROR(+VLOOKUP($A49,'B0 2264預收'!$1:$1048576,22,0),0)</f>
        <v>0</v>
      </c>
      <c r="V49" s="158">
        <f t="shared" si="57"/>
        <v>0</v>
      </c>
      <c r="W49" s="157">
        <f>+R49+IFERROR(VLOOKUP($A49,'A0 BS 1240在建'!$1:$1048576,25,0),0)</f>
        <v>0</v>
      </c>
      <c r="X49" s="157">
        <f>+S49+IFERROR(VLOOKUP($A49,'B0 2264預收'!$1:$1048576,25,0),0)</f>
        <v>0</v>
      </c>
      <c r="Y49" s="157">
        <f t="shared" si="58"/>
        <v>0</v>
      </c>
      <c r="Z49" s="157">
        <f>+U49+IFERROR(+VLOOKUP($A49,'B0 2264預收'!$1:$1048576,26,0),0)</f>
        <v>0</v>
      </c>
      <c r="AA49" s="157">
        <f t="shared" si="59"/>
        <v>0</v>
      </c>
      <c r="AB49" s="158">
        <f>+W49+IFERROR(VLOOKUP($A49,'A0 BS 1240在建'!$1:$1048576,29,0),0)</f>
        <v>0</v>
      </c>
      <c r="AC49" s="158">
        <f>+X49+IFERROR(VLOOKUP($A49,'B0 2264預收'!$1:$1048576,29,0),0)</f>
        <v>0</v>
      </c>
      <c r="AD49" s="158">
        <f t="shared" si="60"/>
        <v>0</v>
      </c>
      <c r="AE49" s="158">
        <f>+Z49+IFERROR(+VLOOKUP($A49,'B0 2264預收'!$1:$1048576,30,0),0)</f>
        <v>0</v>
      </c>
      <c r="AF49" s="158">
        <f t="shared" si="61"/>
        <v>0</v>
      </c>
      <c r="AG49" s="157">
        <f>+AB49+IFERROR(VLOOKUP($A49,'A0 BS 1240在建'!$1:$1048576,33,0),0)</f>
        <v>0</v>
      </c>
      <c r="AH49" s="157">
        <f>+AC49+IFERROR(VLOOKUP($A49,'B0 2264預收'!$1:$1048576,33,0),0)</f>
        <v>0</v>
      </c>
      <c r="AI49" s="157">
        <f t="shared" si="62"/>
        <v>0</v>
      </c>
      <c r="AJ49" s="157">
        <f>+AE49+IFERROR(+VLOOKUP($A49,'B0 2264預收'!$1:$1048576,34,0),0)</f>
        <v>0</v>
      </c>
      <c r="AK49" s="157">
        <f t="shared" si="63"/>
        <v>0</v>
      </c>
      <c r="AL49" s="158">
        <f>+AG49+IFERROR(VLOOKUP($A49,'A0 BS 1240在建'!$1:$1048576,37,0),0)</f>
        <v>0</v>
      </c>
      <c r="AM49" s="158">
        <f>+AH49+IFERROR(VLOOKUP($A49,'B0 2264預收'!$1:$1048576,37,0),0)</f>
        <v>0</v>
      </c>
      <c r="AN49" s="158">
        <f t="shared" si="64"/>
        <v>0</v>
      </c>
      <c r="AO49" s="158">
        <f>+AJ49+IFERROR(+VLOOKUP($A49,'B0 2264預收'!$1:$1048576,38,0),0)</f>
        <v>0</v>
      </c>
      <c r="AP49" s="158">
        <f t="shared" si="65"/>
        <v>0</v>
      </c>
      <c r="AQ49" s="157">
        <f>+AL49+IFERROR(VLOOKUP($A49,'A0 BS 1240在建'!$1:$1048576,41,0),0)</f>
        <v>0</v>
      </c>
      <c r="AR49" s="157">
        <f>+AM49+IFERROR(VLOOKUP($A49,'B0 2264預收'!$1:$1048576,41,0),0)</f>
        <v>0</v>
      </c>
      <c r="AS49" s="157">
        <f t="shared" si="66"/>
        <v>0</v>
      </c>
      <c r="AT49" s="157">
        <f>+AO49+IFERROR(+VLOOKUP($A49,'B0 2264預收'!$1:$1048576,42,0),0)</f>
        <v>0</v>
      </c>
      <c r="AU49" s="157">
        <f t="shared" si="67"/>
        <v>0</v>
      </c>
      <c r="AV49" s="158">
        <f>+AQ49+IFERROR(VLOOKUP($A49,'A0 BS 1240在建'!$1:$1048576,45,0),0)</f>
        <v>0</v>
      </c>
      <c r="AW49" s="158">
        <f>+AR49+IFERROR(VLOOKUP($A49,'B0 2264預收'!$1:$1048576,45,0),0)</f>
        <v>0</v>
      </c>
      <c r="AX49" s="158">
        <f t="shared" si="68"/>
        <v>0</v>
      </c>
      <c r="AY49" s="158">
        <f>+AT49+IFERROR(+VLOOKUP($A49,'B0 2264預收'!$1:$1048576,46,0),0)</f>
        <v>0</v>
      </c>
      <c r="AZ49" s="158">
        <f t="shared" si="69"/>
        <v>0</v>
      </c>
      <c r="BA49" s="157">
        <f>+AV49+IFERROR(VLOOKUP($A49,'A0 BS 1240在建'!$1:$1048576,49,0),0)</f>
        <v>0</v>
      </c>
      <c r="BB49" s="157">
        <f>+AW49+IFERROR(VLOOKUP($A49,'B0 2264預收'!$1:$1048576,49,0),0)</f>
        <v>0</v>
      </c>
      <c r="BC49" s="157">
        <f t="shared" si="70"/>
        <v>0</v>
      </c>
      <c r="BD49" s="157">
        <f>+AY49+IFERROR(+VLOOKUP($A49,'B0 2264預收'!$1:$1048576,50,0),0)</f>
        <v>0</v>
      </c>
      <c r="BE49" s="157">
        <f t="shared" si="71"/>
        <v>0</v>
      </c>
      <c r="BF49" s="158">
        <f>+BA49+IFERROR(VLOOKUP($A49,'A0 BS 1240在建'!$1:$1048576,53,0),0)</f>
        <v>0</v>
      </c>
      <c r="BG49" s="158">
        <f>+BB49+IFERROR(VLOOKUP($A49,'B0 2264預收'!$1:$1048576,53,0),0)</f>
        <v>0</v>
      </c>
      <c r="BH49" s="158">
        <f t="shared" si="72"/>
        <v>0</v>
      </c>
      <c r="BI49" s="158">
        <f>+BD49+IFERROR(+VLOOKUP($A49,'B0 2264預收'!$1:$1048576,54,0),0)</f>
        <v>0</v>
      </c>
      <c r="BJ49" s="158">
        <f t="shared" si="73"/>
        <v>0</v>
      </c>
      <c r="BK49" s="157">
        <f>+BF49+IFERROR(VLOOKUP($A49,'A0 BS 1240在建'!$1:$1048576,57,0),0)</f>
        <v>0</v>
      </c>
      <c r="BL49" s="157">
        <f>+BG49+IFERROR(VLOOKUP($A49,'B0 2264預收'!$1:$1048576,57,0),0)</f>
        <v>0</v>
      </c>
      <c r="BM49" s="157">
        <f t="shared" si="74"/>
        <v>0</v>
      </c>
      <c r="BN49" s="157">
        <f>+BI49+IFERROR(+VLOOKUP($A49,'B0 2264預收'!$1:$1048576,58,0),0)</f>
        <v>0</v>
      </c>
      <c r="BO49" s="157">
        <f t="shared" si="75"/>
        <v>0</v>
      </c>
      <c r="BP49" s="158">
        <f>+BK49+IFERROR(VLOOKUP($A49,'A0 BS 1240在建'!$1:$1048576,61,0),0)</f>
        <v>0</v>
      </c>
      <c r="BQ49" s="158">
        <f>+BL49+IFERROR(VLOOKUP($A49,'B0 2264預收'!$1:$1048576,61,0),0)</f>
        <v>0</v>
      </c>
      <c r="BR49" s="159">
        <f t="shared" si="76"/>
        <v>0</v>
      </c>
      <c r="BS49" s="158">
        <f>+BN49+IFERROR(+VLOOKUP($A49,'B0 2264預收'!$1:$1048576,62,0),0)</f>
        <v>0</v>
      </c>
      <c r="BT49" s="158">
        <f t="shared" si="77"/>
        <v>0</v>
      </c>
      <c r="BU49" s="157">
        <f>+IFERROR(VLOOKUP($A49,'A0 BS 1240在建'!$1:$1048576,77,0),0)</f>
        <v>0</v>
      </c>
      <c r="BV49" s="157">
        <f>+IFERROR(VLOOKUP($A49,'B0 2264預收'!$1:$1048576,77,0),0)</f>
        <v>0</v>
      </c>
      <c r="BW49" s="157">
        <f t="shared" si="78"/>
        <v>0</v>
      </c>
      <c r="BX49" s="157">
        <f>+IFERROR(+VLOOKUP($A49,'B0 2264預收'!$1:$1048576,78,0),0)</f>
        <v>0</v>
      </c>
      <c r="BY49" s="157">
        <f t="shared" si="79"/>
        <v>0</v>
      </c>
      <c r="BZ49" s="158">
        <f>IFERROR(+VLOOKUP($A49,'A0 BS 1240在建'!$1:$1048576,85,0),0)</f>
        <v>0</v>
      </c>
      <c r="CA49" s="158">
        <f>IFERROR(+VLOOKUP($A49,'B0 2264預收'!$1:$1048576,85,0),0)</f>
        <v>0</v>
      </c>
      <c r="CB49" s="158">
        <f t="shared" si="80"/>
        <v>0</v>
      </c>
      <c r="CC49" s="158">
        <f>+IFERROR(+VLOOKUP($A49,'B0 2264預收'!$1:$1048576,86,0),0)</f>
        <v>0</v>
      </c>
      <c r="CD49" s="158">
        <f t="shared" si="81"/>
        <v>0</v>
      </c>
      <c r="CE49" s="157">
        <f>+IFERROR(VLOOKUP($A49,'A0 BS 1240在建'!$1:$1048576,93,0),0)</f>
        <v>0</v>
      </c>
      <c r="CF49" s="157">
        <f>+IFERROR(VLOOKUP($A49,'B0 2264預收'!$1:$1048576,93,0),0)</f>
        <v>0</v>
      </c>
      <c r="CG49" s="157">
        <f t="shared" si="82"/>
        <v>0</v>
      </c>
      <c r="CH49" s="157">
        <f>+IFERROR(+VLOOKUP($A49,'B0 2264預收'!$1:$1048576,94,0),0)</f>
        <v>0</v>
      </c>
      <c r="CI49" s="157">
        <f t="shared" si="83"/>
        <v>0</v>
      </c>
      <c r="CJ49" s="158">
        <f>IFERROR(+VLOOKUP($A49,'A0 BS 1240在建'!$1:$1048576,101,0),0)</f>
        <v>0</v>
      </c>
      <c r="CK49" s="158">
        <f>IFERROR(+VLOOKUP($A49,'B0 2264預收'!$1:$1048576,101,0),0)</f>
        <v>0</v>
      </c>
      <c r="CL49" s="158">
        <f t="shared" si="84"/>
        <v>0</v>
      </c>
      <c r="CM49" s="158">
        <f>+IFERROR(+VLOOKUP($A49,'B0 2264預收'!$1:$1048576,102,0),0)</f>
        <v>0</v>
      </c>
      <c r="CN49" s="158">
        <f t="shared" si="85"/>
        <v>0</v>
      </c>
      <c r="CP49" s="98">
        <f t="shared" si="96"/>
        <v>0</v>
      </c>
      <c r="CU49" s="165">
        <f t="shared" si="97"/>
        <v>0</v>
      </c>
      <c r="CW49" s="98">
        <f t="shared" si="98"/>
        <v>0</v>
      </c>
      <c r="CY49" s="162" t="str">
        <f t="shared" si="86"/>
        <v/>
      </c>
      <c r="CZ49" s="98" t="str">
        <f t="shared" si="87"/>
        <v xml:space="preserve"> </v>
      </c>
      <c r="DA49" s="98" t="str">
        <f t="shared" si="88"/>
        <v xml:space="preserve"> </v>
      </c>
      <c r="DB49" s="98" t="str">
        <f t="shared" si="89"/>
        <v xml:space="preserve"> </v>
      </c>
      <c r="DC49" s="163">
        <f t="shared" si="90"/>
        <v>0</v>
      </c>
      <c r="DD49" s="162" t="str">
        <f t="shared" si="92"/>
        <v/>
      </c>
      <c r="DE49" s="98" t="str">
        <f t="shared" si="93"/>
        <v xml:space="preserve"> </v>
      </c>
      <c r="DF49" s="98" t="str">
        <f t="shared" si="94"/>
        <v xml:space="preserve"> </v>
      </c>
      <c r="DG49" s="98" t="str">
        <f t="shared" si="95"/>
        <v xml:space="preserve"> </v>
      </c>
      <c r="DH49" s="163">
        <f t="shared" si="91"/>
        <v>0</v>
      </c>
    </row>
    <row r="50" spans="1:112">
      <c r="A50" s="171" t="s">
        <v>397</v>
      </c>
      <c r="B50" s="172" t="s">
        <v>398</v>
      </c>
      <c r="C50" s="157">
        <f>IFERROR(VLOOKUP($A50,'A0 BS 1240在建'!$1:$1048576,5,0),0)</f>
        <v>0</v>
      </c>
      <c r="D50" s="157">
        <f>IFERROR(VLOOKUP($A50,'B0 2264預收'!$1:$1048576,5,0),0)</f>
        <v>0</v>
      </c>
      <c r="E50" s="157">
        <f t="shared" si="50"/>
        <v>0</v>
      </c>
      <c r="F50" s="157">
        <f>IFERROR(VLOOKUP($A50,'B0 2264預收'!$1:$1048576,6,0),0)</f>
        <v>0</v>
      </c>
      <c r="G50" s="157">
        <f t="shared" si="51"/>
        <v>0</v>
      </c>
      <c r="H50" s="158">
        <f>IFERROR(VLOOKUP($A50,'A0 BS 1240在建'!$1:$1048576,13,0),0)</f>
        <v>0</v>
      </c>
      <c r="I50" s="158">
        <f>IFERROR(VLOOKUP($A50,'B0 2264預收'!$1:$1048576,13,0),0)</f>
        <v>0</v>
      </c>
      <c r="J50" s="158">
        <f t="shared" si="52"/>
        <v>0</v>
      </c>
      <c r="K50" s="158">
        <f>IFERROR(VLOOKUP($A50,'B0 2264預收'!$1:$1048576,14,0),0)</f>
        <v>0</v>
      </c>
      <c r="L50" s="158">
        <f t="shared" si="53"/>
        <v>0</v>
      </c>
      <c r="M50" s="157">
        <f>H50+IFERROR(VLOOKUP($A50,'A0 BS 1240在建'!$1:$1048576,17,0),0)</f>
        <v>0</v>
      </c>
      <c r="N50" s="157">
        <f>I50+IFERROR(VLOOKUP($A50,'B0 2264預收'!$1:$1048576,17,0),0)</f>
        <v>0</v>
      </c>
      <c r="O50" s="157">
        <f t="shared" si="54"/>
        <v>0</v>
      </c>
      <c r="P50" s="157">
        <f>K50+IFERROR(+VLOOKUP($A50,'B0 2264預收'!$1:$1048576,18,0),0)</f>
        <v>0</v>
      </c>
      <c r="Q50" s="157">
        <f t="shared" si="55"/>
        <v>0</v>
      </c>
      <c r="R50" s="158">
        <f>M50+IFERROR(VLOOKUP($A50,'A0 BS 1240在建'!$1:$1048576,21,0),0)</f>
        <v>0</v>
      </c>
      <c r="S50" s="158">
        <f>+N50+IFERROR(VLOOKUP($A50,'B0 2264預收'!$1:$1048576,21,0),0)</f>
        <v>0</v>
      </c>
      <c r="T50" s="158">
        <f t="shared" si="56"/>
        <v>0</v>
      </c>
      <c r="U50" s="158">
        <f>+P50+IFERROR(+VLOOKUP($A50,'B0 2264預收'!$1:$1048576,22,0),0)</f>
        <v>0</v>
      </c>
      <c r="V50" s="158">
        <f t="shared" si="57"/>
        <v>0</v>
      </c>
      <c r="W50" s="157">
        <f>+R50+IFERROR(VLOOKUP($A50,'A0 BS 1240在建'!$1:$1048576,25,0),0)</f>
        <v>0</v>
      </c>
      <c r="X50" s="157">
        <f>+S50+IFERROR(VLOOKUP($A50,'B0 2264預收'!$1:$1048576,25,0),0)</f>
        <v>0</v>
      </c>
      <c r="Y50" s="157">
        <f t="shared" si="58"/>
        <v>0</v>
      </c>
      <c r="Z50" s="157">
        <f>+U50+IFERROR(+VLOOKUP($A50,'B0 2264預收'!$1:$1048576,26,0),0)</f>
        <v>0</v>
      </c>
      <c r="AA50" s="157">
        <f t="shared" si="59"/>
        <v>0</v>
      </c>
      <c r="AB50" s="158">
        <f>+W50+IFERROR(VLOOKUP($A50,'A0 BS 1240在建'!$1:$1048576,29,0),0)</f>
        <v>0</v>
      </c>
      <c r="AC50" s="158">
        <f>+X50+IFERROR(VLOOKUP($A50,'B0 2264預收'!$1:$1048576,29,0),0)</f>
        <v>0</v>
      </c>
      <c r="AD50" s="158">
        <f t="shared" si="60"/>
        <v>0</v>
      </c>
      <c r="AE50" s="158">
        <f>+Z50+IFERROR(+VLOOKUP($A50,'B0 2264預收'!$1:$1048576,30,0),0)</f>
        <v>0</v>
      </c>
      <c r="AF50" s="158">
        <f t="shared" si="61"/>
        <v>0</v>
      </c>
      <c r="AG50" s="157">
        <f>+AB50+IFERROR(VLOOKUP($A50,'A0 BS 1240在建'!$1:$1048576,33,0),0)</f>
        <v>0</v>
      </c>
      <c r="AH50" s="157">
        <f>+AC50+IFERROR(VLOOKUP($A50,'B0 2264預收'!$1:$1048576,33,0),0)</f>
        <v>0</v>
      </c>
      <c r="AI50" s="157">
        <f t="shared" si="62"/>
        <v>0</v>
      </c>
      <c r="AJ50" s="157">
        <f>+AE50+IFERROR(+VLOOKUP($A50,'B0 2264預收'!$1:$1048576,34,0),0)</f>
        <v>0</v>
      </c>
      <c r="AK50" s="157">
        <f t="shared" si="63"/>
        <v>0</v>
      </c>
      <c r="AL50" s="158">
        <f>+AG50+IFERROR(VLOOKUP($A50,'A0 BS 1240在建'!$1:$1048576,37,0),0)</f>
        <v>0</v>
      </c>
      <c r="AM50" s="158">
        <f>+AH50+IFERROR(VLOOKUP($A50,'B0 2264預收'!$1:$1048576,37,0),0)</f>
        <v>0</v>
      </c>
      <c r="AN50" s="158">
        <f t="shared" si="64"/>
        <v>0</v>
      </c>
      <c r="AO50" s="158">
        <f>+AJ50+IFERROR(+VLOOKUP($A50,'B0 2264預收'!$1:$1048576,38,0),0)</f>
        <v>0</v>
      </c>
      <c r="AP50" s="158">
        <f t="shared" si="65"/>
        <v>0</v>
      </c>
      <c r="AQ50" s="157">
        <f>+AL50+IFERROR(VLOOKUP($A50,'A0 BS 1240在建'!$1:$1048576,41,0),0)</f>
        <v>0</v>
      </c>
      <c r="AR50" s="157">
        <f>+AM50+IFERROR(VLOOKUP($A50,'B0 2264預收'!$1:$1048576,41,0),0)</f>
        <v>0</v>
      </c>
      <c r="AS50" s="157">
        <f t="shared" si="66"/>
        <v>0</v>
      </c>
      <c r="AT50" s="157">
        <f>+AO50+IFERROR(+VLOOKUP($A50,'B0 2264預收'!$1:$1048576,42,0),0)</f>
        <v>0</v>
      </c>
      <c r="AU50" s="157">
        <f t="shared" si="67"/>
        <v>0</v>
      </c>
      <c r="AV50" s="158">
        <f>+AQ50+IFERROR(VLOOKUP($A50,'A0 BS 1240在建'!$1:$1048576,45,0),0)</f>
        <v>0</v>
      </c>
      <c r="AW50" s="158">
        <f>+AR50+IFERROR(VLOOKUP($A50,'B0 2264預收'!$1:$1048576,45,0),0)</f>
        <v>0</v>
      </c>
      <c r="AX50" s="158">
        <f t="shared" si="68"/>
        <v>0</v>
      </c>
      <c r="AY50" s="158">
        <f>+AT50+IFERROR(+VLOOKUP($A50,'B0 2264預收'!$1:$1048576,46,0),0)</f>
        <v>0</v>
      </c>
      <c r="AZ50" s="158">
        <f t="shared" si="69"/>
        <v>0</v>
      </c>
      <c r="BA50" s="157">
        <f>+AV50+IFERROR(VLOOKUP($A50,'A0 BS 1240在建'!$1:$1048576,49,0),0)</f>
        <v>0</v>
      </c>
      <c r="BB50" s="157">
        <f>+AW50+IFERROR(VLOOKUP($A50,'B0 2264預收'!$1:$1048576,49,0),0)</f>
        <v>0</v>
      </c>
      <c r="BC50" s="157">
        <f t="shared" si="70"/>
        <v>0</v>
      </c>
      <c r="BD50" s="157">
        <f>+AY50+IFERROR(+VLOOKUP($A50,'B0 2264預收'!$1:$1048576,50,0),0)</f>
        <v>0</v>
      </c>
      <c r="BE50" s="157">
        <f t="shared" si="71"/>
        <v>0</v>
      </c>
      <c r="BF50" s="158">
        <f>+BA50+IFERROR(VLOOKUP($A50,'A0 BS 1240在建'!$1:$1048576,53,0),0)</f>
        <v>0</v>
      </c>
      <c r="BG50" s="158">
        <f>+BB50+IFERROR(VLOOKUP($A50,'B0 2264預收'!$1:$1048576,53,0),0)</f>
        <v>0</v>
      </c>
      <c r="BH50" s="158">
        <f t="shared" si="72"/>
        <v>0</v>
      </c>
      <c r="BI50" s="158">
        <f>+BD50+IFERROR(+VLOOKUP($A50,'B0 2264預收'!$1:$1048576,54,0),0)</f>
        <v>0</v>
      </c>
      <c r="BJ50" s="158">
        <f t="shared" si="73"/>
        <v>0</v>
      </c>
      <c r="BK50" s="157">
        <f>+BF50+IFERROR(VLOOKUP($A50,'A0 BS 1240在建'!$1:$1048576,57,0),0)</f>
        <v>0</v>
      </c>
      <c r="BL50" s="157">
        <f>+BG50+IFERROR(VLOOKUP($A50,'B0 2264預收'!$1:$1048576,57,0),0)</f>
        <v>0</v>
      </c>
      <c r="BM50" s="157">
        <f t="shared" si="74"/>
        <v>0</v>
      </c>
      <c r="BN50" s="157">
        <f>+BI50+IFERROR(+VLOOKUP($A50,'B0 2264預收'!$1:$1048576,58,0),0)</f>
        <v>0</v>
      </c>
      <c r="BO50" s="157">
        <f t="shared" si="75"/>
        <v>0</v>
      </c>
      <c r="BP50" s="158">
        <f>+BK50+IFERROR(VLOOKUP($A50,'A0 BS 1240在建'!$1:$1048576,61,0),0)</f>
        <v>0</v>
      </c>
      <c r="BQ50" s="158">
        <f>+BL50+IFERROR(VLOOKUP($A50,'B0 2264預收'!$1:$1048576,61,0),0)</f>
        <v>0</v>
      </c>
      <c r="BR50" s="159">
        <f t="shared" si="76"/>
        <v>0</v>
      </c>
      <c r="BS50" s="158">
        <f>+BN50+IFERROR(+VLOOKUP($A50,'B0 2264預收'!$1:$1048576,62,0),0)</f>
        <v>0</v>
      </c>
      <c r="BT50" s="158">
        <f t="shared" si="77"/>
        <v>0</v>
      </c>
      <c r="BU50" s="157">
        <f>+IFERROR(VLOOKUP($A50,'A0 BS 1240在建'!$1:$1048576,77,0),0)</f>
        <v>0</v>
      </c>
      <c r="BV50" s="157">
        <f>+IFERROR(VLOOKUP($A50,'B0 2264預收'!$1:$1048576,77,0),0)</f>
        <v>0</v>
      </c>
      <c r="BW50" s="157">
        <f t="shared" si="78"/>
        <v>0</v>
      </c>
      <c r="BX50" s="157">
        <f>+IFERROR(+VLOOKUP($A50,'B0 2264預收'!$1:$1048576,78,0),0)</f>
        <v>0</v>
      </c>
      <c r="BY50" s="157">
        <f t="shared" si="79"/>
        <v>0</v>
      </c>
      <c r="BZ50" s="158">
        <f>IFERROR(+VLOOKUP($A50,'A0 BS 1240在建'!$1:$1048576,85,0),0)</f>
        <v>0</v>
      </c>
      <c r="CA50" s="158">
        <f>IFERROR(+VLOOKUP($A50,'B0 2264預收'!$1:$1048576,85,0),0)</f>
        <v>0</v>
      </c>
      <c r="CB50" s="158">
        <f t="shared" si="80"/>
        <v>0</v>
      </c>
      <c r="CC50" s="158">
        <f>+IFERROR(+VLOOKUP($A50,'B0 2264預收'!$1:$1048576,86,0),0)</f>
        <v>0</v>
      </c>
      <c r="CD50" s="158">
        <f t="shared" si="81"/>
        <v>0</v>
      </c>
      <c r="CE50" s="157">
        <f>+IFERROR(VLOOKUP($A50,'A0 BS 1240在建'!$1:$1048576,93,0),0)</f>
        <v>0</v>
      </c>
      <c r="CF50" s="157">
        <f>+IFERROR(VLOOKUP($A50,'B0 2264預收'!$1:$1048576,93,0),0)</f>
        <v>0</v>
      </c>
      <c r="CG50" s="157">
        <f t="shared" si="82"/>
        <v>0</v>
      </c>
      <c r="CH50" s="157">
        <f>+IFERROR(+VLOOKUP($A50,'B0 2264預收'!$1:$1048576,94,0),0)</f>
        <v>0</v>
      </c>
      <c r="CI50" s="157">
        <f t="shared" si="83"/>
        <v>0</v>
      </c>
      <c r="CJ50" s="158">
        <f>IFERROR(+VLOOKUP($A50,'A0 BS 1240在建'!$1:$1048576,101,0),0)</f>
        <v>0</v>
      </c>
      <c r="CK50" s="158">
        <f>IFERROR(+VLOOKUP($A50,'B0 2264預收'!$1:$1048576,101,0),0)</f>
        <v>0</v>
      </c>
      <c r="CL50" s="158">
        <f t="shared" si="84"/>
        <v>0</v>
      </c>
      <c r="CM50" s="158">
        <f>+IFERROR(+VLOOKUP($A50,'B0 2264預收'!$1:$1048576,102,0),0)</f>
        <v>0</v>
      </c>
      <c r="CN50" s="158">
        <f t="shared" si="85"/>
        <v>0</v>
      </c>
      <c r="CP50" s="165">
        <f t="shared" si="96"/>
        <v>0</v>
      </c>
      <c r="CR50" s="98">
        <f>+CP50</f>
        <v>0</v>
      </c>
      <c r="CU50" s="165">
        <f t="shared" si="97"/>
        <v>0</v>
      </c>
      <c r="CW50" s="98">
        <f t="shared" si="98"/>
        <v>0</v>
      </c>
      <c r="CY50" s="162" t="str">
        <f t="shared" si="86"/>
        <v/>
      </c>
      <c r="CZ50" s="98" t="str">
        <f t="shared" si="87"/>
        <v xml:space="preserve"> </v>
      </c>
      <c r="DA50" s="98" t="str">
        <f t="shared" si="88"/>
        <v xml:space="preserve"> </v>
      </c>
      <c r="DB50" s="98" t="str">
        <f t="shared" si="89"/>
        <v xml:space="preserve"> </v>
      </c>
      <c r="DC50" s="163">
        <f t="shared" si="90"/>
        <v>0</v>
      </c>
      <c r="DD50" s="162" t="str">
        <f t="shared" si="92"/>
        <v/>
      </c>
      <c r="DE50" s="98" t="str">
        <f t="shared" si="93"/>
        <v xml:space="preserve"> </v>
      </c>
      <c r="DF50" s="98" t="str">
        <f t="shared" si="94"/>
        <v xml:space="preserve"> </v>
      </c>
      <c r="DG50" s="98" t="str">
        <f t="shared" si="95"/>
        <v xml:space="preserve"> </v>
      </c>
      <c r="DH50" s="163">
        <f t="shared" si="91"/>
        <v>0</v>
      </c>
    </row>
    <row r="51" spans="1:112">
      <c r="A51" s="171" t="s">
        <v>399</v>
      </c>
      <c r="B51" s="172" t="s">
        <v>400</v>
      </c>
      <c r="C51" s="157">
        <f>IFERROR(VLOOKUP($A51,'A0 BS 1240在建'!$1:$1048576,5,0),0)</f>
        <v>0</v>
      </c>
      <c r="D51" s="157">
        <f>IFERROR(VLOOKUP($A51,'B0 2264預收'!$1:$1048576,5,0),0)</f>
        <v>0</v>
      </c>
      <c r="E51" s="157">
        <f t="shared" si="50"/>
        <v>0</v>
      </c>
      <c r="F51" s="157">
        <f>IFERROR(VLOOKUP($A51,'B0 2264預收'!$1:$1048576,6,0),0)</f>
        <v>0</v>
      </c>
      <c r="G51" s="157">
        <f t="shared" si="51"/>
        <v>0</v>
      </c>
      <c r="H51" s="158">
        <f>IFERROR(VLOOKUP($A51,'A0 BS 1240在建'!$1:$1048576,13,0),0)</f>
        <v>0</v>
      </c>
      <c r="I51" s="158">
        <f>IFERROR(VLOOKUP($A51,'B0 2264預收'!$1:$1048576,13,0),0)</f>
        <v>0</v>
      </c>
      <c r="J51" s="158">
        <f t="shared" si="52"/>
        <v>0</v>
      </c>
      <c r="K51" s="158">
        <f>IFERROR(VLOOKUP($A51,'B0 2264預收'!$1:$1048576,14,0),0)</f>
        <v>0</v>
      </c>
      <c r="L51" s="158">
        <f t="shared" si="53"/>
        <v>0</v>
      </c>
      <c r="M51" s="157">
        <f>H51+IFERROR(VLOOKUP($A51,'A0 BS 1240在建'!$1:$1048576,17,0),0)</f>
        <v>0</v>
      </c>
      <c r="N51" s="157">
        <f>I51+IFERROR(VLOOKUP($A51,'B0 2264預收'!$1:$1048576,17,0),0)</f>
        <v>0</v>
      </c>
      <c r="O51" s="157">
        <f t="shared" si="54"/>
        <v>0</v>
      </c>
      <c r="P51" s="157">
        <f>K51+IFERROR(+VLOOKUP($A51,'B0 2264預收'!$1:$1048576,18,0),0)</f>
        <v>0</v>
      </c>
      <c r="Q51" s="157">
        <f t="shared" si="55"/>
        <v>0</v>
      </c>
      <c r="R51" s="158">
        <f>M51+IFERROR(VLOOKUP($A51,'A0 BS 1240在建'!$1:$1048576,21,0),0)</f>
        <v>0</v>
      </c>
      <c r="S51" s="158">
        <f>+N51+IFERROR(VLOOKUP($A51,'B0 2264預收'!$1:$1048576,21,0),0)</f>
        <v>0</v>
      </c>
      <c r="T51" s="158">
        <f t="shared" si="56"/>
        <v>0</v>
      </c>
      <c r="U51" s="158">
        <f>+P51+IFERROR(+VLOOKUP($A51,'B0 2264預收'!$1:$1048576,22,0),0)</f>
        <v>0</v>
      </c>
      <c r="V51" s="158">
        <f t="shared" si="57"/>
        <v>0</v>
      </c>
      <c r="W51" s="157">
        <f>+R51+IFERROR(VLOOKUP($A51,'A0 BS 1240在建'!$1:$1048576,25,0),0)</f>
        <v>0</v>
      </c>
      <c r="X51" s="157">
        <f>+S51+IFERROR(VLOOKUP($A51,'B0 2264預收'!$1:$1048576,25,0),0)</f>
        <v>0</v>
      </c>
      <c r="Y51" s="157">
        <f t="shared" si="58"/>
        <v>0</v>
      </c>
      <c r="Z51" s="157">
        <f>+U51+IFERROR(+VLOOKUP($A51,'B0 2264預收'!$1:$1048576,26,0),0)</f>
        <v>0</v>
      </c>
      <c r="AA51" s="157">
        <f t="shared" si="59"/>
        <v>0</v>
      </c>
      <c r="AB51" s="158">
        <f>+W51+IFERROR(VLOOKUP($A51,'A0 BS 1240在建'!$1:$1048576,29,0),0)</f>
        <v>0</v>
      </c>
      <c r="AC51" s="158">
        <f>+X51+IFERROR(VLOOKUP($A51,'B0 2264預收'!$1:$1048576,29,0),0)</f>
        <v>0</v>
      </c>
      <c r="AD51" s="158">
        <f t="shared" si="60"/>
        <v>0</v>
      </c>
      <c r="AE51" s="158">
        <f>+Z51+IFERROR(+VLOOKUP($A51,'B0 2264預收'!$1:$1048576,30,0),0)</f>
        <v>0</v>
      </c>
      <c r="AF51" s="158">
        <f t="shared" si="61"/>
        <v>0</v>
      </c>
      <c r="AG51" s="157">
        <f>+AB51+IFERROR(VLOOKUP($A51,'A0 BS 1240在建'!$1:$1048576,33,0),0)</f>
        <v>0</v>
      </c>
      <c r="AH51" s="157">
        <f>+AC51+IFERROR(VLOOKUP($A51,'B0 2264預收'!$1:$1048576,33,0),0)</f>
        <v>0</v>
      </c>
      <c r="AI51" s="157">
        <f t="shared" si="62"/>
        <v>0</v>
      </c>
      <c r="AJ51" s="157">
        <f>+AE51+IFERROR(+VLOOKUP($A51,'B0 2264預收'!$1:$1048576,34,0),0)</f>
        <v>0</v>
      </c>
      <c r="AK51" s="157">
        <f t="shared" si="63"/>
        <v>0</v>
      </c>
      <c r="AL51" s="158">
        <f>+AG51+IFERROR(VLOOKUP($A51,'A0 BS 1240在建'!$1:$1048576,37,0),0)</f>
        <v>0</v>
      </c>
      <c r="AM51" s="158">
        <f>+AH51+IFERROR(VLOOKUP($A51,'B0 2264預收'!$1:$1048576,37,0),0)</f>
        <v>0</v>
      </c>
      <c r="AN51" s="158">
        <f t="shared" si="64"/>
        <v>0</v>
      </c>
      <c r="AO51" s="158">
        <f>+AJ51+IFERROR(+VLOOKUP($A51,'B0 2264預收'!$1:$1048576,38,0),0)</f>
        <v>0</v>
      </c>
      <c r="AP51" s="158">
        <f t="shared" si="65"/>
        <v>0</v>
      </c>
      <c r="AQ51" s="157">
        <f>+AL51+IFERROR(VLOOKUP($A51,'A0 BS 1240在建'!$1:$1048576,41,0),0)</f>
        <v>0</v>
      </c>
      <c r="AR51" s="157">
        <f>+AM51+IFERROR(VLOOKUP($A51,'B0 2264預收'!$1:$1048576,41,0),0)</f>
        <v>0</v>
      </c>
      <c r="AS51" s="157">
        <f t="shared" si="66"/>
        <v>0</v>
      </c>
      <c r="AT51" s="157">
        <f>+AO51+IFERROR(+VLOOKUP($A51,'B0 2264預收'!$1:$1048576,42,0),0)</f>
        <v>0</v>
      </c>
      <c r="AU51" s="157">
        <f t="shared" si="67"/>
        <v>0</v>
      </c>
      <c r="AV51" s="158">
        <f>+AQ51+IFERROR(VLOOKUP($A51,'A0 BS 1240在建'!$1:$1048576,45,0),0)</f>
        <v>0</v>
      </c>
      <c r="AW51" s="158">
        <f>+AR51+IFERROR(VLOOKUP($A51,'B0 2264預收'!$1:$1048576,45,0),0)</f>
        <v>0</v>
      </c>
      <c r="AX51" s="158">
        <f t="shared" si="68"/>
        <v>0</v>
      </c>
      <c r="AY51" s="158">
        <f>+AT51+IFERROR(+VLOOKUP($A51,'B0 2264預收'!$1:$1048576,46,0),0)</f>
        <v>0</v>
      </c>
      <c r="AZ51" s="158">
        <f t="shared" si="69"/>
        <v>0</v>
      </c>
      <c r="BA51" s="157">
        <f>+AV51+IFERROR(VLOOKUP($A51,'A0 BS 1240在建'!$1:$1048576,49,0),0)</f>
        <v>0</v>
      </c>
      <c r="BB51" s="157">
        <f>+AW51+IFERROR(VLOOKUP($A51,'B0 2264預收'!$1:$1048576,49,0),0)</f>
        <v>0</v>
      </c>
      <c r="BC51" s="157">
        <f t="shared" si="70"/>
        <v>0</v>
      </c>
      <c r="BD51" s="157">
        <f>+AY51+IFERROR(+VLOOKUP($A51,'B0 2264預收'!$1:$1048576,50,0),0)</f>
        <v>0</v>
      </c>
      <c r="BE51" s="157">
        <f t="shared" si="71"/>
        <v>0</v>
      </c>
      <c r="BF51" s="158">
        <f>+BA51+IFERROR(VLOOKUP($A51,'A0 BS 1240在建'!$1:$1048576,53,0),0)</f>
        <v>0</v>
      </c>
      <c r="BG51" s="158">
        <f>+BB51+IFERROR(VLOOKUP($A51,'B0 2264預收'!$1:$1048576,53,0),0)</f>
        <v>0</v>
      </c>
      <c r="BH51" s="158">
        <f t="shared" si="72"/>
        <v>0</v>
      </c>
      <c r="BI51" s="158">
        <f>+BD51+IFERROR(+VLOOKUP($A51,'B0 2264預收'!$1:$1048576,54,0),0)</f>
        <v>0</v>
      </c>
      <c r="BJ51" s="158">
        <f t="shared" si="73"/>
        <v>0</v>
      </c>
      <c r="BK51" s="157">
        <f>+BF51+IFERROR(VLOOKUP($A51,'A0 BS 1240在建'!$1:$1048576,57,0),0)</f>
        <v>0</v>
      </c>
      <c r="BL51" s="157">
        <f>+BG51+IFERROR(VLOOKUP($A51,'B0 2264預收'!$1:$1048576,57,0),0)</f>
        <v>0</v>
      </c>
      <c r="BM51" s="157">
        <f t="shared" si="74"/>
        <v>0</v>
      </c>
      <c r="BN51" s="157">
        <f>+BI51+IFERROR(+VLOOKUP($A51,'B0 2264預收'!$1:$1048576,58,0),0)</f>
        <v>0</v>
      </c>
      <c r="BO51" s="157">
        <f t="shared" si="75"/>
        <v>0</v>
      </c>
      <c r="BP51" s="158">
        <f>+BK51+IFERROR(VLOOKUP($A51,'A0 BS 1240在建'!$1:$1048576,61,0),0)</f>
        <v>0</v>
      </c>
      <c r="BQ51" s="158">
        <f>+BL51+IFERROR(VLOOKUP($A51,'B0 2264預收'!$1:$1048576,61,0),0)</f>
        <v>0</v>
      </c>
      <c r="BR51" s="159">
        <f t="shared" si="76"/>
        <v>0</v>
      </c>
      <c r="BS51" s="158">
        <f>+BN51+IFERROR(+VLOOKUP($A51,'B0 2264預收'!$1:$1048576,62,0),0)</f>
        <v>0</v>
      </c>
      <c r="BT51" s="158">
        <f t="shared" si="77"/>
        <v>0</v>
      </c>
      <c r="BU51" s="157">
        <f>+IFERROR(VLOOKUP($A51,'A0 BS 1240在建'!$1:$1048576,77,0),0)</f>
        <v>0</v>
      </c>
      <c r="BV51" s="157">
        <f>+IFERROR(VLOOKUP($A51,'B0 2264預收'!$1:$1048576,77,0),0)</f>
        <v>0</v>
      </c>
      <c r="BW51" s="157">
        <f t="shared" si="78"/>
        <v>0</v>
      </c>
      <c r="BX51" s="157">
        <f>+IFERROR(+VLOOKUP($A51,'B0 2264預收'!$1:$1048576,78,0),0)</f>
        <v>0</v>
      </c>
      <c r="BY51" s="157">
        <f t="shared" si="79"/>
        <v>0</v>
      </c>
      <c r="BZ51" s="158">
        <f>IFERROR(+VLOOKUP($A51,'A0 BS 1240在建'!$1:$1048576,85,0),0)</f>
        <v>0</v>
      </c>
      <c r="CA51" s="158">
        <f>IFERROR(+VLOOKUP($A51,'B0 2264預收'!$1:$1048576,85,0),0)</f>
        <v>0</v>
      </c>
      <c r="CB51" s="158">
        <f t="shared" si="80"/>
        <v>0</v>
      </c>
      <c r="CC51" s="158">
        <f>+IFERROR(+VLOOKUP($A51,'B0 2264預收'!$1:$1048576,86,0),0)</f>
        <v>0</v>
      </c>
      <c r="CD51" s="158">
        <f t="shared" si="81"/>
        <v>0</v>
      </c>
      <c r="CE51" s="157">
        <f>+IFERROR(VLOOKUP($A51,'A0 BS 1240在建'!$1:$1048576,93,0),0)</f>
        <v>0</v>
      </c>
      <c r="CF51" s="157">
        <f>+IFERROR(VLOOKUP($A51,'B0 2264預收'!$1:$1048576,93,0),0)</f>
        <v>0</v>
      </c>
      <c r="CG51" s="157">
        <f t="shared" si="82"/>
        <v>0</v>
      </c>
      <c r="CH51" s="157">
        <f>+IFERROR(+VLOOKUP($A51,'B0 2264預收'!$1:$1048576,94,0),0)</f>
        <v>0</v>
      </c>
      <c r="CI51" s="157">
        <f t="shared" si="83"/>
        <v>0</v>
      </c>
      <c r="CJ51" s="158">
        <f>IFERROR(+VLOOKUP($A51,'A0 BS 1240在建'!$1:$1048576,101,0),0)</f>
        <v>0</v>
      </c>
      <c r="CK51" s="158">
        <f>IFERROR(+VLOOKUP($A51,'B0 2264預收'!$1:$1048576,101,0),0)</f>
        <v>0</v>
      </c>
      <c r="CL51" s="158">
        <f t="shared" si="84"/>
        <v>0</v>
      </c>
      <c r="CM51" s="158">
        <f>+IFERROR(+VLOOKUP($A51,'B0 2264預收'!$1:$1048576,102,0),0)</f>
        <v>0</v>
      </c>
      <c r="CN51" s="158">
        <f t="shared" si="85"/>
        <v>0</v>
      </c>
      <c r="CP51" s="166">
        <f t="shared" si="96"/>
        <v>0</v>
      </c>
      <c r="CQ51" s="98">
        <f>+CP51</f>
        <v>0</v>
      </c>
      <c r="CU51" s="166">
        <f t="shared" si="97"/>
        <v>0</v>
      </c>
      <c r="CV51" s="98">
        <f>+CU51</f>
        <v>0</v>
      </c>
      <c r="CY51" s="162" t="str">
        <f t="shared" si="86"/>
        <v/>
      </c>
      <c r="CZ51" s="98" t="str">
        <f t="shared" si="87"/>
        <v xml:space="preserve"> </v>
      </c>
      <c r="DA51" s="98" t="str">
        <f t="shared" si="88"/>
        <v xml:space="preserve"> </v>
      </c>
      <c r="DB51" s="98" t="str">
        <f t="shared" si="89"/>
        <v xml:space="preserve"> </v>
      </c>
      <c r="DC51" s="163">
        <f t="shared" si="90"/>
        <v>0</v>
      </c>
      <c r="DD51" s="162" t="str">
        <f t="shared" si="92"/>
        <v/>
      </c>
      <c r="DE51" s="98" t="str">
        <f t="shared" si="93"/>
        <v xml:space="preserve"> </v>
      </c>
      <c r="DF51" s="98" t="str">
        <f t="shared" si="94"/>
        <v xml:space="preserve"> </v>
      </c>
      <c r="DG51" s="98" t="str">
        <f t="shared" si="95"/>
        <v xml:space="preserve"> </v>
      </c>
      <c r="DH51" s="163">
        <f t="shared" si="91"/>
        <v>0</v>
      </c>
    </row>
    <row r="52" spans="1:112">
      <c r="A52" s="171" t="s">
        <v>401</v>
      </c>
      <c r="B52" s="172" t="s">
        <v>402</v>
      </c>
      <c r="C52" s="157">
        <f>IFERROR(VLOOKUP($A52,'A0 BS 1240在建'!$1:$1048576,5,0),0)</f>
        <v>0</v>
      </c>
      <c r="D52" s="157">
        <f>IFERROR(VLOOKUP($A52,'B0 2264預收'!$1:$1048576,5,0),0)</f>
        <v>0</v>
      </c>
      <c r="E52" s="157">
        <f t="shared" si="50"/>
        <v>0</v>
      </c>
      <c r="F52" s="157">
        <f>IFERROR(VLOOKUP($A52,'B0 2264預收'!$1:$1048576,6,0),0)</f>
        <v>0</v>
      </c>
      <c r="G52" s="157">
        <f t="shared" si="51"/>
        <v>0</v>
      </c>
      <c r="H52" s="158">
        <f>IFERROR(VLOOKUP($A52,'A0 BS 1240在建'!$1:$1048576,13,0),0)</f>
        <v>0</v>
      </c>
      <c r="I52" s="158">
        <f>IFERROR(VLOOKUP($A52,'B0 2264預收'!$1:$1048576,13,0),0)</f>
        <v>0</v>
      </c>
      <c r="J52" s="158">
        <f t="shared" si="52"/>
        <v>0</v>
      </c>
      <c r="K52" s="158">
        <f>IFERROR(VLOOKUP($A52,'B0 2264預收'!$1:$1048576,14,0),0)</f>
        <v>0</v>
      </c>
      <c r="L52" s="158">
        <f t="shared" si="53"/>
        <v>0</v>
      </c>
      <c r="M52" s="157">
        <f>H52+IFERROR(VLOOKUP($A52,'A0 BS 1240在建'!$1:$1048576,17,0),0)</f>
        <v>0</v>
      </c>
      <c r="N52" s="157">
        <f>I52+IFERROR(VLOOKUP($A52,'B0 2264預收'!$1:$1048576,17,0),0)</f>
        <v>0</v>
      </c>
      <c r="O52" s="157">
        <f t="shared" si="54"/>
        <v>0</v>
      </c>
      <c r="P52" s="157">
        <f>K52+IFERROR(+VLOOKUP($A52,'B0 2264預收'!$1:$1048576,18,0),0)</f>
        <v>0</v>
      </c>
      <c r="Q52" s="157">
        <f t="shared" si="55"/>
        <v>0</v>
      </c>
      <c r="R52" s="158">
        <f>M52+IFERROR(VLOOKUP($A52,'A0 BS 1240在建'!$1:$1048576,21,0),0)</f>
        <v>0</v>
      </c>
      <c r="S52" s="158">
        <f>+N52+IFERROR(VLOOKUP($A52,'B0 2264預收'!$1:$1048576,21,0),0)</f>
        <v>0</v>
      </c>
      <c r="T52" s="158">
        <f t="shared" si="56"/>
        <v>0</v>
      </c>
      <c r="U52" s="158">
        <f>+P52+IFERROR(+VLOOKUP($A52,'B0 2264預收'!$1:$1048576,22,0),0)</f>
        <v>0</v>
      </c>
      <c r="V52" s="158">
        <f t="shared" si="57"/>
        <v>0</v>
      </c>
      <c r="W52" s="157">
        <f>+R52+IFERROR(VLOOKUP($A52,'A0 BS 1240在建'!$1:$1048576,25,0),0)</f>
        <v>0</v>
      </c>
      <c r="X52" s="157">
        <f>+S52+IFERROR(VLOOKUP($A52,'B0 2264預收'!$1:$1048576,25,0),0)</f>
        <v>0</v>
      </c>
      <c r="Y52" s="157">
        <f t="shared" si="58"/>
        <v>0</v>
      </c>
      <c r="Z52" s="157">
        <f>+U52+IFERROR(+VLOOKUP($A52,'B0 2264預收'!$1:$1048576,26,0),0)</f>
        <v>0</v>
      </c>
      <c r="AA52" s="157">
        <f t="shared" si="59"/>
        <v>0</v>
      </c>
      <c r="AB52" s="158">
        <f>+W52+IFERROR(VLOOKUP($A52,'A0 BS 1240在建'!$1:$1048576,29,0),0)</f>
        <v>0</v>
      </c>
      <c r="AC52" s="158">
        <f>+X52+IFERROR(VLOOKUP($A52,'B0 2264預收'!$1:$1048576,29,0),0)</f>
        <v>0</v>
      </c>
      <c r="AD52" s="158">
        <f t="shared" si="60"/>
        <v>0</v>
      </c>
      <c r="AE52" s="158">
        <f>+Z52+IFERROR(+VLOOKUP($A52,'B0 2264預收'!$1:$1048576,30,0),0)</f>
        <v>0</v>
      </c>
      <c r="AF52" s="158">
        <f t="shared" si="61"/>
        <v>0</v>
      </c>
      <c r="AG52" s="157">
        <f>+AB52+IFERROR(VLOOKUP($A52,'A0 BS 1240在建'!$1:$1048576,33,0),0)</f>
        <v>0</v>
      </c>
      <c r="AH52" s="157">
        <f>+AC52+IFERROR(VLOOKUP($A52,'B0 2264預收'!$1:$1048576,33,0),0)</f>
        <v>0</v>
      </c>
      <c r="AI52" s="157">
        <f t="shared" si="62"/>
        <v>0</v>
      </c>
      <c r="AJ52" s="157">
        <f>+AE52+IFERROR(+VLOOKUP($A52,'B0 2264預收'!$1:$1048576,34,0),0)</f>
        <v>0</v>
      </c>
      <c r="AK52" s="157">
        <f t="shared" si="63"/>
        <v>0</v>
      </c>
      <c r="AL52" s="158">
        <f>+AG52+IFERROR(VLOOKUP($A52,'A0 BS 1240在建'!$1:$1048576,37,0),0)</f>
        <v>0</v>
      </c>
      <c r="AM52" s="158">
        <f>+AH52+IFERROR(VLOOKUP($A52,'B0 2264預收'!$1:$1048576,37,0),0)</f>
        <v>0</v>
      </c>
      <c r="AN52" s="158">
        <f t="shared" si="64"/>
        <v>0</v>
      </c>
      <c r="AO52" s="158">
        <f>+AJ52+IFERROR(+VLOOKUP($A52,'B0 2264預收'!$1:$1048576,38,0),0)</f>
        <v>0</v>
      </c>
      <c r="AP52" s="158">
        <f t="shared" si="65"/>
        <v>0</v>
      </c>
      <c r="AQ52" s="157">
        <f>+AL52+IFERROR(VLOOKUP($A52,'A0 BS 1240在建'!$1:$1048576,41,0),0)</f>
        <v>0</v>
      </c>
      <c r="AR52" s="157">
        <f>+AM52+IFERROR(VLOOKUP($A52,'B0 2264預收'!$1:$1048576,41,0),0)</f>
        <v>0</v>
      </c>
      <c r="AS52" s="157">
        <f t="shared" si="66"/>
        <v>0</v>
      </c>
      <c r="AT52" s="157">
        <f>+AO52+IFERROR(+VLOOKUP($A52,'B0 2264預收'!$1:$1048576,42,0),0)</f>
        <v>0</v>
      </c>
      <c r="AU52" s="157">
        <f t="shared" si="67"/>
        <v>0</v>
      </c>
      <c r="AV52" s="158">
        <f>+AQ52+IFERROR(VLOOKUP($A52,'A0 BS 1240在建'!$1:$1048576,45,0),0)</f>
        <v>0</v>
      </c>
      <c r="AW52" s="158">
        <f>+AR52+IFERROR(VLOOKUP($A52,'B0 2264預收'!$1:$1048576,45,0),0)</f>
        <v>0</v>
      </c>
      <c r="AX52" s="158">
        <f t="shared" si="68"/>
        <v>0</v>
      </c>
      <c r="AY52" s="158">
        <f>+AT52+IFERROR(+VLOOKUP($A52,'B0 2264預收'!$1:$1048576,46,0),0)</f>
        <v>0</v>
      </c>
      <c r="AZ52" s="158">
        <f t="shared" si="69"/>
        <v>0</v>
      </c>
      <c r="BA52" s="157">
        <f>+AV52+IFERROR(VLOOKUP($A52,'A0 BS 1240在建'!$1:$1048576,49,0),0)</f>
        <v>0</v>
      </c>
      <c r="BB52" s="157">
        <f>+AW52+IFERROR(VLOOKUP($A52,'B0 2264預收'!$1:$1048576,49,0),0)</f>
        <v>0</v>
      </c>
      <c r="BC52" s="157">
        <f t="shared" si="70"/>
        <v>0</v>
      </c>
      <c r="BD52" s="157">
        <f>+AY52+IFERROR(+VLOOKUP($A52,'B0 2264預收'!$1:$1048576,50,0),0)</f>
        <v>0</v>
      </c>
      <c r="BE52" s="157">
        <f t="shared" si="71"/>
        <v>0</v>
      </c>
      <c r="BF52" s="158">
        <f>+BA52+IFERROR(VLOOKUP($A52,'A0 BS 1240在建'!$1:$1048576,53,0),0)</f>
        <v>0</v>
      </c>
      <c r="BG52" s="158">
        <f>+BB52+IFERROR(VLOOKUP($A52,'B0 2264預收'!$1:$1048576,53,0),0)</f>
        <v>0</v>
      </c>
      <c r="BH52" s="158">
        <f t="shared" si="72"/>
        <v>0</v>
      </c>
      <c r="BI52" s="158">
        <f>+BD52+IFERROR(+VLOOKUP($A52,'B0 2264預收'!$1:$1048576,54,0),0)</f>
        <v>0</v>
      </c>
      <c r="BJ52" s="158">
        <f t="shared" si="73"/>
        <v>0</v>
      </c>
      <c r="BK52" s="157">
        <f>+BF52+IFERROR(VLOOKUP($A52,'A0 BS 1240在建'!$1:$1048576,57,0),0)</f>
        <v>0</v>
      </c>
      <c r="BL52" s="157">
        <f>+BG52+IFERROR(VLOOKUP($A52,'B0 2264預收'!$1:$1048576,57,0),0)</f>
        <v>0</v>
      </c>
      <c r="BM52" s="157">
        <f t="shared" si="74"/>
        <v>0</v>
      </c>
      <c r="BN52" s="157">
        <f>+BI52+IFERROR(+VLOOKUP($A52,'B0 2264預收'!$1:$1048576,58,0),0)</f>
        <v>0</v>
      </c>
      <c r="BO52" s="157">
        <f t="shared" si="75"/>
        <v>0</v>
      </c>
      <c r="BP52" s="158">
        <f>+BK52+IFERROR(VLOOKUP($A52,'A0 BS 1240在建'!$1:$1048576,61,0),0)</f>
        <v>0</v>
      </c>
      <c r="BQ52" s="158">
        <f>+BL52+IFERROR(VLOOKUP($A52,'B0 2264預收'!$1:$1048576,61,0),0)</f>
        <v>0</v>
      </c>
      <c r="BR52" s="159">
        <f t="shared" si="76"/>
        <v>0</v>
      </c>
      <c r="BS52" s="158">
        <f>+BN52+IFERROR(+VLOOKUP($A52,'B0 2264預收'!$1:$1048576,62,0),0)</f>
        <v>0</v>
      </c>
      <c r="BT52" s="158">
        <f t="shared" si="77"/>
        <v>0</v>
      </c>
      <c r="BU52" s="157">
        <f>+IFERROR(VLOOKUP($A52,'A0 BS 1240在建'!$1:$1048576,77,0),0)</f>
        <v>0</v>
      </c>
      <c r="BV52" s="157">
        <f>+IFERROR(VLOOKUP($A52,'B0 2264預收'!$1:$1048576,77,0),0)</f>
        <v>0</v>
      </c>
      <c r="BW52" s="157">
        <f t="shared" si="78"/>
        <v>0</v>
      </c>
      <c r="BX52" s="157">
        <f>+IFERROR(+VLOOKUP($A52,'B0 2264預收'!$1:$1048576,78,0),0)</f>
        <v>0</v>
      </c>
      <c r="BY52" s="157">
        <f t="shared" si="79"/>
        <v>0</v>
      </c>
      <c r="BZ52" s="158">
        <f>IFERROR(+VLOOKUP($A52,'A0 BS 1240在建'!$1:$1048576,85,0),0)</f>
        <v>0</v>
      </c>
      <c r="CA52" s="158">
        <f>IFERROR(+VLOOKUP($A52,'B0 2264預收'!$1:$1048576,85,0),0)</f>
        <v>0</v>
      </c>
      <c r="CB52" s="158">
        <f t="shared" si="80"/>
        <v>0</v>
      </c>
      <c r="CC52" s="158">
        <f>+IFERROR(+VLOOKUP($A52,'B0 2264預收'!$1:$1048576,86,0),0)</f>
        <v>0</v>
      </c>
      <c r="CD52" s="158">
        <f t="shared" si="81"/>
        <v>0</v>
      </c>
      <c r="CE52" s="157">
        <f>+IFERROR(VLOOKUP($A52,'A0 BS 1240在建'!$1:$1048576,93,0),0)</f>
        <v>0</v>
      </c>
      <c r="CF52" s="157">
        <f>+IFERROR(VLOOKUP($A52,'B0 2264預收'!$1:$1048576,93,0),0)</f>
        <v>0</v>
      </c>
      <c r="CG52" s="157">
        <f t="shared" si="82"/>
        <v>0</v>
      </c>
      <c r="CH52" s="157">
        <f>+IFERROR(+VLOOKUP($A52,'B0 2264預收'!$1:$1048576,94,0),0)</f>
        <v>0</v>
      </c>
      <c r="CI52" s="157">
        <f t="shared" si="83"/>
        <v>0</v>
      </c>
      <c r="CJ52" s="158">
        <f>IFERROR(+VLOOKUP($A52,'A0 BS 1240在建'!$1:$1048576,101,0),0)</f>
        <v>0</v>
      </c>
      <c r="CK52" s="158">
        <f>IFERROR(+VLOOKUP($A52,'B0 2264預收'!$1:$1048576,101,0),0)</f>
        <v>0</v>
      </c>
      <c r="CL52" s="158">
        <f t="shared" si="84"/>
        <v>0</v>
      </c>
      <c r="CM52" s="158">
        <f>+IFERROR(+VLOOKUP($A52,'B0 2264預收'!$1:$1048576,102,0),0)</f>
        <v>0</v>
      </c>
      <c r="CN52" s="158">
        <f t="shared" si="85"/>
        <v>0</v>
      </c>
      <c r="CP52" s="166"/>
      <c r="CU52" s="166"/>
      <c r="CY52" s="162" t="str">
        <f t="shared" si="86"/>
        <v/>
      </c>
      <c r="CZ52" s="98" t="str">
        <f t="shared" si="87"/>
        <v xml:space="preserve"> </v>
      </c>
      <c r="DA52" s="98" t="str">
        <f t="shared" si="88"/>
        <v xml:space="preserve"> </v>
      </c>
      <c r="DB52" s="98" t="str">
        <f t="shared" si="89"/>
        <v xml:space="preserve"> </v>
      </c>
      <c r="DC52" s="163">
        <f t="shared" si="90"/>
        <v>0</v>
      </c>
      <c r="DD52" s="162" t="str">
        <f t="shared" si="92"/>
        <v/>
      </c>
      <c r="DE52" s="98" t="str">
        <f t="shared" si="93"/>
        <v xml:space="preserve"> </v>
      </c>
      <c r="DF52" s="98" t="str">
        <f t="shared" si="94"/>
        <v xml:space="preserve"> </v>
      </c>
      <c r="DG52" s="98" t="str">
        <f t="shared" si="95"/>
        <v xml:space="preserve"> </v>
      </c>
      <c r="DH52" s="163">
        <f t="shared" si="91"/>
        <v>0</v>
      </c>
    </row>
    <row r="53" spans="1:112" ht="16.5" customHeight="1">
      <c r="A53" s="171" t="s">
        <v>403</v>
      </c>
      <c r="B53" s="172" t="s">
        <v>404</v>
      </c>
      <c r="C53" s="157">
        <f>IFERROR(VLOOKUP($A53,'A0 BS 1240在建'!$1:$1048576,5,0),0)</f>
        <v>0</v>
      </c>
      <c r="D53" s="157">
        <f>IFERROR(VLOOKUP($A53,'B0 2264預收'!$1:$1048576,5,0),0)</f>
        <v>0</v>
      </c>
      <c r="E53" s="157">
        <f t="shared" si="50"/>
        <v>0</v>
      </c>
      <c r="F53" s="157">
        <f>IFERROR(VLOOKUP($A53,'B0 2264預收'!$1:$1048576,6,0),0)</f>
        <v>0</v>
      </c>
      <c r="G53" s="157">
        <f t="shared" si="51"/>
        <v>0</v>
      </c>
      <c r="H53" s="158">
        <f>IFERROR(VLOOKUP($A53,'A0 BS 1240在建'!$1:$1048576,13,0),0)</f>
        <v>0</v>
      </c>
      <c r="I53" s="158">
        <f>IFERROR(VLOOKUP($A53,'B0 2264預收'!$1:$1048576,13,0),0)</f>
        <v>0</v>
      </c>
      <c r="J53" s="158">
        <f t="shared" si="52"/>
        <v>0</v>
      </c>
      <c r="K53" s="158">
        <f>IFERROR(VLOOKUP($A53,'B0 2264預收'!$1:$1048576,14,0),0)</f>
        <v>0</v>
      </c>
      <c r="L53" s="158">
        <f t="shared" si="53"/>
        <v>0</v>
      </c>
      <c r="M53" s="157">
        <f>H53+IFERROR(VLOOKUP($A53,'A0 BS 1240在建'!$1:$1048576,17,0),0)</f>
        <v>0</v>
      </c>
      <c r="N53" s="157">
        <f>I53+IFERROR(VLOOKUP($A53,'B0 2264預收'!$1:$1048576,17,0),0)</f>
        <v>0</v>
      </c>
      <c r="O53" s="157">
        <f t="shared" si="54"/>
        <v>0</v>
      </c>
      <c r="P53" s="157">
        <f>K53+IFERROR(+VLOOKUP($A53,'B0 2264預收'!$1:$1048576,18,0),0)</f>
        <v>0</v>
      </c>
      <c r="Q53" s="157">
        <f t="shared" si="55"/>
        <v>0</v>
      </c>
      <c r="R53" s="158">
        <f>M53+IFERROR(VLOOKUP($A53,'A0 BS 1240在建'!$1:$1048576,21,0),0)</f>
        <v>0</v>
      </c>
      <c r="S53" s="158">
        <f>+N53+IFERROR(VLOOKUP($A53,'B0 2264預收'!$1:$1048576,21,0),0)</f>
        <v>0</v>
      </c>
      <c r="T53" s="158">
        <f t="shared" si="56"/>
        <v>0</v>
      </c>
      <c r="U53" s="158">
        <f>+P53+IFERROR(+VLOOKUP($A53,'B0 2264預收'!$1:$1048576,22,0),0)</f>
        <v>0</v>
      </c>
      <c r="V53" s="158">
        <f t="shared" si="57"/>
        <v>0</v>
      </c>
      <c r="W53" s="157">
        <f>+R53+IFERROR(VLOOKUP($A53,'A0 BS 1240在建'!$1:$1048576,25,0),0)</f>
        <v>0</v>
      </c>
      <c r="X53" s="157">
        <f>+S53+IFERROR(VLOOKUP($A53,'B0 2264預收'!$1:$1048576,25,0),0)</f>
        <v>0</v>
      </c>
      <c r="Y53" s="157">
        <f t="shared" si="58"/>
        <v>0</v>
      </c>
      <c r="Z53" s="157">
        <f>+U53+IFERROR(+VLOOKUP($A53,'B0 2264預收'!$1:$1048576,26,0),0)</f>
        <v>0</v>
      </c>
      <c r="AA53" s="157">
        <f t="shared" si="59"/>
        <v>0</v>
      </c>
      <c r="AB53" s="158">
        <f>+W53+IFERROR(VLOOKUP($A53,'A0 BS 1240在建'!$1:$1048576,29,0),0)</f>
        <v>0</v>
      </c>
      <c r="AC53" s="158">
        <f>+X53+IFERROR(VLOOKUP($A53,'B0 2264預收'!$1:$1048576,29,0),0)</f>
        <v>0</v>
      </c>
      <c r="AD53" s="158">
        <f t="shared" si="60"/>
        <v>0</v>
      </c>
      <c r="AE53" s="158">
        <f>+Z53+IFERROR(+VLOOKUP($A53,'B0 2264預收'!$1:$1048576,30,0),0)</f>
        <v>0</v>
      </c>
      <c r="AF53" s="158">
        <f t="shared" si="61"/>
        <v>0</v>
      </c>
      <c r="AG53" s="157">
        <f>+AB53+IFERROR(VLOOKUP($A53,'A0 BS 1240在建'!$1:$1048576,33,0),0)</f>
        <v>0</v>
      </c>
      <c r="AH53" s="157">
        <f>+AC53+IFERROR(VLOOKUP($A53,'B0 2264預收'!$1:$1048576,33,0),0)</f>
        <v>0</v>
      </c>
      <c r="AI53" s="157">
        <f t="shared" si="62"/>
        <v>0</v>
      </c>
      <c r="AJ53" s="157">
        <f>+AE53+IFERROR(+VLOOKUP($A53,'B0 2264預收'!$1:$1048576,34,0),0)</f>
        <v>0</v>
      </c>
      <c r="AK53" s="157">
        <f t="shared" si="63"/>
        <v>0</v>
      </c>
      <c r="AL53" s="158">
        <f>+AG53+IFERROR(VLOOKUP($A53,'A0 BS 1240在建'!$1:$1048576,37,0),0)</f>
        <v>0</v>
      </c>
      <c r="AM53" s="158">
        <f>+AH53+IFERROR(VLOOKUP($A53,'B0 2264預收'!$1:$1048576,37,0),0)</f>
        <v>0</v>
      </c>
      <c r="AN53" s="158">
        <f t="shared" si="64"/>
        <v>0</v>
      </c>
      <c r="AO53" s="158">
        <f>+AJ53+IFERROR(+VLOOKUP($A53,'B0 2264預收'!$1:$1048576,38,0),0)</f>
        <v>0</v>
      </c>
      <c r="AP53" s="158">
        <f t="shared" si="65"/>
        <v>0</v>
      </c>
      <c r="AQ53" s="157">
        <f>+AL53+IFERROR(VLOOKUP($A53,'A0 BS 1240在建'!$1:$1048576,41,0),0)</f>
        <v>0</v>
      </c>
      <c r="AR53" s="157">
        <f>+AM53+IFERROR(VLOOKUP($A53,'B0 2264預收'!$1:$1048576,41,0),0)</f>
        <v>0</v>
      </c>
      <c r="AS53" s="157">
        <f t="shared" si="66"/>
        <v>0</v>
      </c>
      <c r="AT53" s="157">
        <f>+AO53+IFERROR(+VLOOKUP($A53,'B0 2264預收'!$1:$1048576,42,0),0)</f>
        <v>0</v>
      </c>
      <c r="AU53" s="157">
        <f t="shared" si="67"/>
        <v>0</v>
      </c>
      <c r="AV53" s="158">
        <f>+AQ53+IFERROR(VLOOKUP($A53,'A0 BS 1240在建'!$1:$1048576,45,0),0)</f>
        <v>0</v>
      </c>
      <c r="AW53" s="158">
        <f>+AR53+IFERROR(VLOOKUP($A53,'B0 2264預收'!$1:$1048576,45,0),0)</f>
        <v>0</v>
      </c>
      <c r="AX53" s="158">
        <f t="shared" si="68"/>
        <v>0</v>
      </c>
      <c r="AY53" s="158">
        <f>+AT53+IFERROR(+VLOOKUP($A53,'B0 2264預收'!$1:$1048576,46,0),0)</f>
        <v>0</v>
      </c>
      <c r="AZ53" s="158">
        <f t="shared" si="69"/>
        <v>0</v>
      </c>
      <c r="BA53" s="157">
        <f>+AV53+IFERROR(VLOOKUP($A53,'A0 BS 1240在建'!$1:$1048576,49,0),0)</f>
        <v>0</v>
      </c>
      <c r="BB53" s="157">
        <f>+AW53+IFERROR(VLOOKUP($A53,'B0 2264預收'!$1:$1048576,49,0),0)</f>
        <v>0</v>
      </c>
      <c r="BC53" s="157">
        <f t="shared" si="70"/>
        <v>0</v>
      </c>
      <c r="BD53" s="157">
        <f>+AY53+IFERROR(+VLOOKUP($A53,'B0 2264預收'!$1:$1048576,50,0),0)</f>
        <v>0</v>
      </c>
      <c r="BE53" s="157">
        <f t="shared" si="71"/>
        <v>0</v>
      </c>
      <c r="BF53" s="158">
        <f>+BA53+IFERROR(VLOOKUP($A53,'A0 BS 1240在建'!$1:$1048576,53,0),0)</f>
        <v>0</v>
      </c>
      <c r="BG53" s="158">
        <f>+BB53+IFERROR(VLOOKUP($A53,'B0 2264預收'!$1:$1048576,53,0),0)</f>
        <v>0</v>
      </c>
      <c r="BH53" s="158">
        <f t="shared" si="72"/>
        <v>0</v>
      </c>
      <c r="BI53" s="158">
        <f>+BD53+IFERROR(+VLOOKUP($A53,'B0 2264預收'!$1:$1048576,54,0),0)</f>
        <v>0</v>
      </c>
      <c r="BJ53" s="158">
        <f t="shared" si="73"/>
        <v>0</v>
      </c>
      <c r="BK53" s="157">
        <f>+BF53+IFERROR(VLOOKUP($A53,'A0 BS 1240在建'!$1:$1048576,57,0),0)</f>
        <v>0</v>
      </c>
      <c r="BL53" s="157">
        <f>+BG53+IFERROR(VLOOKUP($A53,'B0 2264預收'!$1:$1048576,57,0),0)</f>
        <v>0</v>
      </c>
      <c r="BM53" s="157">
        <f t="shared" si="74"/>
        <v>0</v>
      </c>
      <c r="BN53" s="157">
        <f>+BI53+IFERROR(+VLOOKUP($A53,'B0 2264預收'!$1:$1048576,58,0),0)</f>
        <v>0</v>
      </c>
      <c r="BO53" s="157">
        <f t="shared" si="75"/>
        <v>0</v>
      </c>
      <c r="BP53" s="158">
        <f>+BK53+IFERROR(VLOOKUP($A53,'A0 BS 1240在建'!$1:$1048576,61,0),0)</f>
        <v>0</v>
      </c>
      <c r="BQ53" s="158">
        <f>+BL53+IFERROR(VLOOKUP($A53,'B0 2264預收'!$1:$1048576,61,0),0)</f>
        <v>0</v>
      </c>
      <c r="BR53" s="159">
        <f t="shared" si="76"/>
        <v>0</v>
      </c>
      <c r="BS53" s="158">
        <f>+BN53+IFERROR(+VLOOKUP($A53,'B0 2264預收'!$1:$1048576,62,0),0)</f>
        <v>0</v>
      </c>
      <c r="BT53" s="158">
        <f t="shared" si="77"/>
        <v>0</v>
      </c>
      <c r="BU53" s="157">
        <f>+IFERROR(VLOOKUP($A53,'A0 BS 1240在建'!$1:$1048576,77,0),0)</f>
        <v>0</v>
      </c>
      <c r="BV53" s="157">
        <f>+IFERROR(VLOOKUP($A53,'B0 2264預收'!$1:$1048576,77,0),0)</f>
        <v>0</v>
      </c>
      <c r="BW53" s="157">
        <f t="shared" si="78"/>
        <v>0</v>
      </c>
      <c r="BX53" s="157">
        <f>+IFERROR(+VLOOKUP($A53,'B0 2264預收'!$1:$1048576,78,0),0)</f>
        <v>0</v>
      </c>
      <c r="BY53" s="157">
        <f t="shared" si="79"/>
        <v>0</v>
      </c>
      <c r="BZ53" s="158">
        <f>IFERROR(+VLOOKUP($A53,'A0 BS 1240在建'!$1:$1048576,85,0),0)</f>
        <v>0</v>
      </c>
      <c r="CA53" s="158">
        <f>IFERROR(+VLOOKUP($A53,'B0 2264預收'!$1:$1048576,85,0),0)</f>
        <v>0</v>
      </c>
      <c r="CB53" s="158">
        <f t="shared" si="80"/>
        <v>0</v>
      </c>
      <c r="CC53" s="158">
        <f>+IFERROR(+VLOOKUP($A53,'B0 2264預收'!$1:$1048576,86,0),0)</f>
        <v>0</v>
      </c>
      <c r="CD53" s="158">
        <f t="shared" si="81"/>
        <v>0</v>
      </c>
      <c r="CE53" s="157">
        <f>+IFERROR(VLOOKUP($A53,'A0 BS 1240在建'!$1:$1048576,93,0),0)</f>
        <v>0</v>
      </c>
      <c r="CF53" s="157">
        <f>+IFERROR(VLOOKUP($A53,'B0 2264預收'!$1:$1048576,93,0),0)</f>
        <v>0</v>
      </c>
      <c r="CG53" s="157">
        <f t="shared" si="82"/>
        <v>0</v>
      </c>
      <c r="CH53" s="157">
        <f>+IFERROR(+VLOOKUP($A53,'B0 2264預收'!$1:$1048576,94,0),0)</f>
        <v>0</v>
      </c>
      <c r="CI53" s="157">
        <f t="shared" si="83"/>
        <v>0</v>
      </c>
      <c r="CJ53" s="158">
        <f>IFERROR(+VLOOKUP($A53,'A0 BS 1240在建'!$1:$1048576,101,0),0)</f>
        <v>0</v>
      </c>
      <c r="CK53" s="158">
        <f>IFERROR(+VLOOKUP($A53,'B0 2264預收'!$1:$1048576,101,0),0)</f>
        <v>0</v>
      </c>
      <c r="CL53" s="158">
        <f t="shared" si="84"/>
        <v>0</v>
      </c>
      <c r="CM53" s="158">
        <f>+IFERROR(+VLOOKUP($A53,'B0 2264預收'!$1:$1048576,102,0),0)</f>
        <v>0</v>
      </c>
      <c r="CN53" s="158">
        <f t="shared" si="85"/>
        <v>0</v>
      </c>
      <c r="CP53" s="166">
        <f t="shared" ref="CP53:CP77" si="99">+J53-E53</f>
        <v>0</v>
      </c>
      <c r="CQ53" s="98">
        <f>+CP53</f>
        <v>0</v>
      </c>
      <c r="CU53" s="160">
        <f t="shared" ref="CU53:CU77" si="100">+BR53-J53</f>
        <v>0</v>
      </c>
      <c r="CV53" s="118">
        <f>-J53</f>
        <v>0</v>
      </c>
      <c r="CW53" s="98">
        <f>+BR53</f>
        <v>0</v>
      </c>
      <c r="CY53" s="162" t="str">
        <f t="shared" si="86"/>
        <v/>
      </c>
      <c r="CZ53" s="98" t="str">
        <f t="shared" si="87"/>
        <v xml:space="preserve"> </v>
      </c>
      <c r="DA53" s="98" t="str">
        <f t="shared" si="88"/>
        <v xml:space="preserve"> </v>
      </c>
      <c r="DB53" s="98" t="str">
        <f t="shared" si="89"/>
        <v xml:space="preserve"> </v>
      </c>
      <c r="DC53" s="163">
        <f t="shared" si="90"/>
        <v>0</v>
      </c>
      <c r="DD53" s="162" t="str">
        <f t="shared" si="92"/>
        <v/>
      </c>
      <c r="DE53" s="98" t="str">
        <f t="shared" si="93"/>
        <v xml:space="preserve"> </v>
      </c>
      <c r="DF53" s="98" t="str">
        <f t="shared" si="94"/>
        <v xml:space="preserve"> </v>
      </c>
      <c r="DG53" s="98" t="str">
        <f t="shared" si="95"/>
        <v xml:space="preserve"> </v>
      </c>
      <c r="DH53" s="163">
        <f t="shared" si="91"/>
        <v>0</v>
      </c>
    </row>
    <row r="54" spans="1:112" s="174" customFormat="1">
      <c r="A54" s="171" t="s">
        <v>405</v>
      </c>
      <c r="B54" s="172" t="s">
        <v>406</v>
      </c>
      <c r="C54" s="157">
        <f>IFERROR(VLOOKUP($A54,'A0 BS 1240在建'!$1:$1048576,5,0),0)</f>
        <v>0</v>
      </c>
      <c r="D54" s="157">
        <f>IFERROR(VLOOKUP($A54,'B0 2264預收'!$1:$1048576,5,0),0)</f>
        <v>0</v>
      </c>
      <c r="E54" s="157">
        <f t="shared" si="50"/>
        <v>0</v>
      </c>
      <c r="F54" s="157">
        <f>IFERROR(VLOOKUP($A54,'B0 2264預收'!$1:$1048576,6,0),0)</f>
        <v>0</v>
      </c>
      <c r="G54" s="157">
        <f t="shared" si="51"/>
        <v>0</v>
      </c>
      <c r="H54" s="158">
        <f>IFERROR(VLOOKUP($A54,'A0 BS 1240在建'!$1:$1048576,13,0),0)</f>
        <v>0</v>
      </c>
      <c r="I54" s="158">
        <f>IFERROR(VLOOKUP($A54,'B0 2264預收'!$1:$1048576,13,0),0)</f>
        <v>0</v>
      </c>
      <c r="J54" s="158">
        <f t="shared" si="52"/>
        <v>0</v>
      </c>
      <c r="K54" s="158">
        <f>IFERROR(VLOOKUP($A54,'B0 2264預收'!$1:$1048576,14,0),0)</f>
        <v>0</v>
      </c>
      <c r="L54" s="158">
        <f t="shared" si="53"/>
        <v>0</v>
      </c>
      <c r="M54" s="157">
        <f>H54+IFERROR(VLOOKUP($A54,'A0 BS 1240在建'!$1:$1048576,17,0),0)</f>
        <v>0</v>
      </c>
      <c r="N54" s="157">
        <f>I54+IFERROR(VLOOKUP($A54,'B0 2264預收'!$1:$1048576,17,0),0)</f>
        <v>0</v>
      </c>
      <c r="O54" s="157">
        <f t="shared" si="54"/>
        <v>0</v>
      </c>
      <c r="P54" s="157">
        <f>K54+IFERROR(+VLOOKUP($A54,'B0 2264預收'!$1:$1048576,18,0),0)</f>
        <v>0</v>
      </c>
      <c r="Q54" s="157">
        <f t="shared" si="55"/>
        <v>0</v>
      </c>
      <c r="R54" s="158">
        <f>M54+IFERROR(VLOOKUP($A54,'A0 BS 1240在建'!$1:$1048576,21,0),0)</f>
        <v>0</v>
      </c>
      <c r="S54" s="158">
        <f>+N54+IFERROR(VLOOKUP($A54,'B0 2264預收'!$1:$1048576,21,0),0)</f>
        <v>0</v>
      </c>
      <c r="T54" s="158">
        <f t="shared" si="56"/>
        <v>0</v>
      </c>
      <c r="U54" s="158">
        <f>+P54+IFERROR(+VLOOKUP($A54,'B0 2264預收'!$1:$1048576,22,0),0)</f>
        <v>0</v>
      </c>
      <c r="V54" s="158">
        <f t="shared" si="57"/>
        <v>0</v>
      </c>
      <c r="W54" s="157">
        <f>+R54+IFERROR(VLOOKUP($A54,'A0 BS 1240在建'!$1:$1048576,25,0),0)</f>
        <v>0</v>
      </c>
      <c r="X54" s="157">
        <f>+S54+IFERROR(VLOOKUP($A54,'B0 2264預收'!$1:$1048576,25,0),0)</f>
        <v>0</v>
      </c>
      <c r="Y54" s="157">
        <f t="shared" si="58"/>
        <v>0</v>
      </c>
      <c r="Z54" s="157">
        <f>+U54+IFERROR(+VLOOKUP($A54,'B0 2264預收'!$1:$1048576,26,0),0)</f>
        <v>0</v>
      </c>
      <c r="AA54" s="157">
        <f t="shared" si="59"/>
        <v>0</v>
      </c>
      <c r="AB54" s="158">
        <f>+W54+IFERROR(VLOOKUP($A54,'A0 BS 1240在建'!$1:$1048576,29,0),0)</f>
        <v>0</v>
      </c>
      <c r="AC54" s="158">
        <f>+X54+IFERROR(VLOOKUP($A54,'B0 2264預收'!$1:$1048576,29,0),0)</f>
        <v>0</v>
      </c>
      <c r="AD54" s="158">
        <f t="shared" si="60"/>
        <v>0</v>
      </c>
      <c r="AE54" s="158">
        <f>+Z54+IFERROR(+VLOOKUP($A54,'B0 2264預收'!$1:$1048576,30,0),0)</f>
        <v>0</v>
      </c>
      <c r="AF54" s="158">
        <f t="shared" si="61"/>
        <v>0</v>
      </c>
      <c r="AG54" s="157">
        <f>+AB54+IFERROR(VLOOKUP($A54,'A0 BS 1240在建'!$1:$1048576,33,0),0)</f>
        <v>0</v>
      </c>
      <c r="AH54" s="157">
        <f>+AC54+IFERROR(VLOOKUP($A54,'B0 2264預收'!$1:$1048576,33,0),0)</f>
        <v>0</v>
      </c>
      <c r="AI54" s="157">
        <f t="shared" si="62"/>
        <v>0</v>
      </c>
      <c r="AJ54" s="157">
        <f>+AE54+IFERROR(+VLOOKUP($A54,'B0 2264預收'!$1:$1048576,34,0),0)</f>
        <v>0</v>
      </c>
      <c r="AK54" s="157">
        <f t="shared" si="63"/>
        <v>0</v>
      </c>
      <c r="AL54" s="158">
        <f>+AG54+IFERROR(VLOOKUP($A54,'A0 BS 1240在建'!$1:$1048576,37,0),0)</f>
        <v>0</v>
      </c>
      <c r="AM54" s="158">
        <f>+AH54+IFERROR(VLOOKUP($A54,'B0 2264預收'!$1:$1048576,37,0),0)</f>
        <v>0</v>
      </c>
      <c r="AN54" s="158">
        <f t="shared" si="64"/>
        <v>0</v>
      </c>
      <c r="AO54" s="158">
        <f>+AJ54+IFERROR(+VLOOKUP($A54,'B0 2264預收'!$1:$1048576,38,0),0)</f>
        <v>0</v>
      </c>
      <c r="AP54" s="158">
        <f t="shared" si="65"/>
        <v>0</v>
      </c>
      <c r="AQ54" s="157">
        <f>+AL54+IFERROR(VLOOKUP($A54,'A0 BS 1240在建'!$1:$1048576,41,0),0)</f>
        <v>0</v>
      </c>
      <c r="AR54" s="157">
        <f>+AM54+IFERROR(VLOOKUP($A54,'B0 2264預收'!$1:$1048576,41,0),0)</f>
        <v>0</v>
      </c>
      <c r="AS54" s="157">
        <f t="shared" si="66"/>
        <v>0</v>
      </c>
      <c r="AT54" s="157">
        <f>+AO54+IFERROR(+VLOOKUP($A54,'B0 2264預收'!$1:$1048576,42,0),0)</f>
        <v>0</v>
      </c>
      <c r="AU54" s="157">
        <f t="shared" si="67"/>
        <v>0</v>
      </c>
      <c r="AV54" s="158">
        <f>+AQ54+IFERROR(VLOOKUP($A54,'A0 BS 1240在建'!$1:$1048576,45,0),0)</f>
        <v>0</v>
      </c>
      <c r="AW54" s="158">
        <f>+AR54+IFERROR(VLOOKUP($A54,'B0 2264預收'!$1:$1048576,45,0),0)</f>
        <v>0</v>
      </c>
      <c r="AX54" s="158">
        <f t="shared" si="68"/>
        <v>0</v>
      </c>
      <c r="AY54" s="158">
        <f>+AT54+IFERROR(+VLOOKUP($A54,'B0 2264預收'!$1:$1048576,46,0),0)</f>
        <v>0</v>
      </c>
      <c r="AZ54" s="158">
        <f t="shared" si="69"/>
        <v>0</v>
      </c>
      <c r="BA54" s="157">
        <f>+AV54+IFERROR(VLOOKUP($A54,'A0 BS 1240在建'!$1:$1048576,49,0),0)</f>
        <v>0</v>
      </c>
      <c r="BB54" s="157">
        <f>+AW54+IFERROR(VLOOKUP($A54,'B0 2264預收'!$1:$1048576,49,0),0)</f>
        <v>0</v>
      </c>
      <c r="BC54" s="157">
        <f t="shared" si="70"/>
        <v>0</v>
      </c>
      <c r="BD54" s="157">
        <f>+AY54+IFERROR(+VLOOKUP($A54,'B0 2264預收'!$1:$1048576,50,0),0)</f>
        <v>0</v>
      </c>
      <c r="BE54" s="157">
        <f t="shared" si="71"/>
        <v>0</v>
      </c>
      <c r="BF54" s="158">
        <f>+BA54+IFERROR(VLOOKUP($A54,'A0 BS 1240在建'!$1:$1048576,53,0),0)</f>
        <v>0</v>
      </c>
      <c r="BG54" s="158">
        <f>+BB54+IFERROR(VLOOKUP($A54,'B0 2264預收'!$1:$1048576,53,0),0)</f>
        <v>0</v>
      </c>
      <c r="BH54" s="158">
        <f t="shared" si="72"/>
        <v>0</v>
      </c>
      <c r="BI54" s="158">
        <f>+BD54+IFERROR(+VLOOKUP($A54,'B0 2264預收'!$1:$1048576,54,0),0)</f>
        <v>0</v>
      </c>
      <c r="BJ54" s="158">
        <f t="shared" si="73"/>
        <v>0</v>
      </c>
      <c r="BK54" s="157">
        <f>+BF54+IFERROR(VLOOKUP($A54,'A0 BS 1240在建'!$1:$1048576,57,0),0)</f>
        <v>0</v>
      </c>
      <c r="BL54" s="157">
        <f>+BG54+IFERROR(VLOOKUP($A54,'B0 2264預收'!$1:$1048576,57,0),0)</f>
        <v>0</v>
      </c>
      <c r="BM54" s="157">
        <f t="shared" si="74"/>
        <v>0</v>
      </c>
      <c r="BN54" s="157">
        <f>+BI54+IFERROR(+VLOOKUP($A54,'B0 2264預收'!$1:$1048576,58,0),0)</f>
        <v>0</v>
      </c>
      <c r="BO54" s="157">
        <f t="shared" si="75"/>
        <v>0</v>
      </c>
      <c r="BP54" s="158">
        <f>+BK54+IFERROR(VLOOKUP($A54,'A0 BS 1240在建'!$1:$1048576,61,0),0)</f>
        <v>0</v>
      </c>
      <c r="BQ54" s="158">
        <f>+BL54+IFERROR(VLOOKUP($A54,'B0 2264預收'!$1:$1048576,61,0),0)</f>
        <v>0</v>
      </c>
      <c r="BR54" s="159">
        <f t="shared" si="76"/>
        <v>0</v>
      </c>
      <c r="BS54" s="158">
        <f>+BN54+IFERROR(+VLOOKUP($A54,'B0 2264預收'!$1:$1048576,62,0),0)</f>
        <v>0</v>
      </c>
      <c r="BT54" s="158">
        <f t="shared" si="77"/>
        <v>0</v>
      </c>
      <c r="BU54" s="157">
        <f>+IFERROR(VLOOKUP($A54,'A0 BS 1240在建'!$1:$1048576,77,0),0)</f>
        <v>0</v>
      </c>
      <c r="BV54" s="157">
        <f>+IFERROR(VLOOKUP($A54,'B0 2264預收'!$1:$1048576,77,0),0)</f>
        <v>0</v>
      </c>
      <c r="BW54" s="157">
        <f t="shared" si="78"/>
        <v>0</v>
      </c>
      <c r="BX54" s="157">
        <f>+IFERROR(+VLOOKUP($A54,'B0 2264預收'!$1:$1048576,78,0),0)</f>
        <v>0</v>
      </c>
      <c r="BY54" s="157">
        <f t="shared" si="79"/>
        <v>0</v>
      </c>
      <c r="BZ54" s="158">
        <f>IFERROR(+VLOOKUP($A54,'A0 BS 1240在建'!$1:$1048576,85,0),0)</f>
        <v>0</v>
      </c>
      <c r="CA54" s="158">
        <f>IFERROR(+VLOOKUP($A54,'B0 2264預收'!$1:$1048576,85,0),0)</f>
        <v>0</v>
      </c>
      <c r="CB54" s="158">
        <f t="shared" si="80"/>
        <v>0</v>
      </c>
      <c r="CC54" s="158">
        <f>+IFERROR(+VLOOKUP($A54,'B0 2264預收'!$1:$1048576,86,0),0)</f>
        <v>0</v>
      </c>
      <c r="CD54" s="158">
        <f t="shared" si="81"/>
        <v>0</v>
      </c>
      <c r="CE54" s="157">
        <f>+IFERROR(VLOOKUP($A54,'A0 BS 1240在建'!$1:$1048576,93,0),0)</f>
        <v>0</v>
      </c>
      <c r="CF54" s="157">
        <f>+IFERROR(VLOOKUP($A54,'B0 2264預收'!$1:$1048576,93,0),0)</f>
        <v>0</v>
      </c>
      <c r="CG54" s="157">
        <f t="shared" si="82"/>
        <v>0</v>
      </c>
      <c r="CH54" s="157">
        <f>+IFERROR(+VLOOKUP($A54,'B0 2264預收'!$1:$1048576,94,0),0)</f>
        <v>0</v>
      </c>
      <c r="CI54" s="157">
        <f t="shared" si="83"/>
        <v>0</v>
      </c>
      <c r="CJ54" s="158">
        <f>IFERROR(+VLOOKUP($A54,'A0 BS 1240在建'!$1:$1048576,101,0),0)</f>
        <v>0</v>
      </c>
      <c r="CK54" s="158">
        <f>IFERROR(+VLOOKUP($A54,'B0 2264預收'!$1:$1048576,101,0),0)</f>
        <v>0</v>
      </c>
      <c r="CL54" s="158">
        <f t="shared" si="84"/>
        <v>0</v>
      </c>
      <c r="CM54" s="158">
        <f>+IFERROR(+VLOOKUP($A54,'B0 2264預收'!$1:$1048576,102,0),0)</f>
        <v>0</v>
      </c>
      <c r="CN54" s="158">
        <f t="shared" si="85"/>
        <v>0</v>
      </c>
      <c r="CP54" s="165">
        <f t="shared" si="99"/>
        <v>0</v>
      </c>
      <c r="CR54" s="98">
        <f t="shared" ref="CR54:CR62" si="101">+CP54</f>
        <v>0</v>
      </c>
      <c r="CT54" s="98"/>
      <c r="CU54" s="165">
        <f t="shared" si="100"/>
        <v>0</v>
      </c>
      <c r="CW54" s="98">
        <f>+CU54</f>
        <v>0</v>
      </c>
      <c r="CY54" s="162" t="str">
        <f t="shared" si="86"/>
        <v/>
      </c>
      <c r="CZ54" s="98" t="str">
        <f t="shared" si="87"/>
        <v xml:space="preserve"> </v>
      </c>
      <c r="DA54" s="98" t="str">
        <f t="shared" si="88"/>
        <v xml:space="preserve"> </v>
      </c>
      <c r="DB54" s="98" t="str">
        <f t="shared" si="89"/>
        <v xml:space="preserve"> </v>
      </c>
      <c r="DC54" s="163">
        <f t="shared" si="90"/>
        <v>0</v>
      </c>
      <c r="DD54" s="162" t="str">
        <f t="shared" si="92"/>
        <v/>
      </c>
      <c r="DE54" s="98" t="str">
        <f t="shared" si="93"/>
        <v xml:space="preserve"> </v>
      </c>
      <c r="DF54" s="98" t="str">
        <f t="shared" si="94"/>
        <v xml:space="preserve"> </v>
      </c>
      <c r="DG54" s="98" t="str">
        <f t="shared" si="95"/>
        <v xml:space="preserve"> </v>
      </c>
      <c r="DH54" s="163">
        <f t="shared" si="91"/>
        <v>0</v>
      </c>
    </row>
    <row r="55" spans="1:112" s="97" customFormat="1" hidden="1">
      <c r="A55" s="171"/>
      <c r="B55" s="172"/>
      <c r="C55" s="175">
        <f>IFERROR(VLOOKUP($A55,'A0 BS 1240在建'!$1:$1048576,5,0),0)</f>
        <v>0</v>
      </c>
      <c r="D55" s="175">
        <f>IFERROR(VLOOKUP($A55,'B0 2264預收'!$1:$1048576,5,0),0)</f>
        <v>0</v>
      </c>
      <c r="E55" s="175">
        <f t="shared" si="50"/>
        <v>0</v>
      </c>
      <c r="F55" s="175">
        <f>IFERROR(VLOOKUP($A55,'B0 2264預收'!$1:$1048576,6,0),0)</f>
        <v>0</v>
      </c>
      <c r="G55" s="175">
        <f t="shared" si="51"/>
        <v>0</v>
      </c>
      <c r="H55" s="171">
        <f>IFERROR(VLOOKUP($A55,'A0 BS 1240在建'!$1:$1048576,13,0),0)</f>
        <v>0</v>
      </c>
      <c r="I55" s="171">
        <f>IFERROR(VLOOKUP($A55,'B0 2264預收'!$1:$1048576,13,0),0)</f>
        <v>0</v>
      </c>
      <c r="J55" s="171">
        <f t="shared" si="52"/>
        <v>0</v>
      </c>
      <c r="K55" s="171">
        <f>IFERROR(VLOOKUP($A55,'B0 2264預收'!$1:$1048576,14,0),0)</f>
        <v>0</v>
      </c>
      <c r="L55" s="171">
        <f t="shared" si="53"/>
        <v>0</v>
      </c>
      <c r="M55" s="175">
        <f>H55+IFERROR(VLOOKUP($A55,'A0 BS 1240在建'!$1:$1048576,17,0),0)</f>
        <v>0</v>
      </c>
      <c r="N55" s="175">
        <f>I55+IFERROR(VLOOKUP($A55,'B0 2264預收'!$1:$1048576,17,0),0)</f>
        <v>0</v>
      </c>
      <c r="O55" s="175">
        <f t="shared" si="54"/>
        <v>0</v>
      </c>
      <c r="P55" s="175">
        <f>K55+IFERROR(+VLOOKUP($A55,'B0 2264預收'!$1:$1048576,18,0),0)</f>
        <v>0</v>
      </c>
      <c r="Q55" s="175">
        <f t="shared" si="55"/>
        <v>0</v>
      </c>
      <c r="R55" s="171">
        <f>M55+IFERROR(VLOOKUP($A55,'A0 BS 1240在建'!$1:$1048576,21,0),0)</f>
        <v>0</v>
      </c>
      <c r="S55" s="171">
        <f>+N55+IFERROR(VLOOKUP($A55,'B0 2264預收'!$1:$1048576,21,0),0)</f>
        <v>0</v>
      </c>
      <c r="T55" s="171">
        <f t="shared" si="56"/>
        <v>0</v>
      </c>
      <c r="U55" s="171">
        <f>+P55+IFERROR(+VLOOKUP($A55,'B0 2264預收'!$1:$1048576,22,0),0)</f>
        <v>0</v>
      </c>
      <c r="V55" s="171">
        <f t="shared" si="57"/>
        <v>0</v>
      </c>
      <c r="W55" s="175">
        <f>+R55+IFERROR(VLOOKUP($A55,'A0 BS 1240在建'!$1:$1048576,25,0),0)</f>
        <v>0</v>
      </c>
      <c r="X55" s="175">
        <f>+S55+IFERROR(VLOOKUP($A55,'B0 2264預收'!$1:$1048576,25,0),0)</f>
        <v>0</v>
      </c>
      <c r="Y55" s="175">
        <f t="shared" si="58"/>
        <v>0</v>
      </c>
      <c r="Z55" s="175">
        <f>+U55+IFERROR(+VLOOKUP($A55,'B0 2264預收'!$1:$1048576,26,0),0)</f>
        <v>0</v>
      </c>
      <c r="AA55" s="175">
        <f t="shared" si="59"/>
        <v>0</v>
      </c>
      <c r="AB55" s="171">
        <f>+W55+IFERROR(VLOOKUP($A55,'A0 BS 1240在建'!$1:$1048576,29,0),0)</f>
        <v>0</v>
      </c>
      <c r="AC55" s="171">
        <f>+X55+IFERROR(VLOOKUP($A55,'B0 2264預收'!$1:$1048576,29,0),0)</f>
        <v>0</v>
      </c>
      <c r="AD55" s="171">
        <f t="shared" si="60"/>
        <v>0</v>
      </c>
      <c r="AE55" s="171">
        <f>+Z55+IFERROR(+VLOOKUP($A55,'B0 2264預收'!$1:$1048576,30,0),0)</f>
        <v>0</v>
      </c>
      <c r="AF55" s="171">
        <f t="shared" si="61"/>
        <v>0</v>
      </c>
      <c r="AG55" s="175">
        <f>+AB55+IFERROR(VLOOKUP($A55,'A0 BS 1240在建'!$1:$1048576,33,0),0)</f>
        <v>0</v>
      </c>
      <c r="AH55" s="175">
        <f>+AC55+IFERROR(VLOOKUP($A55,'B0 2264預收'!$1:$1048576,33,0),0)</f>
        <v>0</v>
      </c>
      <c r="AI55" s="175">
        <f t="shared" si="62"/>
        <v>0</v>
      </c>
      <c r="AJ55" s="175">
        <f>+AE55+IFERROR(+VLOOKUP($A55,'B0 2264預收'!$1:$1048576,34,0),0)</f>
        <v>0</v>
      </c>
      <c r="AK55" s="175">
        <f t="shared" si="63"/>
        <v>0</v>
      </c>
      <c r="AL55" s="171">
        <f>+AG55+IFERROR(VLOOKUP($A55,'A0 BS 1240在建'!$1:$1048576,37,0),0)</f>
        <v>0</v>
      </c>
      <c r="AM55" s="171">
        <f>+AH55+IFERROR(VLOOKUP($A55,'B0 2264預收'!$1:$1048576,37,0),0)</f>
        <v>0</v>
      </c>
      <c r="AN55" s="171">
        <f t="shared" si="64"/>
        <v>0</v>
      </c>
      <c r="AO55" s="171">
        <f>+AJ55+IFERROR(+VLOOKUP($A55,'B0 2264預收'!$1:$1048576,38,0),0)</f>
        <v>0</v>
      </c>
      <c r="AP55" s="171">
        <f t="shared" si="65"/>
        <v>0</v>
      </c>
      <c r="AQ55" s="175">
        <f>+AL55+IFERROR(VLOOKUP($A55,'A0 BS 1240在建'!$1:$1048576,41,0),0)</f>
        <v>0</v>
      </c>
      <c r="AR55" s="175">
        <f>+AM55+IFERROR(VLOOKUP($A55,'B0 2264預收'!$1:$1048576,41,0),0)</f>
        <v>0</v>
      </c>
      <c r="AS55" s="175">
        <f t="shared" si="66"/>
        <v>0</v>
      </c>
      <c r="AT55" s="175">
        <f>+AO55+IFERROR(+VLOOKUP($A55,'B0 2264預收'!$1:$1048576,42,0),0)</f>
        <v>0</v>
      </c>
      <c r="AU55" s="175">
        <f t="shared" si="67"/>
        <v>0</v>
      </c>
      <c r="AV55" s="171">
        <f>+AQ55+IFERROR(VLOOKUP($A55,'A0 BS 1240在建'!$1:$1048576,45,0),0)</f>
        <v>0</v>
      </c>
      <c r="AW55" s="171">
        <f>+AR55+IFERROR(VLOOKUP($A55,'B0 2264預收'!$1:$1048576,45,0),0)</f>
        <v>0</v>
      </c>
      <c r="AX55" s="171">
        <f t="shared" si="68"/>
        <v>0</v>
      </c>
      <c r="AY55" s="171">
        <f>+AT55+IFERROR(+VLOOKUP($A55,'B0 2264預收'!$1:$1048576,46,0),0)</f>
        <v>0</v>
      </c>
      <c r="AZ55" s="171">
        <f t="shared" si="69"/>
        <v>0</v>
      </c>
      <c r="BA55" s="175">
        <f>+AV55+IFERROR(VLOOKUP($A55,'A0 BS 1240在建'!$1:$1048576,49,0),0)</f>
        <v>0</v>
      </c>
      <c r="BB55" s="175">
        <f>+AW55+IFERROR(VLOOKUP($A55,'B0 2264預收'!$1:$1048576,49,0),0)</f>
        <v>0</v>
      </c>
      <c r="BC55" s="175">
        <f t="shared" si="70"/>
        <v>0</v>
      </c>
      <c r="BD55" s="175">
        <f>+AY55+IFERROR(+VLOOKUP($A55,'B0 2264預收'!$1:$1048576,50,0),0)</f>
        <v>0</v>
      </c>
      <c r="BE55" s="175">
        <f t="shared" si="71"/>
        <v>0</v>
      </c>
      <c r="BF55" s="171">
        <f>+BA55+IFERROR(VLOOKUP($A55,'A0 BS 1240在建'!$1:$1048576,53,0),0)</f>
        <v>0</v>
      </c>
      <c r="BG55" s="171">
        <f>+BB55+IFERROR(VLOOKUP($A55,'B0 2264預收'!$1:$1048576,53,0),0)</f>
        <v>0</v>
      </c>
      <c r="BH55" s="171">
        <f t="shared" si="72"/>
        <v>0</v>
      </c>
      <c r="BI55" s="171">
        <f>+BD55+IFERROR(+VLOOKUP($A55,'B0 2264預收'!$1:$1048576,54,0),0)</f>
        <v>0</v>
      </c>
      <c r="BJ55" s="171">
        <f t="shared" si="73"/>
        <v>0</v>
      </c>
      <c r="BK55" s="175">
        <f>+BF55+IFERROR(VLOOKUP($A55,'A0 BS 1240在建'!$1:$1048576,57,0),0)</f>
        <v>0</v>
      </c>
      <c r="BL55" s="175">
        <f>+BG55+IFERROR(VLOOKUP($A55,'B0 2264預收'!$1:$1048576,57,0),0)</f>
        <v>0</v>
      </c>
      <c r="BM55" s="175">
        <f t="shared" si="74"/>
        <v>0</v>
      </c>
      <c r="BN55" s="175">
        <f>+BI55+IFERROR(+VLOOKUP($A55,'B0 2264預收'!$1:$1048576,58,0),0)</f>
        <v>0</v>
      </c>
      <c r="BO55" s="175">
        <f t="shared" si="75"/>
        <v>0</v>
      </c>
      <c r="BP55" s="171">
        <f>+BK55+IFERROR(VLOOKUP($A55,'A0 BS 1240在建'!$1:$1048576,61,0),0)</f>
        <v>0</v>
      </c>
      <c r="BQ55" s="171">
        <f>+BL55+IFERROR(VLOOKUP($A55,'B0 2264預收'!$1:$1048576,61,0),0)</f>
        <v>0</v>
      </c>
      <c r="BR55" s="171">
        <f t="shared" si="76"/>
        <v>0</v>
      </c>
      <c r="BS55" s="171">
        <f>+BN55+IFERROR(+VLOOKUP($A55,'B0 2264預收'!$1:$1048576,62,0),0)</f>
        <v>0</v>
      </c>
      <c r="BT55" s="171">
        <f t="shared" si="77"/>
        <v>0</v>
      </c>
      <c r="BU55" s="175">
        <f>+IFERROR(VLOOKUP($A55,'A0 BS 1240在建'!$1:$1048576,77,0),0)</f>
        <v>0</v>
      </c>
      <c r="BV55" s="175">
        <f>+IFERROR(VLOOKUP($A55,'B0 2264預收'!$1:$1048576,77,0),0)</f>
        <v>0</v>
      </c>
      <c r="BW55" s="175">
        <f t="shared" si="78"/>
        <v>0</v>
      </c>
      <c r="BX55" s="175">
        <f>+IFERROR(+VLOOKUP($A55,'B0 2264預收'!$1:$1048576,78,0),0)</f>
        <v>0</v>
      </c>
      <c r="BY55" s="175">
        <f t="shared" si="79"/>
        <v>0</v>
      </c>
      <c r="BZ55" s="171">
        <f>IFERROR(+VLOOKUP($A55,'A0 BS 1240在建'!$1:$1048576,85,0),0)</f>
        <v>0</v>
      </c>
      <c r="CA55" s="171">
        <f>IFERROR(+VLOOKUP($A55,'B0 2264預收'!$1:$1048576,85,0),0)</f>
        <v>0</v>
      </c>
      <c r="CB55" s="171">
        <f t="shared" si="80"/>
        <v>0</v>
      </c>
      <c r="CC55" s="171">
        <f>+IFERROR(+VLOOKUP($A55,'B0 2264預收'!$1:$1048576,86,0),0)</f>
        <v>0</v>
      </c>
      <c r="CD55" s="171">
        <f t="shared" si="81"/>
        <v>0</v>
      </c>
      <c r="CE55" s="175">
        <f>+IFERROR(VLOOKUP($A55,'A0 BS 1240在建'!$1:$1048576,93,0),0)</f>
        <v>0</v>
      </c>
      <c r="CF55" s="175">
        <f>+IFERROR(VLOOKUP($A55,'B0 2264預收'!$1:$1048576,93,0),0)</f>
        <v>0</v>
      </c>
      <c r="CG55" s="175">
        <f t="shared" si="82"/>
        <v>0</v>
      </c>
      <c r="CH55" s="175">
        <f>+IFERROR(+VLOOKUP($A55,'B0 2264預收'!$1:$1048576,94,0),0)</f>
        <v>0</v>
      </c>
      <c r="CI55" s="175">
        <f t="shared" si="83"/>
        <v>0</v>
      </c>
      <c r="CJ55" s="171">
        <f>IFERROR(+VLOOKUP($A55,'A0 BS 1240在建'!$1:$1048576,101,0),0)</f>
        <v>0</v>
      </c>
      <c r="CK55" s="171">
        <f>IFERROR(+VLOOKUP($A55,'B0 2264預收'!$1:$1048576,101,0),0)</f>
        <v>0</v>
      </c>
      <c r="CL55" s="171">
        <f t="shared" si="84"/>
        <v>0</v>
      </c>
      <c r="CM55" s="171">
        <f>+IFERROR(+VLOOKUP($A55,'B0 2264預收'!$1:$1048576,102,0),0)</f>
        <v>0</v>
      </c>
      <c r="CN55" s="171">
        <f t="shared" si="85"/>
        <v>0</v>
      </c>
      <c r="CP55" s="176">
        <f t="shared" si="99"/>
        <v>0</v>
      </c>
      <c r="CR55" s="97">
        <f t="shared" si="101"/>
        <v>0</v>
      </c>
      <c r="CU55" s="176">
        <f t="shared" si="100"/>
        <v>0</v>
      </c>
      <c r="CW55" s="97">
        <f>+CU55</f>
        <v>0</v>
      </c>
      <c r="CY55" s="162" t="str">
        <f t="shared" si="86"/>
        <v/>
      </c>
      <c r="CZ55" s="98" t="str">
        <f t="shared" si="87"/>
        <v xml:space="preserve"> </v>
      </c>
      <c r="DA55" s="98" t="str">
        <f t="shared" si="88"/>
        <v xml:space="preserve"> </v>
      </c>
      <c r="DB55" s="98" t="str">
        <f t="shared" si="89"/>
        <v xml:space="preserve"> </v>
      </c>
      <c r="DC55" s="163">
        <f t="shared" si="90"/>
        <v>0</v>
      </c>
      <c r="DD55" s="162" t="str">
        <f t="shared" si="92"/>
        <v/>
      </c>
      <c r="DE55" s="98" t="str">
        <f t="shared" si="93"/>
        <v xml:space="preserve"> </v>
      </c>
      <c r="DF55" s="98" t="str">
        <f t="shared" si="94"/>
        <v xml:space="preserve"> </v>
      </c>
      <c r="DG55" s="98" t="str">
        <f t="shared" si="95"/>
        <v xml:space="preserve"> </v>
      </c>
      <c r="DH55" s="163">
        <f t="shared" si="91"/>
        <v>0</v>
      </c>
    </row>
    <row r="56" spans="1:112">
      <c r="A56" s="171" t="s">
        <v>407</v>
      </c>
      <c r="B56" s="172" t="s">
        <v>408</v>
      </c>
      <c r="C56" s="157">
        <f>IFERROR(VLOOKUP($A56,'A0 BS 1240在建'!$1:$1048576,5,0),0)</f>
        <v>0</v>
      </c>
      <c r="D56" s="157">
        <f>IFERROR(VLOOKUP($A56,'B0 2264預收'!$1:$1048576,5,0),0)</f>
        <v>0</v>
      </c>
      <c r="E56" s="157">
        <f t="shared" si="50"/>
        <v>0</v>
      </c>
      <c r="F56" s="157">
        <f>IFERROR(VLOOKUP($A56,'B0 2264預收'!$1:$1048576,6,0),0)</f>
        <v>0</v>
      </c>
      <c r="G56" s="157">
        <f t="shared" si="51"/>
        <v>0</v>
      </c>
      <c r="H56" s="158">
        <f>IFERROR(VLOOKUP($A56,'A0 BS 1240在建'!$1:$1048576,13,0),0)</f>
        <v>0</v>
      </c>
      <c r="I56" s="158">
        <f>IFERROR(VLOOKUP($A56,'B0 2264預收'!$1:$1048576,13,0),0)</f>
        <v>0</v>
      </c>
      <c r="J56" s="158">
        <f t="shared" si="52"/>
        <v>0</v>
      </c>
      <c r="K56" s="158">
        <f>IFERROR(VLOOKUP($A56,'B0 2264預收'!$1:$1048576,14,0),0)</f>
        <v>0</v>
      </c>
      <c r="L56" s="158">
        <f t="shared" si="53"/>
        <v>0</v>
      </c>
      <c r="M56" s="157">
        <f>H56+IFERROR(VLOOKUP($A56,'A0 BS 1240在建'!$1:$1048576,17,0),0)</f>
        <v>0</v>
      </c>
      <c r="N56" s="157">
        <f>I56+IFERROR(VLOOKUP($A56,'B0 2264預收'!$1:$1048576,17,0),0)</f>
        <v>0</v>
      </c>
      <c r="O56" s="157">
        <f t="shared" si="54"/>
        <v>0</v>
      </c>
      <c r="P56" s="157">
        <f>K56+IFERROR(+VLOOKUP($A56,'B0 2264預收'!$1:$1048576,18,0),0)</f>
        <v>0</v>
      </c>
      <c r="Q56" s="157">
        <f t="shared" si="55"/>
        <v>0</v>
      </c>
      <c r="R56" s="158">
        <f>M56+IFERROR(VLOOKUP($A56,'A0 BS 1240在建'!$1:$1048576,21,0),0)</f>
        <v>0</v>
      </c>
      <c r="S56" s="158">
        <f>+N56+IFERROR(VLOOKUP($A56,'B0 2264預收'!$1:$1048576,21,0),0)</f>
        <v>0</v>
      </c>
      <c r="T56" s="158">
        <f t="shared" si="56"/>
        <v>0</v>
      </c>
      <c r="U56" s="158">
        <f>+P56+IFERROR(+VLOOKUP($A56,'B0 2264預收'!$1:$1048576,22,0),0)</f>
        <v>0</v>
      </c>
      <c r="V56" s="158">
        <f t="shared" si="57"/>
        <v>0</v>
      </c>
      <c r="W56" s="157">
        <f>+R56+IFERROR(VLOOKUP($A56,'A0 BS 1240在建'!$1:$1048576,25,0),0)</f>
        <v>0</v>
      </c>
      <c r="X56" s="157">
        <f>+S56+IFERROR(VLOOKUP($A56,'B0 2264預收'!$1:$1048576,25,0),0)</f>
        <v>0</v>
      </c>
      <c r="Y56" s="157">
        <f t="shared" si="58"/>
        <v>0</v>
      </c>
      <c r="Z56" s="157">
        <f>+U56+IFERROR(+VLOOKUP($A56,'B0 2264預收'!$1:$1048576,26,0),0)</f>
        <v>0</v>
      </c>
      <c r="AA56" s="157">
        <f t="shared" si="59"/>
        <v>0</v>
      </c>
      <c r="AB56" s="158">
        <f>+W56+IFERROR(VLOOKUP($A56,'A0 BS 1240在建'!$1:$1048576,29,0),0)</f>
        <v>0</v>
      </c>
      <c r="AC56" s="158">
        <f>+X56+IFERROR(VLOOKUP($A56,'B0 2264預收'!$1:$1048576,29,0),0)</f>
        <v>0</v>
      </c>
      <c r="AD56" s="158">
        <f t="shared" si="60"/>
        <v>0</v>
      </c>
      <c r="AE56" s="158">
        <f>+Z56+IFERROR(+VLOOKUP($A56,'B0 2264預收'!$1:$1048576,30,0),0)</f>
        <v>0</v>
      </c>
      <c r="AF56" s="158">
        <f t="shared" si="61"/>
        <v>0</v>
      </c>
      <c r="AG56" s="157">
        <f>+AB56+IFERROR(VLOOKUP($A56,'A0 BS 1240在建'!$1:$1048576,33,0),0)</f>
        <v>0</v>
      </c>
      <c r="AH56" s="157">
        <f>+AC56+IFERROR(VLOOKUP($A56,'B0 2264預收'!$1:$1048576,33,0),0)</f>
        <v>0</v>
      </c>
      <c r="AI56" s="157">
        <f t="shared" si="62"/>
        <v>0</v>
      </c>
      <c r="AJ56" s="157">
        <f>+AE56+IFERROR(+VLOOKUP($A56,'B0 2264預收'!$1:$1048576,34,0),0)</f>
        <v>0</v>
      </c>
      <c r="AK56" s="157">
        <f t="shared" si="63"/>
        <v>0</v>
      </c>
      <c r="AL56" s="158">
        <f>+AG56+IFERROR(VLOOKUP($A56,'A0 BS 1240在建'!$1:$1048576,37,0),0)</f>
        <v>0</v>
      </c>
      <c r="AM56" s="158">
        <f>+AH56+IFERROR(VLOOKUP($A56,'B0 2264預收'!$1:$1048576,37,0),0)</f>
        <v>0</v>
      </c>
      <c r="AN56" s="158">
        <f t="shared" si="64"/>
        <v>0</v>
      </c>
      <c r="AO56" s="158">
        <f>+AJ56+IFERROR(+VLOOKUP($A56,'B0 2264預收'!$1:$1048576,38,0),0)</f>
        <v>0</v>
      </c>
      <c r="AP56" s="158">
        <f t="shared" si="65"/>
        <v>0</v>
      </c>
      <c r="AQ56" s="157">
        <f>+AL56+IFERROR(VLOOKUP($A56,'A0 BS 1240在建'!$1:$1048576,41,0),0)</f>
        <v>0</v>
      </c>
      <c r="AR56" s="157">
        <f>+AM56+IFERROR(VLOOKUP($A56,'B0 2264預收'!$1:$1048576,41,0),0)</f>
        <v>0</v>
      </c>
      <c r="AS56" s="157">
        <f t="shared" si="66"/>
        <v>0</v>
      </c>
      <c r="AT56" s="157">
        <f>+AO56+IFERROR(+VLOOKUP($A56,'B0 2264預收'!$1:$1048576,42,0),0)</f>
        <v>0</v>
      </c>
      <c r="AU56" s="157">
        <f t="shared" si="67"/>
        <v>0</v>
      </c>
      <c r="AV56" s="158">
        <f>+AQ56+IFERROR(VLOOKUP($A56,'A0 BS 1240在建'!$1:$1048576,45,0),0)</f>
        <v>0</v>
      </c>
      <c r="AW56" s="158">
        <f>+AR56+IFERROR(VLOOKUP($A56,'B0 2264預收'!$1:$1048576,45,0),0)</f>
        <v>0</v>
      </c>
      <c r="AX56" s="158">
        <f t="shared" si="68"/>
        <v>0</v>
      </c>
      <c r="AY56" s="158">
        <f>+AT56+IFERROR(+VLOOKUP($A56,'B0 2264預收'!$1:$1048576,46,0),0)</f>
        <v>0</v>
      </c>
      <c r="AZ56" s="158">
        <f t="shared" si="69"/>
        <v>0</v>
      </c>
      <c r="BA56" s="157">
        <f>+AV56+IFERROR(VLOOKUP($A56,'A0 BS 1240在建'!$1:$1048576,49,0),0)</f>
        <v>0</v>
      </c>
      <c r="BB56" s="157">
        <f>+AW56+IFERROR(VLOOKUP($A56,'B0 2264預收'!$1:$1048576,49,0),0)</f>
        <v>0</v>
      </c>
      <c r="BC56" s="157">
        <f t="shared" si="70"/>
        <v>0</v>
      </c>
      <c r="BD56" s="157">
        <f>+AY56+IFERROR(+VLOOKUP($A56,'B0 2264預收'!$1:$1048576,50,0),0)</f>
        <v>0</v>
      </c>
      <c r="BE56" s="157">
        <f t="shared" si="71"/>
        <v>0</v>
      </c>
      <c r="BF56" s="158">
        <f>+BA56+IFERROR(VLOOKUP($A56,'A0 BS 1240在建'!$1:$1048576,53,0),0)</f>
        <v>0</v>
      </c>
      <c r="BG56" s="158">
        <f>+BB56+IFERROR(VLOOKUP($A56,'B0 2264預收'!$1:$1048576,53,0),0)</f>
        <v>0</v>
      </c>
      <c r="BH56" s="158">
        <f t="shared" si="72"/>
        <v>0</v>
      </c>
      <c r="BI56" s="158">
        <f>+BD56+IFERROR(+VLOOKUP($A56,'B0 2264預收'!$1:$1048576,54,0),0)</f>
        <v>0</v>
      </c>
      <c r="BJ56" s="158">
        <f t="shared" si="73"/>
        <v>0</v>
      </c>
      <c r="BK56" s="157">
        <f>+BF56+IFERROR(VLOOKUP($A56,'A0 BS 1240在建'!$1:$1048576,57,0),0)</f>
        <v>0</v>
      </c>
      <c r="BL56" s="157">
        <f>+BG56+IFERROR(VLOOKUP($A56,'B0 2264預收'!$1:$1048576,57,0),0)</f>
        <v>0</v>
      </c>
      <c r="BM56" s="157">
        <f t="shared" si="74"/>
        <v>0</v>
      </c>
      <c r="BN56" s="157">
        <f>+BI56+IFERROR(+VLOOKUP($A56,'B0 2264預收'!$1:$1048576,58,0),0)</f>
        <v>0</v>
      </c>
      <c r="BO56" s="157">
        <f t="shared" si="75"/>
        <v>0</v>
      </c>
      <c r="BP56" s="158">
        <f>+BK56+IFERROR(VLOOKUP($A56,'A0 BS 1240在建'!$1:$1048576,61,0),0)</f>
        <v>0</v>
      </c>
      <c r="BQ56" s="158">
        <f>+BL56+IFERROR(VLOOKUP($A56,'B0 2264預收'!$1:$1048576,61,0),0)</f>
        <v>0</v>
      </c>
      <c r="BR56" s="159">
        <f t="shared" si="76"/>
        <v>0</v>
      </c>
      <c r="BS56" s="158">
        <f>+BN56+IFERROR(+VLOOKUP($A56,'B0 2264預收'!$1:$1048576,62,0),0)</f>
        <v>0</v>
      </c>
      <c r="BT56" s="158">
        <f t="shared" si="77"/>
        <v>0</v>
      </c>
      <c r="BU56" s="157">
        <f>+IFERROR(VLOOKUP($A56,'A0 BS 1240在建'!$1:$1048576,77,0),0)</f>
        <v>0</v>
      </c>
      <c r="BV56" s="157">
        <f>+IFERROR(VLOOKUP($A56,'B0 2264預收'!$1:$1048576,77,0),0)</f>
        <v>0</v>
      </c>
      <c r="BW56" s="157">
        <f t="shared" si="78"/>
        <v>0</v>
      </c>
      <c r="BX56" s="157">
        <f>+IFERROR(+VLOOKUP($A56,'B0 2264預收'!$1:$1048576,78,0),0)</f>
        <v>0</v>
      </c>
      <c r="BY56" s="157">
        <f t="shared" si="79"/>
        <v>0</v>
      </c>
      <c r="BZ56" s="158">
        <f>IFERROR(+VLOOKUP($A56,'A0 BS 1240在建'!$1:$1048576,85,0),0)</f>
        <v>0</v>
      </c>
      <c r="CA56" s="158">
        <f>IFERROR(+VLOOKUP($A56,'B0 2264預收'!$1:$1048576,85,0),0)</f>
        <v>0</v>
      </c>
      <c r="CB56" s="158">
        <f t="shared" si="80"/>
        <v>0</v>
      </c>
      <c r="CC56" s="158">
        <f>+IFERROR(+VLOOKUP($A56,'B0 2264預收'!$1:$1048576,86,0),0)</f>
        <v>0</v>
      </c>
      <c r="CD56" s="158">
        <f t="shared" si="81"/>
        <v>0</v>
      </c>
      <c r="CE56" s="157">
        <f>+IFERROR(VLOOKUP($A56,'A0 BS 1240在建'!$1:$1048576,93,0),0)</f>
        <v>0</v>
      </c>
      <c r="CF56" s="157">
        <f>+IFERROR(VLOOKUP($A56,'B0 2264預收'!$1:$1048576,93,0),0)</f>
        <v>0</v>
      </c>
      <c r="CG56" s="157">
        <f t="shared" si="82"/>
        <v>0</v>
      </c>
      <c r="CH56" s="157">
        <f>+IFERROR(+VLOOKUP($A56,'B0 2264預收'!$1:$1048576,94,0),0)</f>
        <v>0</v>
      </c>
      <c r="CI56" s="157">
        <f t="shared" si="83"/>
        <v>0</v>
      </c>
      <c r="CJ56" s="158">
        <f>IFERROR(+VLOOKUP($A56,'A0 BS 1240在建'!$1:$1048576,101,0),0)</f>
        <v>0</v>
      </c>
      <c r="CK56" s="158">
        <f>IFERROR(+VLOOKUP($A56,'B0 2264預收'!$1:$1048576,101,0),0)</f>
        <v>0</v>
      </c>
      <c r="CL56" s="158">
        <f t="shared" si="84"/>
        <v>0</v>
      </c>
      <c r="CM56" s="158">
        <f>+IFERROR(+VLOOKUP($A56,'B0 2264預收'!$1:$1048576,102,0),0)</f>
        <v>0</v>
      </c>
      <c r="CN56" s="158">
        <f t="shared" si="85"/>
        <v>0</v>
      </c>
      <c r="CP56" s="165">
        <f t="shared" si="99"/>
        <v>0</v>
      </c>
      <c r="CR56" s="98">
        <f t="shared" si="101"/>
        <v>0</v>
      </c>
      <c r="CU56" s="165">
        <f t="shared" si="100"/>
        <v>0</v>
      </c>
      <c r="CW56" s="98">
        <f>+CU56</f>
        <v>0</v>
      </c>
      <c r="CY56" s="162" t="str">
        <f t="shared" si="86"/>
        <v/>
      </c>
      <c r="CZ56" s="98" t="str">
        <f t="shared" si="87"/>
        <v xml:space="preserve"> </v>
      </c>
      <c r="DA56" s="98" t="str">
        <f t="shared" si="88"/>
        <v xml:space="preserve"> </v>
      </c>
      <c r="DB56" s="98" t="str">
        <f t="shared" si="89"/>
        <v xml:space="preserve"> </v>
      </c>
      <c r="DC56" s="163">
        <f t="shared" si="90"/>
        <v>0</v>
      </c>
      <c r="DD56" s="162" t="str">
        <f t="shared" si="92"/>
        <v/>
      </c>
      <c r="DE56" s="98" t="str">
        <f t="shared" si="93"/>
        <v xml:space="preserve"> </v>
      </c>
      <c r="DF56" s="98" t="str">
        <f t="shared" si="94"/>
        <v xml:space="preserve"> </v>
      </c>
      <c r="DG56" s="98" t="str">
        <f t="shared" si="95"/>
        <v xml:space="preserve"> </v>
      </c>
      <c r="DH56" s="163">
        <f t="shared" si="91"/>
        <v>0</v>
      </c>
    </row>
    <row r="57" spans="1:112">
      <c r="A57" s="171" t="s">
        <v>409</v>
      </c>
      <c r="B57" s="172" t="s">
        <v>410</v>
      </c>
      <c r="C57" s="157">
        <f>IFERROR(VLOOKUP($A57,'A0 BS 1240在建'!$1:$1048576,5,0),0)</f>
        <v>0</v>
      </c>
      <c r="D57" s="157">
        <f>IFERROR(VLOOKUP($A57,'B0 2264預收'!$1:$1048576,5,0),0)</f>
        <v>0</v>
      </c>
      <c r="E57" s="157">
        <f t="shared" si="50"/>
        <v>0</v>
      </c>
      <c r="F57" s="157">
        <f>IFERROR(VLOOKUP($A57,'B0 2264預收'!$1:$1048576,6,0),0)</f>
        <v>0</v>
      </c>
      <c r="G57" s="157">
        <f t="shared" si="51"/>
        <v>0</v>
      </c>
      <c r="H57" s="158">
        <f>IFERROR(VLOOKUP($A57,'A0 BS 1240在建'!$1:$1048576,13,0),0)</f>
        <v>0</v>
      </c>
      <c r="I57" s="158">
        <f>IFERROR(VLOOKUP($A57,'B0 2264預收'!$1:$1048576,13,0),0)</f>
        <v>0</v>
      </c>
      <c r="J57" s="158">
        <f t="shared" si="52"/>
        <v>0</v>
      </c>
      <c r="K57" s="158">
        <f>IFERROR(VLOOKUP($A57,'B0 2264預收'!$1:$1048576,14,0),0)</f>
        <v>0</v>
      </c>
      <c r="L57" s="158">
        <f t="shared" si="53"/>
        <v>0</v>
      </c>
      <c r="M57" s="157">
        <f>H57+IFERROR(VLOOKUP($A57,'A0 BS 1240在建'!$1:$1048576,17,0),0)</f>
        <v>0</v>
      </c>
      <c r="N57" s="157">
        <f>I57+IFERROR(VLOOKUP($A57,'B0 2264預收'!$1:$1048576,17,0),0)</f>
        <v>0</v>
      </c>
      <c r="O57" s="157">
        <f t="shared" si="54"/>
        <v>0</v>
      </c>
      <c r="P57" s="157">
        <f>K57+IFERROR(+VLOOKUP($A57,'B0 2264預收'!$1:$1048576,18,0),0)</f>
        <v>0</v>
      </c>
      <c r="Q57" s="157">
        <f t="shared" si="55"/>
        <v>0</v>
      </c>
      <c r="R57" s="158">
        <f>M57+IFERROR(VLOOKUP($A57,'A0 BS 1240在建'!$1:$1048576,21,0),0)</f>
        <v>0</v>
      </c>
      <c r="S57" s="158">
        <f>+N57+IFERROR(VLOOKUP($A57,'B0 2264預收'!$1:$1048576,21,0),0)</f>
        <v>0</v>
      </c>
      <c r="T57" s="158">
        <f t="shared" si="56"/>
        <v>0</v>
      </c>
      <c r="U57" s="158">
        <f>+P57+IFERROR(+VLOOKUP($A57,'B0 2264預收'!$1:$1048576,22,0),0)</f>
        <v>0</v>
      </c>
      <c r="V57" s="158">
        <f t="shared" si="57"/>
        <v>0</v>
      </c>
      <c r="W57" s="157">
        <f>+R57+IFERROR(VLOOKUP($A57,'A0 BS 1240在建'!$1:$1048576,25,0),0)</f>
        <v>0</v>
      </c>
      <c r="X57" s="157">
        <f>+S57+IFERROR(VLOOKUP($A57,'B0 2264預收'!$1:$1048576,25,0),0)</f>
        <v>0</v>
      </c>
      <c r="Y57" s="157">
        <f t="shared" si="58"/>
        <v>0</v>
      </c>
      <c r="Z57" s="157">
        <f>+U57+IFERROR(+VLOOKUP($A57,'B0 2264預收'!$1:$1048576,26,0),0)</f>
        <v>0</v>
      </c>
      <c r="AA57" s="157">
        <f t="shared" si="59"/>
        <v>0</v>
      </c>
      <c r="AB57" s="158">
        <f>+W57+IFERROR(VLOOKUP($A57,'A0 BS 1240在建'!$1:$1048576,29,0),0)</f>
        <v>0</v>
      </c>
      <c r="AC57" s="158">
        <f>+X57+IFERROR(VLOOKUP($A57,'B0 2264預收'!$1:$1048576,29,0),0)</f>
        <v>0</v>
      </c>
      <c r="AD57" s="158">
        <f t="shared" si="60"/>
        <v>0</v>
      </c>
      <c r="AE57" s="158">
        <f>+Z57+IFERROR(+VLOOKUP($A57,'B0 2264預收'!$1:$1048576,30,0),0)</f>
        <v>0</v>
      </c>
      <c r="AF57" s="158">
        <f t="shared" si="61"/>
        <v>0</v>
      </c>
      <c r="AG57" s="157">
        <f>+AB57+IFERROR(VLOOKUP($A57,'A0 BS 1240在建'!$1:$1048576,33,0),0)</f>
        <v>0</v>
      </c>
      <c r="AH57" s="157">
        <f>+AC57+IFERROR(VLOOKUP($A57,'B0 2264預收'!$1:$1048576,33,0),0)</f>
        <v>0</v>
      </c>
      <c r="AI57" s="157">
        <f t="shared" si="62"/>
        <v>0</v>
      </c>
      <c r="AJ57" s="157">
        <f>+AE57+IFERROR(+VLOOKUP($A57,'B0 2264預收'!$1:$1048576,34,0),0)</f>
        <v>0</v>
      </c>
      <c r="AK57" s="157">
        <f t="shared" si="63"/>
        <v>0</v>
      </c>
      <c r="AL57" s="158">
        <f>+AG57+IFERROR(VLOOKUP($A57,'A0 BS 1240在建'!$1:$1048576,37,0),0)</f>
        <v>0</v>
      </c>
      <c r="AM57" s="158">
        <f>+AH57+IFERROR(VLOOKUP($A57,'B0 2264預收'!$1:$1048576,37,0),0)</f>
        <v>0</v>
      </c>
      <c r="AN57" s="158">
        <f t="shared" si="64"/>
        <v>0</v>
      </c>
      <c r="AO57" s="158">
        <f>+AJ57+IFERROR(+VLOOKUP($A57,'B0 2264預收'!$1:$1048576,38,0),0)</f>
        <v>0</v>
      </c>
      <c r="AP57" s="158">
        <f t="shared" si="65"/>
        <v>0</v>
      </c>
      <c r="AQ57" s="157">
        <f>+AL57+IFERROR(VLOOKUP($A57,'A0 BS 1240在建'!$1:$1048576,41,0),0)</f>
        <v>0</v>
      </c>
      <c r="AR57" s="157">
        <f>+AM57+IFERROR(VLOOKUP($A57,'B0 2264預收'!$1:$1048576,41,0),0)</f>
        <v>0</v>
      </c>
      <c r="AS57" s="157">
        <f t="shared" si="66"/>
        <v>0</v>
      </c>
      <c r="AT57" s="157">
        <f>+AO57+IFERROR(+VLOOKUP($A57,'B0 2264預收'!$1:$1048576,42,0),0)</f>
        <v>0</v>
      </c>
      <c r="AU57" s="157">
        <f t="shared" si="67"/>
        <v>0</v>
      </c>
      <c r="AV57" s="158">
        <f>+AQ57+IFERROR(VLOOKUP($A57,'A0 BS 1240在建'!$1:$1048576,45,0),0)</f>
        <v>0</v>
      </c>
      <c r="AW57" s="158">
        <f>+AR57+IFERROR(VLOOKUP($A57,'B0 2264預收'!$1:$1048576,45,0),0)</f>
        <v>0</v>
      </c>
      <c r="AX57" s="158">
        <f t="shared" si="68"/>
        <v>0</v>
      </c>
      <c r="AY57" s="158">
        <f>+AT57+IFERROR(+VLOOKUP($A57,'B0 2264預收'!$1:$1048576,46,0),0)</f>
        <v>0</v>
      </c>
      <c r="AZ57" s="158">
        <f t="shared" si="69"/>
        <v>0</v>
      </c>
      <c r="BA57" s="157">
        <f>+AV57+IFERROR(VLOOKUP($A57,'A0 BS 1240在建'!$1:$1048576,49,0),0)</f>
        <v>0</v>
      </c>
      <c r="BB57" s="157">
        <f>+AW57+IFERROR(VLOOKUP($A57,'B0 2264預收'!$1:$1048576,49,0),0)</f>
        <v>0</v>
      </c>
      <c r="BC57" s="157">
        <f t="shared" si="70"/>
        <v>0</v>
      </c>
      <c r="BD57" s="157">
        <f>+AY57+IFERROR(+VLOOKUP($A57,'B0 2264預收'!$1:$1048576,50,0),0)</f>
        <v>0</v>
      </c>
      <c r="BE57" s="157">
        <f t="shared" si="71"/>
        <v>0</v>
      </c>
      <c r="BF57" s="158">
        <f>+BA57+IFERROR(VLOOKUP($A57,'A0 BS 1240在建'!$1:$1048576,53,0),0)</f>
        <v>0</v>
      </c>
      <c r="BG57" s="158">
        <f>+BB57+IFERROR(VLOOKUP($A57,'B0 2264預收'!$1:$1048576,53,0),0)</f>
        <v>0</v>
      </c>
      <c r="BH57" s="158">
        <f t="shared" si="72"/>
        <v>0</v>
      </c>
      <c r="BI57" s="158">
        <f>+BD57+IFERROR(+VLOOKUP($A57,'B0 2264預收'!$1:$1048576,54,0),0)</f>
        <v>0</v>
      </c>
      <c r="BJ57" s="158">
        <f t="shared" si="73"/>
        <v>0</v>
      </c>
      <c r="BK57" s="157">
        <f>+BF57+IFERROR(VLOOKUP($A57,'A0 BS 1240在建'!$1:$1048576,57,0),0)</f>
        <v>0</v>
      </c>
      <c r="BL57" s="157">
        <f>+BG57+IFERROR(VLOOKUP($A57,'B0 2264預收'!$1:$1048576,57,0),0)</f>
        <v>0</v>
      </c>
      <c r="BM57" s="157">
        <f t="shared" si="74"/>
        <v>0</v>
      </c>
      <c r="BN57" s="157">
        <f>+BI57+IFERROR(+VLOOKUP($A57,'B0 2264預收'!$1:$1048576,58,0),0)</f>
        <v>0</v>
      </c>
      <c r="BO57" s="157">
        <f t="shared" si="75"/>
        <v>0</v>
      </c>
      <c r="BP57" s="158">
        <f>+BK57+IFERROR(VLOOKUP($A57,'A0 BS 1240在建'!$1:$1048576,61,0),0)</f>
        <v>0</v>
      </c>
      <c r="BQ57" s="158">
        <f>+BL57+IFERROR(VLOOKUP($A57,'B0 2264預收'!$1:$1048576,61,0),0)</f>
        <v>0</v>
      </c>
      <c r="BR57" s="159">
        <f t="shared" si="76"/>
        <v>0</v>
      </c>
      <c r="BS57" s="158">
        <f>+BN57+IFERROR(+VLOOKUP($A57,'B0 2264預收'!$1:$1048576,62,0),0)</f>
        <v>0</v>
      </c>
      <c r="BT57" s="158">
        <f t="shared" si="77"/>
        <v>0</v>
      </c>
      <c r="BU57" s="157">
        <f>+IFERROR(VLOOKUP($A57,'A0 BS 1240在建'!$1:$1048576,77,0),0)</f>
        <v>0</v>
      </c>
      <c r="BV57" s="157">
        <f>+IFERROR(VLOOKUP($A57,'B0 2264預收'!$1:$1048576,77,0),0)</f>
        <v>0</v>
      </c>
      <c r="BW57" s="157">
        <f t="shared" si="78"/>
        <v>0</v>
      </c>
      <c r="BX57" s="157">
        <f>+IFERROR(+VLOOKUP($A57,'B0 2264預收'!$1:$1048576,78,0),0)</f>
        <v>0</v>
      </c>
      <c r="BY57" s="157">
        <f t="shared" si="79"/>
        <v>0</v>
      </c>
      <c r="BZ57" s="158">
        <f>IFERROR(+VLOOKUP($A57,'A0 BS 1240在建'!$1:$1048576,85,0),0)</f>
        <v>0</v>
      </c>
      <c r="CA57" s="158">
        <f>IFERROR(+VLOOKUP($A57,'B0 2264預收'!$1:$1048576,85,0),0)</f>
        <v>0</v>
      </c>
      <c r="CB57" s="158">
        <f t="shared" si="80"/>
        <v>0</v>
      </c>
      <c r="CC57" s="158">
        <f>+IFERROR(+VLOOKUP($A57,'B0 2264預收'!$1:$1048576,86,0),0)</f>
        <v>0</v>
      </c>
      <c r="CD57" s="158">
        <f t="shared" si="81"/>
        <v>0</v>
      </c>
      <c r="CE57" s="157">
        <f>+IFERROR(VLOOKUP($A57,'A0 BS 1240在建'!$1:$1048576,93,0),0)</f>
        <v>0</v>
      </c>
      <c r="CF57" s="157">
        <f>+IFERROR(VLOOKUP($A57,'B0 2264預收'!$1:$1048576,93,0),0)</f>
        <v>0</v>
      </c>
      <c r="CG57" s="157">
        <f t="shared" si="82"/>
        <v>0</v>
      </c>
      <c r="CH57" s="157">
        <f>+IFERROR(+VLOOKUP($A57,'B0 2264預收'!$1:$1048576,94,0),0)</f>
        <v>0</v>
      </c>
      <c r="CI57" s="157">
        <f t="shared" si="83"/>
        <v>0</v>
      </c>
      <c r="CJ57" s="158">
        <f>IFERROR(+VLOOKUP($A57,'A0 BS 1240在建'!$1:$1048576,101,0),0)</f>
        <v>0</v>
      </c>
      <c r="CK57" s="158">
        <f>IFERROR(+VLOOKUP($A57,'B0 2264預收'!$1:$1048576,101,0),0)</f>
        <v>0</v>
      </c>
      <c r="CL57" s="158">
        <f t="shared" si="84"/>
        <v>0</v>
      </c>
      <c r="CM57" s="158">
        <f>+IFERROR(+VLOOKUP($A57,'B0 2264預收'!$1:$1048576,102,0),0)</f>
        <v>0</v>
      </c>
      <c r="CN57" s="158">
        <f t="shared" si="85"/>
        <v>0</v>
      </c>
      <c r="CP57" s="165">
        <f t="shared" si="99"/>
        <v>0</v>
      </c>
      <c r="CR57" s="98">
        <f t="shared" si="101"/>
        <v>0</v>
      </c>
      <c r="CU57" s="165">
        <f t="shared" si="100"/>
        <v>0</v>
      </c>
      <c r="CW57" s="98">
        <f>+CU57</f>
        <v>0</v>
      </c>
      <c r="CY57" s="162" t="str">
        <f t="shared" si="86"/>
        <v/>
      </c>
      <c r="CZ57" s="98" t="str">
        <f t="shared" si="87"/>
        <v xml:space="preserve"> </v>
      </c>
      <c r="DA57" s="98" t="str">
        <f t="shared" si="88"/>
        <v xml:space="preserve"> </v>
      </c>
      <c r="DB57" s="98" t="str">
        <f t="shared" si="89"/>
        <v xml:space="preserve"> </v>
      </c>
      <c r="DC57" s="163">
        <f t="shared" si="90"/>
        <v>0</v>
      </c>
      <c r="DD57" s="162" t="str">
        <f t="shared" si="92"/>
        <v/>
      </c>
      <c r="DE57" s="98" t="str">
        <f t="shared" si="93"/>
        <v xml:space="preserve"> </v>
      </c>
      <c r="DF57" s="98" t="str">
        <f t="shared" si="94"/>
        <v xml:space="preserve"> </v>
      </c>
      <c r="DG57" s="98" t="str">
        <f t="shared" si="95"/>
        <v xml:space="preserve"> </v>
      </c>
      <c r="DH57" s="163">
        <f t="shared" si="91"/>
        <v>0</v>
      </c>
    </row>
    <row r="58" spans="1:112">
      <c r="A58" s="171" t="s">
        <v>411</v>
      </c>
      <c r="B58" s="172" t="s">
        <v>412</v>
      </c>
      <c r="C58" s="157">
        <f>IFERROR(VLOOKUP($A58,'A0 BS 1240在建'!$1:$1048576,5,0),0)</f>
        <v>0</v>
      </c>
      <c r="D58" s="157">
        <f>IFERROR(VLOOKUP($A58,'B0 2264預收'!$1:$1048576,5,0),0)</f>
        <v>0</v>
      </c>
      <c r="E58" s="157">
        <f t="shared" si="50"/>
        <v>0</v>
      </c>
      <c r="F58" s="157">
        <f>IFERROR(VLOOKUP($A58,'B0 2264預收'!$1:$1048576,6,0),0)</f>
        <v>0</v>
      </c>
      <c r="G58" s="157">
        <f t="shared" si="51"/>
        <v>0</v>
      </c>
      <c r="H58" s="158">
        <f>IFERROR(VLOOKUP($A58,'A0 BS 1240在建'!$1:$1048576,13,0),0)</f>
        <v>0</v>
      </c>
      <c r="I58" s="158">
        <f>IFERROR(VLOOKUP($A58,'B0 2264預收'!$1:$1048576,13,0),0)</f>
        <v>0</v>
      </c>
      <c r="J58" s="158">
        <f t="shared" si="52"/>
        <v>0</v>
      </c>
      <c r="K58" s="158">
        <f>IFERROR(VLOOKUP($A58,'B0 2264預收'!$1:$1048576,14,0),0)</f>
        <v>0</v>
      </c>
      <c r="L58" s="158">
        <f t="shared" si="53"/>
        <v>0</v>
      </c>
      <c r="M58" s="157">
        <f>H58+IFERROR(VLOOKUP($A58,'A0 BS 1240在建'!$1:$1048576,17,0),0)</f>
        <v>0</v>
      </c>
      <c r="N58" s="157">
        <f>I58+IFERROR(VLOOKUP($A58,'B0 2264預收'!$1:$1048576,17,0),0)</f>
        <v>0</v>
      </c>
      <c r="O58" s="157">
        <f t="shared" si="54"/>
        <v>0</v>
      </c>
      <c r="P58" s="157">
        <f>K58+IFERROR(+VLOOKUP($A58,'B0 2264預收'!$1:$1048576,18,0),0)</f>
        <v>0</v>
      </c>
      <c r="Q58" s="157">
        <f t="shared" si="55"/>
        <v>0</v>
      </c>
      <c r="R58" s="158">
        <f>M58+IFERROR(VLOOKUP($A58,'A0 BS 1240在建'!$1:$1048576,21,0),0)</f>
        <v>0</v>
      </c>
      <c r="S58" s="158">
        <f>+N58+IFERROR(VLOOKUP($A58,'B0 2264預收'!$1:$1048576,21,0),0)</f>
        <v>0</v>
      </c>
      <c r="T58" s="158">
        <f t="shared" si="56"/>
        <v>0</v>
      </c>
      <c r="U58" s="158">
        <f>+P58+IFERROR(+VLOOKUP($A58,'B0 2264預收'!$1:$1048576,22,0),0)</f>
        <v>0</v>
      </c>
      <c r="V58" s="158">
        <f t="shared" si="57"/>
        <v>0</v>
      </c>
      <c r="W58" s="157">
        <f>+R58+IFERROR(VLOOKUP($A58,'A0 BS 1240在建'!$1:$1048576,25,0),0)</f>
        <v>0</v>
      </c>
      <c r="X58" s="157">
        <f>+S58+IFERROR(VLOOKUP($A58,'B0 2264預收'!$1:$1048576,25,0),0)</f>
        <v>0</v>
      </c>
      <c r="Y58" s="157">
        <f t="shared" si="58"/>
        <v>0</v>
      </c>
      <c r="Z58" s="157">
        <f>+U58+IFERROR(+VLOOKUP($A58,'B0 2264預收'!$1:$1048576,26,0),0)</f>
        <v>0</v>
      </c>
      <c r="AA58" s="157">
        <f t="shared" si="59"/>
        <v>0</v>
      </c>
      <c r="AB58" s="158">
        <f>+W58+IFERROR(VLOOKUP($A58,'A0 BS 1240在建'!$1:$1048576,29,0),0)</f>
        <v>0</v>
      </c>
      <c r="AC58" s="158">
        <f>+X58+IFERROR(VLOOKUP($A58,'B0 2264預收'!$1:$1048576,29,0),0)</f>
        <v>0</v>
      </c>
      <c r="AD58" s="158">
        <f t="shared" si="60"/>
        <v>0</v>
      </c>
      <c r="AE58" s="158">
        <f>+Z58+IFERROR(+VLOOKUP($A58,'B0 2264預收'!$1:$1048576,30,0),0)</f>
        <v>0</v>
      </c>
      <c r="AF58" s="158">
        <f t="shared" si="61"/>
        <v>0</v>
      </c>
      <c r="AG58" s="157">
        <f>+AB58+IFERROR(VLOOKUP($A58,'A0 BS 1240在建'!$1:$1048576,33,0),0)</f>
        <v>0</v>
      </c>
      <c r="AH58" s="157">
        <f>+AC58+IFERROR(VLOOKUP($A58,'B0 2264預收'!$1:$1048576,33,0),0)</f>
        <v>0</v>
      </c>
      <c r="AI58" s="157">
        <f t="shared" si="62"/>
        <v>0</v>
      </c>
      <c r="AJ58" s="157">
        <f>+AE58+IFERROR(+VLOOKUP($A58,'B0 2264預收'!$1:$1048576,34,0),0)</f>
        <v>0</v>
      </c>
      <c r="AK58" s="157">
        <f t="shared" si="63"/>
        <v>0</v>
      </c>
      <c r="AL58" s="158">
        <f>+AG58+IFERROR(VLOOKUP($A58,'A0 BS 1240在建'!$1:$1048576,37,0),0)</f>
        <v>0</v>
      </c>
      <c r="AM58" s="158">
        <f>+AH58+IFERROR(VLOOKUP($A58,'B0 2264預收'!$1:$1048576,37,0),0)</f>
        <v>0</v>
      </c>
      <c r="AN58" s="158">
        <f t="shared" si="64"/>
        <v>0</v>
      </c>
      <c r="AO58" s="158">
        <f>+AJ58+IFERROR(+VLOOKUP($A58,'B0 2264預收'!$1:$1048576,38,0),0)</f>
        <v>0</v>
      </c>
      <c r="AP58" s="158">
        <f t="shared" si="65"/>
        <v>0</v>
      </c>
      <c r="AQ58" s="157">
        <f>+AL58+IFERROR(VLOOKUP($A58,'A0 BS 1240在建'!$1:$1048576,41,0),0)</f>
        <v>0</v>
      </c>
      <c r="AR58" s="157">
        <f>+AM58+IFERROR(VLOOKUP($A58,'B0 2264預收'!$1:$1048576,41,0),0)</f>
        <v>0</v>
      </c>
      <c r="AS58" s="157">
        <f t="shared" si="66"/>
        <v>0</v>
      </c>
      <c r="AT58" s="157">
        <f>+AO58+IFERROR(+VLOOKUP($A58,'B0 2264預收'!$1:$1048576,42,0),0)</f>
        <v>0</v>
      </c>
      <c r="AU58" s="157">
        <f t="shared" si="67"/>
        <v>0</v>
      </c>
      <c r="AV58" s="158">
        <f>+AQ58+IFERROR(VLOOKUP($A58,'A0 BS 1240在建'!$1:$1048576,45,0),0)</f>
        <v>0</v>
      </c>
      <c r="AW58" s="158">
        <f>+AR58+IFERROR(VLOOKUP($A58,'B0 2264預收'!$1:$1048576,45,0),0)</f>
        <v>0</v>
      </c>
      <c r="AX58" s="158">
        <f t="shared" si="68"/>
        <v>0</v>
      </c>
      <c r="AY58" s="158">
        <f>+AT58+IFERROR(+VLOOKUP($A58,'B0 2264預收'!$1:$1048576,46,0),0)</f>
        <v>0</v>
      </c>
      <c r="AZ58" s="158">
        <f t="shared" si="69"/>
        <v>0</v>
      </c>
      <c r="BA58" s="157">
        <f>+AV58+IFERROR(VLOOKUP($A58,'A0 BS 1240在建'!$1:$1048576,49,0),0)</f>
        <v>0</v>
      </c>
      <c r="BB58" s="157">
        <f>+AW58+IFERROR(VLOOKUP($A58,'B0 2264預收'!$1:$1048576,49,0),0)</f>
        <v>0</v>
      </c>
      <c r="BC58" s="157">
        <f t="shared" si="70"/>
        <v>0</v>
      </c>
      <c r="BD58" s="157">
        <f>+AY58+IFERROR(+VLOOKUP($A58,'B0 2264預收'!$1:$1048576,50,0),0)</f>
        <v>0</v>
      </c>
      <c r="BE58" s="157">
        <f t="shared" si="71"/>
        <v>0</v>
      </c>
      <c r="BF58" s="158">
        <f>+BA58+IFERROR(VLOOKUP($A58,'A0 BS 1240在建'!$1:$1048576,53,0),0)</f>
        <v>0</v>
      </c>
      <c r="BG58" s="158">
        <f>+BB58+IFERROR(VLOOKUP($A58,'B0 2264預收'!$1:$1048576,53,0),0)</f>
        <v>0</v>
      </c>
      <c r="BH58" s="158">
        <f t="shared" si="72"/>
        <v>0</v>
      </c>
      <c r="BI58" s="158">
        <f>+BD58+IFERROR(+VLOOKUP($A58,'B0 2264預收'!$1:$1048576,54,0),0)</f>
        <v>0</v>
      </c>
      <c r="BJ58" s="158">
        <f t="shared" si="73"/>
        <v>0</v>
      </c>
      <c r="BK58" s="157">
        <f>+BF58+IFERROR(VLOOKUP($A58,'A0 BS 1240在建'!$1:$1048576,57,0),0)</f>
        <v>0</v>
      </c>
      <c r="BL58" s="157">
        <f>+BG58+IFERROR(VLOOKUP($A58,'B0 2264預收'!$1:$1048576,57,0),0)</f>
        <v>0</v>
      </c>
      <c r="BM58" s="157">
        <f t="shared" si="74"/>
        <v>0</v>
      </c>
      <c r="BN58" s="157">
        <f>+BI58+IFERROR(+VLOOKUP($A58,'B0 2264預收'!$1:$1048576,58,0),0)</f>
        <v>0</v>
      </c>
      <c r="BO58" s="157">
        <f t="shared" si="75"/>
        <v>0</v>
      </c>
      <c r="BP58" s="158">
        <f>+BK58+IFERROR(VLOOKUP($A58,'A0 BS 1240在建'!$1:$1048576,61,0),0)</f>
        <v>0</v>
      </c>
      <c r="BQ58" s="158">
        <f>+BL58+IFERROR(VLOOKUP($A58,'B0 2264預收'!$1:$1048576,61,0),0)</f>
        <v>0</v>
      </c>
      <c r="BR58" s="159">
        <f t="shared" si="76"/>
        <v>0</v>
      </c>
      <c r="BS58" s="158">
        <f>+BN58+IFERROR(+VLOOKUP($A58,'B0 2264預收'!$1:$1048576,62,0),0)</f>
        <v>0</v>
      </c>
      <c r="BT58" s="158">
        <f t="shared" si="77"/>
        <v>0</v>
      </c>
      <c r="BU58" s="157">
        <f>+IFERROR(VLOOKUP($A58,'A0 BS 1240在建'!$1:$1048576,77,0),0)</f>
        <v>0</v>
      </c>
      <c r="BV58" s="157">
        <f>+IFERROR(VLOOKUP($A58,'B0 2264預收'!$1:$1048576,77,0),0)</f>
        <v>0</v>
      </c>
      <c r="BW58" s="157">
        <f t="shared" si="78"/>
        <v>0</v>
      </c>
      <c r="BX58" s="157">
        <f>+IFERROR(+VLOOKUP($A58,'B0 2264預收'!$1:$1048576,78,0),0)</f>
        <v>0</v>
      </c>
      <c r="BY58" s="157">
        <f t="shared" si="79"/>
        <v>0</v>
      </c>
      <c r="BZ58" s="158">
        <f>IFERROR(+VLOOKUP($A58,'A0 BS 1240在建'!$1:$1048576,85,0),0)</f>
        <v>0</v>
      </c>
      <c r="CA58" s="158">
        <f>IFERROR(+VLOOKUP($A58,'B0 2264預收'!$1:$1048576,85,0),0)</f>
        <v>0</v>
      </c>
      <c r="CB58" s="158">
        <f t="shared" si="80"/>
        <v>0</v>
      </c>
      <c r="CC58" s="158">
        <f>+IFERROR(+VLOOKUP($A58,'B0 2264預收'!$1:$1048576,86,0),0)</f>
        <v>0</v>
      </c>
      <c r="CD58" s="158">
        <f t="shared" si="81"/>
        <v>0</v>
      </c>
      <c r="CE58" s="157">
        <f>+IFERROR(VLOOKUP($A58,'A0 BS 1240在建'!$1:$1048576,93,0),0)</f>
        <v>0</v>
      </c>
      <c r="CF58" s="157">
        <f>+IFERROR(VLOOKUP($A58,'B0 2264預收'!$1:$1048576,93,0),0)</f>
        <v>0</v>
      </c>
      <c r="CG58" s="157">
        <f t="shared" si="82"/>
        <v>0</v>
      </c>
      <c r="CH58" s="157">
        <f>+IFERROR(+VLOOKUP($A58,'B0 2264預收'!$1:$1048576,94,0),0)</f>
        <v>0</v>
      </c>
      <c r="CI58" s="157">
        <f t="shared" si="83"/>
        <v>0</v>
      </c>
      <c r="CJ58" s="158">
        <f>IFERROR(+VLOOKUP($A58,'A0 BS 1240在建'!$1:$1048576,101,0),0)</f>
        <v>0</v>
      </c>
      <c r="CK58" s="158">
        <f>IFERROR(+VLOOKUP($A58,'B0 2264預收'!$1:$1048576,101,0),0)</f>
        <v>0</v>
      </c>
      <c r="CL58" s="158">
        <f t="shared" si="84"/>
        <v>0</v>
      </c>
      <c r="CM58" s="158">
        <f>+IFERROR(+VLOOKUP($A58,'B0 2264預收'!$1:$1048576,102,0),0)</f>
        <v>0</v>
      </c>
      <c r="CN58" s="158">
        <f t="shared" si="85"/>
        <v>0</v>
      </c>
      <c r="CP58" s="165">
        <f t="shared" si="99"/>
        <v>0</v>
      </c>
      <c r="CR58" s="98">
        <f t="shared" si="101"/>
        <v>0</v>
      </c>
      <c r="CU58" s="161">
        <f t="shared" si="100"/>
        <v>0</v>
      </c>
      <c r="CV58" s="98">
        <f>+BR58</f>
        <v>0</v>
      </c>
      <c r="CW58" s="98">
        <f>-J58</f>
        <v>0</v>
      </c>
      <c r="CX58" s="98">
        <f>+CU58-CV58-CW58</f>
        <v>0</v>
      </c>
      <c r="CY58" s="162" t="str">
        <f t="shared" si="86"/>
        <v/>
      </c>
      <c r="CZ58" s="98" t="str">
        <f t="shared" si="87"/>
        <v xml:space="preserve"> </v>
      </c>
      <c r="DA58" s="98" t="str">
        <f t="shared" si="88"/>
        <v xml:space="preserve"> </v>
      </c>
      <c r="DB58" s="98" t="str">
        <f t="shared" si="89"/>
        <v xml:space="preserve"> </v>
      </c>
      <c r="DC58" s="163">
        <f t="shared" si="90"/>
        <v>0</v>
      </c>
      <c r="DD58" s="162" t="str">
        <f t="shared" si="92"/>
        <v/>
      </c>
      <c r="DE58" s="98" t="str">
        <f t="shared" si="93"/>
        <v xml:space="preserve"> </v>
      </c>
      <c r="DF58" s="98" t="str">
        <f t="shared" si="94"/>
        <v xml:space="preserve"> </v>
      </c>
      <c r="DG58" s="98" t="str">
        <f t="shared" si="95"/>
        <v xml:space="preserve"> </v>
      </c>
      <c r="DH58" s="163">
        <f t="shared" si="91"/>
        <v>0</v>
      </c>
    </row>
    <row r="59" spans="1:112">
      <c r="A59" s="171" t="s">
        <v>413</v>
      </c>
      <c r="B59" s="172" t="s">
        <v>414</v>
      </c>
      <c r="C59" s="157">
        <f>IFERROR(VLOOKUP($A59,'A0 BS 1240在建'!$1:$1048576,5,0),0)</f>
        <v>0</v>
      </c>
      <c r="D59" s="157">
        <f>IFERROR(VLOOKUP($A59,'B0 2264預收'!$1:$1048576,5,0),0)</f>
        <v>0</v>
      </c>
      <c r="E59" s="157">
        <f t="shared" si="50"/>
        <v>0</v>
      </c>
      <c r="F59" s="157">
        <f>IFERROR(VLOOKUP($A59,'B0 2264預收'!$1:$1048576,6,0),0)</f>
        <v>0</v>
      </c>
      <c r="G59" s="157">
        <f t="shared" si="51"/>
        <v>0</v>
      </c>
      <c r="H59" s="158">
        <f>IFERROR(VLOOKUP($A59,'A0 BS 1240在建'!$1:$1048576,13,0),0)</f>
        <v>0</v>
      </c>
      <c r="I59" s="158">
        <f>IFERROR(VLOOKUP($A59,'B0 2264預收'!$1:$1048576,13,0),0)</f>
        <v>0</v>
      </c>
      <c r="J59" s="158">
        <f t="shared" si="52"/>
        <v>0</v>
      </c>
      <c r="K59" s="158">
        <f>IFERROR(VLOOKUP($A59,'B0 2264預收'!$1:$1048576,14,0),0)</f>
        <v>0</v>
      </c>
      <c r="L59" s="158">
        <f t="shared" si="53"/>
        <v>0</v>
      </c>
      <c r="M59" s="157">
        <f>H59+IFERROR(VLOOKUP($A59,'A0 BS 1240在建'!$1:$1048576,17,0),0)</f>
        <v>0</v>
      </c>
      <c r="N59" s="157">
        <f>I59+IFERROR(VLOOKUP($A59,'B0 2264預收'!$1:$1048576,17,0),0)</f>
        <v>0</v>
      </c>
      <c r="O59" s="157">
        <f t="shared" si="54"/>
        <v>0</v>
      </c>
      <c r="P59" s="157">
        <f>K59+IFERROR(+VLOOKUP($A59,'B0 2264預收'!$1:$1048576,18,0),0)</f>
        <v>0</v>
      </c>
      <c r="Q59" s="157">
        <f t="shared" si="55"/>
        <v>0</v>
      </c>
      <c r="R59" s="158">
        <f>M59+IFERROR(VLOOKUP($A59,'A0 BS 1240在建'!$1:$1048576,21,0),0)</f>
        <v>0</v>
      </c>
      <c r="S59" s="158">
        <f>+N59+IFERROR(VLOOKUP($A59,'B0 2264預收'!$1:$1048576,21,0),0)</f>
        <v>0</v>
      </c>
      <c r="T59" s="158">
        <f t="shared" si="56"/>
        <v>0</v>
      </c>
      <c r="U59" s="158">
        <f>+P59+IFERROR(+VLOOKUP($A59,'B0 2264預收'!$1:$1048576,22,0),0)</f>
        <v>0</v>
      </c>
      <c r="V59" s="158">
        <f t="shared" si="57"/>
        <v>0</v>
      </c>
      <c r="W59" s="157">
        <f>+R59+IFERROR(VLOOKUP($A59,'A0 BS 1240在建'!$1:$1048576,25,0),0)</f>
        <v>0</v>
      </c>
      <c r="X59" s="157">
        <f>+S59+IFERROR(VLOOKUP($A59,'B0 2264預收'!$1:$1048576,25,0),0)</f>
        <v>0</v>
      </c>
      <c r="Y59" s="157">
        <f t="shared" si="58"/>
        <v>0</v>
      </c>
      <c r="Z59" s="157">
        <f>+U59+IFERROR(+VLOOKUP($A59,'B0 2264預收'!$1:$1048576,26,0),0)</f>
        <v>0</v>
      </c>
      <c r="AA59" s="157">
        <f t="shared" si="59"/>
        <v>0</v>
      </c>
      <c r="AB59" s="158">
        <f>+W59+IFERROR(VLOOKUP($A59,'A0 BS 1240在建'!$1:$1048576,29,0),0)</f>
        <v>0</v>
      </c>
      <c r="AC59" s="158">
        <f>+X59+IFERROR(VLOOKUP($A59,'B0 2264預收'!$1:$1048576,29,0),0)</f>
        <v>0</v>
      </c>
      <c r="AD59" s="158">
        <f t="shared" si="60"/>
        <v>0</v>
      </c>
      <c r="AE59" s="158">
        <f>+Z59+IFERROR(+VLOOKUP($A59,'B0 2264預收'!$1:$1048576,30,0),0)</f>
        <v>0</v>
      </c>
      <c r="AF59" s="158">
        <f t="shared" si="61"/>
        <v>0</v>
      </c>
      <c r="AG59" s="157">
        <f>+AB59+IFERROR(VLOOKUP($A59,'A0 BS 1240在建'!$1:$1048576,33,0),0)</f>
        <v>0</v>
      </c>
      <c r="AH59" s="157">
        <f>+AC59+IFERROR(VLOOKUP($A59,'B0 2264預收'!$1:$1048576,33,0),0)</f>
        <v>0</v>
      </c>
      <c r="AI59" s="157">
        <f t="shared" si="62"/>
        <v>0</v>
      </c>
      <c r="AJ59" s="157">
        <f>+AE59+IFERROR(+VLOOKUP($A59,'B0 2264預收'!$1:$1048576,34,0),0)</f>
        <v>0</v>
      </c>
      <c r="AK59" s="157">
        <f t="shared" si="63"/>
        <v>0</v>
      </c>
      <c r="AL59" s="158">
        <f>+AG59+IFERROR(VLOOKUP($A59,'A0 BS 1240在建'!$1:$1048576,37,0),0)</f>
        <v>0</v>
      </c>
      <c r="AM59" s="158">
        <f>+AH59+IFERROR(VLOOKUP($A59,'B0 2264預收'!$1:$1048576,37,0),0)</f>
        <v>0</v>
      </c>
      <c r="AN59" s="158">
        <f t="shared" si="64"/>
        <v>0</v>
      </c>
      <c r="AO59" s="158">
        <f>+AJ59+IFERROR(+VLOOKUP($A59,'B0 2264預收'!$1:$1048576,38,0),0)</f>
        <v>0</v>
      </c>
      <c r="AP59" s="158">
        <f t="shared" si="65"/>
        <v>0</v>
      </c>
      <c r="AQ59" s="157">
        <f>+AL59+IFERROR(VLOOKUP($A59,'A0 BS 1240在建'!$1:$1048576,41,0),0)</f>
        <v>0</v>
      </c>
      <c r="AR59" s="157">
        <f>+AM59+IFERROR(VLOOKUP($A59,'B0 2264預收'!$1:$1048576,41,0),0)</f>
        <v>0</v>
      </c>
      <c r="AS59" s="157">
        <f t="shared" si="66"/>
        <v>0</v>
      </c>
      <c r="AT59" s="157">
        <f>+AO59+IFERROR(+VLOOKUP($A59,'B0 2264預收'!$1:$1048576,42,0),0)</f>
        <v>0</v>
      </c>
      <c r="AU59" s="157">
        <f t="shared" si="67"/>
        <v>0</v>
      </c>
      <c r="AV59" s="158">
        <f>+AQ59+IFERROR(VLOOKUP($A59,'A0 BS 1240在建'!$1:$1048576,45,0),0)</f>
        <v>0</v>
      </c>
      <c r="AW59" s="158">
        <f>+AR59+IFERROR(VLOOKUP($A59,'B0 2264預收'!$1:$1048576,45,0),0)</f>
        <v>0</v>
      </c>
      <c r="AX59" s="158">
        <f t="shared" si="68"/>
        <v>0</v>
      </c>
      <c r="AY59" s="158">
        <f>+AT59+IFERROR(+VLOOKUP($A59,'B0 2264預收'!$1:$1048576,46,0),0)</f>
        <v>0</v>
      </c>
      <c r="AZ59" s="158">
        <f t="shared" si="69"/>
        <v>0</v>
      </c>
      <c r="BA59" s="157">
        <f>+AV59+IFERROR(VLOOKUP($A59,'A0 BS 1240在建'!$1:$1048576,49,0),0)</f>
        <v>0</v>
      </c>
      <c r="BB59" s="157">
        <f>+AW59+IFERROR(VLOOKUP($A59,'B0 2264預收'!$1:$1048576,49,0),0)</f>
        <v>0</v>
      </c>
      <c r="BC59" s="157">
        <f t="shared" si="70"/>
        <v>0</v>
      </c>
      <c r="BD59" s="157">
        <f>+AY59+IFERROR(+VLOOKUP($A59,'B0 2264預收'!$1:$1048576,50,0),0)</f>
        <v>0</v>
      </c>
      <c r="BE59" s="157">
        <f t="shared" si="71"/>
        <v>0</v>
      </c>
      <c r="BF59" s="158">
        <f>+BA59+IFERROR(VLOOKUP($A59,'A0 BS 1240在建'!$1:$1048576,53,0),0)</f>
        <v>0</v>
      </c>
      <c r="BG59" s="158">
        <f>+BB59+IFERROR(VLOOKUP($A59,'B0 2264預收'!$1:$1048576,53,0),0)</f>
        <v>0</v>
      </c>
      <c r="BH59" s="158">
        <f t="shared" si="72"/>
        <v>0</v>
      </c>
      <c r="BI59" s="158">
        <f>+BD59+IFERROR(+VLOOKUP($A59,'B0 2264預收'!$1:$1048576,54,0),0)</f>
        <v>0</v>
      </c>
      <c r="BJ59" s="158">
        <f t="shared" si="73"/>
        <v>0</v>
      </c>
      <c r="BK59" s="157">
        <f>+BF59+IFERROR(VLOOKUP($A59,'A0 BS 1240在建'!$1:$1048576,57,0),0)</f>
        <v>0</v>
      </c>
      <c r="BL59" s="157">
        <f>+BG59+IFERROR(VLOOKUP($A59,'B0 2264預收'!$1:$1048576,57,0),0)</f>
        <v>0</v>
      </c>
      <c r="BM59" s="157">
        <f t="shared" si="74"/>
        <v>0</v>
      </c>
      <c r="BN59" s="157">
        <f>+BI59+IFERROR(+VLOOKUP($A59,'B0 2264預收'!$1:$1048576,58,0),0)</f>
        <v>0</v>
      </c>
      <c r="BO59" s="157">
        <f t="shared" si="75"/>
        <v>0</v>
      </c>
      <c r="BP59" s="158">
        <f>+BK59+IFERROR(VLOOKUP($A59,'A0 BS 1240在建'!$1:$1048576,61,0),0)</f>
        <v>0</v>
      </c>
      <c r="BQ59" s="158">
        <f>+BL59+IFERROR(VLOOKUP($A59,'B0 2264預收'!$1:$1048576,61,0),0)</f>
        <v>0</v>
      </c>
      <c r="BR59" s="159">
        <f t="shared" si="76"/>
        <v>0</v>
      </c>
      <c r="BS59" s="158">
        <f>+BN59+IFERROR(+VLOOKUP($A59,'B0 2264預收'!$1:$1048576,62,0),0)</f>
        <v>0</v>
      </c>
      <c r="BT59" s="158">
        <f t="shared" si="77"/>
        <v>0</v>
      </c>
      <c r="BU59" s="157">
        <f>+IFERROR(VLOOKUP($A59,'A0 BS 1240在建'!$1:$1048576,77,0),0)</f>
        <v>0</v>
      </c>
      <c r="BV59" s="157">
        <f>+IFERROR(VLOOKUP($A59,'B0 2264預收'!$1:$1048576,77,0),0)</f>
        <v>0</v>
      </c>
      <c r="BW59" s="157">
        <f t="shared" si="78"/>
        <v>0</v>
      </c>
      <c r="BX59" s="157">
        <f>+IFERROR(+VLOOKUP($A59,'B0 2264預收'!$1:$1048576,78,0),0)</f>
        <v>0</v>
      </c>
      <c r="BY59" s="157">
        <f t="shared" si="79"/>
        <v>0</v>
      </c>
      <c r="BZ59" s="158">
        <f>IFERROR(+VLOOKUP($A59,'A0 BS 1240在建'!$1:$1048576,85,0),0)</f>
        <v>0</v>
      </c>
      <c r="CA59" s="158">
        <f>IFERROR(+VLOOKUP($A59,'B0 2264預收'!$1:$1048576,85,0),0)</f>
        <v>0</v>
      </c>
      <c r="CB59" s="158">
        <f t="shared" si="80"/>
        <v>0</v>
      </c>
      <c r="CC59" s="158">
        <f>+IFERROR(+VLOOKUP($A59,'B0 2264預收'!$1:$1048576,86,0),0)</f>
        <v>0</v>
      </c>
      <c r="CD59" s="158">
        <f t="shared" si="81"/>
        <v>0</v>
      </c>
      <c r="CE59" s="157">
        <f>+IFERROR(VLOOKUP($A59,'A0 BS 1240在建'!$1:$1048576,93,0),0)</f>
        <v>0</v>
      </c>
      <c r="CF59" s="157">
        <f>+IFERROR(VLOOKUP($A59,'B0 2264預收'!$1:$1048576,93,0),0)</f>
        <v>0</v>
      </c>
      <c r="CG59" s="157">
        <f t="shared" si="82"/>
        <v>0</v>
      </c>
      <c r="CH59" s="157">
        <f>+IFERROR(+VLOOKUP($A59,'B0 2264預收'!$1:$1048576,94,0),0)</f>
        <v>0</v>
      </c>
      <c r="CI59" s="157">
        <f t="shared" si="83"/>
        <v>0</v>
      </c>
      <c r="CJ59" s="158">
        <f>IFERROR(+VLOOKUP($A59,'A0 BS 1240在建'!$1:$1048576,101,0),0)</f>
        <v>0</v>
      </c>
      <c r="CK59" s="158">
        <f>IFERROR(+VLOOKUP($A59,'B0 2264預收'!$1:$1048576,101,0),0)</f>
        <v>0</v>
      </c>
      <c r="CL59" s="158">
        <f t="shared" si="84"/>
        <v>0</v>
      </c>
      <c r="CM59" s="158">
        <f>+IFERROR(+VLOOKUP($A59,'B0 2264預收'!$1:$1048576,102,0),0)</f>
        <v>0</v>
      </c>
      <c r="CN59" s="158">
        <f t="shared" si="85"/>
        <v>0</v>
      </c>
      <c r="CP59" s="165">
        <f t="shared" si="99"/>
        <v>0</v>
      </c>
      <c r="CR59" s="98">
        <f t="shared" si="101"/>
        <v>0</v>
      </c>
      <c r="CU59" s="165">
        <f t="shared" si="100"/>
        <v>0</v>
      </c>
      <c r="CW59" s="98">
        <f>+CU59</f>
        <v>0</v>
      </c>
      <c r="CY59" s="162" t="str">
        <f t="shared" si="86"/>
        <v/>
      </c>
      <c r="CZ59" s="98" t="str">
        <f t="shared" si="87"/>
        <v xml:space="preserve"> </v>
      </c>
      <c r="DA59" s="98" t="str">
        <f t="shared" si="88"/>
        <v xml:space="preserve"> </v>
      </c>
      <c r="DB59" s="98" t="str">
        <f t="shared" si="89"/>
        <v xml:space="preserve"> </v>
      </c>
      <c r="DC59" s="163">
        <f t="shared" si="90"/>
        <v>0</v>
      </c>
      <c r="DD59" s="162" t="str">
        <f t="shared" si="92"/>
        <v/>
      </c>
      <c r="DE59" s="98" t="str">
        <f t="shared" si="93"/>
        <v xml:space="preserve"> </v>
      </c>
      <c r="DF59" s="98" t="str">
        <f t="shared" si="94"/>
        <v xml:space="preserve"> </v>
      </c>
      <c r="DG59" s="98" t="str">
        <f t="shared" si="95"/>
        <v xml:space="preserve"> </v>
      </c>
      <c r="DH59" s="163">
        <f t="shared" si="91"/>
        <v>0</v>
      </c>
    </row>
    <row r="60" spans="1:112">
      <c r="A60" s="158" t="s">
        <v>415</v>
      </c>
      <c r="B60" s="177" t="s">
        <v>416</v>
      </c>
      <c r="C60" s="157">
        <f>IFERROR(VLOOKUP($A60,'A0 BS 1240在建'!$1:$1048576,5,0),0)</f>
        <v>0</v>
      </c>
      <c r="D60" s="157">
        <f>IFERROR(VLOOKUP($A60,'B0 2264預收'!$1:$1048576,5,0),0)</f>
        <v>0</v>
      </c>
      <c r="E60" s="157">
        <f t="shared" si="50"/>
        <v>0</v>
      </c>
      <c r="F60" s="157">
        <f>IFERROR(VLOOKUP($A60,'B0 2264預收'!$1:$1048576,6,0),0)</f>
        <v>0</v>
      </c>
      <c r="G60" s="157">
        <f t="shared" si="51"/>
        <v>0</v>
      </c>
      <c r="H60" s="158">
        <f>IFERROR(VLOOKUP($A60,'A0 BS 1240在建'!$1:$1048576,13,0),0)</f>
        <v>0</v>
      </c>
      <c r="I60" s="158">
        <f>IFERROR(VLOOKUP($A60,'B0 2264預收'!$1:$1048576,13,0),0)</f>
        <v>0</v>
      </c>
      <c r="J60" s="158">
        <f t="shared" si="52"/>
        <v>0</v>
      </c>
      <c r="K60" s="158">
        <f>IFERROR(VLOOKUP($A60,'B0 2264預收'!$1:$1048576,14,0),0)</f>
        <v>0</v>
      </c>
      <c r="L60" s="158">
        <f t="shared" si="53"/>
        <v>0</v>
      </c>
      <c r="M60" s="157">
        <f>H60+IFERROR(VLOOKUP($A60,'A0 BS 1240在建'!$1:$1048576,17,0),0)</f>
        <v>0</v>
      </c>
      <c r="N60" s="157">
        <f>I60+IFERROR(VLOOKUP($A60,'B0 2264預收'!$1:$1048576,17,0),0)</f>
        <v>0</v>
      </c>
      <c r="O60" s="157">
        <f t="shared" si="54"/>
        <v>0</v>
      </c>
      <c r="P60" s="157">
        <f>K60+IFERROR(+VLOOKUP($A60,'B0 2264預收'!$1:$1048576,18,0),0)</f>
        <v>0</v>
      </c>
      <c r="Q60" s="157">
        <f t="shared" si="55"/>
        <v>0</v>
      </c>
      <c r="R60" s="158">
        <f>M60+IFERROR(VLOOKUP($A60,'A0 BS 1240在建'!$1:$1048576,21,0),0)</f>
        <v>0</v>
      </c>
      <c r="S60" s="158">
        <f>+N60+IFERROR(VLOOKUP($A60,'B0 2264預收'!$1:$1048576,21,0),0)</f>
        <v>0</v>
      </c>
      <c r="T60" s="158">
        <f t="shared" si="56"/>
        <v>0</v>
      </c>
      <c r="U60" s="158">
        <f>+P60+IFERROR(+VLOOKUP($A60,'B0 2264預收'!$1:$1048576,22,0),0)</f>
        <v>0</v>
      </c>
      <c r="V60" s="158">
        <f t="shared" si="57"/>
        <v>0</v>
      </c>
      <c r="W60" s="157">
        <f>+R60+IFERROR(VLOOKUP($A60,'A0 BS 1240在建'!$1:$1048576,25,0),0)</f>
        <v>0</v>
      </c>
      <c r="X60" s="157">
        <f>+S60+IFERROR(VLOOKUP($A60,'B0 2264預收'!$1:$1048576,25,0),0)</f>
        <v>0</v>
      </c>
      <c r="Y60" s="157">
        <f t="shared" si="58"/>
        <v>0</v>
      </c>
      <c r="Z60" s="157">
        <f>+U60+IFERROR(+VLOOKUP($A60,'B0 2264預收'!$1:$1048576,26,0),0)</f>
        <v>0</v>
      </c>
      <c r="AA60" s="157">
        <f t="shared" si="59"/>
        <v>0</v>
      </c>
      <c r="AB60" s="158">
        <f>+W60+IFERROR(VLOOKUP($A60,'A0 BS 1240在建'!$1:$1048576,29,0),0)</f>
        <v>0</v>
      </c>
      <c r="AC60" s="158">
        <f>+X60+IFERROR(VLOOKUP($A60,'B0 2264預收'!$1:$1048576,29,0),0)</f>
        <v>0</v>
      </c>
      <c r="AD60" s="158">
        <f t="shared" si="60"/>
        <v>0</v>
      </c>
      <c r="AE60" s="158">
        <f>+Z60+IFERROR(+VLOOKUP($A60,'B0 2264預收'!$1:$1048576,30,0),0)</f>
        <v>0</v>
      </c>
      <c r="AF60" s="158">
        <f t="shared" si="61"/>
        <v>0</v>
      </c>
      <c r="AG60" s="157">
        <f>+AB60+IFERROR(VLOOKUP($A60,'A0 BS 1240在建'!$1:$1048576,33,0),0)</f>
        <v>0</v>
      </c>
      <c r="AH60" s="157">
        <f>+AC60+IFERROR(VLOOKUP($A60,'B0 2264預收'!$1:$1048576,33,0),0)</f>
        <v>0</v>
      </c>
      <c r="AI60" s="157">
        <f t="shared" si="62"/>
        <v>0</v>
      </c>
      <c r="AJ60" s="157">
        <f>+AE60+IFERROR(+VLOOKUP($A60,'B0 2264預收'!$1:$1048576,34,0),0)</f>
        <v>0</v>
      </c>
      <c r="AK60" s="157">
        <f t="shared" si="63"/>
        <v>0</v>
      </c>
      <c r="AL60" s="158">
        <f>+AG60+IFERROR(VLOOKUP($A60,'A0 BS 1240在建'!$1:$1048576,37,0),0)</f>
        <v>0</v>
      </c>
      <c r="AM60" s="158">
        <f>+AH60+IFERROR(VLOOKUP($A60,'B0 2264預收'!$1:$1048576,37,0),0)</f>
        <v>0</v>
      </c>
      <c r="AN60" s="158">
        <f t="shared" si="64"/>
        <v>0</v>
      </c>
      <c r="AO60" s="158">
        <f>+AJ60+IFERROR(+VLOOKUP($A60,'B0 2264預收'!$1:$1048576,38,0),0)</f>
        <v>0</v>
      </c>
      <c r="AP60" s="158">
        <f t="shared" si="65"/>
        <v>0</v>
      </c>
      <c r="AQ60" s="157">
        <f>+AL60+IFERROR(VLOOKUP($A60,'A0 BS 1240在建'!$1:$1048576,41,0),0)</f>
        <v>0</v>
      </c>
      <c r="AR60" s="157">
        <f>+AM60+IFERROR(VLOOKUP($A60,'B0 2264預收'!$1:$1048576,41,0),0)</f>
        <v>0</v>
      </c>
      <c r="AS60" s="157">
        <f t="shared" si="66"/>
        <v>0</v>
      </c>
      <c r="AT60" s="157">
        <f>+AO60+IFERROR(+VLOOKUP($A60,'B0 2264預收'!$1:$1048576,42,0),0)</f>
        <v>0</v>
      </c>
      <c r="AU60" s="157">
        <f t="shared" si="67"/>
        <v>0</v>
      </c>
      <c r="AV60" s="158">
        <f>+AQ60+IFERROR(VLOOKUP($A60,'A0 BS 1240在建'!$1:$1048576,45,0),0)</f>
        <v>0</v>
      </c>
      <c r="AW60" s="158">
        <f>+AR60+IFERROR(VLOOKUP($A60,'B0 2264預收'!$1:$1048576,45,0),0)</f>
        <v>0</v>
      </c>
      <c r="AX60" s="158">
        <f t="shared" si="68"/>
        <v>0</v>
      </c>
      <c r="AY60" s="158">
        <f>+AT60+IFERROR(+VLOOKUP($A60,'B0 2264預收'!$1:$1048576,46,0),0)</f>
        <v>0</v>
      </c>
      <c r="AZ60" s="158">
        <f t="shared" si="69"/>
        <v>0</v>
      </c>
      <c r="BA60" s="157">
        <f>+AV60+IFERROR(VLOOKUP($A60,'A0 BS 1240在建'!$1:$1048576,49,0),0)</f>
        <v>0</v>
      </c>
      <c r="BB60" s="157">
        <f>+AW60+IFERROR(VLOOKUP($A60,'B0 2264預收'!$1:$1048576,49,0),0)</f>
        <v>0</v>
      </c>
      <c r="BC60" s="157">
        <f t="shared" si="70"/>
        <v>0</v>
      </c>
      <c r="BD60" s="157">
        <f>+AY60+IFERROR(+VLOOKUP($A60,'B0 2264預收'!$1:$1048576,50,0),0)</f>
        <v>0</v>
      </c>
      <c r="BE60" s="157">
        <f t="shared" si="71"/>
        <v>0</v>
      </c>
      <c r="BF60" s="158">
        <f>+BA60+IFERROR(VLOOKUP($A60,'A0 BS 1240在建'!$1:$1048576,53,0),0)</f>
        <v>0</v>
      </c>
      <c r="BG60" s="158">
        <f>+BB60+IFERROR(VLOOKUP($A60,'B0 2264預收'!$1:$1048576,53,0),0)</f>
        <v>0</v>
      </c>
      <c r="BH60" s="158">
        <f t="shared" si="72"/>
        <v>0</v>
      </c>
      <c r="BI60" s="158">
        <f>+BD60+IFERROR(+VLOOKUP($A60,'B0 2264預收'!$1:$1048576,54,0),0)</f>
        <v>0</v>
      </c>
      <c r="BJ60" s="158">
        <f t="shared" si="73"/>
        <v>0</v>
      </c>
      <c r="BK60" s="157">
        <f>+BF60+IFERROR(VLOOKUP($A60,'A0 BS 1240在建'!$1:$1048576,57,0),0)</f>
        <v>0</v>
      </c>
      <c r="BL60" s="157">
        <f>+BG60+IFERROR(VLOOKUP($A60,'B0 2264預收'!$1:$1048576,57,0),0)</f>
        <v>0</v>
      </c>
      <c r="BM60" s="157">
        <f t="shared" si="74"/>
        <v>0</v>
      </c>
      <c r="BN60" s="157">
        <f>+BI60+IFERROR(+VLOOKUP($A60,'B0 2264預收'!$1:$1048576,58,0),0)</f>
        <v>0</v>
      </c>
      <c r="BO60" s="157">
        <f t="shared" si="75"/>
        <v>0</v>
      </c>
      <c r="BP60" s="158">
        <f>+BK60+IFERROR(VLOOKUP($A60,'A0 BS 1240在建'!$1:$1048576,61,0),0)</f>
        <v>0</v>
      </c>
      <c r="BQ60" s="158">
        <f>+BL60+IFERROR(VLOOKUP($A60,'B0 2264預收'!$1:$1048576,61,0),0)</f>
        <v>0</v>
      </c>
      <c r="BR60" s="159">
        <f t="shared" si="76"/>
        <v>0</v>
      </c>
      <c r="BS60" s="158">
        <f>+BN60+IFERROR(+VLOOKUP($A60,'B0 2264預收'!$1:$1048576,62,0),0)</f>
        <v>0</v>
      </c>
      <c r="BT60" s="158">
        <f t="shared" si="77"/>
        <v>0</v>
      </c>
      <c r="BU60" s="157">
        <f>+IFERROR(VLOOKUP($A60,'A0 BS 1240在建'!$1:$1048576,77,0),0)</f>
        <v>0</v>
      </c>
      <c r="BV60" s="157">
        <f>+IFERROR(VLOOKUP($A60,'B0 2264預收'!$1:$1048576,77,0),0)</f>
        <v>0</v>
      </c>
      <c r="BW60" s="157">
        <f t="shared" si="78"/>
        <v>0</v>
      </c>
      <c r="BX60" s="157">
        <f>+IFERROR(+VLOOKUP($A60,'B0 2264預收'!$1:$1048576,78,0),0)</f>
        <v>0</v>
      </c>
      <c r="BY60" s="157">
        <f t="shared" si="79"/>
        <v>0</v>
      </c>
      <c r="BZ60" s="158">
        <f>IFERROR(+VLOOKUP($A60,'A0 BS 1240在建'!$1:$1048576,85,0),0)</f>
        <v>0</v>
      </c>
      <c r="CA60" s="158">
        <f>IFERROR(+VLOOKUP($A60,'B0 2264預收'!$1:$1048576,85,0),0)</f>
        <v>0</v>
      </c>
      <c r="CB60" s="158">
        <f t="shared" si="80"/>
        <v>0</v>
      </c>
      <c r="CC60" s="158">
        <f>+IFERROR(+VLOOKUP($A60,'B0 2264預收'!$1:$1048576,86,0),0)</f>
        <v>0</v>
      </c>
      <c r="CD60" s="158">
        <f t="shared" si="81"/>
        <v>0</v>
      </c>
      <c r="CE60" s="157">
        <f>+IFERROR(VLOOKUP($A60,'A0 BS 1240在建'!$1:$1048576,93,0),0)</f>
        <v>0</v>
      </c>
      <c r="CF60" s="157">
        <f>+IFERROR(VLOOKUP($A60,'B0 2264預收'!$1:$1048576,93,0),0)</f>
        <v>0</v>
      </c>
      <c r="CG60" s="157">
        <f t="shared" si="82"/>
        <v>0</v>
      </c>
      <c r="CH60" s="157">
        <f>+IFERROR(+VLOOKUP($A60,'B0 2264預收'!$1:$1048576,94,0),0)</f>
        <v>0</v>
      </c>
      <c r="CI60" s="157">
        <f t="shared" si="83"/>
        <v>0</v>
      </c>
      <c r="CJ60" s="158">
        <f>IFERROR(+VLOOKUP($A60,'A0 BS 1240在建'!$1:$1048576,101,0),0)</f>
        <v>0</v>
      </c>
      <c r="CK60" s="158">
        <f>IFERROR(+VLOOKUP($A60,'B0 2264預收'!$1:$1048576,101,0),0)</f>
        <v>0</v>
      </c>
      <c r="CL60" s="158">
        <f t="shared" si="84"/>
        <v>0</v>
      </c>
      <c r="CM60" s="158">
        <f>+IFERROR(+VLOOKUP($A60,'B0 2264預收'!$1:$1048576,102,0),0)</f>
        <v>0</v>
      </c>
      <c r="CN60" s="158">
        <f t="shared" si="85"/>
        <v>0</v>
      </c>
      <c r="CP60" s="165">
        <f t="shared" si="99"/>
        <v>0</v>
      </c>
      <c r="CR60" s="98">
        <f t="shared" si="101"/>
        <v>0</v>
      </c>
      <c r="CU60" s="165">
        <f t="shared" si="100"/>
        <v>0</v>
      </c>
      <c r="CW60" s="98">
        <f>+CU60</f>
        <v>0</v>
      </c>
      <c r="CY60" s="162" t="str">
        <f t="shared" si="86"/>
        <v/>
      </c>
      <c r="CZ60" s="98" t="str">
        <f t="shared" si="87"/>
        <v xml:space="preserve"> </v>
      </c>
      <c r="DA60" s="98" t="str">
        <f t="shared" si="88"/>
        <v xml:space="preserve"> </v>
      </c>
      <c r="DB60" s="98" t="str">
        <f t="shared" si="89"/>
        <v xml:space="preserve"> </v>
      </c>
      <c r="DC60" s="163">
        <f t="shared" si="90"/>
        <v>0</v>
      </c>
      <c r="DD60" s="162" t="str">
        <f t="shared" si="92"/>
        <v/>
      </c>
      <c r="DE60" s="98" t="str">
        <f t="shared" si="93"/>
        <v xml:space="preserve"> </v>
      </c>
      <c r="DF60" s="98" t="str">
        <f t="shared" si="94"/>
        <v xml:space="preserve"> </v>
      </c>
      <c r="DG60" s="98" t="str">
        <f t="shared" si="95"/>
        <v xml:space="preserve"> </v>
      </c>
      <c r="DH60" s="163">
        <f t="shared" si="91"/>
        <v>0</v>
      </c>
    </row>
    <row r="61" spans="1:112">
      <c r="A61" s="158" t="s">
        <v>417</v>
      </c>
      <c r="B61" s="177" t="s">
        <v>418</v>
      </c>
      <c r="C61" s="157">
        <f>IFERROR(VLOOKUP($A61,'A0 BS 1240在建'!$1:$1048576,5,0),0)</f>
        <v>0</v>
      </c>
      <c r="D61" s="157">
        <f>IFERROR(VLOOKUP($A61,'B0 2264預收'!$1:$1048576,5,0),0)</f>
        <v>0</v>
      </c>
      <c r="E61" s="157">
        <f t="shared" si="50"/>
        <v>0</v>
      </c>
      <c r="F61" s="157">
        <f>IFERROR(VLOOKUP($A61,'B0 2264預收'!$1:$1048576,6,0),0)</f>
        <v>0</v>
      </c>
      <c r="G61" s="157">
        <f t="shared" si="51"/>
        <v>0</v>
      </c>
      <c r="H61" s="158">
        <f>IFERROR(VLOOKUP($A61,'A0 BS 1240在建'!$1:$1048576,13,0),0)</f>
        <v>0</v>
      </c>
      <c r="I61" s="158">
        <f>IFERROR(VLOOKUP($A61,'B0 2264預收'!$1:$1048576,13,0),0)</f>
        <v>0</v>
      </c>
      <c r="J61" s="158">
        <f t="shared" si="52"/>
        <v>0</v>
      </c>
      <c r="K61" s="158">
        <f>IFERROR(VLOOKUP($A61,'B0 2264預收'!$1:$1048576,14,0),0)</f>
        <v>0</v>
      </c>
      <c r="L61" s="158">
        <f t="shared" si="53"/>
        <v>0</v>
      </c>
      <c r="M61" s="157">
        <f>H61+IFERROR(VLOOKUP($A61,'A0 BS 1240在建'!$1:$1048576,17,0),0)</f>
        <v>0</v>
      </c>
      <c r="N61" s="157">
        <f>I61+IFERROR(VLOOKUP($A61,'B0 2264預收'!$1:$1048576,17,0),0)</f>
        <v>0</v>
      </c>
      <c r="O61" s="157">
        <f t="shared" si="54"/>
        <v>0</v>
      </c>
      <c r="P61" s="157">
        <f>K61+IFERROR(+VLOOKUP($A61,'B0 2264預收'!$1:$1048576,18,0),0)</f>
        <v>0</v>
      </c>
      <c r="Q61" s="157">
        <f t="shared" si="55"/>
        <v>0</v>
      </c>
      <c r="R61" s="158">
        <f>M61+IFERROR(VLOOKUP($A61,'A0 BS 1240在建'!$1:$1048576,21,0),0)</f>
        <v>0</v>
      </c>
      <c r="S61" s="158">
        <f>+N61+IFERROR(VLOOKUP($A61,'B0 2264預收'!$1:$1048576,21,0),0)</f>
        <v>0</v>
      </c>
      <c r="T61" s="158">
        <f t="shared" si="56"/>
        <v>0</v>
      </c>
      <c r="U61" s="158">
        <f>+P61+IFERROR(+VLOOKUP($A61,'B0 2264預收'!$1:$1048576,22,0),0)</f>
        <v>0</v>
      </c>
      <c r="V61" s="158">
        <f t="shared" si="57"/>
        <v>0</v>
      </c>
      <c r="W61" s="157">
        <f>+R61+IFERROR(VLOOKUP($A61,'A0 BS 1240在建'!$1:$1048576,25,0),0)</f>
        <v>0</v>
      </c>
      <c r="X61" s="157">
        <f>+S61+IFERROR(VLOOKUP($A61,'B0 2264預收'!$1:$1048576,25,0),0)</f>
        <v>0</v>
      </c>
      <c r="Y61" s="157">
        <f t="shared" si="58"/>
        <v>0</v>
      </c>
      <c r="Z61" s="157">
        <f>+U61+IFERROR(+VLOOKUP($A61,'B0 2264預收'!$1:$1048576,26,0),0)</f>
        <v>0</v>
      </c>
      <c r="AA61" s="157">
        <f t="shared" si="59"/>
        <v>0</v>
      </c>
      <c r="AB61" s="158">
        <f>+W61+IFERROR(VLOOKUP($A61,'A0 BS 1240在建'!$1:$1048576,29,0),0)</f>
        <v>0</v>
      </c>
      <c r="AC61" s="158">
        <f>+X61+IFERROR(VLOOKUP($A61,'B0 2264預收'!$1:$1048576,29,0),0)</f>
        <v>0</v>
      </c>
      <c r="AD61" s="158">
        <f t="shared" si="60"/>
        <v>0</v>
      </c>
      <c r="AE61" s="158">
        <f>+Z61+IFERROR(+VLOOKUP($A61,'B0 2264預收'!$1:$1048576,30,0),0)</f>
        <v>0</v>
      </c>
      <c r="AF61" s="158">
        <f t="shared" si="61"/>
        <v>0</v>
      </c>
      <c r="AG61" s="157">
        <f>+AB61+IFERROR(VLOOKUP($A61,'A0 BS 1240在建'!$1:$1048576,33,0),0)</f>
        <v>0</v>
      </c>
      <c r="AH61" s="157">
        <f>+AC61+IFERROR(VLOOKUP($A61,'B0 2264預收'!$1:$1048576,33,0),0)</f>
        <v>0</v>
      </c>
      <c r="AI61" s="157">
        <f t="shared" si="62"/>
        <v>0</v>
      </c>
      <c r="AJ61" s="157">
        <f>+AE61+IFERROR(+VLOOKUP($A61,'B0 2264預收'!$1:$1048576,34,0),0)</f>
        <v>0</v>
      </c>
      <c r="AK61" s="157">
        <f t="shared" si="63"/>
        <v>0</v>
      </c>
      <c r="AL61" s="158">
        <f>+AG61+IFERROR(VLOOKUP($A61,'A0 BS 1240在建'!$1:$1048576,37,0),0)</f>
        <v>0</v>
      </c>
      <c r="AM61" s="158">
        <f>+AH61+IFERROR(VLOOKUP($A61,'B0 2264預收'!$1:$1048576,37,0),0)</f>
        <v>0</v>
      </c>
      <c r="AN61" s="158">
        <f t="shared" si="64"/>
        <v>0</v>
      </c>
      <c r="AO61" s="158">
        <f>+AJ61+IFERROR(+VLOOKUP($A61,'B0 2264預收'!$1:$1048576,38,0),0)</f>
        <v>0</v>
      </c>
      <c r="AP61" s="158">
        <f t="shared" si="65"/>
        <v>0</v>
      </c>
      <c r="AQ61" s="157">
        <f>+AL61+IFERROR(VLOOKUP($A61,'A0 BS 1240在建'!$1:$1048576,41,0),0)</f>
        <v>0</v>
      </c>
      <c r="AR61" s="157">
        <f>+AM61+IFERROR(VLOOKUP($A61,'B0 2264預收'!$1:$1048576,41,0),0)</f>
        <v>0</v>
      </c>
      <c r="AS61" s="157">
        <f t="shared" si="66"/>
        <v>0</v>
      </c>
      <c r="AT61" s="157">
        <f>+AO61+IFERROR(+VLOOKUP($A61,'B0 2264預收'!$1:$1048576,42,0),0)</f>
        <v>0</v>
      </c>
      <c r="AU61" s="157">
        <f t="shared" si="67"/>
        <v>0</v>
      </c>
      <c r="AV61" s="158">
        <f>+AQ61+IFERROR(VLOOKUP($A61,'A0 BS 1240在建'!$1:$1048576,45,0),0)</f>
        <v>0</v>
      </c>
      <c r="AW61" s="158">
        <f>+AR61+IFERROR(VLOOKUP($A61,'B0 2264預收'!$1:$1048576,45,0),0)</f>
        <v>0</v>
      </c>
      <c r="AX61" s="158">
        <f t="shared" si="68"/>
        <v>0</v>
      </c>
      <c r="AY61" s="158">
        <f>+AT61+IFERROR(+VLOOKUP($A61,'B0 2264預收'!$1:$1048576,46,0),0)</f>
        <v>0</v>
      </c>
      <c r="AZ61" s="158">
        <f t="shared" si="69"/>
        <v>0</v>
      </c>
      <c r="BA61" s="157">
        <f>+AV61+IFERROR(VLOOKUP($A61,'A0 BS 1240在建'!$1:$1048576,49,0),0)</f>
        <v>0</v>
      </c>
      <c r="BB61" s="157">
        <f>+AW61+IFERROR(VLOOKUP($A61,'B0 2264預收'!$1:$1048576,49,0),0)</f>
        <v>0</v>
      </c>
      <c r="BC61" s="157">
        <f t="shared" si="70"/>
        <v>0</v>
      </c>
      <c r="BD61" s="157">
        <f>+AY61+IFERROR(+VLOOKUP($A61,'B0 2264預收'!$1:$1048576,50,0),0)</f>
        <v>0</v>
      </c>
      <c r="BE61" s="157">
        <f t="shared" si="71"/>
        <v>0</v>
      </c>
      <c r="BF61" s="158">
        <f>+BA61+IFERROR(VLOOKUP($A61,'A0 BS 1240在建'!$1:$1048576,53,0),0)</f>
        <v>0</v>
      </c>
      <c r="BG61" s="158">
        <f>+BB61+IFERROR(VLOOKUP($A61,'B0 2264預收'!$1:$1048576,53,0),0)</f>
        <v>0</v>
      </c>
      <c r="BH61" s="158">
        <f t="shared" si="72"/>
        <v>0</v>
      </c>
      <c r="BI61" s="158">
        <f>+BD61+IFERROR(+VLOOKUP($A61,'B0 2264預收'!$1:$1048576,54,0),0)</f>
        <v>0</v>
      </c>
      <c r="BJ61" s="158">
        <f t="shared" si="73"/>
        <v>0</v>
      </c>
      <c r="BK61" s="157">
        <f>+BF61+IFERROR(VLOOKUP($A61,'A0 BS 1240在建'!$1:$1048576,57,0),0)</f>
        <v>0</v>
      </c>
      <c r="BL61" s="157">
        <f>+BG61+IFERROR(VLOOKUP($A61,'B0 2264預收'!$1:$1048576,57,0),0)</f>
        <v>0</v>
      </c>
      <c r="BM61" s="157">
        <f t="shared" si="74"/>
        <v>0</v>
      </c>
      <c r="BN61" s="157">
        <f>+BI61+IFERROR(+VLOOKUP($A61,'B0 2264預收'!$1:$1048576,58,0),0)</f>
        <v>0</v>
      </c>
      <c r="BO61" s="157">
        <f t="shared" si="75"/>
        <v>0</v>
      </c>
      <c r="BP61" s="158">
        <f>+BK61+IFERROR(VLOOKUP($A61,'A0 BS 1240在建'!$1:$1048576,61,0),0)</f>
        <v>0</v>
      </c>
      <c r="BQ61" s="158">
        <f>+BL61+IFERROR(VLOOKUP($A61,'B0 2264預收'!$1:$1048576,61,0),0)</f>
        <v>0</v>
      </c>
      <c r="BR61" s="159">
        <f t="shared" si="76"/>
        <v>0</v>
      </c>
      <c r="BS61" s="158">
        <f>+BN61+IFERROR(+VLOOKUP($A61,'B0 2264預收'!$1:$1048576,62,0),0)</f>
        <v>0</v>
      </c>
      <c r="BT61" s="158">
        <f t="shared" si="77"/>
        <v>0</v>
      </c>
      <c r="BU61" s="157">
        <f>+IFERROR(VLOOKUP($A61,'A0 BS 1240在建'!$1:$1048576,77,0),0)</f>
        <v>0</v>
      </c>
      <c r="BV61" s="157">
        <f>+IFERROR(VLOOKUP($A61,'B0 2264預收'!$1:$1048576,77,0),0)</f>
        <v>0</v>
      </c>
      <c r="BW61" s="157">
        <f t="shared" si="78"/>
        <v>0</v>
      </c>
      <c r="BX61" s="157">
        <f>+IFERROR(+VLOOKUP($A61,'B0 2264預收'!$1:$1048576,78,0),0)</f>
        <v>0</v>
      </c>
      <c r="BY61" s="157">
        <f t="shared" si="79"/>
        <v>0</v>
      </c>
      <c r="BZ61" s="158">
        <f>IFERROR(+VLOOKUP($A61,'A0 BS 1240在建'!$1:$1048576,85,0),0)</f>
        <v>0</v>
      </c>
      <c r="CA61" s="158">
        <f>IFERROR(+VLOOKUP($A61,'B0 2264預收'!$1:$1048576,85,0),0)</f>
        <v>0</v>
      </c>
      <c r="CB61" s="158">
        <f t="shared" si="80"/>
        <v>0</v>
      </c>
      <c r="CC61" s="158">
        <f>+IFERROR(+VLOOKUP($A61,'B0 2264預收'!$1:$1048576,86,0),0)</f>
        <v>0</v>
      </c>
      <c r="CD61" s="158">
        <f t="shared" si="81"/>
        <v>0</v>
      </c>
      <c r="CE61" s="157">
        <f>+IFERROR(VLOOKUP($A61,'A0 BS 1240在建'!$1:$1048576,93,0),0)</f>
        <v>0</v>
      </c>
      <c r="CF61" s="157">
        <f>+IFERROR(VLOOKUP($A61,'B0 2264預收'!$1:$1048576,93,0),0)</f>
        <v>0</v>
      </c>
      <c r="CG61" s="157">
        <f t="shared" si="82"/>
        <v>0</v>
      </c>
      <c r="CH61" s="157">
        <f>+IFERROR(+VLOOKUP($A61,'B0 2264預收'!$1:$1048576,94,0),0)</f>
        <v>0</v>
      </c>
      <c r="CI61" s="157">
        <f t="shared" si="83"/>
        <v>0</v>
      </c>
      <c r="CJ61" s="158">
        <f>IFERROR(+VLOOKUP($A61,'A0 BS 1240在建'!$1:$1048576,101,0),0)</f>
        <v>0</v>
      </c>
      <c r="CK61" s="158">
        <f>IFERROR(+VLOOKUP($A61,'B0 2264預收'!$1:$1048576,101,0),0)</f>
        <v>0</v>
      </c>
      <c r="CL61" s="158">
        <f t="shared" si="84"/>
        <v>0</v>
      </c>
      <c r="CM61" s="158">
        <f>+IFERROR(+VLOOKUP($A61,'B0 2264預收'!$1:$1048576,102,0),0)</f>
        <v>0</v>
      </c>
      <c r="CN61" s="158">
        <f t="shared" si="85"/>
        <v>0</v>
      </c>
      <c r="CP61" s="165">
        <f t="shared" si="99"/>
        <v>0</v>
      </c>
      <c r="CR61" s="98">
        <f t="shared" si="101"/>
        <v>0</v>
      </c>
      <c r="CU61" s="165">
        <f t="shared" si="100"/>
        <v>0</v>
      </c>
      <c r="CW61" s="98">
        <f>+CU61</f>
        <v>0</v>
      </c>
      <c r="CY61" s="162" t="str">
        <f t="shared" si="86"/>
        <v/>
      </c>
      <c r="CZ61" s="98" t="str">
        <f t="shared" si="87"/>
        <v xml:space="preserve"> </v>
      </c>
      <c r="DA61" s="98" t="str">
        <f t="shared" si="88"/>
        <v xml:space="preserve"> </v>
      </c>
      <c r="DB61" s="98" t="str">
        <f t="shared" si="89"/>
        <v xml:space="preserve"> </v>
      </c>
      <c r="DC61" s="163">
        <f t="shared" si="90"/>
        <v>0</v>
      </c>
      <c r="DD61" s="162" t="str">
        <f t="shared" si="92"/>
        <v/>
      </c>
      <c r="DE61" s="98" t="str">
        <f t="shared" si="93"/>
        <v xml:space="preserve"> </v>
      </c>
      <c r="DF61" s="98" t="str">
        <f t="shared" si="94"/>
        <v xml:space="preserve"> </v>
      </c>
      <c r="DG61" s="98" t="str">
        <f t="shared" si="95"/>
        <v xml:space="preserve"> </v>
      </c>
      <c r="DH61" s="163">
        <f t="shared" si="91"/>
        <v>0</v>
      </c>
    </row>
    <row r="62" spans="1:112">
      <c r="A62" s="158" t="s">
        <v>419</v>
      </c>
      <c r="B62" s="177" t="s">
        <v>420</v>
      </c>
      <c r="C62" s="157">
        <f>IFERROR(VLOOKUP($A62,'A0 BS 1240在建'!$1:$1048576,5,0),0)</f>
        <v>0</v>
      </c>
      <c r="D62" s="157">
        <f>IFERROR(VLOOKUP($A62,'B0 2264預收'!$1:$1048576,5,0),0)</f>
        <v>0</v>
      </c>
      <c r="E62" s="157">
        <f t="shared" si="50"/>
        <v>0</v>
      </c>
      <c r="F62" s="157">
        <f>IFERROR(VLOOKUP($A62,'B0 2264預收'!$1:$1048576,6,0),0)</f>
        <v>0</v>
      </c>
      <c r="G62" s="157">
        <f t="shared" si="51"/>
        <v>0</v>
      </c>
      <c r="H62" s="158">
        <f>IFERROR(VLOOKUP($A62,'A0 BS 1240在建'!$1:$1048576,13,0),0)</f>
        <v>0</v>
      </c>
      <c r="I62" s="158">
        <f>IFERROR(VLOOKUP($A62,'B0 2264預收'!$1:$1048576,13,0),0)</f>
        <v>0</v>
      </c>
      <c r="J62" s="158">
        <f t="shared" si="52"/>
        <v>0</v>
      </c>
      <c r="K62" s="158">
        <f>IFERROR(VLOOKUP($A62,'B0 2264預收'!$1:$1048576,14,0),0)</f>
        <v>0</v>
      </c>
      <c r="L62" s="158">
        <f t="shared" si="53"/>
        <v>0</v>
      </c>
      <c r="M62" s="157">
        <f>H62+IFERROR(VLOOKUP($A62,'A0 BS 1240在建'!$1:$1048576,17,0),0)</f>
        <v>0</v>
      </c>
      <c r="N62" s="157">
        <f>I62+IFERROR(VLOOKUP($A62,'B0 2264預收'!$1:$1048576,17,0),0)</f>
        <v>0</v>
      </c>
      <c r="O62" s="157">
        <f t="shared" si="54"/>
        <v>0</v>
      </c>
      <c r="P62" s="157">
        <f>K62+IFERROR(+VLOOKUP($A62,'B0 2264預收'!$1:$1048576,18,0),0)</f>
        <v>0</v>
      </c>
      <c r="Q62" s="157">
        <f t="shared" si="55"/>
        <v>0</v>
      </c>
      <c r="R62" s="158">
        <f>M62+IFERROR(VLOOKUP($A62,'A0 BS 1240在建'!$1:$1048576,21,0),0)</f>
        <v>0</v>
      </c>
      <c r="S62" s="158">
        <f>+N62+IFERROR(VLOOKUP($A62,'B0 2264預收'!$1:$1048576,21,0),0)</f>
        <v>0</v>
      </c>
      <c r="T62" s="158">
        <f t="shared" si="56"/>
        <v>0</v>
      </c>
      <c r="U62" s="158">
        <f>+P62+IFERROR(+VLOOKUP($A62,'B0 2264預收'!$1:$1048576,22,0),0)</f>
        <v>0</v>
      </c>
      <c r="V62" s="158">
        <f t="shared" si="57"/>
        <v>0</v>
      </c>
      <c r="W62" s="157">
        <f>+R62+IFERROR(VLOOKUP($A62,'A0 BS 1240在建'!$1:$1048576,25,0),0)</f>
        <v>0</v>
      </c>
      <c r="X62" s="157">
        <f>+S62+IFERROR(VLOOKUP($A62,'B0 2264預收'!$1:$1048576,25,0),0)</f>
        <v>0</v>
      </c>
      <c r="Y62" s="157">
        <f t="shared" si="58"/>
        <v>0</v>
      </c>
      <c r="Z62" s="157">
        <f>+U62+IFERROR(+VLOOKUP($A62,'B0 2264預收'!$1:$1048576,26,0),0)</f>
        <v>0</v>
      </c>
      <c r="AA62" s="157">
        <f t="shared" si="59"/>
        <v>0</v>
      </c>
      <c r="AB62" s="158">
        <f>+W62+IFERROR(VLOOKUP($A62,'A0 BS 1240在建'!$1:$1048576,29,0),0)</f>
        <v>0</v>
      </c>
      <c r="AC62" s="158">
        <f>+X62+IFERROR(VLOOKUP($A62,'B0 2264預收'!$1:$1048576,29,0),0)</f>
        <v>0</v>
      </c>
      <c r="AD62" s="158">
        <f t="shared" si="60"/>
        <v>0</v>
      </c>
      <c r="AE62" s="158">
        <f>+Z62+IFERROR(+VLOOKUP($A62,'B0 2264預收'!$1:$1048576,30,0),0)</f>
        <v>0</v>
      </c>
      <c r="AF62" s="158">
        <f t="shared" si="61"/>
        <v>0</v>
      </c>
      <c r="AG62" s="157">
        <f>+AB62+IFERROR(VLOOKUP($A62,'A0 BS 1240在建'!$1:$1048576,33,0),0)</f>
        <v>0</v>
      </c>
      <c r="AH62" s="157">
        <f>+AC62+IFERROR(VLOOKUP($A62,'B0 2264預收'!$1:$1048576,33,0),0)</f>
        <v>0</v>
      </c>
      <c r="AI62" s="157">
        <f t="shared" si="62"/>
        <v>0</v>
      </c>
      <c r="AJ62" s="157">
        <f>+AE62+IFERROR(+VLOOKUP($A62,'B0 2264預收'!$1:$1048576,34,0),0)</f>
        <v>0</v>
      </c>
      <c r="AK62" s="157">
        <f t="shared" si="63"/>
        <v>0</v>
      </c>
      <c r="AL62" s="158">
        <f>+AG62+IFERROR(VLOOKUP($A62,'A0 BS 1240在建'!$1:$1048576,37,0),0)</f>
        <v>0</v>
      </c>
      <c r="AM62" s="158">
        <f>+AH62+IFERROR(VLOOKUP($A62,'B0 2264預收'!$1:$1048576,37,0),0)</f>
        <v>0</v>
      </c>
      <c r="AN62" s="158">
        <f t="shared" si="64"/>
        <v>0</v>
      </c>
      <c r="AO62" s="158">
        <f>+AJ62+IFERROR(+VLOOKUP($A62,'B0 2264預收'!$1:$1048576,38,0),0)</f>
        <v>0</v>
      </c>
      <c r="AP62" s="158">
        <f t="shared" si="65"/>
        <v>0</v>
      </c>
      <c r="AQ62" s="157">
        <f>+AL62+IFERROR(VLOOKUP($A62,'A0 BS 1240在建'!$1:$1048576,41,0),0)</f>
        <v>0</v>
      </c>
      <c r="AR62" s="157">
        <f>+AM62+IFERROR(VLOOKUP($A62,'B0 2264預收'!$1:$1048576,41,0),0)</f>
        <v>0</v>
      </c>
      <c r="AS62" s="157">
        <f t="shared" si="66"/>
        <v>0</v>
      </c>
      <c r="AT62" s="157">
        <f>+AO62+IFERROR(+VLOOKUP($A62,'B0 2264預收'!$1:$1048576,42,0),0)</f>
        <v>0</v>
      </c>
      <c r="AU62" s="157">
        <f t="shared" si="67"/>
        <v>0</v>
      </c>
      <c r="AV62" s="158">
        <f>+AQ62+IFERROR(VLOOKUP($A62,'A0 BS 1240在建'!$1:$1048576,45,0),0)</f>
        <v>0</v>
      </c>
      <c r="AW62" s="158">
        <f>+AR62+IFERROR(VLOOKUP($A62,'B0 2264預收'!$1:$1048576,45,0),0)</f>
        <v>0</v>
      </c>
      <c r="AX62" s="158">
        <f t="shared" si="68"/>
        <v>0</v>
      </c>
      <c r="AY62" s="158">
        <f>+AT62+IFERROR(+VLOOKUP($A62,'B0 2264預收'!$1:$1048576,46,0),0)</f>
        <v>0</v>
      </c>
      <c r="AZ62" s="158">
        <f t="shared" si="69"/>
        <v>0</v>
      </c>
      <c r="BA62" s="157">
        <f>+AV62+IFERROR(VLOOKUP($A62,'A0 BS 1240在建'!$1:$1048576,49,0),0)</f>
        <v>0</v>
      </c>
      <c r="BB62" s="157">
        <f>+AW62+IFERROR(VLOOKUP($A62,'B0 2264預收'!$1:$1048576,49,0),0)</f>
        <v>0</v>
      </c>
      <c r="BC62" s="157">
        <f t="shared" si="70"/>
        <v>0</v>
      </c>
      <c r="BD62" s="157">
        <f>+AY62+IFERROR(+VLOOKUP($A62,'B0 2264預收'!$1:$1048576,50,0),0)</f>
        <v>0</v>
      </c>
      <c r="BE62" s="157">
        <f t="shared" si="71"/>
        <v>0</v>
      </c>
      <c r="BF62" s="158">
        <f>+BA62+IFERROR(VLOOKUP($A62,'A0 BS 1240在建'!$1:$1048576,53,0),0)</f>
        <v>0</v>
      </c>
      <c r="BG62" s="158">
        <f>+BB62+IFERROR(VLOOKUP($A62,'B0 2264預收'!$1:$1048576,53,0),0)</f>
        <v>0</v>
      </c>
      <c r="BH62" s="158">
        <f t="shared" si="72"/>
        <v>0</v>
      </c>
      <c r="BI62" s="158">
        <f>+BD62+IFERROR(+VLOOKUP($A62,'B0 2264預收'!$1:$1048576,54,0),0)</f>
        <v>0</v>
      </c>
      <c r="BJ62" s="158">
        <f t="shared" si="73"/>
        <v>0</v>
      </c>
      <c r="BK62" s="157">
        <f>+BF62+IFERROR(VLOOKUP($A62,'A0 BS 1240在建'!$1:$1048576,57,0),0)</f>
        <v>0</v>
      </c>
      <c r="BL62" s="157">
        <f>+BG62+IFERROR(VLOOKUP($A62,'B0 2264預收'!$1:$1048576,57,0),0)</f>
        <v>0</v>
      </c>
      <c r="BM62" s="157">
        <f t="shared" si="74"/>
        <v>0</v>
      </c>
      <c r="BN62" s="157">
        <f>+BI62+IFERROR(+VLOOKUP($A62,'B0 2264預收'!$1:$1048576,58,0),0)</f>
        <v>0</v>
      </c>
      <c r="BO62" s="157">
        <f t="shared" si="75"/>
        <v>0</v>
      </c>
      <c r="BP62" s="158">
        <f>+BK62+IFERROR(VLOOKUP($A62,'A0 BS 1240在建'!$1:$1048576,61,0),0)</f>
        <v>0</v>
      </c>
      <c r="BQ62" s="158">
        <f>+BL62+IFERROR(VLOOKUP($A62,'B0 2264預收'!$1:$1048576,61,0),0)</f>
        <v>0</v>
      </c>
      <c r="BR62" s="159">
        <f t="shared" si="76"/>
        <v>0</v>
      </c>
      <c r="BS62" s="158">
        <f>+BN62+IFERROR(+VLOOKUP($A62,'B0 2264預收'!$1:$1048576,62,0),0)</f>
        <v>0</v>
      </c>
      <c r="BT62" s="158">
        <f t="shared" si="77"/>
        <v>0</v>
      </c>
      <c r="BU62" s="157">
        <f>+IFERROR(VLOOKUP($A62,'A0 BS 1240在建'!$1:$1048576,77,0),0)</f>
        <v>0</v>
      </c>
      <c r="BV62" s="157">
        <f>+IFERROR(VLOOKUP($A62,'B0 2264預收'!$1:$1048576,77,0),0)</f>
        <v>0</v>
      </c>
      <c r="BW62" s="157">
        <f t="shared" si="78"/>
        <v>0</v>
      </c>
      <c r="BX62" s="157">
        <f>+IFERROR(+VLOOKUP($A62,'B0 2264預收'!$1:$1048576,78,0),0)</f>
        <v>0</v>
      </c>
      <c r="BY62" s="157">
        <f t="shared" si="79"/>
        <v>0</v>
      </c>
      <c r="BZ62" s="158">
        <f>IFERROR(+VLOOKUP($A62,'A0 BS 1240在建'!$1:$1048576,85,0),0)</f>
        <v>0</v>
      </c>
      <c r="CA62" s="158">
        <f>IFERROR(+VLOOKUP($A62,'B0 2264預收'!$1:$1048576,85,0),0)</f>
        <v>0</v>
      </c>
      <c r="CB62" s="158">
        <f t="shared" si="80"/>
        <v>0</v>
      </c>
      <c r="CC62" s="158">
        <f>+IFERROR(+VLOOKUP($A62,'B0 2264預收'!$1:$1048576,86,0),0)</f>
        <v>0</v>
      </c>
      <c r="CD62" s="158">
        <f t="shared" si="81"/>
        <v>0</v>
      </c>
      <c r="CE62" s="157">
        <f>+IFERROR(VLOOKUP($A62,'A0 BS 1240在建'!$1:$1048576,93,0),0)</f>
        <v>0</v>
      </c>
      <c r="CF62" s="157">
        <f>+IFERROR(VLOOKUP($A62,'B0 2264預收'!$1:$1048576,93,0),0)</f>
        <v>0</v>
      </c>
      <c r="CG62" s="157">
        <f t="shared" si="82"/>
        <v>0</v>
      </c>
      <c r="CH62" s="157">
        <f>+IFERROR(+VLOOKUP($A62,'B0 2264預收'!$1:$1048576,94,0),0)</f>
        <v>0</v>
      </c>
      <c r="CI62" s="157">
        <f t="shared" si="83"/>
        <v>0</v>
      </c>
      <c r="CJ62" s="158">
        <f>IFERROR(+VLOOKUP($A62,'A0 BS 1240在建'!$1:$1048576,101,0),0)</f>
        <v>0</v>
      </c>
      <c r="CK62" s="158">
        <f>IFERROR(+VLOOKUP($A62,'B0 2264預收'!$1:$1048576,101,0),0)</f>
        <v>0</v>
      </c>
      <c r="CL62" s="158">
        <f t="shared" si="84"/>
        <v>0</v>
      </c>
      <c r="CM62" s="158">
        <f>+IFERROR(+VLOOKUP($A62,'B0 2264預收'!$1:$1048576,102,0),0)</f>
        <v>0</v>
      </c>
      <c r="CN62" s="158">
        <f t="shared" si="85"/>
        <v>0</v>
      </c>
      <c r="CP62" s="165">
        <f t="shared" si="99"/>
        <v>0</v>
      </c>
      <c r="CR62" s="98">
        <f t="shared" si="101"/>
        <v>0</v>
      </c>
      <c r="CU62" s="165">
        <f t="shared" si="100"/>
        <v>0</v>
      </c>
      <c r="CW62" s="98">
        <f>+CU62</f>
        <v>0</v>
      </c>
      <c r="CY62" s="162" t="str">
        <f t="shared" si="86"/>
        <v/>
      </c>
      <c r="CZ62" s="98" t="str">
        <f t="shared" si="87"/>
        <v xml:space="preserve"> </v>
      </c>
      <c r="DA62" s="98" t="str">
        <f t="shared" si="88"/>
        <v xml:space="preserve"> </v>
      </c>
      <c r="DB62" s="98" t="str">
        <f t="shared" si="89"/>
        <v xml:space="preserve"> </v>
      </c>
      <c r="DC62" s="163">
        <f t="shared" si="90"/>
        <v>0</v>
      </c>
      <c r="DD62" s="162" t="str">
        <f t="shared" si="92"/>
        <v/>
      </c>
      <c r="DE62" s="98" t="str">
        <f t="shared" si="93"/>
        <v xml:space="preserve"> </v>
      </c>
      <c r="DF62" s="98" t="str">
        <f t="shared" si="94"/>
        <v xml:space="preserve"> </v>
      </c>
      <c r="DG62" s="98" t="str">
        <f t="shared" si="95"/>
        <v xml:space="preserve"> </v>
      </c>
      <c r="DH62" s="163">
        <f t="shared" si="91"/>
        <v>0</v>
      </c>
    </row>
    <row r="63" spans="1:112">
      <c r="A63" s="158" t="s">
        <v>421</v>
      </c>
      <c r="B63" s="177" t="s">
        <v>422</v>
      </c>
      <c r="C63" s="157">
        <f>IFERROR(VLOOKUP($A63,'A0 BS 1240在建'!$1:$1048576,5,0),0)</f>
        <v>0</v>
      </c>
      <c r="D63" s="157">
        <f>IFERROR(VLOOKUP($A63,'B0 2264預收'!$1:$1048576,5,0),0)</f>
        <v>0</v>
      </c>
      <c r="E63" s="157">
        <f t="shared" si="50"/>
        <v>0</v>
      </c>
      <c r="F63" s="157">
        <f>IFERROR(VLOOKUP($A63,'B0 2264預收'!$1:$1048576,6,0),0)</f>
        <v>0</v>
      </c>
      <c r="G63" s="157">
        <f t="shared" si="51"/>
        <v>0</v>
      </c>
      <c r="H63" s="158">
        <f>IFERROR(VLOOKUP($A63,'A0 BS 1240在建'!$1:$1048576,13,0),0)</f>
        <v>0</v>
      </c>
      <c r="I63" s="158">
        <f>IFERROR(VLOOKUP($A63,'B0 2264預收'!$1:$1048576,13,0),0)</f>
        <v>0</v>
      </c>
      <c r="J63" s="158">
        <f t="shared" si="52"/>
        <v>0</v>
      </c>
      <c r="K63" s="158">
        <f>IFERROR(VLOOKUP($A63,'B0 2264預收'!$1:$1048576,14,0),0)</f>
        <v>0</v>
      </c>
      <c r="L63" s="158">
        <f t="shared" si="53"/>
        <v>0</v>
      </c>
      <c r="M63" s="157">
        <f>H63+IFERROR(VLOOKUP($A63,'A0 BS 1240在建'!$1:$1048576,17,0),0)</f>
        <v>0</v>
      </c>
      <c r="N63" s="157">
        <f>I63+IFERROR(VLOOKUP($A63,'B0 2264預收'!$1:$1048576,17,0),0)</f>
        <v>0</v>
      </c>
      <c r="O63" s="157">
        <f t="shared" si="54"/>
        <v>0</v>
      </c>
      <c r="P63" s="157">
        <f>K63+IFERROR(+VLOOKUP($A63,'B0 2264預收'!$1:$1048576,18,0),0)</f>
        <v>0</v>
      </c>
      <c r="Q63" s="157">
        <f t="shared" si="55"/>
        <v>0</v>
      </c>
      <c r="R63" s="158">
        <f>M63+IFERROR(VLOOKUP($A63,'A0 BS 1240在建'!$1:$1048576,21,0),0)</f>
        <v>0</v>
      </c>
      <c r="S63" s="158">
        <f>+N63+IFERROR(VLOOKUP($A63,'B0 2264預收'!$1:$1048576,21,0),0)</f>
        <v>0</v>
      </c>
      <c r="T63" s="158">
        <f t="shared" si="56"/>
        <v>0</v>
      </c>
      <c r="U63" s="158">
        <f>+P63+IFERROR(+VLOOKUP($A63,'B0 2264預收'!$1:$1048576,22,0),0)</f>
        <v>0</v>
      </c>
      <c r="V63" s="158">
        <f t="shared" si="57"/>
        <v>0</v>
      </c>
      <c r="W63" s="157">
        <f>+R63+IFERROR(VLOOKUP($A63,'A0 BS 1240在建'!$1:$1048576,25,0),0)</f>
        <v>0</v>
      </c>
      <c r="X63" s="157">
        <f>+S63+IFERROR(VLOOKUP($A63,'B0 2264預收'!$1:$1048576,25,0),0)</f>
        <v>0</v>
      </c>
      <c r="Y63" s="157">
        <f t="shared" si="58"/>
        <v>0</v>
      </c>
      <c r="Z63" s="157">
        <f>+U63+IFERROR(+VLOOKUP($A63,'B0 2264預收'!$1:$1048576,26,0),0)</f>
        <v>0</v>
      </c>
      <c r="AA63" s="157">
        <f t="shared" si="59"/>
        <v>0</v>
      </c>
      <c r="AB63" s="158">
        <f>+W63+IFERROR(VLOOKUP($A63,'A0 BS 1240在建'!$1:$1048576,29,0),0)</f>
        <v>0</v>
      </c>
      <c r="AC63" s="158">
        <f>+X63+IFERROR(VLOOKUP($A63,'B0 2264預收'!$1:$1048576,29,0),0)</f>
        <v>0</v>
      </c>
      <c r="AD63" s="158">
        <f t="shared" si="60"/>
        <v>0</v>
      </c>
      <c r="AE63" s="158">
        <f>+Z63+IFERROR(+VLOOKUP($A63,'B0 2264預收'!$1:$1048576,30,0),0)</f>
        <v>0</v>
      </c>
      <c r="AF63" s="158">
        <f t="shared" si="61"/>
        <v>0</v>
      </c>
      <c r="AG63" s="157">
        <f>+AB63+IFERROR(VLOOKUP($A63,'A0 BS 1240在建'!$1:$1048576,33,0),0)</f>
        <v>0</v>
      </c>
      <c r="AH63" s="157">
        <f>+AC63+IFERROR(VLOOKUP($A63,'B0 2264預收'!$1:$1048576,33,0),0)</f>
        <v>0</v>
      </c>
      <c r="AI63" s="157">
        <f t="shared" si="62"/>
        <v>0</v>
      </c>
      <c r="AJ63" s="157">
        <f>+AE63+IFERROR(+VLOOKUP($A63,'B0 2264預收'!$1:$1048576,34,0),0)</f>
        <v>0</v>
      </c>
      <c r="AK63" s="157">
        <f t="shared" si="63"/>
        <v>0</v>
      </c>
      <c r="AL63" s="158">
        <f>+AG63+IFERROR(VLOOKUP($A63,'A0 BS 1240在建'!$1:$1048576,37,0),0)</f>
        <v>0</v>
      </c>
      <c r="AM63" s="158">
        <f>+AH63+IFERROR(VLOOKUP($A63,'B0 2264預收'!$1:$1048576,37,0),0)</f>
        <v>0</v>
      </c>
      <c r="AN63" s="158">
        <f t="shared" si="64"/>
        <v>0</v>
      </c>
      <c r="AO63" s="158">
        <f>+AJ63+IFERROR(+VLOOKUP($A63,'B0 2264預收'!$1:$1048576,38,0),0)</f>
        <v>0</v>
      </c>
      <c r="AP63" s="158">
        <f t="shared" si="65"/>
        <v>0</v>
      </c>
      <c r="AQ63" s="157">
        <f>+AL63+IFERROR(VLOOKUP($A63,'A0 BS 1240在建'!$1:$1048576,41,0),0)</f>
        <v>0</v>
      </c>
      <c r="AR63" s="157">
        <f>+AM63+IFERROR(VLOOKUP($A63,'B0 2264預收'!$1:$1048576,41,0),0)</f>
        <v>0</v>
      </c>
      <c r="AS63" s="157">
        <f t="shared" si="66"/>
        <v>0</v>
      </c>
      <c r="AT63" s="157">
        <f>+AO63+IFERROR(+VLOOKUP($A63,'B0 2264預收'!$1:$1048576,42,0),0)</f>
        <v>0</v>
      </c>
      <c r="AU63" s="157">
        <f t="shared" si="67"/>
        <v>0</v>
      </c>
      <c r="AV63" s="158">
        <f>+AQ63+IFERROR(VLOOKUP($A63,'A0 BS 1240在建'!$1:$1048576,45,0),0)</f>
        <v>0</v>
      </c>
      <c r="AW63" s="158">
        <f>+AR63+IFERROR(VLOOKUP($A63,'B0 2264預收'!$1:$1048576,45,0),0)</f>
        <v>0</v>
      </c>
      <c r="AX63" s="158">
        <f t="shared" si="68"/>
        <v>0</v>
      </c>
      <c r="AY63" s="158">
        <f>+AT63+IFERROR(+VLOOKUP($A63,'B0 2264預收'!$1:$1048576,46,0),0)</f>
        <v>0</v>
      </c>
      <c r="AZ63" s="158">
        <f t="shared" si="69"/>
        <v>0</v>
      </c>
      <c r="BA63" s="157">
        <f>+AV63+IFERROR(VLOOKUP($A63,'A0 BS 1240在建'!$1:$1048576,49,0),0)</f>
        <v>0</v>
      </c>
      <c r="BB63" s="157">
        <f>+AW63+IFERROR(VLOOKUP($A63,'B0 2264預收'!$1:$1048576,49,0),0)</f>
        <v>0</v>
      </c>
      <c r="BC63" s="157">
        <f t="shared" si="70"/>
        <v>0</v>
      </c>
      <c r="BD63" s="157">
        <f>+AY63+IFERROR(+VLOOKUP($A63,'B0 2264預收'!$1:$1048576,50,0),0)</f>
        <v>0</v>
      </c>
      <c r="BE63" s="157">
        <f t="shared" si="71"/>
        <v>0</v>
      </c>
      <c r="BF63" s="158">
        <f>+BA63+IFERROR(VLOOKUP($A63,'A0 BS 1240在建'!$1:$1048576,53,0),0)</f>
        <v>0</v>
      </c>
      <c r="BG63" s="158">
        <f>+BB63+IFERROR(VLOOKUP($A63,'B0 2264預收'!$1:$1048576,53,0),0)</f>
        <v>0</v>
      </c>
      <c r="BH63" s="158">
        <f t="shared" si="72"/>
        <v>0</v>
      </c>
      <c r="BI63" s="158">
        <f>+BD63+IFERROR(+VLOOKUP($A63,'B0 2264預收'!$1:$1048576,54,0),0)</f>
        <v>0</v>
      </c>
      <c r="BJ63" s="158">
        <f t="shared" si="73"/>
        <v>0</v>
      </c>
      <c r="BK63" s="157">
        <f>+BF63+IFERROR(VLOOKUP($A63,'A0 BS 1240在建'!$1:$1048576,57,0),0)</f>
        <v>0</v>
      </c>
      <c r="BL63" s="157">
        <f>+BG63+IFERROR(VLOOKUP($A63,'B0 2264預收'!$1:$1048576,57,0),0)</f>
        <v>0</v>
      </c>
      <c r="BM63" s="157">
        <f t="shared" si="74"/>
        <v>0</v>
      </c>
      <c r="BN63" s="157">
        <f>+BI63+IFERROR(+VLOOKUP($A63,'B0 2264預收'!$1:$1048576,58,0),0)</f>
        <v>0</v>
      </c>
      <c r="BO63" s="157">
        <f t="shared" si="75"/>
        <v>0</v>
      </c>
      <c r="BP63" s="158">
        <f>+BK63+IFERROR(VLOOKUP($A63,'A0 BS 1240在建'!$1:$1048576,61,0),0)</f>
        <v>0</v>
      </c>
      <c r="BQ63" s="158">
        <f>+BL63+IFERROR(VLOOKUP($A63,'B0 2264預收'!$1:$1048576,61,0),0)</f>
        <v>0</v>
      </c>
      <c r="BR63" s="159">
        <f t="shared" si="76"/>
        <v>0</v>
      </c>
      <c r="BS63" s="158">
        <f>+BN63+IFERROR(+VLOOKUP($A63,'B0 2264預收'!$1:$1048576,62,0),0)</f>
        <v>0</v>
      </c>
      <c r="BT63" s="158">
        <f t="shared" si="77"/>
        <v>0</v>
      </c>
      <c r="BU63" s="157">
        <f>+IFERROR(VLOOKUP($A63,'A0 BS 1240在建'!$1:$1048576,77,0),0)</f>
        <v>0</v>
      </c>
      <c r="BV63" s="157">
        <f>+IFERROR(VLOOKUP($A63,'B0 2264預收'!$1:$1048576,77,0),0)</f>
        <v>0</v>
      </c>
      <c r="BW63" s="157">
        <f t="shared" si="78"/>
        <v>0</v>
      </c>
      <c r="BX63" s="157">
        <f>+IFERROR(+VLOOKUP($A63,'B0 2264預收'!$1:$1048576,78,0),0)</f>
        <v>0</v>
      </c>
      <c r="BY63" s="157">
        <f t="shared" si="79"/>
        <v>0</v>
      </c>
      <c r="BZ63" s="158">
        <f>IFERROR(+VLOOKUP($A63,'A0 BS 1240在建'!$1:$1048576,85,0),0)</f>
        <v>0</v>
      </c>
      <c r="CA63" s="158">
        <f>IFERROR(+VLOOKUP($A63,'B0 2264預收'!$1:$1048576,85,0),0)</f>
        <v>0</v>
      </c>
      <c r="CB63" s="158">
        <f t="shared" si="80"/>
        <v>0</v>
      </c>
      <c r="CC63" s="158">
        <f>+IFERROR(+VLOOKUP($A63,'B0 2264預收'!$1:$1048576,86,0),0)</f>
        <v>0</v>
      </c>
      <c r="CD63" s="158">
        <f t="shared" si="81"/>
        <v>0</v>
      </c>
      <c r="CE63" s="157">
        <f>+IFERROR(VLOOKUP($A63,'A0 BS 1240在建'!$1:$1048576,93,0),0)</f>
        <v>0</v>
      </c>
      <c r="CF63" s="157">
        <f>+IFERROR(VLOOKUP($A63,'B0 2264預收'!$1:$1048576,93,0),0)</f>
        <v>0</v>
      </c>
      <c r="CG63" s="157">
        <f t="shared" si="82"/>
        <v>0</v>
      </c>
      <c r="CH63" s="157">
        <f>+IFERROR(+VLOOKUP($A63,'B0 2264預收'!$1:$1048576,94,0),0)</f>
        <v>0</v>
      </c>
      <c r="CI63" s="157">
        <f t="shared" si="83"/>
        <v>0</v>
      </c>
      <c r="CJ63" s="158">
        <f>IFERROR(+VLOOKUP($A63,'A0 BS 1240在建'!$1:$1048576,101,0),0)</f>
        <v>0</v>
      </c>
      <c r="CK63" s="158">
        <f>IFERROR(+VLOOKUP($A63,'B0 2264預收'!$1:$1048576,101,0),0)</f>
        <v>0</v>
      </c>
      <c r="CL63" s="158">
        <f t="shared" si="84"/>
        <v>0</v>
      </c>
      <c r="CM63" s="158">
        <f>+IFERROR(+VLOOKUP($A63,'B0 2264預收'!$1:$1048576,102,0),0)</f>
        <v>0</v>
      </c>
      <c r="CN63" s="158">
        <f t="shared" si="85"/>
        <v>0</v>
      </c>
      <c r="CP63" s="166">
        <f t="shared" si="99"/>
        <v>0</v>
      </c>
      <c r="CQ63" s="98">
        <f>+CP63</f>
        <v>0</v>
      </c>
      <c r="CU63" s="166">
        <f t="shared" si="100"/>
        <v>0</v>
      </c>
      <c r="CV63" s="98">
        <f>+CU63</f>
        <v>0</v>
      </c>
      <c r="CY63" s="162" t="str">
        <f t="shared" si="86"/>
        <v/>
      </c>
      <c r="CZ63" s="98" t="str">
        <f t="shared" si="87"/>
        <v xml:space="preserve"> </v>
      </c>
      <c r="DA63" s="98" t="str">
        <f t="shared" si="88"/>
        <v xml:space="preserve"> </v>
      </c>
      <c r="DB63" s="98" t="str">
        <f t="shared" si="89"/>
        <v xml:space="preserve"> </v>
      </c>
      <c r="DC63" s="163">
        <f t="shared" si="90"/>
        <v>0</v>
      </c>
      <c r="DD63" s="162" t="str">
        <f t="shared" si="92"/>
        <v/>
      </c>
      <c r="DE63" s="98" t="str">
        <f t="shared" si="93"/>
        <v xml:space="preserve"> </v>
      </c>
      <c r="DF63" s="98" t="str">
        <f t="shared" si="94"/>
        <v xml:space="preserve"> </v>
      </c>
      <c r="DG63" s="98" t="str">
        <f t="shared" si="95"/>
        <v xml:space="preserve"> </v>
      </c>
      <c r="DH63" s="163">
        <f t="shared" si="91"/>
        <v>0</v>
      </c>
    </row>
    <row r="64" spans="1:112">
      <c r="A64" s="158" t="s">
        <v>423</v>
      </c>
      <c r="B64" s="177" t="s">
        <v>424</v>
      </c>
      <c r="C64" s="157">
        <f>IFERROR(VLOOKUP($A64,'A0 BS 1240在建'!$1:$1048576,5,0),0)</f>
        <v>0</v>
      </c>
      <c r="D64" s="157">
        <f>IFERROR(VLOOKUP($A64,'B0 2264預收'!$1:$1048576,5,0),0)</f>
        <v>0</v>
      </c>
      <c r="E64" s="157">
        <f t="shared" si="50"/>
        <v>0</v>
      </c>
      <c r="F64" s="157">
        <f>IFERROR(VLOOKUP($A64,'B0 2264預收'!$1:$1048576,6,0),0)</f>
        <v>0</v>
      </c>
      <c r="G64" s="157">
        <f t="shared" si="51"/>
        <v>0</v>
      </c>
      <c r="H64" s="158">
        <f>IFERROR(VLOOKUP($A64,'A0 BS 1240在建'!$1:$1048576,13,0),0)</f>
        <v>0</v>
      </c>
      <c r="I64" s="158">
        <f>IFERROR(VLOOKUP($A64,'B0 2264預收'!$1:$1048576,13,0),0)</f>
        <v>0</v>
      </c>
      <c r="J64" s="158">
        <f t="shared" si="52"/>
        <v>0</v>
      </c>
      <c r="K64" s="158">
        <f>IFERROR(VLOOKUP($A64,'B0 2264預收'!$1:$1048576,14,0),0)</f>
        <v>0</v>
      </c>
      <c r="L64" s="158">
        <f t="shared" si="53"/>
        <v>0</v>
      </c>
      <c r="M64" s="157">
        <f>H64+IFERROR(VLOOKUP($A64,'A0 BS 1240在建'!$1:$1048576,17,0),0)</f>
        <v>0</v>
      </c>
      <c r="N64" s="157">
        <f>I64+IFERROR(VLOOKUP($A64,'B0 2264預收'!$1:$1048576,17,0),0)</f>
        <v>0</v>
      </c>
      <c r="O64" s="157">
        <f t="shared" si="54"/>
        <v>0</v>
      </c>
      <c r="P64" s="157">
        <f>K64+IFERROR(+VLOOKUP($A64,'B0 2264預收'!$1:$1048576,18,0),0)</f>
        <v>0</v>
      </c>
      <c r="Q64" s="157">
        <f t="shared" si="55"/>
        <v>0</v>
      </c>
      <c r="R64" s="158">
        <f>M64+IFERROR(VLOOKUP($A64,'A0 BS 1240在建'!$1:$1048576,21,0),0)</f>
        <v>0</v>
      </c>
      <c r="S64" s="158">
        <f>+N64+IFERROR(VLOOKUP($A64,'B0 2264預收'!$1:$1048576,21,0),0)</f>
        <v>0</v>
      </c>
      <c r="T64" s="158">
        <f t="shared" si="56"/>
        <v>0</v>
      </c>
      <c r="U64" s="158">
        <f>+P64+IFERROR(+VLOOKUP($A64,'B0 2264預收'!$1:$1048576,22,0),0)</f>
        <v>0</v>
      </c>
      <c r="V64" s="158">
        <f t="shared" si="57"/>
        <v>0</v>
      </c>
      <c r="W64" s="157">
        <f>+R64+IFERROR(VLOOKUP($A64,'A0 BS 1240在建'!$1:$1048576,25,0),0)</f>
        <v>0</v>
      </c>
      <c r="X64" s="157">
        <f>+S64+IFERROR(VLOOKUP($A64,'B0 2264預收'!$1:$1048576,25,0),0)</f>
        <v>0</v>
      </c>
      <c r="Y64" s="157">
        <f t="shared" si="58"/>
        <v>0</v>
      </c>
      <c r="Z64" s="157">
        <f>+U64+IFERROR(+VLOOKUP($A64,'B0 2264預收'!$1:$1048576,26,0),0)</f>
        <v>0</v>
      </c>
      <c r="AA64" s="157">
        <f t="shared" si="59"/>
        <v>0</v>
      </c>
      <c r="AB64" s="158">
        <f>+W64+IFERROR(VLOOKUP($A64,'A0 BS 1240在建'!$1:$1048576,29,0),0)</f>
        <v>0</v>
      </c>
      <c r="AC64" s="158">
        <f>+X64+IFERROR(VLOOKUP($A64,'B0 2264預收'!$1:$1048576,29,0),0)</f>
        <v>0</v>
      </c>
      <c r="AD64" s="158">
        <f t="shared" si="60"/>
        <v>0</v>
      </c>
      <c r="AE64" s="158">
        <f>+Z64+IFERROR(+VLOOKUP($A64,'B0 2264預收'!$1:$1048576,30,0),0)</f>
        <v>0</v>
      </c>
      <c r="AF64" s="158">
        <f t="shared" si="61"/>
        <v>0</v>
      </c>
      <c r="AG64" s="157">
        <f>+AB64+IFERROR(VLOOKUP($A64,'A0 BS 1240在建'!$1:$1048576,33,0),0)</f>
        <v>0</v>
      </c>
      <c r="AH64" s="157">
        <f>+AC64+IFERROR(VLOOKUP($A64,'B0 2264預收'!$1:$1048576,33,0),0)</f>
        <v>0</v>
      </c>
      <c r="AI64" s="157">
        <f t="shared" si="62"/>
        <v>0</v>
      </c>
      <c r="AJ64" s="157">
        <f>+AE64+IFERROR(+VLOOKUP($A64,'B0 2264預收'!$1:$1048576,34,0),0)</f>
        <v>0</v>
      </c>
      <c r="AK64" s="157">
        <f t="shared" si="63"/>
        <v>0</v>
      </c>
      <c r="AL64" s="158">
        <f>+AG64+IFERROR(VLOOKUP($A64,'A0 BS 1240在建'!$1:$1048576,37,0),0)</f>
        <v>0</v>
      </c>
      <c r="AM64" s="158">
        <f>+AH64+IFERROR(VLOOKUP($A64,'B0 2264預收'!$1:$1048576,37,0),0)</f>
        <v>0</v>
      </c>
      <c r="AN64" s="158">
        <f t="shared" si="64"/>
        <v>0</v>
      </c>
      <c r="AO64" s="158">
        <f>+AJ64+IFERROR(+VLOOKUP($A64,'B0 2264預收'!$1:$1048576,38,0),0)</f>
        <v>0</v>
      </c>
      <c r="AP64" s="158">
        <f t="shared" si="65"/>
        <v>0</v>
      </c>
      <c r="AQ64" s="157">
        <f>+AL64+IFERROR(VLOOKUP($A64,'A0 BS 1240在建'!$1:$1048576,41,0),0)</f>
        <v>0</v>
      </c>
      <c r="AR64" s="157">
        <f>+AM64+IFERROR(VLOOKUP($A64,'B0 2264預收'!$1:$1048576,41,0),0)</f>
        <v>0</v>
      </c>
      <c r="AS64" s="157">
        <f t="shared" si="66"/>
        <v>0</v>
      </c>
      <c r="AT64" s="157">
        <f>+AO64+IFERROR(+VLOOKUP($A64,'B0 2264預收'!$1:$1048576,42,0),0)</f>
        <v>0</v>
      </c>
      <c r="AU64" s="157">
        <f t="shared" si="67"/>
        <v>0</v>
      </c>
      <c r="AV64" s="158">
        <f>+AQ64+IFERROR(VLOOKUP($A64,'A0 BS 1240在建'!$1:$1048576,45,0),0)</f>
        <v>0</v>
      </c>
      <c r="AW64" s="158">
        <f>+AR64+IFERROR(VLOOKUP($A64,'B0 2264預收'!$1:$1048576,45,0),0)</f>
        <v>0</v>
      </c>
      <c r="AX64" s="158">
        <f t="shared" si="68"/>
        <v>0</v>
      </c>
      <c r="AY64" s="158">
        <f>+AT64+IFERROR(+VLOOKUP($A64,'B0 2264預收'!$1:$1048576,46,0),0)</f>
        <v>0</v>
      </c>
      <c r="AZ64" s="158">
        <f t="shared" si="69"/>
        <v>0</v>
      </c>
      <c r="BA64" s="157">
        <f>+AV64+IFERROR(VLOOKUP($A64,'A0 BS 1240在建'!$1:$1048576,49,0),0)</f>
        <v>0</v>
      </c>
      <c r="BB64" s="157">
        <f>+AW64+IFERROR(VLOOKUP($A64,'B0 2264預收'!$1:$1048576,49,0),0)</f>
        <v>0</v>
      </c>
      <c r="BC64" s="157">
        <f t="shared" si="70"/>
        <v>0</v>
      </c>
      <c r="BD64" s="157">
        <f>+AY64+IFERROR(+VLOOKUP($A64,'B0 2264預收'!$1:$1048576,50,0),0)</f>
        <v>0</v>
      </c>
      <c r="BE64" s="157">
        <f t="shared" si="71"/>
        <v>0</v>
      </c>
      <c r="BF64" s="158">
        <f>+BA64+IFERROR(VLOOKUP($A64,'A0 BS 1240在建'!$1:$1048576,53,0),0)</f>
        <v>0</v>
      </c>
      <c r="BG64" s="158">
        <f>+BB64+IFERROR(VLOOKUP($A64,'B0 2264預收'!$1:$1048576,53,0),0)</f>
        <v>0</v>
      </c>
      <c r="BH64" s="158">
        <f t="shared" si="72"/>
        <v>0</v>
      </c>
      <c r="BI64" s="158">
        <f>+BD64+IFERROR(+VLOOKUP($A64,'B0 2264預收'!$1:$1048576,54,0),0)</f>
        <v>0</v>
      </c>
      <c r="BJ64" s="158">
        <f t="shared" si="73"/>
        <v>0</v>
      </c>
      <c r="BK64" s="157">
        <f>+BF64+IFERROR(VLOOKUP($A64,'A0 BS 1240在建'!$1:$1048576,57,0),0)</f>
        <v>0</v>
      </c>
      <c r="BL64" s="157">
        <f>+BG64+IFERROR(VLOOKUP($A64,'B0 2264預收'!$1:$1048576,57,0),0)</f>
        <v>0</v>
      </c>
      <c r="BM64" s="157">
        <f t="shared" si="74"/>
        <v>0</v>
      </c>
      <c r="BN64" s="157">
        <f>+BI64+IFERROR(+VLOOKUP($A64,'B0 2264預收'!$1:$1048576,58,0),0)</f>
        <v>0</v>
      </c>
      <c r="BO64" s="157">
        <f t="shared" si="75"/>
        <v>0</v>
      </c>
      <c r="BP64" s="158">
        <f>+BK64+IFERROR(VLOOKUP($A64,'A0 BS 1240在建'!$1:$1048576,61,0),0)</f>
        <v>0</v>
      </c>
      <c r="BQ64" s="158">
        <f>+BL64+IFERROR(VLOOKUP($A64,'B0 2264預收'!$1:$1048576,61,0),0)</f>
        <v>0</v>
      </c>
      <c r="BR64" s="159">
        <f t="shared" si="76"/>
        <v>0</v>
      </c>
      <c r="BS64" s="158">
        <f>+BN64+IFERROR(+VLOOKUP($A64,'B0 2264預收'!$1:$1048576,62,0),0)</f>
        <v>0</v>
      </c>
      <c r="BT64" s="158">
        <f t="shared" si="77"/>
        <v>0</v>
      </c>
      <c r="BU64" s="157">
        <f>+IFERROR(VLOOKUP($A64,'A0 BS 1240在建'!$1:$1048576,77,0),0)</f>
        <v>0</v>
      </c>
      <c r="BV64" s="157">
        <f>+IFERROR(VLOOKUP($A64,'B0 2264預收'!$1:$1048576,77,0),0)</f>
        <v>0</v>
      </c>
      <c r="BW64" s="157">
        <f t="shared" si="78"/>
        <v>0</v>
      </c>
      <c r="BX64" s="157">
        <f>+IFERROR(+VLOOKUP($A64,'B0 2264預收'!$1:$1048576,78,0),0)</f>
        <v>0</v>
      </c>
      <c r="BY64" s="157">
        <f t="shared" si="79"/>
        <v>0</v>
      </c>
      <c r="BZ64" s="158">
        <f>IFERROR(+VLOOKUP($A64,'A0 BS 1240在建'!$1:$1048576,85,0),0)</f>
        <v>0</v>
      </c>
      <c r="CA64" s="158">
        <f>IFERROR(+VLOOKUP($A64,'B0 2264預收'!$1:$1048576,85,0),0)</f>
        <v>0</v>
      </c>
      <c r="CB64" s="158">
        <f t="shared" si="80"/>
        <v>0</v>
      </c>
      <c r="CC64" s="158">
        <f>+IFERROR(+VLOOKUP($A64,'B0 2264預收'!$1:$1048576,86,0),0)</f>
        <v>0</v>
      </c>
      <c r="CD64" s="158">
        <f t="shared" si="81"/>
        <v>0</v>
      </c>
      <c r="CE64" s="157">
        <f>+IFERROR(VLOOKUP($A64,'A0 BS 1240在建'!$1:$1048576,93,0),0)</f>
        <v>0</v>
      </c>
      <c r="CF64" s="157">
        <f>+IFERROR(VLOOKUP($A64,'B0 2264預收'!$1:$1048576,93,0),0)</f>
        <v>0</v>
      </c>
      <c r="CG64" s="157">
        <f t="shared" si="82"/>
        <v>0</v>
      </c>
      <c r="CH64" s="157">
        <f>+IFERROR(+VLOOKUP($A64,'B0 2264預收'!$1:$1048576,94,0),0)</f>
        <v>0</v>
      </c>
      <c r="CI64" s="157">
        <f t="shared" si="83"/>
        <v>0</v>
      </c>
      <c r="CJ64" s="158">
        <f>IFERROR(+VLOOKUP($A64,'A0 BS 1240在建'!$1:$1048576,101,0),0)</f>
        <v>0</v>
      </c>
      <c r="CK64" s="158">
        <f>IFERROR(+VLOOKUP($A64,'B0 2264預收'!$1:$1048576,101,0),0)</f>
        <v>0</v>
      </c>
      <c r="CL64" s="158">
        <f t="shared" si="84"/>
        <v>0</v>
      </c>
      <c r="CM64" s="158">
        <f>+IFERROR(+VLOOKUP($A64,'B0 2264預收'!$1:$1048576,102,0),0)</f>
        <v>0</v>
      </c>
      <c r="CN64" s="158">
        <f t="shared" si="85"/>
        <v>0</v>
      </c>
      <c r="CP64" s="166">
        <f t="shared" si="99"/>
        <v>0</v>
      </c>
      <c r="CQ64" s="98">
        <f>+CP64</f>
        <v>0</v>
      </c>
      <c r="CU64" s="160">
        <f t="shared" si="100"/>
        <v>0</v>
      </c>
      <c r="CV64" s="118">
        <f>-J64</f>
        <v>0</v>
      </c>
      <c r="CW64" s="98">
        <f>+BR64</f>
        <v>0</v>
      </c>
      <c r="CY64" s="162" t="str">
        <f t="shared" si="86"/>
        <v/>
      </c>
      <c r="CZ64" s="98" t="str">
        <f t="shared" si="87"/>
        <v xml:space="preserve"> </v>
      </c>
      <c r="DA64" s="98" t="str">
        <f t="shared" si="88"/>
        <v xml:space="preserve"> </v>
      </c>
      <c r="DB64" s="98" t="str">
        <f t="shared" si="89"/>
        <v xml:space="preserve"> </v>
      </c>
      <c r="DC64" s="163">
        <f t="shared" si="90"/>
        <v>0</v>
      </c>
      <c r="DD64" s="162" t="str">
        <f t="shared" si="92"/>
        <v/>
      </c>
      <c r="DE64" s="98" t="str">
        <f t="shared" si="93"/>
        <v xml:space="preserve"> </v>
      </c>
      <c r="DF64" s="98" t="str">
        <f t="shared" si="94"/>
        <v xml:space="preserve"> </v>
      </c>
      <c r="DG64" s="98" t="str">
        <f t="shared" si="95"/>
        <v xml:space="preserve"> </v>
      </c>
      <c r="DH64" s="163">
        <f t="shared" si="91"/>
        <v>0</v>
      </c>
    </row>
    <row r="65" spans="1:112">
      <c r="A65" s="158" t="s">
        <v>425</v>
      </c>
      <c r="B65" s="177" t="s">
        <v>426</v>
      </c>
      <c r="C65" s="157">
        <f>IFERROR(VLOOKUP($A65,'A0 BS 1240在建'!$1:$1048576,5,0),0)</f>
        <v>0</v>
      </c>
      <c r="D65" s="157">
        <f>IFERROR(VLOOKUP($A65,'B0 2264預收'!$1:$1048576,5,0),0)</f>
        <v>0</v>
      </c>
      <c r="E65" s="157">
        <f t="shared" si="50"/>
        <v>0</v>
      </c>
      <c r="F65" s="157">
        <f>IFERROR(VLOOKUP($A65,'B0 2264預收'!$1:$1048576,6,0),0)</f>
        <v>0</v>
      </c>
      <c r="G65" s="157">
        <f t="shared" si="51"/>
        <v>0</v>
      </c>
      <c r="H65" s="158">
        <f>IFERROR(VLOOKUP($A65,'A0 BS 1240在建'!$1:$1048576,13,0),0)</f>
        <v>0</v>
      </c>
      <c r="I65" s="158">
        <f>IFERROR(VLOOKUP($A65,'B0 2264預收'!$1:$1048576,13,0),0)</f>
        <v>0</v>
      </c>
      <c r="J65" s="158">
        <f t="shared" si="52"/>
        <v>0</v>
      </c>
      <c r="K65" s="158">
        <f>IFERROR(VLOOKUP($A65,'B0 2264預收'!$1:$1048576,14,0),0)</f>
        <v>0</v>
      </c>
      <c r="L65" s="158">
        <f t="shared" si="53"/>
        <v>0</v>
      </c>
      <c r="M65" s="157">
        <f>H65+IFERROR(VLOOKUP($A65,'A0 BS 1240在建'!$1:$1048576,17,0),0)</f>
        <v>0</v>
      </c>
      <c r="N65" s="157">
        <f>I65+IFERROR(VLOOKUP($A65,'B0 2264預收'!$1:$1048576,17,0),0)</f>
        <v>0</v>
      </c>
      <c r="O65" s="157">
        <f t="shared" si="54"/>
        <v>0</v>
      </c>
      <c r="P65" s="157">
        <f>K65+IFERROR(+VLOOKUP($A65,'B0 2264預收'!$1:$1048576,18,0),0)</f>
        <v>0</v>
      </c>
      <c r="Q65" s="157">
        <f t="shared" si="55"/>
        <v>0</v>
      </c>
      <c r="R65" s="158">
        <f>M65+IFERROR(VLOOKUP($A65,'A0 BS 1240在建'!$1:$1048576,21,0),0)</f>
        <v>0</v>
      </c>
      <c r="S65" s="158">
        <f>+N65+IFERROR(VLOOKUP($A65,'B0 2264預收'!$1:$1048576,21,0),0)</f>
        <v>0</v>
      </c>
      <c r="T65" s="158">
        <f t="shared" si="56"/>
        <v>0</v>
      </c>
      <c r="U65" s="158">
        <f>+P65+IFERROR(+VLOOKUP($A65,'B0 2264預收'!$1:$1048576,22,0),0)</f>
        <v>0</v>
      </c>
      <c r="V65" s="158">
        <f t="shared" si="57"/>
        <v>0</v>
      </c>
      <c r="W65" s="157">
        <f>+R65+IFERROR(VLOOKUP($A65,'A0 BS 1240在建'!$1:$1048576,25,0),0)</f>
        <v>0</v>
      </c>
      <c r="X65" s="157">
        <f>+S65+IFERROR(VLOOKUP($A65,'B0 2264預收'!$1:$1048576,25,0),0)</f>
        <v>0</v>
      </c>
      <c r="Y65" s="157">
        <f t="shared" si="58"/>
        <v>0</v>
      </c>
      <c r="Z65" s="157">
        <f>+U65+IFERROR(+VLOOKUP($A65,'B0 2264預收'!$1:$1048576,26,0),0)</f>
        <v>0</v>
      </c>
      <c r="AA65" s="157">
        <f t="shared" si="59"/>
        <v>0</v>
      </c>
      <c r="AB65" s="158">
        <f>+W65+IFERROR(VLOOKUP($A65,'A0 BS 1240在建'!$1:$1048576,29,0),0)</f>
        <v>0</v>
      </c>
      <c r="AC65" s="158">
        <f>+X65+IFERROR(VLOOKUP($A65,'B0 2264預收'!$1:$1048576,29,0),0)</f>
        <v>0</v>
      </c>
      <c r="AD65" s="158">
        <f t="shared" si="60"/>
        <v>0</v>
      </c>
      <c r="AE65" s="158">
        <f>+Z65+IFERROR(+VLOOKUP($A65,'B0 2264預收'!$1:$1048576,30,0),0)</f>
        <v>0</v>
      </c>
      <c r="AF65" s="158">
        <f t="shared" si="61"/>
        <v>0</v>
      </c>
      <c r="AG65" s="157">
        <f>+AB65+IFERROR(VLOOKUP($A65,'A0 BS 1240在建'!$1:$1048576,33,0),0)</f>
        <v>0</v>
      </c>
      <c r="AH65" s="157">
        <f>+AC65+IFERROR(VLOOKUP($A65,'B0 2264預收'!$1:$1048576,33,0),0)</f>
        <v>0</v>
      </c>
      <c r="AI65" s="157">
        <f t="shared" si="62"/>
        <v>0</v>
      </c>
      <c r="AJ65" s="157">
        <f>+AE65+IFERROR(+VLOOKUP($A65,'B0 2264預收'!$1:$1048576,34,0),0)</f>
        <v>0</v>
      </c>
      <c r="AK65" s="157">
        <f t="shared" si="63"/>
        <v>0</v>
      </c>
      <c r="AL65" s="158">
        <f>+AG65+IFERROR(VLOOKUP($A65,'A0 BS 1240在建'!$1:$1048576,37,0),0)</f>
        <v>0</v>
      </c>
      <c r="AM65" s="158">
        <f>+AH65+IFERROR(VLOOKUP($A65,'B0 2264預收'!$1:$1048576,37,0),0)</f>
        <v>0</v>
      </c>
      <c r="AN65" s="158">
        <f t="shared" si="64"/>
        <v>0</v>
      </c>
      <c r="AO65" s="158">
        <f>+AJ65+IFERROR(+VLOOKUP($A65,'B0 2264預收'!$1:$1048576,38,0),0)</f>
        <v>0</v>
      </c>
      <c r="AP65" s="158">
        <f t="shared" si="65"/>
        <v>0</v>
      </c>
      <c r="AQ65" s="157">
        <f>+AL65+IFERROR(VLOOKUP($A65,'A0 BS 1240在建'!$1:$1048576,41,0),0)</f>
        <v>0</v>
      </c>
      <c r="AR65" s="157">
        <f>+AM65+IFERROR(VLOOKUP($A65,'B0 2264預收'!$1:$1048576,41,0),0)</f>
        <v>0</v>
      </c>
      <c r="AS65" s="157">
        <f t="shared" si="66"/>
        <v>0</v>
      </c>
      <c r="AT65" s="157">
        <f>+AO65+IFERROR(+VLOOKUP($A65,'B0 2264預收'!$1:$1048576,42,0),0)</f>
        <v>0</v>
      </c>
      <c r="AU65" s="157">
        <f t="shared" si="67"/>
        <v>0</v>
      </c>
      <c r="AV65" s="158">
        <f>+AQ65+IFERROR(VLOOKUP($A65,'A0 BS 1240在建'!$1:$1048576,45,0),0)</f>
        <v>0</v>
      </c>
      <c r="AW65" s="158">
        <f>+AR65+IFERROR(VLOOKUP($A65,'B0 2264預收'!$1:$1048576,45,0),0)</f>
        <v>0</v>
      </c>
      <c r="AX65" s="158">
        <f t="shared" si="68"/>
        <v>0</v>
      </c>
      <c r="AY65" s="158">
        <f>+AT65+IFERROR(+VLOOKUP($A65,'B0 2264預收'!$1:$1048576,46,0),0)</f>
        <v>0</v>
      </c>
      <c r="AZ65" s="158">
        <f t="shared" si="69"/>
        <v>0</v>
      </c>
      <c r="BA65" s="157">
        <f>+AV65+IFERROR(VLOOKUP($A65,'A0 BS 1240在建'!$1:$1048576,49,0),0)</f>
        <v>0</v>
      </c>
      <c r="BB65" s="157">
        <f>+AW65+IFERROR(VLOOKUP($A65,'B0 2264預收'!$1:$1048576,49,0),0)</f>
        <v>0</v>
      </c>
      <c r="BC65" s="157">
        <f t="shared" si="70"/>
        <v>0</v>
      </c>
      <c r="BD65" s="157">
        <f>+AY65+IFERROR(+VLOOKUP($A65,'B0 2264預收'!$1:$1048576,50,0),0)</f>
        <v>0</v>
      </c>
      <c r="BE65" s="157">
        <f t="shared" si="71"/>
        <v>0</v>
      </c>
      <c r="BF65" s="158">
        <f>+BA65+IFERROR(VLOOKUP($A65,'A0 BS 1240在建'!$1:$1048576,53,0),0)</f>
        <v>0</v>
      </c>
      <c r="BG65" s="158">
        <f>+BB65+IFERROR(VLOOKUP($A65,'B0 2264預收'!$1:$1048576,53,0),0)</f>
        <v>0</v>
      </c>
      <c r="BH65" s="158">
        <f t="shared" si="72"/>
        <v>0</v>
      </c>
      <c r="BI65" s="158">
        <f>+BD65+IFERROR(+VLOOKUP($A65,'B0 2264預收'!$1:$1048576,54,0),0)</f>
        <v>0</v>
      </c>
      <c r="BJ65" s="158">
        <f t="shared" si="73"/>
        <v>0</v>
      </c>
      <c r="BK65" s="157">
        <f>+BF65+IFERROR(VLOOKUP($A65,'A0 BS 1240在建'!$1:$1048576,57,0),0)</f>
        <v>0</v>
      </c>
      <c r="BL65" s="157">
        <f>+BG65+IFERROR(VLOOKUP($A65,'B0 2264預收'!$1:$1048576,57,0),0)</f>
        <v>0</v>
      </c>
      <c r="BM65" s="157">
        <f t="shared" si="74"/>
        <v>0</v>
      </c>
      <c r="BN65" s="157">
        <f>+BI65+IFERROR(+VLOOKUP($A65,'B0 2264預收'!$1:$1048576,58,0),0)</f>
        <v>0</v>
      </c>
      <c r="BO65" s="157">
        <f t="shared" si="75"/>
        <v>0</v>
      </c>
      <c r="BP65" s="158">
        <f>+BK65+IFERROR(VLOOKUP($A65,'A0 BS 1240在建'!$1:$1048576,61,0),0)</f>
        <v>0</v>
      </c>
      <c r="BQ65" s="158">
        <f>+BL65+IFERROR(VLOOKUP($A65,'B0 2264預收'!$1:$1048576,61,0),0)</f>
        <v>0</v>
      </c>
      <c r="BR65" s="159">
        <f t="shared" si="76"/>
        <v>0</v>
      </c>
      <c r="BS65" s="158">
        <f>+BN65+IFERROR(+VLOOKUP($A65,'B0 2264預收'!$1:$1048576,62,0),0)</f>
        <v>0</v>
      </c>
      <c r="BT65" s="158">
        <f t="shared" si="77"/>
        <v>0</v>
      </c>
      <c r="BU65" s="157">
        <f>+IFERROR(VLOOKUP($A65,'A0 BS 1240在建'!$1:$1048576,77,0),0)</f>
        <v>0</v>
      </c>
      <c r="BV65" s="157">
        <f>+IFERROR(VLOOKUP($A65,'B0 2264預收'!$1:$1048576,77,0),0)</f>
        <v>0</v>
      </c>
      <c r="BW65" s="157">
        <f t="shared" si="78"/>
        <v>0</v>
      </c>
      <c r="BX65" s="157">
        <f>+IFERROR(+VLOOKUP($A65,'B0 2264預收'!$1:$1048576,78,0),0)</f>
        <v>0</v>
      </c>
      <c r="BY65" s="157">
        <f t="shared" si="79"/>
        <v>0</v>
      </c>
      <c r="BZ65" s="158">
        <f>IFERROR(+VLOOKUP($A65,'A0 BS 1240在建'!$1:$1048576,85,0),0)</f>
        <v>0</v>
      </c>
      <c r="CA65" s="158">
        <f>IFERROR(+VLOOKUP($A65,'B0 2264預收'!$1:$1048576,85,0),0)</f>
        <v>0</v>
      </c>
      <c r="CB65" s="158">
        <f t="shared" si="80"/>
        <v>0</v>
      </c>
      <c r="CC65" s="158">
        <f>+IFERROR(+VLOOKUP($A65,'B0 2264預收'!$1:$1048576,86,0),0)</f>
        <v>0</v>
      </c>
      <c r="CD65" s="158">
        <f t="shared" si="81"/>
        <v>0</v>
      </c>
      <c r="CE65" s="157">
        <f>+IFERROR(VLOOKUP($A65,'A0 BS 1240在建'!$1:$1048576,93,0),0)</f>
        <v>0</v>
      </c>
      <c r="CF65" s="157">
        <f>+IFERROR(VLOOKUP($A65,'B0 2264預收'!$1:$1048576,93,0),0)</f>
        <v>0</v>
      </c>
      <c r="CG65" s="157">
        <f t="shared" si="82"/>
        <v>0</v>
      </c>
      <c r="CH65" s="157">
        <f>+IFERROR(+VLOOKUP($A65,'B0 2264預收'!$1:$1048576,94,0),0)</f>
        <v>0</v>
      </c>
      <c r="CI65" s="157">
        <f t="shared" si="83"/>
        <v>0</v>
      </c>
      <c r="CJ65" s="158">
        <f>IFERROR(+VLOOKUP($A65,'A0 BS 1240在建'!$1:$1048576,101,0),0)</f>
        <v>0</v>
      </c>
      <c r="CK65" s="158">
        <f>IFERROR(+VLOOKUP($A65,'B0 2264預收'!$1:$1048576,101,0),0)</f>
        <v>0</v>
      </c>
      <c r="CL65" s="158">
        <f t="shared" si="84"/>
        <v>0</v>
      </c>
      <c r="CM65" s="158">
        <f>+IFERROR(+VLOOKUP($A65,'B0 2264預收'!$1:$1048576,102,0),0)</f>
        <v>0</v>
      </c>
      <c r="CN65" s="158">
        <f t="shared" si="85"/>
        <v>0</v>
      </c>
      <c r="CP65" s="165">
        <f t="shared" si="99"/>
        <v>0</v>
      </c>
      <c r="CR65" s="98">
        <f>+CP65</f>
        <v>0</v>
      </c>
      <c r="CU65" s="165">
        <f t="shared" si="100"/>
        <v>0</v>
      </c>
      <c r="CW65" s="98">
        <f>+CU65</f>
        <v>0</v>
      </c>
      <c r="CY65" s="162" t="str">
        <f t="shared" si="86"/>
        <v/>
      </c>
      <c r="CZ65" s="98" t="str">
        <f t="shared" si="87"/>
        <v xml:space="preserve"> </v>
      </c>
      <c r="DA65" s="98" t="str">
        <f t="shared" si="88"/>
        <v xml:space="preserve"> </v>
      </c>
      <c r="DB65" s="98" t="str">
        <f t="shared" si="89"/>
        <v xml:space="preserve"> </v>
      </c>
      <c r="DC65" s="163">
        <f t="shared" si="90"/>
        <v>0</v>
      </c>
      <c r="DD65" s="162" t="str">
        <f t="shared" si="92"/>
        <v/>
      </c>
      <c r="DE65" s="98" t="str">
        <f t="shared" si="93"/>
        <v xml:space="preserve"> </v>
      </c>
      <c r="DF65" s="98" t="str">
        <f t="shared" si="94"/>
        <v xml:space="preserve"> </v>
      </c>
      <c r="DG65" s="98" t="str">
        <f t="shared" si="95"/>
        <v xml:space="preserve"> </v>
      </c>
      <c r="DH65" s="163">
        <f t="shared" si="91"/>
        <v>0</v>
      </c>
    </row>
    <row r="66" spans="1:112">
      <c r="A66" s="178" t="s">
        <v>427</v>
      </c>
      <c r="B66" s="177" t="s">
        <v>428</v>
      </c>
      <c r="C66" s="157">
        <f>IFERROR(VLOOKUP($A66,'A0 BS 1240在建'!$1:$1048576,5,0),0)</f>
        <v>0</v>
      </c>
      <c r="D66" s="157">
        <f>IFERROR(VLOOKUP($A66,'B0 2264預收'!$1:$1048576,5,0),0)</f>
        <v>0</v>
      </c>
      <c r="E66" s="157">
        <f t="shared" si="50"/>
        <v>0</v>
      </c>
      <c r="F66" s="157">
        <f>IFERROR(VLOOKUP($A66,'B0 2264預收'!$1:$1048576,6,0),0)</f>
        <v>0</v>
      </c>
      <c r="G66" s="157">
        <f t="shared" si="51"/>
        <v>0</v>
      </c>
      <c r="H66" s="158">
        <f>IFERROR(VLOOKUP($A66,'A0 BS 1240在建'!$1:$1048576,13,0),0)</f>
        <v>0</v>
      </c>
      <c r="I66" s="158">
        <f>IFERROR(VLOOKUP($A66,'B0 2264預收'!$1:$1048576,13,0),0)</f>
        <v>0</v>
      </c>
      <c r="J66" s="158">
        <f t="shared" si="52"/>
        <v>0</v>
      </c>
      <c r="K66" s="158">
        <f>IFERROR(VLOOKUP($A66,'B0 2264預收'!$1:$1048576,14,0),0)</f>
        <v>0</v>
      </c>
      <c r="L66" s="158">
        <f t="shared" si="53"/>
        <v>0</v>
      </c>
      <c r="M66" s="157">
        <f>H66+IFERROR(VLOOKUP($A66,'A0 BS 1240在建'!$1:$1048576,17,0),0)</f>
        <v>0</v>
      </c>
      <c r="N66" s="157">
        <f>I66+IFERROR(VLOOKUP($A66,'B0 2264預收'!$1:$1048576,17,0),0)</f>
        <v>0</v>
      </c>
      <c r="O66" s="157">
        <f t="shared" si="54"/>
        <v>0</v>
      </c>
      <c r="P66" s="157">
        <f>K66+IFERROR(+VLOOKUP($A66,'B0 2264預收'!$1:$1048576,18,0),0)</f>
        <v>0</v>
      </c>
      <c r="Q66" s="157">
        <f t="shared" si="55"/>
        <v>0</v>
      </c>
      <c r="R66" s="158">
        <f>M66+IFERROR(VLOOKUP($A66,'A0 BS 1240在建'!$1:$1048576,21,0),0)</f>
        <v>0</v>
      </c>
      <c r="S66" s="158">
        <f>+N66+IFERROR(VLOOKUP($A66,'B0 2264預收'!$1:$1048576,21,0),0)</f>
        <v>0</v>
      </c>
      <c r="T66" s="158">
        <f t="shared" si="56"/>
        <v>0</v>
      </c>
      <c r="U66" s="158">
        <f>+P66+IFERROR(+VLOOKUP($A66,'B0 2264預收'!$1:$1048576,22,0),0)</f>
        <v>0</v>
      </c>
      <c r="V66" s="158">
        <f t="shared" si="57"/>
        <v>0</v>
      </c>
      <c r="W66" s="157">
        <f>+R66+IFERROR(VLOOKUP($A66,'A0 BS 1240在建'!$1:$1048576,25,0),0)</f>
        <v>0</v>
      </c>
      <c r="X66" s="157">
        <f>+S66+IFERROR(VLOOKUP($A66,'B0 2264預收'!$1:$1048576,25,0),0)</f>
        <v>0</v>
      </c>
      <c r="Y66" s="157">
        <f t="shared" si="58"/>
        <v>0</v>
      </c>
      <c r="Z66" s="157">
        <f>+U66+IFERROR(+VLOOKUP($A66,'B0 2264預收'!$1:$1048576,26,0),0)</f>
        <v>0</v>
      </c>
      <c r="AA66" s="157">
        <f t="shared" si="59"/>
        <v>0</v>
      </c>
      <c r="AB66" s="158">
        <f>+W66+IFERROR(VLOOKUP($A66,'A0 BS 1240在建'!$1:$1048576,29,0),0)</f>
        <v>0</v>
      </c>
      <c r="AC66" s="158">
        <f>+X66+IFERROR(VLOOKUP($A66,'B0 2264預收'!$1:$1048576,29,0),0)</f>
        <v>0</v>
      </c>
      <c r="AD66" s="158">
        <f t="shared" si="60"/>
        <v>0</v>
      </c>
      <c r="AE66" s="158">
        <f>+Z66+IFERROR(+VLOOKUP($A66,'B0 2264預收'!$1:$1048576,30,0),0)</f>
        <v>0</v>
      </c>
      <c r="AF66" s="158">
        <f t="shared" si="61"/>
        <v>0</v>
      </c>
      <c r="AG66" s="157">
        <f>+AB66+IFERROR(VLOOKUP($A66,'A0 BS 1240在建'!$1:$1048576,33,0),0)</f>
        <v>0</v>
      </c>
      <c r="AH66" s="157">
        <f>+AC66+IFERROR(VLOOKUP($A66,'B0 2264預收'!$1:$1048576,33,0),0)</f>
        <v>0</v>
      </c>
      <c r="AI66" s="157">
        <f t="shared" si="62"/>
        <v>0</v>
      </c>
      <c r="AJ66" s="157">
        <f>+AE66+IFERROR(+VLOOKUP($A66,'B0 2264預收'!$1:$1048576,34,0),0)</f>
        <v>0</v>
      </c>
      <c r="AK66" s="157">
        <f t="shared" si="63"/>
        <v>0</v>
      </c>
      <c r="AL66" s="158">
        <f>+AG66+IFERROR(VLOOKUP($A66,'A0 BS 1240在建'!$1:$1048576,37,0),0)</f>
        <v>0</v>
      </c>
      <c r="AM66" s="158">
        <f>+AH66+IFERROR(VLOOKUP($A66,'B0 2264預收'!$1:$1048576,37,0),0)</f>
        <v>0</v>
      </c>
      <c r="AN66" s="158">
        <f t="shared" si="64"/>
        <v>0</v>
      </c>
      <c r="AO66" s="158">
        <f>+AJ66+IFERROR(+VLOOKUP($A66,'B0 2264預收'!$1:$1048576,38,0),0)</f>
        <v>0</v>
      </c>
      <c r="AP66" s="158">
        <f t="shared" si="65"/>
        <v>0</v>
      </c>
      <c r="AQ66" s="157">
        <f>+AL66+IFERROR(VLOOKUP($A66,'A0 BS 1240在建'!$1:$1048576,41,0),0)</f>
        <v>0</v>
      </c>
      <c r="AR66" s="157">
        <f>+AM66+IFERROR(VLOOKUP($A66,'B0 2264預收'!$1:$1048576,41,0),0)</f>
        <v>0</v>
      </c>
      <c r="AS66" s="157">
        <f t="shared" si="66"/>
        <v>0</v>
      </c>
      <c r="AT66" s="157">
        <f>+AO66+IFERROR(+VLOOKUP($A66,'B0 2264預收'!$1:$1048576,42,0),0)</f>
        <v>0</v>
      </c>
      <c r="AU66" s="157">
        <f t="shared" si="67"/>
        <v>0</v>
      </c>
      <c r="AV66" s="158">
        <f>+AQ66+IFERROR(VLOOKUP($A66,'A0 BS 1240在建'!$1:$1048576,45,0),0)</f>
        <v>0</v>
      </c>
      <c r="AW66" s="158">
        <f>+AR66+IFERROR(VLOOKUP($A66,'B0 2264預收'!$1:$1048576,45,0),0)</f>
        <v>0</v>
      </c>
      <c r="AX66" s="158">
        <f t="shared" si="68"/>
        <v>0</v>
      </c>
      <c r="AY66" s="158">
        <f>+AT66+IFERROR(+VLOOKUP($A66,'B0 2264預收'!$1:$1048576,46,0),0)</f>
        <v>0</v>
      </c>
      <c r="AZ66" s="158">
        <f t="shared" si="69"/>
        <v>0</v>
      </c>
      <c r="BA66" s="157">
        <f>+AV66+IFERROR(VLOOKUP($A66,'A0 BS 1240在建'!$1:$1048576,49,0),0)</f>
        <v>0</v>
      </c>
      <c r="BB66" s="157">
        <f>+AW66+IFERROR(VLOOKUP($A66,'B0 2264預收'!$1:$1048576,49,0),0)</f>
        <v>0</v>
      </c>
      <c r="BC66" s="157">
        <f t="shared" si="70"/>
        <v>0</v>
      </c>
      <c r="BD66" s="157">
        <f>+AY66+IFERROR(+VLOOKUP($A66,'B0 2264預收'!$1:$1048576,50,0),0)</f>
        <v>0</v>
      </c>
      <c r="BE66" s="157">
        <f t="shared" si="71"/>
        <v>0</v>
      </c>
      <c r="BF66" s="158">
        <f>+BA66+IFERROR(VLOOKUP($A66,'A0 BS 1240在建'!$1:$1048576,53,0),0)</f>
        <v>0</v>
      </c>
      <c r="BG66" s="158">
        <f>+BB66+IFERROR(VLOOKUP($A66,'B0 2264預收'!$1:$1048576,53,0),0)</f>
        <v>0</v>
      </c>
      <c r="BH66" s="158">
        <f t="shared" si="72"/>
        <v>0</v>
      </c>
      <c r="BI66" s="158">
        <f>+BD66+IFERROR(+VLOOKUP($A66,'B0 2264預收'!$1:$1048576,54,0),0)</f>
        <v>0</v>
      </c>
      <c r="BJ66" s="158">
        <f t="shared" si="73"/>
        <v>0</v>
      </c>
      <c r="BK66" s="157">
        <f>+BF66+IFERROR(VLOOKUP($A66,'A0 BS 1240在建'!$1:$1048576,57,0),0)</f>
        <v>0</v>
      </c>
      <c r="BL66" s="157">
        <f>+BG66+IFERROR(VLOOKUP($A66,'B0 2264預收'!$1:$1048576,57,0),0)</f>
        <v>0</v>
      </c>
      <c r="BM66" s="157">
        <f t="shared" si="74"/>
        <v>0</v>
      </c>
      <c r="BN66" s="157">
        <f>+BI66+IFERROR(+VLOOKUP($A66,'B0 2264預收'!$1:$1048576,58,0),0)</f>
        <v>0</v>
      </c>
      <c r="BO66" s="157">
        <f t="shared" si="75"/>
        <v>0</v>
      </c>
      <c r="BP66" s="158">
        <f>+BK66+IFERROR(VLOOKUP($A66,'A0 BS 1240在建'!$1:$1048576,61,0),0)</f>
        <v>0</v>
      </c>
      <c r="BQ66" s="158">
        <f>+BL66+IFERROR(VLOOKUP($A66,'B0 2264預收'!$1:$1048576,61,0),0)</f>
        <v>0</v>
      </c>
      <c r="BR66" s="159">
        <f t="shared" si="76"/>
        <v>0</v>
      </c>
      <c r="BS66" s="158">
        <f>+BN66+IFERROR(+VLOOKUP($A66,'B0 2264預收'!$1:$1048576,62,0),0)</f>
        <v>0</v>
      </c>
      <c r="BT66" s="158">
        <f t="shared" si="77"/>
        <v>0</v>
      </c>
      <c r="BU66" s="157">
        <f>+IFERROR(VLOOKUP($A66,'A0 BS 1240在建'!$1:$1048576,77,0),0)</f>
        <v>0</v>
      </c>
      <c r="BV66" s="157">
        <f>+IFERROR(VLOOKUP($A66,'B0 2264預收'!$1:$1048576,77,0),0)</f>
        <v>0</v>
      </c>
      <c r="BW66" s="157">
        <f t="shared" si="78"/>
        <v>0</v>
      </c>
      <c r="BX66" s="157">
        <f>+IFERROR(+VLOOKUP($A66,'B0 2264預收'!$1:$1048576,78,0),0)</f>
        <v>0</v>
      </c>
      <c r="BY66" s="157">
        <f t="shared" si="79"/>
        <v>0</v>
      </c>
      <c r="BZ66" s="158">
        <f>IFERROR(+VLOOKUP($A66,'A0 BS 1240在建'!$1:$1048576,85,0),0)</f>
        <v>0</v>
      </c>
      <c r="CA66" s="158">
        <f>IFERROR(+VLOOKUP($A66,'B0 2264預收'!$1:$1048576,85,0),0)</f>
        <v>0</v>
      </c>
      <c r="CB66" s="158">
        <f t="shared" si="80"/>
        <v>0</v>
      </c>
      <c r="CC66" s="158">
        <f>+IFERROR(+VLOOKUP($A66,'B0 2264預收'!$1:$1048576,86,0),0)</f>
        <v>0</v>
      </c>
      <c r="CD66" s="158">
        <f t="shared" si="81"/>
        <v>0</v>
      </c>
      <c r="CE66" s="157">
        <f>+IFERROR(VLOOKUP($A66,'A0 BS 1240在建'!$1:$1048576,93,0),0)</f>
        <v>0</v>
      </c>
      <c r="CF66" s="157">
        <f>+IFERROR(VLOOKUP($A66,'B0 2264預收'!$1:$1048576,93,0),0)</f>
        <v>0</v>
      </c>
      <c r="CG66" s="157">
        <f t="shared" si="82"/>
        <v>0</v>
      </c>
      <c r="CH66" s="157">
        <f>+IFERROR(+VLOOKUP($A66,'B0 2264預收'!$1:$1048576,94,0),0)</f>
        <v>0</v>
      </c>
      <c r="CI66" s="157">
        <f t="shared" si="83"/>
        <v>0</v>
      </c>
      <c r="CJ66" s="158">
        <f>IFERROR(+VLOOKUP($A66,'A0 BS 1240在建'!$1:$1048576,101,0),0)</f>
        <v>0</v>
      </c>
      <c r="CK66" s="158">
        <f>IFERROR(+VLOOKUP($A66,'B0 2264預收'!$1:$1048576,101,0),0)</f>
        <v>0</v>
      </c>
      <c r="CL66" s="158">
        <f t="shared" si="84"/>
        <v>0</v>
      </c>
      <c r="CM66" s="158">
        <f>+IFERROR(+VLOOKUP($A66,'B0 2264預收'!$1:$1048576,102,0),0)</f>
        <v>0</v>
      </c>
      <c r="CN66" s="158">
        <f t="shared" si="85"/>
        <v>0</v>
      </c>
      <c r="CP66" s="165">
        <f t="shared" si="99"/>
        <v>0</v>
      </c>
      <c r="CR66" s="98">
        <f>+CP66</f>
        <v>0</v>
      </c>
      <c r="CU66" s="165">
        <f t="shared" si="100"/>
        <v>0</v>
      </c>
      <c r="CW66" s="98">
        <f>+CU66</f>
        <v>0</v>
      </c>
      <c r="CY66" s="162" t="str">
        <f t="shared" si="86"/>
        <v/>
      </c>
      <c r="CZ66" s="98" t="str">
        <f t="shared" si="87"/>
        <v xml:space="preserve"> </v>
      </c>
      <c r="DA66" s="98" t="str">
        <f t="shared" si="88"/>
        <v xml:space="preserve"> </v>
      </c>
      <c r="DB66" s="98" t="str">
        <f t="shared" si="89"/>
        <v xml:space="preserve"> </v>
      </c>
      <c r="DC66" s="163">
        <f t="shared" si="90"/>
        <v>0</v>
      </c>
      <c r="DD66" s="162" t="str">
        <f t="shared" si="92"/>
        <v/>
      </c>
      <c r="DE66" s="98" t="str">
        <f t="shared" si="93"/>
        <v xml:space="preserve"> </v>
      </c>
      <c r="DF66" s="98" t="str">
        <f t="shared" si="94"/>
        <v xml:space="preserve"> </v>
      </c>
      <c r="DG66" s="98" t="str">
        <f t="shared" si="95"/>
        <v xml:space="preserve"> </v>
      </c>
      <c r="DH66" s="163">
        <f t="shared" si="91"/>
        <v>0</v>
      </c>
    </row>
    <row r="67" spans="1:112">
      <c r="A67" s="178" t="s">
        <v>429</v>
      </c>
      <c r="B67" s="177" t="s">
        <v>430</v>
      </c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si="50"/>
        <v>0</v>
      </c>
      <c r="F67" s="157">
        <f>IFERROR(VLOOKUP($A67,'B0 2264預收'!$1:$1048576,6,0),0)</f>
        <v>0</v>
      </c>
      <c r="G67" s="157">
        <f t="shared" si="51"/>
        <v>0</v>
      </c>
      <c r="H67" s="158">
        <f>IFERROR(VLOOKUP($A67,'A0 BS 1240在建'!$1:$1048576,13,0),0)</f>
        <v>0</v>
      </c>
      <c r="I67" s="158">
        <f>IFERROR(VLOOKUP($A67,'B0 2264預收'!$1:$1048576,13,0),0)</f>
        <v>0</v>
      </c>
      <c r="J67" s="158">
        <f t="shared" si="52"/>
        <v>0</v>
      </c>
      <c r="K67" s="158">
        <f>IFERROR(VLOOKUP($A67,'B0 2264預收'!$1:$1048576,14,0),0)</f>
        <v>0</v>
      </c>
      <c r="L67" s="158">
        <f t="shared" si="53"/>
        <v>0</v>
      </c>
      <c r="M67" s="157">
        <f>H67+IFERROR(VLOOKUP($A67,'A0 BS 1240在建'!$1:$1048576,17,0),0)</f>
        <v>0</v>
      </c>
      <c r="N67" s="157">
        <f>I67+IFERROR(VLOOKUP($A67,'B0 2264預收'!$1:$1048576,17,0),0)</f>
        <v>0</v>
      </c>
      <c r="O67" s="157">
        <f t="shared" si="54"/>
        <v>0</v>
      </c>
      <c r="P67" s="157">
        <f>K67+IFERROR(+VLOOKUP($A67,'B0 2264預收'!$1:$1048576,18,0),0)</f>
        <v>0</v>
      </c>
      <c r="Q67" s="157">
        <f t="shared" si="55"/>
        <v>0</v>
      </c>
      <c r="R67" s="158">
        <f>M67+IFERROR(VLOOKUP($A67,'A0 BS 1240在建'!$1:$1048576,21,0),0)</f>
        <v>0</v>
      </c>
      <c r="S67" s="158">
        <f>+N67+IFERROR(VLOOKUP($A67,'B0 2264預收'!$1:$1048576,21,0),0)</f>
        <v>0</v>
      </c>
      <c r="T67" s="158">
        <f t="shared" si="56"/>
        <v>0</v>
      </c>
      <c r="U67" s="158">
        <f>+P67+IFERROR(+VLOOKUP($A67,'B0 2264預收'!$1:$1048576,22,0),0)</f>
        <v>0</v>
      </c>
      <c r="V67" s="158">
        <f t="shared" si="57"/>
        <v>0</v>
      </c>
      <c r="W67" s="157">
        <f>+R67+IFERROR(VLOOKUP($A67,'A0 BS 1240在建'!$1:$1048576,25,0),0)</f>
        <v>0</v>
      </c>
      <c r="X67" s="157">
        <f>+S67+IFERROR(VLOOKUP($A67,'B0 2264預收'!$1:$1048576,25,0),0)</f>
        <v>0</v>
      </c>
      <c r="Y67" s="157">
        <f t="shared" si="58"/>
        <v>0</v>
      </c>
      <c r="Z67" s="157">
        <f>+U67+IFERROR(+VLOOKUP($A67,'B0 2264預收'!$1:$1048576,26,0),0)</f>
        <v>0</v>
      </c>
      <c r="AA67" s="157">
        <f t="shared" si="59"/>
        <v>0</v>
      </c>
      <c r="AB67" s="158">
        <f>+W67+IFERROR(VLOOKUP($A67,'A0 BS 1240在建'!$1:$1048576,29,0),0)</f>
        <v>0</v>
      </c>
      <c r="AC67" s="158">
        <f>+X67+IFERROR(VLOOKUP($A67,'B0 2264預收'!$1:$1048576,29,0),0)</f>
        <v>0</v>
      </c>
      <c r="AD67" s="158">
        <f t="shared" si="60"/>
        <v>0</v>
      </c>
      <c r="AE67" s="158">
        <f>+Z67+IFERROR(+VLOOKUP($A67,'B0 2264預收'!$1:$1048576,30,0),0)</f>
        <v>0</v>
      </c>
      <c r="AF67" s="158">
        <f t="shared" si="61"/>
        <v>0</v>
      </c>
      <c r="AG67" s="157">
        <f>+AB67+IFERROR(VLOOKUP($A67,'A0 BS 1240在建'!$1:$1048576,33,0),0)</f>
        <v>0</v>
      </c>
      <c r="AH67" s="157">
        <f>+AC67+IFERROR(VLOOKUP($A67,'B0 2264預收'!$1:$1048576,33,0),0)</f>
        <v>0</v>
      </c>
      <c r="AI67" s="157">
        <f t="shared" si="62"/>
        <v>0</v>
      </c>
      <c r="AJ67" s="157">
        <f>+AE67+IFERROR(+VLOOKUP($A67,'B0 2264預收'!$1:$1048576,34,0),0)</f>
        <v>0</v>
      </c>
      <c r="AK67" s="157">
        <f t="shared" si="63"/>
        <v>0</v>
      </c>
      <c r="AL67" s="158">
        <f>+AG67+IFERROR(VLOOKUP($A67,'A0 BS 1240在建'!$1:$1048576,37,0),0)</f>
        <v>0</v>
      </c>
      <c r="AM67" s="158">
        <f>+AH67+IFERROR(VLOOKUP($A67,'B0 2264預收'!$1:$1048576,37,0),0)</f>
        <v>0</v>
      </c>
      <c r="AN67" s="158">
        <f t="shared" si="64"/>
        <v>0</v>
      </c>
      <c r="AO67" s="158">
        <f>+AJ67+IFERROR(+VLOOKUP($A67,'B0 2264預收'!$1:$1048576,38,0),0)</f>
        <v>0</v>
      </c>
      <c r="AP67" s="158">
        <f t="shared" si="65"/>
        <v>0</v>
      </c>
      <c r="AQ67" s="157">
        <f>+AL67+IFERROR(VLOOKUP($A67,'A0 BS 1240在建'!$1:$1048576,41,0),0)</f>
        <v>0</v>
      </c>
      <c r="AR67" s="157">
        <f>+AM67+IFERROR(VLOOKUP($A67,'B0 2264預收'!$1:$1048576,41,0),0)</f>
        <v>0</v>
      </c>
      <c r="AS67" s="157">
        <f t="shared" si="66"/>
        <v>0</v>
      </c>
      <c r="AT67" s="157">
        <f>+AO67+IFERROR(+VLOOKUP($A67,'B0 2264預收'!$1:$1048576,42,0),0)</f>
        <v>0</v>
      </c>
      <c r="AU67" s="157">
        <f t="shared" si="67"/>
        <v>0</v>
      </c>
      <c r="AV67" s="158">
        <f>+AQ67+IFERROR(VLOOKUP($A67,'A0 BS 1240在建'!$1:$1048576,45,0),0)</f>
        <v>0</v>
      </c>
      <c r="AW67" s="158">
        <f>+AR67+IFERROR(VLOOKUP($A67,'B0 2264預收'!$1:$1048576,45,0),0)</f>
        <v>0</v>
      </c>
      <c r="AX67" s="158">
        <f t="shared" si="68"/>
        <v>0</v>
      </c>
      <c r="AY67" s="158">
        <f>+AT67+IFERROR(+VLOOKUP($A67,'B0 2264預收'!$1:$1048576,46,0),0)</f>
        <v>0</v>
      </c>
      <c r="AZ67" s="158">
        <f t="shared" si="69"/>
        <v>0</v>
      </c>
      <c r="BA67" s="157">
        <f>+AV67+IFERROR(VLOOKUP($A67,'A0 BS 1240在建'!$1:$1048576,49,0),0)</f>
        <v>0</v>
      </c>
      <c r="BB67" s="157">
        <f>+AW67+IFERROR(VLOOKUP($A67,'B0 2264預收'!$1:$1048576,49,0),0)</f>
        <v>0</v>
      </c>
      <c r="BC67" s="157">
        <f t="shared" si="70"/>
        <v>0</v>
      </c>
      <c r="BD67" s="157">
        <f>+AY67+IFERROR(+VLOOKUP($A67,'B0 2264預收'!$1:$1048576,50,0),0)</f>
        <v>0</v>
      </c>
      <c r="BE67" s="157">
        <f t="shared" si="71"/>
        <v>0</v>
      </c>
      <c r="BF67" s="158">
        <f>+BA67+IFERROR(VLOOKUP($A67,'A0 BS 1240在建'!$1:$1048576,53,0),0)</f>
        <v>0</v>
      </c>
      <c r="BG67" s="158">
        <f>+BB67+IFERROR(VLOOKUP($A67,'B0 2264預收'!$1:$1048576,53,0),0)</f>
        <v>0</v>
      </c>
      <c r="BH67" s="158">
        <f t="shared" si="72"/>
        <v>0</v>
      </c>
      <c r="BI67" s="158">
        <f>+BD67+IFERROR(+VLOOKUP($A67,'B0 2264預收'!$1:$1048576,54,0),0)</f>
        <v>0</v>
      </c>
      <c r="BJ67" s="158">
        <f t="shared" si="73"/>
        <v>0</v>
      </c>
      <c r="BK67" s="157">
        <f>+BF67+IFERROR(VLOOKUP($A67,'A0 BS 1240在建'!$1:$1048576,57,0),0)</f>
        <v>0</v>
      </c>
      <c r="BL67" s="157">
        <f>+BG67+IFERROR(VLOOKUP($A67,'B0 2264預收'!$1:$1048576,57,0),0)</f>
        <v>0</v>
      </c>
      <c r="BM67" s="157">
        <f t="shared" si="74"/>
        <v>0</v>
      </c>
      <c r="BN67" s="157">
        <f>+BI67+IFERROR(+VLOOKUP($A67,'B0 2264預收'!$1:$1048576,58,0),0)</f>
        <v>0</v>
      </c>
      <c r="BO67" s="157">
        <f t="shared" si="75"/>
        <v>0</v>
      </c>
      <c r="BP67" s="158">
        <f>+BK67+IFERROR(VLOOKUP($A67,'A0 BS 1240在建'!$1:$1048576,61,0),0)</f>
        <v>0</v>
      </c>
      <c r="BQ67" s="158">
        <f>+BL67+IFERROR(VLOOKUP($A67,'B0 2264預收'!$1:$1048576,61,0),0)</f>
        <v>0</v>
      </c>
      <c r="BR67" s="159">
        <f t="shared" si="76"/>
        <v>0</v>
      </c>
      <c r="BS67" s="158">
        <f>+BN67+IFERROR(+VLOOKUP($A67,'B0 2264預收'!$1:$1048576,62,0),0)</f>
        <v>0</v>
      </c>
      <c r="BT67" s="158">
        <f t="shared" si="77"/>
        <v>0</v>
      </c>
      <c r="BU67" s="157">
        <f>+IFERROR(VLOOKUP($A67,'A0 BS 1240在建'!$1:$1048576,77,0),0)</f>
        <v>0</v>
      </c>
      <c r="BV67" s="157">
        <f>+IFERROR(VLOOKUP($A67,'B0 2264預收'!$1:$1048576,77,0),0)</f>
        <v>0</v>
      </c>
      <c r="BW67" s="157">
        <f t="shared" si="78"/>
        <v>0</v>
      </c>
      <c r="BX67" s="157">
        <f>+IFERROR(+VLOOKUP($A67,'B0 2264預收'!$1:$1048576,78,0),0)</f>
        <v>0</v>
      </c>
      <c r="BY67" s="157">
        <f t="shared" si="79"/>
        <v>0</v>
      </c>
      <c r="BZ67" s="158">
        <f>IFERROR(+VLOOKUP($A67,'A0 BS 1240在建'!$1:$1048576,85,0),0)</f>
        <v>0</v>
      </c>
      <c r="CA67" s="158">
        <f>IFERROR(+VLOOKUP($A67,'B0 2264預收'!$1:$1048576,85,0),0)</f>
        <v>0</v>
      </c>
      <c r="CB67" s="158">
        <f t="shared" si="80"/>
        <v>0</v>
      </c>
      <c r="CC67" s="158">
        <f>+IFERROR(+VLOOKUP($A67,'B0 2264預收'!$1:$1048576,86,0),0)</f>
        <v>0</v>
      </c>
      <c r="CD67" s="158">
        <f t="shared" si="81"/>
        <v>0</v>
      </c>
      <c r="CE67" s="157">
        <f>+IFERROR(VLOOKUP($A67,'A0 BS 1240在建'!$1:$1048576,93,0),0)</f>
        <v>0</v>
      </c>
      <c r="CF67" s="157">
        <f>+IFERROR(VLOOKUP($A67,'B0 2264預收'!$1:$1048576,93,0),0)</f>
        <v>0</v>
      </c>
      <c r="CG67" s="157">
        <f t="shared" si="82"/>
        <v>0</v>
      </c>
      <c r="CH67" s="157">
        <f>+IFERROR(+VLOOKUP($A67,'B0 2264預收'!$1:$1048576,94,0),0)</f>
        <v>0</v>
      </c>
      <c r="CI67" s="157">
        <f t="shared" si="83"/>
        <v>0</v>
      </c>
      <c r="CJ67" s="158">
        <f>IFERROR(+VLOOKUP($A67,'A0 BS 1240在建'!$1:$1048576,101,0),0)</f>
        <v>0</v>
      </c>
      <c r="CK67" s="158">
        <f>IFERROR(+VLOOKUP($A67,'B0 2264預收'!$1:$1048576,101,0),0)</f>
        <v>0</v>
      </c>
      <c r="CL67" s="158">
        <f t="shared" si="84"/>
        <v>0</v>
      </c>
      <c r="CM67" s="158">
        <f>+IFERROR(+VLOOKUP($A67,'B0 2264預收'!$1:$1048576,102,0),0)</f>
        <v>0</v>
      </c>
      <c r="CN67" s="158">
        <f t="shared" si="85"/>
        <v>0</v>
      </c>
      <c r="CP67" s="166">
        <f t="shared" si="99"/>
        <v>0</v>
      </c>
      <c r="CQ67" s="98">
        <f>+CP67</f>
        <v>0</v>
      </c>
      <c r="CU67" s="166">
        <f t="shared" si="100"/>
        <v>0</v>
      </c>
      <c r="CV67" s="98">
        <f>+CU67</f>
        <v>0</v>
      </c>
      <c r="CY67" s="162" t="str">
        <f t="shared" si="86"/>
        <v/>
      </c>
      <c r="CZ67" s="98" t="str">
        <f t="shared" si="87"/>
        <v xml:space="preserve"> </v>
      </c>
      <c r="DA67" s="98" t="str">
        <f t="shared" si="88"/>
        <v xml:space="preserve"> </v>
      </c>
      <c r="DB67" s="98" t="str">
        <f t="shared" si="89"/>
        <v xml:space="preserve"> </v>
      </c>
      <c r="DC67" s="163">
        <f t="shared" si="90"/>
        <v>0</v>
      </c>
      <c r="DD67" s="162" t="str">
        <f t="shared" si="92"/>
        <v/>
      </c>
      <c r="DE67" s="98" t="str">
        <f t="shared" si="93"/>
        <v xml:space="preserve"> </v>
      </c>
      <c r="DF67" s="98" t="str">
        <f t="shared" si="94"/>
        <v xml:space="preserve"> </v>
      </c>
      <c r="DG67" s="98" t="str">
        <f t="shared" si="95"/>
        <v xml:space="preserve"> </v>
      </c>
      <c r="DH67" s="163">
        <f t="shared" si="91"/>
        <v>0</v>
      </c>
    </row>
    <row r="68" spans="1:112">
      <c r="A68" s="178" t="s">
        <v>431</v>
      </c>
      <c r="B68" s="177" t="s">
        <v>432</v>
      </c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50"/>
        <v>0</v>
      </c>
      <c r="F68" s="157">
        <f>IFERROR(VLOOKUP($A68,'B0 2264預收'!$1:$1048576,6,0),0)</f>
        <v>0</v>
      </c>
      <c r="G68" s="157">
        <f t="shared" si="51"/>
        <v>0</v>
      </c>
      <c r="H68" s="158">
        <f>IFERROR(VLOOKUP($A68,'A0 BS 1240在建'!$1:$1048576,13,0),0)</f>
        <v>0</v>
      </c>
      <c r="I68" s="158">
        <f>IFERROR(VLOOKUP($A68,'B0 2264預收'!$1:$1048576,13,0),0)</f>
        <v>0</v>
      </c>
      <c r="J68" s="158">
        <f t="shared" si="52"/>
        <v>0</v>
      </c>
      <c r="K68" s="158">
        <f>IFERROR(VLOOKUP($A68,'B0 2264預收'!$1:$1048576,14,0),0)</f>
        <v>0</v>
      </c>
      <c r="L68" s="158">
        <f t="shared" si="53"/>
        <v>0</v>
      </c>
      <c r="M68" s="157">
        <f>H68+IFERROR(VLOOKUP($A68,'A0 BS 1240在建'!$1:$1048576,17,0),0)</f>
        <v>0</v>
      </c>
      <c r="N68" s="157">
        <f>I68+IFERROR(VLOOKUP($A68,'B0 2264預收'!$1:$1048576,17,0),0)</f>
        <v>0</v>
      </c>
      <c r="O68" s="157">
        <f t="shared" si="54"/>
        <v>0</v>
      </c>
      <c r="P68" s="157">
        <f>K68+IFERROR(+VLOOKUP($A68,'B0 2264預收'!$1:$1048576,18,0),0)</f>
        <v>0</v>
      </c>
      <c r="Q68" s="157">
        <f t="shared" si="55"/>
        <v>0</v>
      </c>
      <c r="R68" s="158">
        <f>M68+IFERROR(VLOOKUP($A68,'A0 BS 1240在建'!$1:$1048576,21,0),0)</f>
        <v>0</v>
      </c>
      <c r="S68" s="158">
        <f>+N68+IFERROR(VLOOKUP($A68,'B0 2264預收'!$1:$1048576,21,0),0)</f>
        <v>0</v>
      </c>
      <c r="T68" s="158">
        <f t="shared" si="56"/>
        <v>0</v>
      </c>
      <c r="U68" s="158">
        <f>+P68+IFERROR(+VLOOKUP($A68,'B0 2264預收'!$1:$1048576,22,0),0)</f>
        <v>0</v>
      </c>
      <c r="V68" s="158">
        <f t="shared" si="57"/>
        <v>0</v>
      </c>
      <c r="W68" s="157">
        <f>+R68+IFERROR(VLOOKUP($A68,'A0 BS 1240在建'!$1:$1048576,25,0),0)</f>
        <v>0</v>
      </c>
      <c r="X68" s="157">
        <f>+S68+IFERROR(VLOOKUP($A68,'B0 2264預收'!$1:$1048576,25,0),0)</f>
        <v>0</v>
      </c>
      <c r="Y68" s="157">
        <f t="shared" si="58"/>
        <v>0</v>
      </c>
      <c r="Z68" s="157">
        <f>+U68+IFERROR(+VLOOKUP($A68,'B0 2264預收'!$1:$1048576,26,0),0)</f>
        <v>0</v>
      </c>
      <c r="AA68" s="157">
        <f t="shared" si="59"/>
        <v>0</v>
      </c>
      <c r="AB68" s="158">
        <f>+W68+IFERROR(VLOOKUP($A68,'A0 BS 1240在建'!$1:$1048576,29,0),0)</f>
        <v>0</v>
      </c>
      <c r="AC68" s="158">
        <f>+X68+IFERROR(VLOOKUP($A68,'B0 2264預收'!$1:$1048576,29,0),0)</f>
        <v>0</v>
      </c>
      <c r="AD68" s="158">
        <f t="shared" si="60"/>
        <v>0</v>
      </c>
      <c r="AE68" s="158">
        <f>+Z68+IFERROR(+VLOOKUP($A68,'B0 2264預收'!$1:$1048576,30,0),0)</f>
        <v>0</v>
      </c>
      <c r="AF68" s="158">
        <f t="shared" si="61"/>
        <v>0</v>
      </c>
      <c r="AG68" s="157">
        <f>+AB68+IFERROR(VLOOKUP($A68,'A0 BS 1240在建'!$1:$1048576,33,0),0)</f>
        <v>0</v>
      </c>
      <c r="AH68" s="157">
        <f>+AC68+IFERROR(VLOOKUP($A68,'B0 2264預收'!$1:$1048576,33,0),0)</f>
        <v>0</v>
      </c>
      <c r="AI68" s="157">
        <f t="shared" si="62"/>
        <v>0</v>
      </c>
      <c r="AJ68" s="157">
        <f>+AE68+IFERROR(+VLOOKUP($A68,'B0 2264預收'!$1:$1048576,34,0),0)</f>
        <v>0</v>
      </c>
      <c r="AK68" s="157">
        <f t="shared" si="63"/>
        <v>0</v>
      </c>
      <c r="AL68" s="158">
        <f>+AG68+IFERROR(VLOOKUP($A68,'A0 BS 1240在建'!$1:$1048576,37,0),0)</f>
        <v>0</v>
      </c>
      <c r="AM68" s="158">
        <f>+AH68+IFERROR(VLOOKUP($A68,'B0 2264預收'!$1:$1048576,37,0),0)</f>
        <v>0</v>
      </c>
      <c r="AN68" s="158">
        <f t="shared" si="64"/>
        <v>0</v>
      </c>
      <c r="AO68" s="158">
        <f>+AJ68+IFERROR(+VLOOKUP($A68,'B0 2264預收'!$1:$1048576,38,0),0)</f>
        <v>0</v>
      </c>
      <c r="AP68" s="158">
        <f t="shared" si="65"/>
        <v>0</v>
      </c>
      <c r="AQ68" s="157">
        <f>+AL68+IFERROR(VLOOKUP($A68,'A0 BS 1240在建'!$1:$1048576,41,0),0)</f>
        <v>0</v>
      </c>
      <c r="AR68" s="157">
        <f>+AM68+IFERROR(VLOOKUP($A68,'B0 2264預收'!$1:$1048576,41,0),0)</f>
        <v>0</v>
      </c>
      <c r="AS68" s="157">
        <f t="shared" si="66"/>
        <v>0</v>
      </c>
      <c r="AT68" s="157">
        <f>+AO68+IFERROR(+VLOOKUP($A68,'B0 2264預收'!$1:$1048576,42,0),0)</f>
        <v>0</v>
      </c>
      <c r="AU68" s="157">
        <f t="shared" si="67"/>
        <v>0</v>
      </c>
      <c r="AV68" s="158">
        <f>+AQ68+IFERROR(VLOOKUP($A68,'A0 BS 1240在建'!$1:$1048576,45,0),0)</f>
        <v>0</v>
      </c>
      <c r="AW68" s="158">
        <f>+AR68+IFERROR(VLOOKUP($A68,'B0 2264預收'!$1:$1048576,45,0),0)</f>
        <v>0</v>
      </c>
      <c r="AX68" s="158">
        <f t="shared" si="68"/>
        <v>0</v>
      </c>
      <c r="AY68" s="158">
        <f>+AT68+IFERROR(+VLOOKUP($A68,'B0 2264預收'!$1:$1048576,46,0),0)</f>
        <v>0</v>
      </c>
      <c r="AZ68" s="158">
        <f t="shared" si="69"/>
        <v>0</v>
      </c>
      <c r="BA68" s="157">
        <f>+AV68+IFERROR(VLOOKUP($A68,'A0 BS 1240在建'!$1:$1048576,49,0),0)</f>
        <v>0</v>
      </c>
      <c r="BB68" s="157">
        <f>+AW68+IFERROR(VLOOKUP($A68,'B0 2264預收'!$1:$1048576,49,0),0)</f>
        <v>0</v>
      </c>
      <c r="BC68" s="157">
        <f t="shared" si="70"/>
        <v>0</v>
      </c>
      <c r="BD68" s="157">
        <f>+AY68+IFERROR(+VLOOKUP($A68,'B0 2264預收'!$1:$1048576,50,0),0)</f>
        <v>0</v>
      </c>
      <c r="BE68" s="157">
        <f t="shared" si="71"/>
        <v>0</v>
      </c>
      <c r="BF68" s="158">
        <f>+BA68+IFERROR(VLOOKUP($A68,'A0 BS 1240在建'!$1:$1048576,53,0),0)</f>
        <v>0</v>
      </c>
      <c r="BG68" s="158">
        <f>+BB68+IFERROR(VLOOKUP($A68,'B0 2264預收'!$1:$1048576,53,0),0)</f>
        <v>0</v>
      </c>
      <c r="BH68" s="158">
        <f t="shared" si="72"/>
        <v>0</v>
      </c>
      <c r="BI68" s="158">
        <f>+BD68+IFERROR(+VLOOKUP($A68,'B0 2264預收'!$1:$1048576,54,0),0)</f>
        <v>0</v>
      </c>
      <c r="BJ68" s="158">
        <f t="shared" si="73"/>
        <v>0</v>
      </c>
      <c r="BK68" s="157">
        <f>+BF68+IFERROR(VLOOKUP($A68,'A0 BS 1240在建'!$1:$1048576,57,0),0)</f>
        <v>0</v>
      </c>
      <c r="BL68" s="157">
        <f>+BG68+IFERROR(VLOOKUP($A68,'B0 2264預收'!$1:$1048576,57,0),0)</f>
        <v>0</v>
      </c>
      <c r="BM68" s="157">
        <f t="shared" si="74"/>
        <v>0</v>
      </c>
      <c r="BN68" s="157">
        <f>+BI68+IFERROR(+VLOOKUP($A68,'B0 2264預收'!$1:$1048576,58,0),0)</f>
        <v>0</v>
      </c>
      <c r="BO68" s="157">
        <f t="shared" si="75"/>
        <v>0</v>
      </c>
      <c r="BP68" s="158">
        <f>+BK68+IFERROR(VLOOKUP($A68,'A0 BS 1240在建'!$1:$1048576,61,0),0)</f>
        <v>0</v>
      </c>
      <c r="BQ68" s="158">
        <f>+BL68+IFERROR(VLOOKUP($A68,'B0 2264預收'!$1:$1048576,61,0),0)</f>
        <v>0</v>
      </c>
      <c r="BR68" s="159">
        <f t="shared" si="76"/>
        <v>0</v>
      </c>
      <c r="BS68" s="158">
        <f>+BN68+IFERROR(+VLOOKUP($A68,'B0 2264預收'!$1:$1048576,62,0),0)</f>
        <v>0</v>
      </c>
      <c r="BT68" s="158">
        <f t="shared" si="77"/>
        <v>0</v>
      </c>
      <c r="BU68" s="157">
        <f>+IFERROR(VLOOKUP($A68,'A0 BS 1240在建'!$1:$1048576,77,0),0)</f>
        <v>0</v>
      </c>
      <c r="BV68" s="157">
        <f>+IFERROR(VLOOKUP($A68,'B0 2264預收'!$1:$1048576,77,0),0)</f>
        <v>0</v>
      </c>
      <c r="BW68" s="157">
        <f t="shared" si="78"/>
        <v>0</v>
      </c>
      <c r="BX68" s="157">
        <f>+IFERROR(+VLOOKUP($A68,'B0 2264預收'!$1:$1048576,78,0),0)</f>
        <v>0</v>
      </c>
      <c r="BY68" s="157">
        <f t="shared" si="79"/>
        <v>0</v>
      </c>
      <c r="BZ68" s="158">
        <f>IFERROR(+VLOOKUP($A68,'A0 BS 1240在建'!$1:$1048576,85,0),0)</f>
        <v>0</v>
      </c>
      <c r="CA68" s="158">
        <f>IFERROR(+VLOOKUP($A68,'B0 2264預收'!$1:$1048576,85,0),0)</f>
        <v>0</v>
      </c>
      <c r="CB68" s="158">
        <f t="shared" si="80"/>
        <v>0</v>
      </c>
      <c r="CC68" s="158">
        <f>+IFERROR(+VLOOKUP($A68,'B0 2264預收'!$1:$1048576,86,0),0)</f>
        <v>0</v>
      </c>
      <c r="CD68" s="158">
        <f t="shared" si="81"/>
        <v>0</v>
      </c>
      <c r="CE68" s="157">
        <f>+IFERROR(VLOOKUP($A68,'A0 BS 1240在建'!$1:$1048576,93,0),0)</f>
        <v>0</v>
      </c>
      <c r="CF68" s="157">
        <f>+IFERROR(VLOOKUP($A68,'B0 2264預收'!$1:$1048576,93,0),0)</f>
        <v>0</v>
      </c>
      <c r="CG68" s="157">
        <f t="shared" si="82"/>
        <v>0</v>
      </c>
      <c r="CH68" s="157">
        <f>+IFERROR(+VLOOKUP($A68,'B0 2264預收'!$1:$1048576,94,0),0)</f>
        <v>0</v>
      </c>
      <c r="CI68" s="157">
        <f t="shared" si="83"/>
        <v>0</v>
      </c>
      <c r="CJ68" s="158">
        <f>IFERROR(+VLOOKUP($A68,'A0 BS 1240在建'!$1:$1048576,101,0),0)</f>
        <v>0</v>
      </c>
      <c r="CK68" s="158">
        <f>IFERROR(+VLOOKUP($A68,'B0 2264預收'!$1:$1048576,101,0),0)</f>
        <v>0</v>
      </c>
      <c r="CL68" s="158">
        <f t="shared" si="84"/>
        <v>0</v>
      </c>
      <c r="CM68" s="158">
        <f>+IFERROR(+VLOOKUP($A68,'B0 2264預收'!$1:$1048576,102,0),0)</f>
        <v>0</v>
      </c>
      <c r="CN68" s="158">
        <f t="shared" si="85"/>
        <v>0</v>
      </c>
      <c r="CP68" s="161">
        <f t="shared" si="99"/>
        <v>0</v>
      </c>
      <c r="CQ68" s="98">
        <f>+J68</f>
        <v>0</v>
      </c>
      <c r="CR68" s="98">
        <f>-E68</f>
        <v>0</v>
      </c>
      <c r="CU68" s="166">
        <f t="shared" si="100"/>
        <v>0</v>
      </c>
      <c r="CV68" s="98">
        <f>+CU68</f>
        <v>0</v>
      </c>
      <c r="CY68" s="162" t="str">
        <f t="shared" si="86"/>
        <v/>
      </c>
      <c r="CZ68" s="98" t="str">
        <f t="shared" si="87"/>
        <v xml:space="preserve"> </v>
      </c>
      <c r="DA68" s="98" t="str">
        <f t="shared" si="88"/>
        <v xml:space="preserve"> </v>
      </c>
      <c r="DB68" s="98" t="str">
        <f t="shared" si="89"/>
        <v xml:space="preserve"> </v>
      </c>
      <c r="DC68" s="163">
        <f t="shared" si="90"/>
        <v>0</v>
      </c>
      <c r="DD68" s="162" t="str">
        <f t="shared" si="92"/>
        <v/>
      </c>
      <c r="DE68" s="98" t="str">
        <f t="shared" si="93"/>
        <v xml:space="preserve"> </v>
      </c>
      <c r="DF68" s="98" t="str">
        <f t="shared" si="94"/>
        <v xml:space="preserve"> </v>
      </c>
      <c r="DG68" s="98" t="str">
        <f t="shared" si="95"/>
        <v xml:space="preserve"> </v>
      </c>
      <c r="DH68" s="163">
        <f t="shared" si="91"/>
        <v>0</v>
      </c>
    </row>
    <row r="69" spans="1:112">
      <c r="A69" s="178" t="s">
        <v>433</v>
      </c>
      <c r="B69" s="177" t="s">
        <v>434</v>
      </c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ref="E69:E88" si="102">+C69-D69</f>
        <v>0</v>
      </c>
      <c r="F69" s="157">
        <f>IFERROR(VLOOKUP($A69,'B0 2264預收'!$1:$1048576,6,0),0)</f>
        <v>0</v>
      </c>
      <c r="G69" s="157">
        <f t="shared" ref="G69:G88" si="103">+E69-F69</f>
        <v>0</v>
      </c>
      <c r="H69" s="158">
        <f>IFERROR(VLOOKUP($A69,'A0 BS 1240在建'!$1:$1048576,13,0),0)</f>
        <v>0</v>
      </c>
      <c r="I69" s="158">
        <f>IFERROR(VLOOKUP($A69,'B0 2264預收'!$1:$1048576,13,0),0)</f>
        <v>0</v>
      </c>
      <c r="J69" s="158">
        <f t="shared" ref="J69:J88" si="104">+H69-I69</f>
        <v>0</v>
      </c>
      <c r="K69" s="158">
        <f>IFERROR(VLOOKUP($A69,'B0 2264預收'!$1:$1048576,14,0),0)</f>
        <v>0</v>
      </c>
      <c r="L69" s="158">
        <f t="shared" ref="L69:L88" si="105">+H69-I69-K69</f>
        <v>0</v>
      </c>
      <c r="M69" s="157">
        <f>H69+IFERROR(VLOOKUP($A69,'A0 BS 1240在建'!$1:$1048576,17,0),0)</f>
        <v>0</v>
      </c>
      <c r="N69" s="157">
        <f>I69+IFERROR(VLOOKUP($A69,'B0 2264預收'!$1:$1048576,17,0),0)</f>
        <v>0</v>
      </c>
      <c r="O69" s="157">
        <f t="shared" ref="O69:O88" si="106">+M69-N69</f>
        <v>0</v>
      </c>
      <c r="P69" s="157">
        <f>K69+IFERROR(+VLOOKUP($A69,'B0 2264預收'!$1:$1048576,18,0),0)</f>
        <v>0</v>
      </c>
      <c r="Q69" s="157">
        <f t="shared" ref="Q69:Q88" si="107">+O69-P69</f>
        <v>0</v>
      </c>
      <c r="R69" s="158">
        <f>M69+IFERROR(VLOOKUP($A69,'A0 BS 1240在建'!$1:$1048576,21,0),0)</f>
        <v>0</v>
      </c>
      <c r="S69" s="158">
        <f>+N69+IFERROR(VLOOKUP($A69,'B0 2264預收'!$1:$1048576,21,0),0)</f>
        <v>0</v>
      </c>
      <c r="T69" s="158">
        <f t="shared" ref="T69:T88" si="108">+R69-S69</f>
        <v>0</v>
      </c>
      <c r="U69" s="158">
        <f>+P69+IFERROR(+VLOOKUP($A69,'B0 2264預收'!$1:$1048576,22,0),0)</f>
        <v>0</v>
      </c>
      <c r="V69" s="158">
        <f t="shared" ref="V69:V88" si="109">+T69-U69</f>
        <v>0</v>
      </c>
      <c r="W69" s="157">
        <f>+R69+IFERROR(VLOOKUP($A69,'A0 BS 1240在建'!$1:$1048576,25,0),0)</f>
        <v>0</v>
      </c>
      <c r="X69" s="157">
        <f>+S69+IFERROR(VLOOKUP($A69,'B0 2264預收'!$1:$1048576,25,0),0)</f>
        <v>0</v>
      </c>
      <c r="Y69" s="157">
        <f t="shared" ref="Y69:Y88" si="110">+W69-X69</f>
        <v>0</v>
      </c>
      <c r="Z69" s="157">
        <f>+U69+IFERROR(+VLOOKUP($A69,'B0 2264預收'!$1:$1048576,26,0),0)</f>
        <v>0</v>
      </c>
      <c r="AA69" s="157">
        <f t="shared" ref="AA69:AA88" si="111">+Y69-Z69</f>
        <v>0</v>
      </c>
      <c r="AB69" s="158">
        <f>+W69+IFERROR(VLOOKUP($A69,'A0 BS 1240在建'!$1:$1048576,29,0),0)</f>
        <v>0</v>
      </c>
      <c r="AC69" s="158">
        <f>+X69+IFERROR(VLOOKUP($A69,'B0 2264預收'!$1:$1048576,29,0),0)</f>
        <v>0</v>
      </c>
      <c r="AD69" s="158">
        <f t="shared" ref="AD69:AD88" si="112">+AB69-AC69</f>
        <v>0</v>
      </c>
      <c r="AE69" s="158">
        <f>+Z69+IFERROR(+VLOOKUP($A69,'B0 2264預收'!$1:$1048576,30,0),0)</f>
        <v>0</v>
      </c>
      <c r="AF69" s="158">
        <f t="shared" ref="AF69:AF88" si="113">+AD69-AE69</f>
        <v>0</v>
      </c>
      <c r="AG69" s="157">
        <f>+AB69+IFERROR(VLOOKUP($A69,'A0 BS 1240在建'!$1:$1048576,33,0),0)</f>
        <v>0</v>
      </c>
      <c r="AH69" s="157">
        <f>+AC69+IFERROR(VLOOKUP($A69,'B0 2264預收'!$1:$1048576,33,0),0)</f>
        <v>0</v>
      </c>
      <c r="AI69" s="157">
        <f t="shared" ref="AI69:AI88" si="114">+AG69-AH69</f>
        <v>0</v>
      </c>
      <c r="AJ69" s="157">
        <f>+AE69+IFERROR(+VLOOKUP($A69,'B0 2264預收'!$1:$1048576,34,0),0)</f>
        <v>0</v>
      </c>
      <c r="AK69" s="157">
        <f t="shared" ref="AK69:AK88" si="115">+AI69-AJ69</f>
        <v>0</v>
      </c>
      <c r="AL69" s="158">
        <f>+AG69+IFERROR(VLOOKUP($A69,'A0 BS 1240在建'!$1:$1048576,37,0),0)</f>
        <v>0</v>
      </c>
      <c r="AM69" s="158">
        <f>+AH69+IFERROR(VLOOKUP($A69,'B0 2264預收'!$1:$1048576,37,0),0)</f>
        <v>0</v>
      </c>
      <c r="AN69" s="158">
        <f t="shared" ref="AN69:AN88" si="116">+AL69-AM69</f>
        <v>0</v>
      </c>
      <c r="AO69" s="158">
        <f>+AJ69+IFERROR(+VLOOKUP($A69,'B0 2264預收'!$1:$1048576,38,0),0)</f>
        <v>0</v>
      </c>
      <c r="AP69" s="158">
        <f t="shared" ref="AP69:AP88" si="117">+AN69-AO69</f>
        <v>0</v>
      </c>
      <c r="AQ69" s="157">
        <f>+AL69+IFERROR(VLOOKUP($A69,'A0 BS 1240在建'!$1:$1048576,41,0),0)</f>
        <v>0</v>
      </c>
      <c r="AR69" s="157">
        <f>+AM69+IFERROR(VLOOKUP($A69,'B0 2264預收'!$1:$1048576,41,0),0)</f>
        <v>0</v>
      </c>
      <c r="AS69" s="157">
        <f t="shared" ref="AS69:AS88" si="118">+AQ69-AR69</f>
        <v>0</v>
      </c>
      <c r="AT69" s="157">
        <f>+AO69+IFERROR(+VLOOKUP($A69,'B0 2264預收'!$1:$1048576,42,0),0)</f>
        <v>0</v>
      </c>
      <c r="AU69" s="157">
        <f t="shared" ref="AU69:AU88" si="119">+AS69-AT69</f>
        <v>0</v>
      </c>
      <c r="AV69" s="158">
        <f>+AQ69+IFERROR(VLOOKUP($A69,'A0 BS 1240在建'!$1:$1048576,45,0),0)</f>
        <v>0</v>
      </c>
      <c r="AW69" s="158">
        <f>+AR69+IFERROR(VLOOKUP($A69,'B0 2264預收'!$1:$1048576,45,0),0)</f>
        <v>0</v>
      </c>
      <c r="AX69" s="158">
        <f t="shared" ref="AX69:AX88" si="120">+AV69-AW69</f>
        <v>0</v>
      </c>
      <c r="AY69" s="158">
        <f>+AT69+IFERROR(+VLOOKUP($A69,'B0 2264預收'!$1:$1048576,46,0),0)</f>
        <v>0</v>
      </c>
      <c r="AZ69" s="158">
        <f t="shared" ref="AZ69:AZ88" si="121">+AX69-AY69</f>
        <v>0</v>
      </c>
      <c r="BA69" s="157">
        <f>+AV69+IFERROR(VLOOKUP($A69,'A0 BS 1240在建'!$1:$1048576,49,0),0)</f>
        <v>0</v>
      </c>
      <c r="BB69" s="157">
        <f>+AW69+IFERROR(VLOOKUP($A69,'B0 2264預收'!$1:$1048576,49,0),0)</f>
        <v>0</v>
      </c>
      <c r="BC69" s="157">
        <f t="shared" ref="BC69:BC88" si="122">+BA69-BB69</f>
        <v>0</v>
      </c>
      <c r="BD69" s="157">
        <f>+AY69+IFERROR(+VLOOKUP($A69,'B0 2264預收'!$1:$1048576,50,0),0)</f>
        <v>0</v>
      </c>
      <c r="BE69" s="157">
        <f t="shared" ref="BE69:BE88" si="123">+BC69-BD69</f>
        <v>0</v>
      </c>
      <c r="BF69" s="158">
        <f>+BA69+IFERROR(VLOOKUP($A69,'A0 BS 1240在建'!$1:$1048576,53,0),0)</f>
        <v>0</v>
      </c>
      <c r="BG69" s="158">
        <f>+BB69+IFERROR(VLOOKUP($A69,'B0 2264預收'!$1:$1048576,53,0),0)</f>
        <v>0</v>
      </c>
      <c r="BH69" s="158">
        <f t="shared" ref="BH69:BH88" si="124">+BF69-BG69</f>
        <v>0</v>
      </c>
      <c r="BI69" s="158">
        <f>+BD69+IFERROR(+VLOOKUP($A69,'B0 2264預收'!$1:$1048576,54,0),0)</f>
        <v>0</v>
      </c>
      <c r="BJ69" s="158">
        <f t="shared" ref="BJ69:BJ88" si="125">+BH69-BI69</f>
        <v>0</v>
      </c>
      <c r="BK69" s="157">
        <f>+BF69+IFERROR(VLOOKUP($A69,'A0 BS 1240在建'!$1:$1048576,57,0),0)</f>
        <v>0</v>
      </c>
      <c r="BL69" s="157">
        <f>+BG69+IFERROR(VLOOKUP($A69,'B0 2264預收'!$1:$1048576,57,0),0)</f>
        <v>0</v>
      </c>
      <c r="BM69" s="157">
        <f t="shared" ref="BM69:BM88" si="126">+BK69-BL69</f>
        <v>0</v>
      </c>
      <c r="BN69" s="157">
        <f>+BI69+IFERROR(+VLOOKUP($A69,'B0 2264預收'!$1:$1048576,58,0),0)</f>
        <v>0</v>
      </c>
      <c r="BO69" s="157">
        <f t="shared" ref="BO69:BO88" si="127">+BM69-BN69</f>
        <v>0</v>
      </c>
      <c r="BP69" s="158">
        <f>+BK69+IFERROR(VLOOKUP($A69,'A0 BS 1240在建'!$1:$1048576,61,0),0)</f>
        <v>0</v>
      </c>
      <c r="BQ69" s="158">
        <f>+BL69+IFERROR(VLOOKUP($A69,'B0 2264預收'!$1:$1048576,61,0),0)</f>
        <v>0</v>
      </c>
      <c r="BR69" s="159">
        <f t="shared" ref="BR69:BR88" si="128">+BP69-BQ69</f>
        <v>0</v>
      </c>
      <c r="BS69" s="158">
        <f>+BN69+IFERROR(+VLOOKUP($A69,'B0 2264預收'!$1:$1048576,62,0),0)</f>
        <v>0</v>
      </c>
      <c r="BT69" s="158">
        <f t="shared" ref="BT69:BT88" si="129">+BR69-BS69</f>
        <v>0</v>
      </c>
      <c r="BU69" s="157">
        <f>+IFERROR(VLOOKUP($A69,'A0 BS 1240在建'!$1:$1048576,77,0),0)</f>
        <v>0</v>
      </c>
      <c r="BV69" s="157">
        <f>+IFERROR(VLOOKUP($A69,'B0 2264預收'!$1:$1048576,77,0),0)</f>
        <v>0</v>
      </c>
      <c r="BW69" s="157">
        <f t="shared" ref="BW69:BW88" si="130">+BU69-BV69</f>
        <v>0</v>
      </c>
      <c r="BX69" s="157">
        <f>+IFERROR(+VLOOKUP($A69,'B0 2264預收'!$1:$1048576,78,0),0)</f>
        <v>0</v>
      </c>
      <c r="BY69" s="157">
        <f t="shared" ref="BY69:BY88" si="131">+BW69-BX69</f>
        <v>0</v>
      </c>
      <c r="BZ69" s="158">
        <f>IFERROR(+VLOOKUP($A69,'A0 BS 1240在建'!$1:$1048576,85,0),0)</f>
        <v>0</v>
      </c>
      <c r="CA69" s="158">
        <f>IFERROR(+VLOOKUP($A69,'B0 2264預收'!$1:$1048576,85,0),0)</f>
        <v>0</v>
      </c>
      <c r="CB69" s="158">
        <f t="shared" ref="CB69:CB88" si="132">+BZ69-CA69</f>
        <v>0</v>
      </c>
      <c r="CC69" s="158">
        <f>+IFERROR(+VLOOKUP($A69,'B0 2264預收'!$1:$1048576,86,0),0)</f>
        <v>0</v>
      </c>
      <c r="CD69" s="158">
        <f t="shared" ref="CD69:CD88" si="133">+CB69-CC69</f>
        <v>0</v>
      </c>
      <c r="CE69" s="157">
        <f>+IFERROR(VLOOKUP($A69,'A0 BS 1240在建'!$1:$1048576,93,0),0)</f>
        <v>0</v>
      </c>
      <c r="CF69" s="157">
        <f>+IFERROR(VLOOKUP($A69,'B0 2264預收'!$1:$1048576,93,0),0)</f>
        <v>0</v>
      </c>
      <c r="CG69" s="157">
        <f t="shared" ref="CG69:CG88" si="134">+CE69-CF69</f>
        <v>0</v>
      </c>
      <c r="CH69" s="157">
        <f>+IFERROR(+VLOOKUP($A69,'B0 2264預收'!$1:$1048576,94,0),0)</f>
        <v>0</v>
      </c>
      <c r="CI69" s="157">
        <f t="shared" ref="CI69:CI88" si="135">+CG69-CH69</f>
        <v>0</v>
      </c>
      <c r="CJ69" s="158">
        <f>IFERROR(+VLOOKUP($A69,'A0 BS 1240在建'!$1:$1048576,101,0),0)</f>
        <v>0</v>
      </c>
      <c r="CK69" s="158">
        <f>IFERROR(+VLOOKUP($A69,'B0 2264預收'!$1:$1048576,101,0),0)</f>
        <v>0</v>
      </c>
      <c r="CL69" s="158">
        <f t="shared" ref="CL69:CL88" si="136">+CJ69-CK69</f>
        <v>0</v>
      </c>
      <c r="CM69" s="158">
        <f>+IFERROR(+VLOOKUP($A69,'B0 2264預收'!$1:$1048576,102,0),0)</f>
        <v>0</v>
      </c>
      <c r="CN69" s="158">
        <f t="shared" ref="CN69:CN88" si="137">+CL69-CM69</f>
        <v>0</v>
      </c>
      <c r="CP69" s="166">
        <f t="shared" si="99"/>
        <v>0</v>
      </c>
      <c r="CQ69" s="98">
        <f>+CP69</f>
        <v>0</v>
      </c>
      <c r="CU69" s="166">
        <f t="shared" si="100"/>
        <v>0</v>
      </c>
      <c r="CV69" s="98">
        <f>+CU69</f>
        <v>0</v>
      </c>
      <c r="CY69" s="162" t="str">
        <f t="shared" ref="CY69:CY100" si="138">IF(AND(BR69&gt;0, J69&gt;0), BR69-J69, "")</f>
        <v/>
      </c>
      <c r="CZ69" s="98" t="str">
        <f t="shared" ref="CZ69:CZ100" si="139">IF(AND(BR69&lt;0,J69&gt;0),-J69," ")</f>
        <v xml:space="preserve"> </v>
      </c>
      <c r="DA69" s="98" t="str">
        <f t="shared" ref="DA69:DA100" si="140">IF(AND(BR69&gt;0,J69&lt;0),BR69," ")</f>
        <v xml:space="preserve"> </v>
      </c>
      <c r="DB69" s="98" t="str">
        <f t="shared" ref="DB69:DB100" si="141">IF(AND(L69=0,BR69&lt;0),-BR69," ")</f>
        <v xml:space="preserve"> </v>
      </c>
      <c r="DC69" s="163">
        <f t="shared" ref="DC69:DC100" si="142">SUM(CY69:DB69)</f>
        <v>0</v>
      </c>
      <c r="DD69" s="162" t="str">
        <f t="shared" si="92"/>
        <v/>
      </c>
      <c r="DE69" s="98" t="str">
        <f t="shared" si="93"/>
        <v xml:space="preserve"> </v>
      </c>
      <c r="DF69" s="98" t="str">
        <f t="shared" si="94"/>
        <v xml:space="preserve"> </v>
      </c>
      <c r="DG69" s="98" t="str">
        <f t="shared" si="95"/>
        <v xml:space="preserve"> </v>
      </c>
      <c r="DH69" s="163">
        <f t="shared" ref="DH69:DH100" si="143">SUM(DD69:DG69)</f>
        <v>0</v>
      </c>
    </row>
    <row r="70" spans="1:112">
      <c r="A70" s="178" t="s">
        <v>435</v>
      </c>
      <c r="B70" s="177" t="s">
        <v>436</v>
      </c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si="102"/>
        <v>0</v>
      </c>
      <c r="F70" s="157">
        <f>IFERROR(VLOOKUP($A70,'B0 2264預收'!$1:$1048576,6,0),0)</f>
        <v>0</v>
      </c>
      <c r="G70" s="157">
        <f t="shared" si="103"/>
        <v>0</v>
      </c>
      <c r="H70" s="158">
        <f>IFERROR(VLOOKUP($A70,'A0 BS 1240在建'!$1:$1048576,13,0),0)</f>
        <v>0</v>
      </c>
      <c r="I70" s="158">
        <f>IFERROR(VLOOKUP($A70,'B0 2264預收'!$1:$1048576,13,0),0)</f>
        <v>0</v>
      </c>
      <c r="J70" s="158">
        <f t="shared" si="104"/>
        <v>0</v>
      </c>
      <c r="K70" s="158">
        <f>IFERROR(VLOOKUP($A70,'B0 2264預收'!$1:$1048576,14,0),0)</f>
        <v>0</v>
      </c>
      <c r="L70" s="158">
        <f t="shared" si="105"/>
        <v>0</v>
      </c>
      <c r="M70" s="157">
        <f>H70+IFERROR(VLOOKUP($A70,'A0 BS 1240在建'!$1:$1048576,17,0),0)</f>
        <v>0</v>
      </c>
      <c r="N70" s="157">
        <f>I70+IFERROR(VLOOKUP($A70,'B0 2264預收'!$1:$1048576,17,0),0)</f>
        <v>0</v>
      </c>
      <c r="O70" s="157">
        <f t="shared" si="106"/>
        <v>0</v>
      </c>
      <c r="P70" s="157">
        <f>K70+IFERROR(+VLOOKUP($A70,'B0 2264預收'!$1:$1048576,18,0),0)</f>
        <v>0</v>
      </c>
      <c r="Q70" s="157">
        <f t="shared" si="107"/>
        <v>0</v>
      </c>
      <c r="R70" s="158">
        <f>M70+IFERROR(VLOOKUP($A70,'A0 BS 1240在建'!$1:$1048576,21,0),0)</f>
        <v>0</v>
      </c>
      <c r="S70" s="158">
        <f>+N70+IFERROR(VLOOKUP($A70,'B0 2264預收'!$1:$1048576,21,0),0)</f>
        <v>0</v>
      </c>
      <c r="T70" s="158">
        <f t="shared" si="108"/>
        <v>0</v>
      </c>
      <c r="U70" s="158">
        <f>+P70+IFERROR(+VLOOKUP($A70,'B0 2264預收'!$1:$1048576,22,0),0)</f>
        <v>0</v>
      </c>
      <c r="V70" s="158">
        <f t="shared" si="109"/>
        <v>0</v>
      </c>
      <c r="W70" s="157">
        <f>+R70+IFERROR(VLOOKUP($A70,'A0 BS 1240在建'!$1:$1048576,25,0),0)</f>
        <v>0</v>
      </c>
      <c r="X70" s="157">
        <f>+S70+IFERROR(VLOOKUP($A70,'B0 2264預收'!$1:$1048576,25,0),0)</f>
        <v>0</v>
      </c>
      <c r="Y70" s="157">
        <f t="shared" si="110"/>
        <v>0</v>
      </c>
      <c r="Z70" s="157">
        <f>+U70+IFERROR(+VLOOKUP($A70,'B0 2264預收'!$1:$1048576,26,0),0)</f>
        <v>0</v>
      </c>
      <c r="AA70" s="157">
        <f t="shared" si="111"/>
        <v>0</v>
      </c>
      <c r="AB70" s="158">
        <f>+W70+IFERROR(VLOOKUP($A70,'A0 BS 1240在建'!$1:$1048576,29,0),0)</f>
        <v>0</v>
      </c>
      <c r="AC70" s="158">
        <f>+X70+IFERROR(VLOOKUP($A70,'B0 2264預收'!$1:$1048576,29,0),0)</f>
        <v>0</v>
      </c>
      <c r="AD70" s="158">
        <f t="shared" si="112"/>
        <v>0</v>
      </c>
      <c r="AE70" s="158">
        <f>+Z70+IFERROR(+VLOOKUP($A70,'B0 2264預收'!$1:$1048576,30,0),0)</f>
        <v>0</v>
      </c>
      <c r="AF70" s="158">
        <f t="shared" si="113"/>
        <v>0</v>
      </c>
      <c r="AG70" s="157">
        <f>+AB70+IFERROR(VLOOKUP($A70,'A0 BS 1240在建'!$1:$1048576,33,0),0)</f>
        <v>0</v>
      </c>
      <c r="AH70" s="157">
        <f>+AC70+IFERROR(VLOOKUP($A70,'B0 2264預收'!$1:$1048576,33,0),0)</f>
        <v>0</v>
      </c>
      <c r="AI70" s="157">
        <f t="shared" si="114"/>
        <v>0</v>
      </c>
      <c r="AJ70" s="157">
        <f>+AE70+IFERROR(+VLOOKUP($A70,'B0 2264預收'!$1:$1048576,34,0),0)</f>
        <v>0</v>
      </c>
      <c r="AK70" s="157">
        <f t="shared" si="115"/>
        <v>0</v>
      </c>
      <c r="AL70" s="158">
        <f>+AG70+IFERROR(VLOOKUP($A70,'A0 BS 1240在建'!$1:$1048576,37,0),0)</f>
        <v>0</v>
      </c>
      <c r="AM70" s="158">
        <f>+AH70+IFERROR(VLOOKUP($A70,'B0 2264預收'!$1:$1048576,37,0),0)</f>
        <v>0</v>
      </c>
      <c r="AN70" s="158">
        <f t="shared" si="116"/>
        <v>0</v>
      </c>
      <c r="AO70" s="158">
        <f>+AJ70+IFERROR(+VLOOKUP($A70,'B0 2264預收'!$1:$1048576,38,0),0)</f>
        <v>0</v>
      </c>
      <c r="AP70" s="158">
        <f t="shared" si="117"/>
        <v>0</v>
      </c>
      <c r="AQ70" s="157">
        <f>+AL70+IFERROR(VLOOKUP($A70,'A0 BS 1240在建'!$1:$1048576,41,0),0)</f>
        <v>0</v>
      </c>
      <c r="AR70" s="157">
        <f>+AM70+IFERROR(VLOOKUP($A70,'B0 2264預收'!$1:$1048576,41,0),0)</f>
        <v>0</v>
      </c>
      <c r="AS70" s="157">
        <f t="shared" si="118"/>
        <v>0</v>
      </c>
      <c r="AT70" s="157">
        <f>+AO70+IFERROR(+VLOOKUP($A70,'B0 2264預收'!$1:$1048576,42,0),0)</f>
        <v>0</v>
      </c>
      <c r="AU70" s="157">
        <f t="shared" si="119"/>
        <v>0</v>
      </c>
      <c r="AV70" s="158">
        <f>+AQ70+IFERROR(VLOOKUP($A70,'A0 BS 1240在建'!$1:$1048576,45,0),0)</f>
        <v>0</v>
      </c>
      <c r="AW70" s="158">
        <f>+AR70+IFERROR(VLOOKUP($A70,'B0 2264預收'!$1:$1048576,45,0),0)</f>
        <v>0</v>
      </c>
      <c r="AX70" s="158">
        <f t="shared" si="120"/>
        <v>0</v>
      </c>
      <c r="AY70" s="158">
        <f>+AT70+IFERROR(+VLOOKUP($A70,'B0 2264預收'!$1:$1048576,46,0),0)</f>
        <v>0</v>
      </c>
      <c r="AZ70" s="158">
        <f t="shared" si="121"/>
        <v>0</v>
      </c>
      <c r="BA70" s="157">
        <f>+AV70+IFERROR(VLOOKUP($A70,'A0 BS 1240在建'!$1:$1048576,49,0),0)</f>
        <v>0</v>
      </c>
      <c r="BB70" s="157">
        <f>+AW70+IFERROR(VLOOKUP($A70,'B0 2264預收'!$1:$1048576,49,0),0)</f>
        <v>0</v>
      </c>
      <c r="BC70" s="157">
        <f t="shared" si="122"/>
        <v>0</v>
      </c>
      <c r="BD70" s="157">
        <f>+AY70+IFERROR(+VLOOKUP($A70,'B0 2264預收'!$1:$1048576,50,0),0)</f>
        <v>0</v>
      </c>
      <c r="BE70" s="157">
        <f t="shared" si="123"/>
        <v>0</v>
      </c>
      <c r="BF70" s="158">
        <f>+BA70+IFERROR(VLOOKUP($A70,'A0 BS 1240在建'!$1:$1048576,53,0),0)</f>
        <v>0</v>
      </c>
      <c r="BG70" s="158">
        <f>+BB70+IFERROR(VLOOKUP($A70,'B0 2264預收'!$1:$1048576,53,0),0)</f>
        <v>0</v>
      </c>
      <c r="BH70" s="158">
        <f t="shared" si="124"/>
        <v>0</v>
      </c>
      <c r="BI70" s="158">
        <f>+BD70+IFERROR(+VLOOKUP($A70,'B0 2264預收'!$1:$1048576,54,0),0)</f>
        <v>0</v>
      </c>
      <c r="BJ70" s="158">
        <f t="shared" si="125"/>
        <v>0</v>
      </c>
      <c r="BK70" s="157">
        <f>+BF70+IFERROR(VLOOKUP($A70,'A0 BS 1240在建'!$1:$1048576,57,0),0)</f>
        <v>0</v>
      </c>
      <c r="BL70" s="157">
        <f>+BG70+IFERROR(VLOOKUP($A70,'B0 2264預收'!$1:$1048576,57,0),0)</f>
        <v>0</v>
      </c>
      <c r="BM70" s="157">
        <f t="shared" si="126"/>
        <v>0</v>
      </c>
      <c r="BN70" s="157">
        <f>+BI70+IFERROR(+VLOOKUP($A70,'B0 2264預收'!$1:$1048576,58,0),0)</f>
        <v>0</v>
      </c>
      <c r="BO70" s="157">
        <f t="shared" si="127"/>
        <v>0</v>
      </c>
      <c r="BP70" s="158">
        <f>+BK70+IFERROR(VLOOKUP($A70,'A0 BS 1240在建'!$1:$1048576,61,0),0)</f>
        <v>0</v>
      </c>
      <c r="BQ70" s="158">
        <f>+BL70+IFERROR(VLOOKUP($A70,'B0 2264預收'!$1:$1048576,61,0),0)</f>
        <v>0</v>
      </c>
      <c r="BR70" s="159">
        <f t="shared" si="128"/>
        <v>0</v>
      </c>
      <c r="BS70" s="158">
        <f>+BN70+IFERROR(+VLOOKUP($A70,'B0 2264預收'!$1:$1048576,62,0),0)</f>
        <v>0</v>
      </c>
      <c r="BT70" s="158">
        <f t="shared" si="129"/>
        <v>0</v>
      </c>
      <c r="BU70" s="157">
        <f>+IFERROR(VLOOKUP($A70,'A0 BS 1240在建'!$1:$1048576,77,0),0)</f>
        <v>0</v>
      </c>
      <c r="BV70" s="157">
        <f>+IFERROR(VLOOKUP($A70,'B0 2264預收'!$1:$1048576,77,0),0)</f>
        <v>0</v>
      </c>
      <c r="BW70" s="157">
        <f t="shared" si="130"/>
        <v>0</v>
      </c>
      <c r="BX70" s="157">
        <f>+IFERROR(+VLOOKUP($A70,'B0 2264預收'!$1:$1048576,78,0),0)</f>
        <v>0</v>
      </c>
      <c r="BY70" s="157">
        <f t="shared" si="131"/>
        <v>0</v>
      </c>
      <c r="BZ70" s="158">
        <f>IFERROR(+VLOOKUP($A70,'A0 BS 1240在建'!$1:$1048576,85,0),0)</f>
        <v>0</v>
      </c>
      <c r="CA70" s="158">
        <f>IFERROR(+VLOOKUP($A70,'B0 2264預收'!$1:$1048576,85,0),0)</f>
        <v>0</v>
      </c>
      <c r="CB70" s="158">
        <f t="shared" si="132"/>
        <v>0</v>
      </c>
      <c r="CC70" s="158">
        <f>+IFERROR(+VLOOKUP($A70,'B0 2264預收'!$1:$1048576,86,0),0)</f>
        <v>0</v>
      </c>
      <c r="CD70" s="158">
        <f t="shared" si="133"/>
        <v>0</v>
      </c>
      <c r="CE70" s="157">
        <f>+IFERROR(VLOOKUP($A70,'A0 BS 1240在建'!$1:$1048576,93,0),0)</f>
        <v>0</v>
      </c>
      <c r="CF70" s="157">
        <f>+IFERROR(VLOOKUP($A70,'B0 2264預收'!$1:$1048576,93,0),0)</f>
        <v>0</v>
      </c>
      <c r="CG70" s="157">
        <f t="shared" si="134"/>
        <v>0</v>
      </c>
      <c r="CH70" s="157">
        <f>+IFERROR(+VLOOKUP($A70,'B0 2264預收'!$1:$1048576,94,0),0)</f>
        <v>0</v>
      </c>
      <c r="CI70" s="157">
        <f t="shared" si="135"/>
        <v>0</v>
      </c>
      <c r="CJ70" s="158">
        <f>IFERROR(+VLOOKUP($A70,'A0 BS 1240在建'!$1:$1048576,101,0),0)</f>
        <v>0</v>
      </c>
      <c r="CK70" s="158">
        <f>IFERROR(+VLOOKUP($A70,'B0 2264預收'!$1:$1048576,101,0),0)</f>
        <v>0</v>
      </c>
      <c r="CL70" s="158">
        <f t="shared" si="136"/>
        <v>0</v>
      </c>
      <c r="CM70" s="158">
        <f>+IFERROR(+VLOOKUP($A70,'B0 2264預收'!$1:$1048576,102,0),0)</f>
        <v>0</v>
      </c>
      <c r="CN70" s="158">
        <f t="shared" si="137"/>
        <v>0</v>
      </c>
      <c r="CP70" s="165">
        <f t="shared" si="99"/>
        <v>0</v>
      </c>
      <c r="CR70" s="98">
        <f t="shared" ref="CR70:CR77" si="144">+CP70</f>
        <v>0</v>
      </c>
      <c r="CU70" s="165">
        <f t="shared" si="100"/>
        <v>0</v>
      </c>
      <c r="CW70" s="98">
        <f t="shared" ref="CW70:CW77" si="145">+CU70</f>
        <v>0</v>
      </c>
      <c r="CY70" s="162" t="str">
        <f t="shared" si="138"/>
        <v/>
      </c>
      <c r="CZ70" s="98" t="str">
        <f t="shared" si="139"/>
        <v xml:space="preserve"> </v>
      </c>
      <c r="DA70" s="98" t="str">
        <f t="shared" si="140"/>
        <v xml:space="preserve"> </v>
      </c>
      <c r="DB70" s="98" t="str">
        <f t="shared" si="141"/>
        <v xml:space="preserve"> </v>
      </c>
      <c r="DC70" s="163">
        <f t="shared" si="142"/>
        <v>0</v>
      </c>
      <c r="DD70" s="162" t="str">
        <f t="shared" ref="DD70:DD101" si="146">IF(AND(BR70&lt;0, J70&lt;0), (BR70-J70)*-1, "")</f>
        <v/>
      </c>
      <c r="DE70" s="98" t="str">
        <f t="shared" ref="DE70:DE101" si="147">IF(AND(BR70&lt;0,J70&gt;0),-BR70," ")</f>
        <v xml:space="preserve"> </v>
      </c>
      <c r="DF70" s="98" t="str">
        <f t="shared" ref="DF70:DF101" si="148">IF(AND(BR70&gt;0,J70&lt;0),-J70*-1," ")</f>
        <v xml:space="preserve"> </v>
      </c>
      <c r="DG70" s="98" t="str">
        <f t="shared" ref="DG70:DG101" si="149">IF(AND(L70&lt;0,BR70=0),-L70*-1," ")</f>
        <v xml:space="preserve"> </v>
      </c>
      <c r="DH70" s="163">
        <f t="shared" si="143"/>
        <v>0</v>
      </c>
    </row>
    <row r="71" spans="1:112">
      <c r="A71" s="178" t="s">
        <v>437</v>
      </c>
      <c r="B71" s="177" t="s">
        <v>438</v>
      </c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102"/>
        <v>0</v>
      </c>
      <c r="F71" s="157">
        <f>IFERROR(VLOOKUP($A71,'B0 2264預收'!$1:$1048576,6,0),0)</f>
        <v>0</v>
      </c>
      <c r="G71" s="157">
        <f t="shared" si="103"/>
        <v>0</v>
      </c>
      <c r="H71" s="158">
        <f>IFERROR(VLOOKUP($A71,'A0 BS 1240在建'!$1:$1048576,13,0),0)</f>
        <v>0</v>
      </c>
      <c r="I71" s="158">
        <f>IFERROR(VLOOKUP($A71,'B0 2264預收'!$1:$1048576,13,0),0)</f>
        <v>0</v>
      </c>
      <c r="J71" s="158">
        <f t="shared" si="104"/>
        <v>0</v>
      </c>
      <c r="K71" s="158">
        <f>IFERROR(VLOOKUP($A71,'B0 2264預收'!$1:$1048576,14,0),0)</f>
        <v>0</v>
      </c>
      <c r="L71" s="158">
        <f t="shared" si="105"/>
        <v>0</v>
      </c>
      <c r="M71" s="157">
        <f>H71+IFERROR(VLOOKUP($A71,'A0 BS 1240在建'!$1:$1048576,17,0),0)</f>
        <v>0</v>
      </c>
      <c r="N71" s="157">
        <f>I71+IFERROR(VLOOKUP($A71,'B0 2264預收'!$1:$1048576,17,0),0)</f>
        <v>0</v>
      </c>
      <c r="O71" s="157">
        <f t="shared" si="106"/>
        <v>0</v>
      </c>
      <c r="P71" s="157">
        <f>K71+IFERROR(+VLOOKUP($A71,'B0 2264預收'!$1:$1048576,18,0),0)</f>
        <v>0</v>
      </c>
      <c r="Q71" s="157">
        <f t="shared" si="107"/>
        <v>0</v>
      </c>
      <c r="R71" s="158">
        <f>M71+IFERROR(VLOOKUP($A71,'A0 BS 1240在建'!$1:$1048576,21,0),0)</f>
        <v>0</v>
      </c>
      <c r="S71" s="158">
        <f>+N71+IFERROR(VLOOKUP($A71,'B0 2264預收'!$1:$1048576,21,0),0)</f>
        <v>0</v>
      </c>
      <c r="T71" s="158">
        <f t="shared" si="108"/>
        <v>0</v>
      </c>
      <c r="U71" s="158">
        <f>+P71+IFERROR(+VLOOKUP($A71,'B0 2264預收'!$1:$1048576,22,0),0)</f>
        <v>0</v>
      </c>
      <c r="V71" s="158">
        <f t="shared" si="109"/>
        <v>0</v>
      </c>
      <c r="W71" s="157">
        <f>+R71+IFERROR(VLOOKUP($A71,'A0 BS 1240在建'!$1:$1048576,25,0),0)</f>
        <v>0</v>
      </c>
      <c r="X71" s="157">
        <f>+S71+IFERROR(VLOOKUP($A71,'B0 2264預收'!$1:$1048576,25,0),0)</f>
        <v>0</v>
      </c>
      <c r="Y71" s="157">
        <f t="shared" si="110"/>
        <v>0</v>
      </c>
      <c r="Z71" s="157">
        <f>+U71+IFERROR(+VLOOKUP($A71,'B0 2264預收'!$1:$1048576,26,0),0)</f>
        <v>0</v>
      </c>
      <c r="AA71" s="157">
        <f t="shared" si="111"/>
        <v>0</v>
      </c>
      <c r="AB71" s="158">
        <f>+W71+IFERROR(VLOOKUP($A71,'A0 BS 1240在建'!$1:$1048576,29,0),0)</f>
        <v>0</v>
      </c>
      <c r="AC71" s="158">
        <f>+X71+IFERROR(VLOOKUP($A71,'B0 2264預收'!$1:$1048576,29,0),0)</f>
        <v>0</v>
      </c>
      <c r="AD71" s="158">
        <f t="shared" si="112"/>
        <v>0</v>
      </c>
      <c r="AE71" s="158">
        <f>+Z71+IFERROR(+VLOOKUP($A71,'B0 2264預收'!$1:$1048576,30,0),0)</f>
        <v>0</v>
      </c>
      <c r="AF71" s="158">
        <f t="shared" si="113"/>
        <v>0</v>
      </c>
      <c r="AG71" s="157">
        <f>+AB71+IFERROR(VLOOKUP($A71,'A0 BS 1240在建'!$1:$1048576,33,0),0)</f>
        <v>0</v>
      </c>
      <c r="AH71" s="157">
        <f>+AC71+IFERROR(VLOOKUP($A71,'B0 2264預收'!$1:$1048576,33,0),0)</f>
        <v>0</v>
      </c>
      <c r="AI71" s="157">
        <f t="shared" si="114"/>
        <v>0</v>
      </c>
      <c r="AJ71" s="157">
        <f>+AE71+IFERROR(+VLOOKUP($A71,'B0 2264預收'!$1:$1048576,34,0),0)</f>
        <v>0</v>
      </c>
      <c r="AK71" s="157">
        <f t="shared" si="115"/>
        <v>0</v>
      </c>
      <c r="AL71" s="158">
        <f>+AG71+IFERROR(VLOOKUP($A71,'A0 BS 1240在建'!$1:$1048576,37,0),0)</f>
        <v>0</v>
      </c>
      <c r="AM71" s="158">
        <f>+AH71+IFERROR(VLOOKUP($A71,'B0 2264預收'!$1:$1048576,37,0),0)</f>
        <v>0</v>
      </c>
      <c r="AN71" s="158">
        <f t="shared" si="116"/>
        <v>0</v>
      </c>
      <c r="AO71" s="158">
        <f>+AJ71+IFERROR(+VLOOKUP($A71,'B0 2264預收'!$1:$1048576,38,0),0)</f>
        <v>0</v>
      </c>
      <c r="AP71" s="158">
        <f t="shared" si="117"/>
        <v>0</v>
      </c>
      <c r="AQ71" s="157">
        <f>+AL71+IFERROR(VLOOKUP($A71,'A0 BS 1240在建'!$1:$1048576,41,0),0)</f>
        <v>0</v>
      </c>
      <c r="AR71" s="157">
        <f>+AM71+IFERROR(VLOOKUP($A71,'B0 2264預收'!$1:$1048576,41,0),0)</f>
        <v>0</v>
      </c>
      <c r="AS71" s="157">
        <f t="shared" si="118"/>
        <v>0</v>
      </c>
      <c r="AT71" s="157">
        <f>+AO71+IFERROR(+VLOOKUP($A71,'B0 2264預收'!$1:$1048576,42,0),0)</f>
        <v>0</v>
      </c>
      <c r="AU71" s="157">
        <f t="shared" si="119"/>
        <v>0</v>
      </c>
      <c r="AV71" s="158">
        <f>+AQ71+IFERROR(VLOOKUP($A71,'A0 BS 1240在建'!$1:$1048576,45,0),0)</f>
        <v>0</v>
      </c>
      <c r="AW71" s="158">
        <f>+AR71+IFERROR(VLOOKUP($A71,'B0 2264預收'!$1:$1048576,45,0),0)</f>
        <v>0</v>
      </c>
      <c r="AX71" s="158">
        <f t="shared" si="120"/>
        <v>0</v>
      </c>
      <c r="AY71" s="158">
        <f>+AT71+IFERROR(+VLOOKUP($A71,'B0 2264預收'!$1:$1048576,46,0),0)</f>
        <v>0</v>
      </c>
      <c r="AZ71" s="158">
        <f t="shared" si="121"/>
        <v>0</v>
      </c>
      <c r="BA71" s="157">
        <f>+AV71+IFERROR(VLOOKUP($A71,'A0 BS 1240在建'!$1:$1048576,49,0),0)</f>
        <v>0</v>
      </c>
      <c r="BB71" s="157">
        <f>+AW71+IFERROR(VLOOKUP($A71,'B0 2264預收'!$1:$1048576,49,0),0)</f>
        <v>0</v>
      </c>
      <c r="BC71" s="157">
        <f t="shared" si="122"/>
        <v>0</v>
      </c>
      <c r="BD71" s="157">
        <f>+AY71+IFERROR(+VLOOKUP($A71,'B0 2264預收'!$1:$1048576,50,0),0)</f>
        <v>0</v>
      </c>
      <c r="BE71" s="157">
        <f t="shared" si="123"/>
        <v>0</v>
      </c>
      <c r="BF71" s="158">
        <f>+BA71+IFERROR(VLOOKUP($A71,'A0 BS 1240在建'!$1:$1048576,53,0),0)</f>
        <v>0</v>
      </c>
      <c r="BG71" s="158">
        <f>+BB71+IFERROR(VLOOKUP($A71,'B0 2264預收'!$1:$1048576,53,0),0)</f>
        <v>0</v>
      </c>
      <c r="BH71" s="158">
        <f t="shared" si="124"/>
        <v>0</v>
      </c>
      <c r="BI71" s="158">
        <f>+BD71+IFERROR(+VLOOKUP($A71,'B0 2264預收'!$1:$1048576,54,0),0)</f>
        <v>0</v>
      </c>
      <c r="BJ71" s="158">
        <f t="shared" si="125"/>
        <v>0</v>
      </c>
      <c r="BK71" s="157">
        <f>+BF71+IFERROR(VLOOKUP($A71,'A0 BS 1240在建'!$1:$1048576,57,0),0)</f>
        <v>0</v>
      </c>
      <c r="BL71" s="157">
        <f>+BG71+IFERROR(VLOOKUP($A71,'B0 2264預收'!$1:$1048576,57,0),0)</f>
        <v>0</v>
      </c>
      <c r="BM71" s="157">
        <f t="shared" si="126"/>
        <v>0</v>
      </c>
      <c r="BN71" s="157">
        <f>+BI71+IFERROR(+VLOOKUP($A71,'B0 2264預收'!$1:$1048576,58,0),0)</f>
        <v>0</v>
      </c>
      <c r="BO71" s="157">
        <f t="shared" si="127"/>
        <v>0</v>
      </c>
      <c r="BP71" s="158">
        <f>+BK71+IFERROR(VLOOKUP($A71,'A0 BS 1240在建'!$1:$1048576,61,0),0)</f>
        <v>0</v>
      </c>
      <c r="BQ71" s="158">
        <f>+BL71+IFERROR(VLOOKUP($A71,'B0 2264預收'!$1:$1048576,61,0),0)</f>
        <v>0</v>
      </c>
      <c r="BR71" s="159">
        <f t="shared" si="128"/>
        <v>0</v>
      </c>
      <c r="BS71" s="158">
        <f>+BN71+IFERROR(+VLOOKUP($A71,'B0 2264預收'!$1:$1048576,62,0),0)</f>
        <v>0</v>
      </c>
      <c r="BT71" s="158">
        <f t="shared" si="129"/>
        <v>0</v>
      </c>
      <c r="BU71" s="157">
        <f>+IFERROR(VLOOKUP($A71,'A0 BS 1240在建'!$1:$1048576,77,0),0)</f>
        <v>0</v>
      </c>
      <c r="BV71" s="157">
        <f>+IFERROR(VLOOKUP($A71,'B0 2264預收'!$1:$1048576,77,0),0)</f>
        <v>0</v>
      </c>
      <c r="BW71" s="157">
        <f t="shared" si="130"/>
        <v>0</v>
      </c>
      <c r="BX71" s="157">
        <f>+IFERROR(+VLOOKUP($A71,'B0 2264預收'!$1:$1048576,78,0),0)</f>
        <v>0</v>
      </c>
      <c r="BY71" s="157">
        <f t="shared" si="131"/>
        <v>0</v>
      </c>
      <c r="BZ71" s="158">
        <f>IFERROR(+VLOOKUP($A71,'A0 BS 1240在建'!$1:$1048576,85,0),0)</f>
        <v>0</v>
      </c>
      <c r="CA71" s="158">
        <f>IFERROR(+VLOOKUP($A71,'B0 2264預收'!$1:$1048576,85,0),0)</f>
        <v>0</v>
      </c>
      <c r="CB71" s="158">
        <f t="shared" si="132"/>
        <v>0</v>
      </c>
      <c r="CC71" s="158">
        <f>+IFERROR(+VLOOKUP($A71,'B0 2264預收'!$1:$1048576,86,0),0)</f>
        <v>0</v>
      </c>
      <c r="CD71" s="158">
        <f t="shared" si="133"/>
        <v>0</v>
      </c>
      <c r="CE71" s="157">
        <f>+IFERROR(VLOOKUP($A71,'A0 BS 1240在建'!$1:$1048576,93,0),0)</f>
        <v>0</v>
      </c>
      <c r="CF71" s="157">
        <f>+IFERROR(VLOOKUP($A71,'B0 2264預收'!$1:$1048576,93,0),0)</f>
        <v>0</v>
      </c>
      <c r="CG71" s="157">
        <f t="shared" si="134"/>
        <v>0</v>
      </c>
      <c r="CH71" s="157">
        <f>+IFERROR(+VLOOKUP($A71,'B0 2264預收'!$1:$1048576,94,0),0)</f>
        <v>0</v>
      </c>
      <c r="CI71" s="157">
        <f t="shared" si="135"/>
        <v>0</v>
      </c>
      <c r="CJ71" s="158">
        <f>IFERROR(+VLOOKUP($A71,'A0 BS 1240在建'!$1:$1048576,101,0),0)</f>
        <v>0</v>
      </c>
      <c r="CK71" s="158">
        <f>IFERROR(+VLOOKUP($A71,'B0 2264預收'!$1:$1048576,101,0),0)</f>
        <v>0</v>
      </c>
      <c r="CL71" s="158">
        <f t="shared" si="136"/>
        <v>0</v>
      </c>
      <c r="CM71" s="158">
        <f>+IFERROR(+VLOOKUP($A71,'B0 2264預收'!$1:$1048576,102,0),0)</f>
        <v>0</v>
      </c>
      <c r="CN71" s="158">
        <f t="shared" si="137"/>
        <v>0</v>
      </c>
      <c r="CP71" s="165">
        <f t="shared" si="99"/>
        <v>0</v>
      </c>
      <c r="CR71" s="98">
        <f t="shared" si="144"/>
        <v>0</v>
      </c>
      <c r="CU71" s="165">
        <f t="shared" si="100"/>
        <v>0</v>
      </c>
      <c r="CW71" s="98">
        <f t="shared" si="145"/>
        <v>0</v>
      </c>
      <c r="CY71" s="162" t="str">
        <f t="shared" si="138"/>
        <v/>
      </c>
      <c r="CZ71" s="98" t="str">
        <f t="shared" si="139"/>
        <v xml:space="preserve"> </v>
      </c>
      <c r="DA71" s="98" t="str">
        <f t="shared" si="140"/>
        <v xml:space="preserve"> </v>
      </c>
      <c r="DB71" s="98" t="str">
        <f t="shared" si="141"/>
        <v xml:space="preserve"> </v>
      </c>
      <c r="DC71" s="163">
        <f t="shared" si="142"/>
        <v>0</v>
      </c>
      <c r="DD71" s="162" t="str">
        <f t="shared" si="146"/>
        <v/>
      </c>
      <c r="DE71" s="98" t="str">
        <f t="shared" si="147"/>
        <v xml:space="preserve"> </v>
      </c>
      <c r="DF71" s="98" t="str">
        <f t="shared" si="148"/>
        <v xml:space="preserve"> </v>
      </c>
      <c r="DG71" s="98" t="str">
        <f t="shared" si="149"/>
        <v xml:space="preserve"> </v>
      </c>
      <c r="DH71" s="163">
        <f t="shared" si="143"/>
        <v>0</v>
      </c>
    </row>
    <row r="72" spans="1:112">
      <c r="A72" s="178" t="s">
        <v>439</v>
      </c>
      <c r="B72" s="177" t="s">
        <v>440</v>
      </c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102"/>
        <v>0</v>
      </c>
      <c r="F72" s="157">
        <f>IFERROR(VLOOKUP($A72,'B0 2264預收'!$1:$1048576,6,0),0)</f>
        <v>0</v>
      </c>
      <c r="G72" s="157">
        <f t="shared" si="103"/>
        <v>0</v>
      </c>
      <c r="H72" s="158">
        <f>IFERROR(VLOOKUP($A72,'A0 BS 1240在建'!$1:$1048576,13,0),0)</f>
        <v>0</v>
      </c>
      <c r="I72" s="158">
        <f>IFERROR(VLOOKUP($A72,'B0 2264預收'!$1:$1048576,13,0),0)</f>
        <v>0</v>
      </c>
      <c r="J72" s="158">
        <f t="shared" si="104"/>
        <v>0</v>
      </c>
      <c r="K72" s="158">
        <f>IFERROR(VLOOKUP($A72,'B0 2264預收'!$1:$1048576,14,0),0)</f>
        <v>0</v>
      </c>
      <c r="L72" s="158">
        <f t="shared" si="105"/>
        <v>0</v>
      </c>
      <c r="M72" s="157">
        <f>H72+IFERROR(VLOOKUP($A72,'A0 BS 1240在建'!$1:$1048576,17,0),0)</f>
        <v>0</v>
      </c>
      <c r="N72" s="157">
        <f>I72+IFERROR(VLOOKUP($A72,'B0 2264預收'!$1:$1048576,17,0),0)</f>
        <v>0</v>
      </c>
      <c r="O72" s="157">
        <f t="shared" si="106"/>
        <v>0</v>
      </c>
      <c r="P72" s="157">
        <f>K72+IFERROR(+VLOOKUP($A72,'B0 2264預收'!$1:$1048576,18,0),0)</f>
        <v>0</v>
      </c>
      <c r="Q72" s="157">
        <f t="shared" si="107"/>
        <v>0</v>
      </c>
      <c r="R72" s="158">
        <f>M72+IFERROR(VLOOKUP($A72,'A0 BS 1240在建'!$1:$1048576,21,0),0)</f>
        <v>0</v>
      </c>
      <c r="S72" s="158">
        <f>+N72+IFERROR(VLOOKUP($A72,'B0 2264預收'!$1:$1048576,21,0),0)</f>
        <v>0</v>
      </c>
      <c r="T72" s="158">
        <f t="shared" si="108"/>
        <v>0</v>
      </c>
      <c r="U72" s="158">
        <f>+P72+IFERROR(+VLOOKUP($A72,'B0 2264預收'!$1:$1048576,22,0),0)</f>
        <v>0</v>
      </c>
      <c r="V72" s="158">
        <f t="shared" si="109"/>
        <v>0</v>
      </c>
      <c r="W72" s="157">
        <f>+R72+IFERROR(VLOOKUP($A72,'A0 BS 1240在建'!$1:$1048576,25,0),0)</f>
        <v>0</v>
      </c>
      <c r="X72" s="157">
        <f>+S72+IFERROR(VLOOKUP($A72,'B0 2264預收'!$1:$1048576,25,0),0)</f>
        <v>0</v>
      </c>
      <c r="Y72" s="157">
        <f t="shared" si="110"/>
        <v>0</v>
      </c>
      <c r="Z72" s="157">
        <f>+U72+IFERROR(+VLOOKUP($A72,'B0 2264預收'!$1:$1048576,26,0),0)</f>
        <v>0</v>
      </c>
      <c r="AA72" s="157">
        <f t="shared" si="111"/>
        <v>0</v>
      </c>
      <c r="AB72" s="158">
        <f>+W72+IFERROR(VLOOKUP($A72,'A0 BS 1240在建'!$1:$1048576,29,0),0)</f>
        <v>0</v>
      </c>
      <c r="AC72" s="158">
        <f>+X72+IFERROR(VLOOKUP($A72,'B0 2264預收'!$1:$1048576,29,0),0)</f>
        <v>0</v>
      </c>
      <c r="AD72" s="158">
        <f t="shared" si="112"/>
        <v>0</v>
      </c>
      <c r="AE72" s="158">
        <f>+Z72+IFERROR(+VLOOKUP($A72,'B0 2264預收'!$1:$1048576,30,0),0)</f>
        <v>0</v>
      </c>
      <c r="AF72" s="158">
        <f t="shared" si="113"/>
        <v>0</v>
      </c>
      <c r="AG72" s="157">
        <f>+AB72+IFERROR(VLOOKUP($A72,'A0 BS 1240在建'!$1:$1048576,33,0),0)</f>
        <v>0</v>
      </c>
      <c r="AH72" s="157">
        <f>+AC72+IFERROR(VLOOKUP($A72,'B0 2264預收'!$1:$1048576,33,0),0)</f>
        <v>0</v>
      </c>
      <c r="AI72" s="157">
        <f t="shared" si="114"/>
        <v>0</v>
      </c>
      <c r="AJ72" s="157">
        <f>+AE72+IFERROR(+VLOOKUP($A72,'B0 2264預收'!$1:$1048576,34,0),0)</f>
        <v>0</v>
      </c>
      <c r="AK72" s="157">
        <f t="shared" si="115"/>
        <v>0</v>
      </c>
      <c r="AL72" s="158">
        <f>+AG72+IFERROR(VLOOKUP($A72,'A0 BS 1240在建'!$1:$1048576,37,0),0)</f>
        <v>0</v>
      </c>
      <c r="AM72" s="158">
        <f>+AH72+IFERROR(VLOOKUP($A72,'B0 2264預收'!$1:$1048576,37,0),0)</f>
        <v>0</v>
      </c>
      <c r="AN72" s="158">
        <f t="shared" si="116"/>
        <v>0</v>
      </c>
      <c r="AO72" s="158">
        <f>+AJ72+IFERROR(+VLOOKUP($A72,'B0 2264預收'!$1:$1048576,38,0),0)</f>
        <v>0</v>
      </c>
      <c r="AP72" s="158">
        <f t="shared" si="117"/>
        <v>0</v>
      </c>
      <c r="AQ72" s="157">
        <f>+AL72+IFERROR(VLOOKUP($A72,'A0 BS 1240在建'!$1:$1048576,41,0),0)</f>
        <v>0</v>
      </c>
      <c r="AR72" s="157">
        <f>+AM72+IFERROR(VLOOKUP($A72,'B0 2264預收'!$1:$1048576,41,0),0)</f>
        <v>0</v>
      </c>
      <c r="AS72" s="157">
        <f t="shared" si="118"/>
        <v>0</v>
      </c>
      <c r="AT72" s="157">
        <f>+AO72+IFERROR(+VLOOKUP($A72,'B0 2264預收'!$1:$1048576,42,0),0)</f>
        <v>0</v>
      </c>
      <c r="AU72" s="157">
        <f t="shared" si="119"/>
        <v>0</v>
      </c>
      <c r="AV72" s="158">
        <f>+AQ72+IFERROR(VLOOKUP($A72,'A0 BS 1240在建'!$1:$1048576,45,0),0)</f>
        <v>0</v>
      </c>
      <c r="AW72" s="158">
        <f>+AR72+IFERROR(VLOOKUP($A72,'B0 2264預收'!$1:$1048576,45,0),0)</f>
        <v>0</v>
      </c>
      <c r="AX72" s="158">
        <f t="shared" si="120"/>
        <v>0</v>
      </c>
      <c r="AY72" s="158">
        <f>+AT72+IFERROR(+VLOOKUP($A72,'B0 2264預收'!$1:$1048576,46,0),0)</f>
        <v>0</v>
      </c>
      <c r="AZ72" s="158">
        <f t="shared" si="121"/>
        <v>0</v>
      </c>
      <c r="BA72" s="157">
        <f>+AV72+IFERROR(VLOOKUP($A72,'A0 BS 1240在建'!$1:$1048576,49,0),0)</f>
        <v>0</v>
      </c>
      <c r="BB72" s="157">
        <f>+AW72+IFERROR(VLOOKUP($A72,'B0 2264預收'!$1:$1048576,49,0),0)</f>
        <v>0</v>
      </c>
      <c r="BC72" s="157">
        <f t="shared" si="122"/>
        <v>0</v>
      </c>
      <c r="BD72" s="157">
        <f>+AY72+IFERROR(+VLOOKUP($A72,'B0 2264預收'!$1:$1048576,50,0),0)</f>
        <v>0</v>
      </c>
      <c r="BE72" s="157">
        <f t="shared" si="123"/>
        <v>0</v>
      </c>
      <c r="BF72" s="158">
        <f>+BA72+IFERROR(VLOOKUP($A72,'A0 BS 1240在建'!$1:$1048576,53,0),0)</f>
        <v>0</v>
      </c>
      <c r="BG72" s="158">
        <f>+BB72+IFERROR(VLOOKUP($A72,'B0 2264預收'!$1:$1048576,53,0),0)</f>
        <v>0</v>
      </c>
      <c r="BH72" s="158">
        <f t="shared" si="124"/>
        <v>0</v>
      </c>
      <c r="BI72" s="158">
        <f>+BD72+IFERROR(+VLOOKUP($A72,'B0 2264預收'!$1:$1048576,54,0),0)</f>
        <v>0</v>
      </c>
      <c r="BJ72" s="158">
        <f t="shared" si="125"/>
        <v>0</v>
      </c>
      <c r="BK72" s="157">
        <f>+BF72+IFERROR(VLOOKUP($A72,'A0 BS 1240在建'!$1:$1048576,57,0),0)</f>
        <v>0</v>
      </c>
      <c r="BL72" s="157">
        <f>+BG72+IFERROR(VLOOKUP($A72,'B0 2264預收'!$1:$1048576,57,0),0)</f>
        <v>0</v>
      </c>
      <c r="BM72" s="157">
        <f t="shared" si="126"/>
        <v>0</v>
      </c>
      <c r="BN72" s="157">
        <f>+BI72+IFERROR(+VLOOKUP($A72,'B0 2264預收'!$1:$1048576,58,0),0)</f>
        <v>0</v>
      </c>
      <c r="BO72" s="157">
        <f t="shared" si="127"/>
        <v>0</v>
      </c>
      <c r="BP72" s="158">
        <f>+BK72+IFERROR(VLOOKUP($A72,'A0 BS 1240在建'!$1:$1048576,61,0),0)</f>
        <v>0</v>
      </c>
      <c r="BQ72" s="158">
        <f>+BL72+IFERROR(VLOOKUP($A72,'B0 2264預收'!$1:$1048576,61,0),0)</f>
        <v>0</v>
      </c>
      <c r="BR72" s="159">
        <f t="shared" si="128"/>
        <v>0</v>
      </c>
      <c r="BS72" s="158">
        <f>+BN72+IFERROR(+VLOOKUP($A72,'B0 2264預收'!$1:$1048576,62,0),0)</f>
        <v>0</v>
      </c>
      <c r="BT72" s="158">
        <f t="shared" si="129"/>
        <v>0</v>
      </c>
      <c r="BU72" s="157">
        <f>+IFERROR(VLOOKUP($A72,'A0 BS 1240在建'!$1:$1048576,77,0),0)</f>
        <v>0</v>
      </c>
      <c r="BV72" s="157">
        <f>+IFERROR(VLOOKUP($A72,'B0 2264預收'!$1:$1048576,77,0),0)</f>
        <v>0</v>
      </c>
      <c r="BW72" s="157">
        <f t="shared" si="130"/>
        <v>0</v>
      </c>
      <c r="BX72" s="157">
        <f>+IFERROR(+VLOOKUP($A72,'B0 2264預收'!$1:$1048576,78,0),0)</f>
        <v>0</v>
      </c>
      <c r="BY72" s="157">
        <f t="shared" si="131"/>
        <v>0</v>
      </c>
      <c r="BZ72" s="158">
        <f>IFERROR(+VLOOKUP($A72,'A0 BS 1240在建'!$1:$1048576,85,0),0)</f>
        <v>0</v>
      </c>
      <c r="CA72" s="158">
        <f>IFERROR(+VLOOKUP($A72,'B0 2264預收'!$1:$1048576,85,0),0)</f>
        <v>0</v>
      </c>
      <c r="CB72" s="158">
        <f t="shared" si="132"/>
        <v>0</v>
      </c>
      <c r="CC72" s="158">
        <f>+IFERROR(+VLOOKUP($A72,'B0 2264預收'!$1:$1048576,86,0),0)</f>
        <v>0</v>
      </c>
      <c r="CD72" s="158">
        <f t="shared" si="133"/>
        <v>0</v>
      </c>
      <c r="CE72" s="157">
        <f>+IFERROR(VLOOKUP($A72,'A0 BS 1240在建'!$1:$1048576,93,0),0)</f>
        <v>0</v>
      </c>
      <c r="CF72" s="157">
        <f>+IFERROR(VLOOKUP($A72,'B0 2264預收'!$1:$1048576,93,0),0)</f>
        <v>0</v>
      </c>
      <c r="CG72" s="157">
        <f t="shared" si="134"/>
        <v>0</v>
      </c>
      <c r="CH72" s="157">
        <f>+IFERROR(+VLOOKUP($A72,'B0 2264預收'!$1:$1048576,94,0),0)</f>
        <v>0</v>
      </c>
      <c r="CI72" s="157">
        <f t="shared" si="135"/>
        <v>0</v>
      </c>
      <c r="CJ72" s="158">
        <f>IFERROR(+VLOOKUP($A72,'A0 BS 1240在建'!$1:$1048576,101,0),0)</f>
        <v>0</v>
      </c>
      <c r="CK72" s="158">
        <f>IFERROR(+VLOOKUP($A72,'B0 2264預收'!$1:$1048576,101,0),0)</f>
        <v>0</v>
      </c>
      <c r="CL72" s="158">
        <f t="shared" si="136"/>
        <v>0</v>
      </c>
      <c r="CM72" s="158">
        <f>+IFERROR(+VLOOKUP($A72,'B0 2264預收'!$1:$1048576,102,0),0)</f>
        <v>0</v>
      </c>
      <c r="CN72" s="158">
        <f t="shared" si="137"/>
        <v>0</v>
      </c>
      <c r="CP72" s="165">
        <f t="shared" si="99"/>
        <v>0</v>
      </c>
      <c r="CR72" s="98">
        <f t="shared" si="144"/>
        <v>0</v>
      </c>
      <c r="CU72" s="165">
        <f t="shared" si="100"/>
        <v>0</v>
      </c>
      <c r="CW72" s="98">
        <f t="shared" si="145"/>
        <v>0</v>
      </c>
      <c r="CY72" s="162" t="str">
        <f t="shared" si="138"/>
        <v/>
      </c>
      <c r="CZ72" s="98" t="str">
        <f t="shared" si="139"/>
        <v xml:space="preserve"> </v>
      </c>
      <c r="DA72" s="98" t="str">
        <f t="shared" si="140"/>
        <v xml:space="preserve"> </v>
      </c>
      <c r="DB72" s="98" t="str">
        <f t="shared" si="141"/>
        <v xml:space="preserve"> </v>
      </c>
      <c r="DC72" s="163">
        <f t="shared" si="142"/>
        <v>0</v>
      </c>
      <c r="DD72" s="162" t="str">
        <f t="shared" si="146"/>
        <v/>
      </c>
      <c r="DE72" s="98" t="str">
        <f t="shared" si="147"/>
        <v xml:space="preserve"> </v>
      </c>
      <c r="DF72" s="98" t="str">
        <f t="shared" si="148"/>
        <v xml:space="preserve"> </v>
      </c>
      <c r="DG72" s="98" t="str">
        <f t="shared" si="149"/>
        <v xml:space="preserve"> </v>
      </c>
      <c r="DH72" s="163">
        <f t="shared" si="143"/>
        <v>0</v>
      </c>
    </row>
    <row r="73" spans="1:112">
      <c r="A73" s="178" t="s">
        <v>441</v>
      </c>
      <c r="B73" s="177" t="s">
        <v>442</v>
      </c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102"/>
        <v>0</v>
      </c>
      <c r="F73" s="157">
        <f>IFERROR(VLOOKUP($A73,'B0 2264預收'!$1:$1048576,6,0),0)</f>
        <v>0</v>
      </c>
      <c r="G73" s="157">
        <f t="shared" si="103"/>
        <v>0</v>
      </c>
      <c r="H73" s="158">
        <f>IFERROR(VLOOKUP($A73,'A0 BS 1240在建'!$1:$1048576,13,0),0)</f>
        <v>0</v>
      </c>
      <c r="I73" s="158">
        <f>IFERROR(VLOOKUP($A73,'B0 2264預收'!$1:$1048576,13,0),0)</f>
        <v>0</v>
      </c>
      <c r="J73" s="158">
        <f t="shared" si="104"/>
        <v>0</v>
      </c>
      <c r="K73" s="158">
        <f>IFERROR(VLOOKUP($A73,'B0 2264預收'!$1:$1048576,14,0),0)</f>
        <v>0</v>
      </c>
      <c r="L73" s="158">
        <f t="shared" si="105"/>
        <v>0</v>
      </c>
      <c r="M73" s="157">
        <f>H73+IFERROR(VLOOKUP($A73,'A0 BS 1240在建'!$1:$1048576,17,0),0)</f>
        <v>0</v>
      </c>
      <c r="N73" s="157">
        <f>I73+IFERROR(VLOOKUP($A73,'B0 2264預收'!$1:$1048576,17,0),0)</f>
        <v>0</v>
      </c>
      <c r="O73" s="157">
        <f t="shared" si="106"/>
        <v>0</v>
      </c>
      <c r="P73" s="157">
        <f>K73+IFERROR(+VLOOKUP($A73,'B0 2264預收'!$1:$1048576,18,0),0)</f>
        <v>0</v>
      </c>
      <c r="Q73" s="157">
        <f t="shared" si="107"/>
        <v>0</v>
      </c>
      <c r="R73" s="158">
        <f>M73+IFERROR(VLOOKUP($A73,'A0 BS 1240在建'!$1:$1048576,21,0),0)</f>
        <v>0</v>
      </c>
      <c r="S73" s="158">
        <f>+N73+IFERROR(VLOOKUP($A73,'B0 2264預收'!$1:$1048576,21,0),0)</f>
        <v>0</v>
      </c>
      <c r="T73" s="158">
        <f t="shared" si="108"/>
        <v>0</v>
      </c>
      <c r="U73" s="158">
        <f>+P73+IFERROR(+VLOOKUP($A73,'B0 2264預收'!$1:$1048576,22,0),0)</f>
        <v>0</v>
      </c>
      <c r="V73" s="158">
        <f t="shared" si="109"/>
        <v>0</v>
      </c>
      <c r="W73" s="157">
        <f>+R73+IFERROR(VLOOKUP($A73,'A0 BS 1240在建'!$1:$1048576,25,0),0)</f>
        <v>0</v>
      </c>
      <c r="X73" s="157">
        <f>+S73+IFERROR(VLOOKUP($A73,'B0 2264預收'!$1:$1048576,25,0),0)</f>
        <v>0</v>
      </c>
      <c r="Y73" s="157">
        <f t="shared" si="110"/>
        <v>0</v>
      </c>
      <c r="Z73" s="157">
        <f>+U73+IFERROR(+VLOOKUP($A73,'B0 2264預收'!$1:$1048576,26,0),0)</f>
        <v>0</v>
      </c>
      <c r="AA73" s="157">
        <f t="shared" si="111"/>
        <v>0</v>
      </c>
      <c r="AB73" s="158">
        <f>+W73+IFERROR(VLOOKUP($A73,'A0 BS 1240在建'!$1:$1048576,29,0),0)</f>
        <v>0</v>
      </c>
      <c r="AC73" s="158">
        <f>+X73+IFERROR(VLOOKUP($A73,'B0 2264預收'!$1:$1048576,29,0),0)</f>
        <v>0</v>
      </c>
      <c r="AD73" s="158">
        <f t="shared" si="112"/>
        <v>0</v>
      </c>
      <c r="AE73" s="158">
        <f>+Z73+IFERROR(+VLOOKUP($A73,'B0 2264預收'!$1:$1048576,30,0),0)</f>
        <v>0</v>
      </c>
      <c r="AF73" s="158">
        <f t="shared" si="113"/>
        <v>0</v>
      </c>
      <c r="AG73" s="157">
        <f>+AB73+IFERROR(VLOOKUP($A73,'A0 BS 1240在建'!$1:$1048576,33,0),0)</f>
        <v>0</v>
      </c>
      <c r="AH73" s="157">
        <f>+AC73+IFERROR(VLOOKUP($A73,'B0 2264預收'!$1:$1048576,33,0),0)</f>
        <v>0</v>
      </c>
      <c r="AI73" s="157">
        <f t="shared" si="114"/>
        <v>0</v>
      </c>
      <c r="AJ73" s="157">
        <f>+AE73+IFERROR(+VLOOKUP($A73,'B0 2264預收'!$1:$1048576,34,0),0)</f>
        <v>0</v>
      </c>
      <c r="AK73" s="157">
        <f t="shared" si="115"/>
        <v>0</v>
      </c>
      <c r="AL73" s="158">
        <f>+AG73+IFERROR(VLOOKUP($A73,'A0 BS 1240在建'!$1:$1048576,37,0),0)</f>
        <v>0</v>
      </c>
      <c r="AM73" s="158">
        <f>+AH73+IFERROR(VLOOKUP($A73,'B0 2264預收'!$1:$1048576,37,0),0)</f>
        <v>0</v>
      </c>
      <c r="AN73" s="158">
        <f t="shared" si="116"/>
        <v>0</v>
      </c>
      <c r="AO73" s="158">
        <f>+AJ73+IFERROR(+VLOOKUP($A73,'B0 2264預收'!$1:$1048576,38,0),0)</f>
        <v>0</v>
      </c>
      <c r="AP73" s="158">
        <f t="shared" si="117"/>
        <v>0</v>
      </c>
      <c r="AQ73" s="157">
        <f>+AL73+IFERROR(VLOOKUP($A73,'A0 BS 1240在建'!$1:$1048576,41,0),0)</f>
        <v>0</v>
      </c>
      <c r="AR73" s="157">
        <f>+AM73+IFERROR(VLOOKUP($A73,'B0 2264預收'!$1:$1048576,41,0),0)</f>
        <v>0</v>
      </c>
      <c r="AS73" s="157">
        <f t="shared" si="118"/>
        <v>0</v>
      </c>
      <c r="AT73" s="157">
        <f>+AO73+IFERROR(+VLOOKUP($A73,'B0 2264預收'!$1:$1048576,42,0),0)</f>
        <v>0</v>
      </c>
      <c r="AU73" s="157">
        <f t="shared" si="119"/>
        <v>0</v>
      </c>
      <c r="AV73" s="158">
        <f>+AQ73+IFERROR(VLOOKUP($A73,'A0 BS 1240在建'!$1:$1048576,45,0),0)</f>
        <v>0</v>
      </c>
      <c r="AW73" s="158">
        <f>+AR73+IFERROR(VLOOKUP($A73,'B0 2264預收'!$1:$1048576,45,0),0)</f>
        <v>0</v>
      </c>
      <c r="AX73" s="158">
        <f t="shared" si="120"/>
        <v>0</v>
      </c>
      <c r="AY73" s="158">
        <f>+AT73+IFERROR(+VLOOKUP($A73,'B0 2264預收'!$1:$1048576,46,0),0)</f>
        <v>0</v>
      </c>
      <c r="AZ73" s="158">
        <f t="shared" si="121"/>
        <v>0</v>
      </c>
      <c r="BA73" s="157">
        <f>+AV73+IFERROR(VLOOKUP($A73,'A0 BS 1240在建'!$1:$1048576,49,0),0)</f>
        <v>0</v>
      </c>
      <c r="BB73" s="157">
        <f>+AW73+IFERROR(VLOOKUP($A73,'B0 2264預收'!$1:$1048576,49,0),0)</f>
        <v>0</v>
      </c>
      <c r="BC73" s="157">
        <f t="shared" si="122"/>
        <v>0</v>
      </c>
      <c r="BD73" s="157">
        <f>+AY73+IFERROR(+VLOOKUP($A73,'B0 2264預收'!$1:$1048576,50,0),0)</f>
        <v>0</v>
      </c>
      <c r="BE73" s="157">
        <f t="shared" si="123"/>
        <v>0</v>
      </c>
      <c r="BF73" s="158">
        <f>+BA73+IFERROR(VLOOKUP($A73,'A0 BS 1240在建'!$1:$1048576,53,0),0)</f>
        <v>0</v>
      </c>
      <c r="BG73" s="158">
        <f>+BB73+IFERROR(VLOOKUP($A73,'B0 2264預收'!$1:$1048576,53,0),0)</f>
        <v>0</v>
      </c>
      <c r="BH73" s="158">
        <f t="shared" si="124"/>
        <v>0</v>
      </c>
      <c r="BI73" s="158">
        <f>+BD73+IFERROR(+VLOOKUP($A73,'B0 2264預收'!$1:$1048576,54,0),0)</f>
        <v>0</v>
      </c>
      <c r="BJ73" s="158">
        <f t="shared" si="125"/>
        <v>0</v>
      </c>
      <c r="BK73" s="157">
        <f>+BF73+IFERROR(VLOOKUP($A73,'A0 BS 1240在建'!$1:$1048576,57,0),0)</f>
        <v>0</v>
      </c>
      <c r="BL73" s="157">
        <f>+BG73+IFERROR(VLOOKUP($A73,'B0 2264預收'!$1:$1048576,57,0),0)</f>
        <v>0</v>
      </c>
      <c r="BM73" s="157">
        <f t="shared" si="126"/>
        <v>0</v>
      </c>
      <c r="BN73" s="157">
        <f>+BI73+IFERROR(+VLOOKUP($A73,'B0 2264預收'!$1:$1048576,58,0),0)</f>
        <v>0</v>
      </c>
      <c r="BO73" s="157">
        <f t="shared" si="127"/>
        <v>0</v>
      </c>
      <c r="BP73" s="158">
        <f>+BK73+IFERROR(VLOOKUP($A73,'A0 BS 1240在建'!$1:$1048576,61,0),0)</f>
        <v>0</v>
      </c>
      <c r="BQ73" s="158">
        <f>+BL73+IFERROR(VLOOKUP($A73,'B0 2264預收'!$1:$1048576,61,0),0)</f>
        <v>0</v>
      </c>
      <c r="BR73" s="159">
        <f t="shared" si="128"/>
        <v>0</v>
      </c>
      <c r="BS73" s="158">
        <f>+BN73+IFERROR(+VLOOKUP($A73,'B0 2264預收'!$1:$1048576,62,0),0)</f>
        <v>0</v>
      </c>
      <c r="BT73" s="158">
        <f t="shared" si="129"/>
        <v>0</v>
      </c>
      <c r="BU73" s="157">
        <f>+IFERROR(VLOOKUP($A73,'A0 BS 1240在建'!$1:$1048576,77,0),0)</f>
        <v>0</v>
      </c>
      <c r="BV73" s="157">
        <f>+IFERROR(VLOOKUP($A73,'B0 2264預收'!$1:$1048576,77,0),0)</f>
        <v>0</v>
      </c>
      <c r="BW73" s="157">
        <f t="shared" si="130"/>
        <v>0</v>
      </c>
      <c r="BX73" s="157">
        <f>+IFERROR(+VLOOKUP($A73,'B0 2264預收'!$1:$1048576,78,0),0)</f>
        <v>0</v>
      </c>
      <c r="BY73" s="157">
        <f t="shared" si="131"/>
        <v>0</v>
      </c>
      <c r="BZ73" s="158">
        <f>IFERROR(+VLOOKUP($A73,'A0 BS 1240在建'!$1:$1048576,85,0),0)</f>
        <v>0</v>
      </c>
      <c r="CA73" s="158">
        <f>IFERROR(+VLOOKUP($A73,'B0 2264預收'!$1:$1048576,85,0),0)</f>
        <v>0</v>
      </c>
      <c r="CB73" s="158">
        <f t="shared" si="132"/>
        <v>0</v>
      </c>
      <c r="CC73" s="158">
        <f>+IFERROR(+VLOOKUP($A73,'B0 2264預收'!$1:$1048576,86,0),0)</f>
        <v>0</v>
      </c>
      <c r="CD73" s="158">
        <f t="shared" si="133"/>
        <v>0</v>
      </c>
      <c r="CE73" s="157">
        <f>+IFERROR(VLOOKUP($A73,'A0 BS 1240在建'!$1:$1048576,93,0),0)</f>
        <v>0</v>
      </c>
      <c r="CF73" s="157">
        <f>+IFERROR(VLOOKUP($A73,'B0 2264預收'!$1:$1048576,93,0),0)</f>
        <v>0</v>
      </c>
      <c r="CG73" s="157">
        <f t="shared" si="134"/>
        <v>0</v>
      </c>
      <c r="CH73" s="157">
        <f>+IFERROR(+VLOOKUP($A73,'B0 2264預收'!$1:$1048576,94,0),0)</f>
        <v>0</v>
      </c>
      <c r="CI73" s="157">
        <f t="shared" si="135"/>
        <v>0</v>
      </c>
      <c r="CJ73" s="158">
        <f>IFERROR(+VLOOKUP($A73,'A0 BS 1240在建'!$1:$1048576,101,0),0)</f>
        <v>0</v>
      </c>
      <c r="CK73" s="158">
        <f>IFERROR(+VLOOKUP($A73,'B0 2264預收'!$1:$1048576,101,0),0)</f>
        <v>0</v>
      </c>
      <c r="CL73" s="158">
        <f t="shared" si="136"/>
        <v>0</v>
      </c>
      <c r="CM73" s="158">
        <f>+IFERROR(+VLOOKUP($A73,'B0 2264預收'!$1:$1048576,102,0),0)</f>
        <v>0</v>
      </c>
      <c r="CN73" s="158">
        <f t="shared" si="137"/>
        <v>0</v>
      </c>
      <c r="CP73" s="165">
        <f t="shared" si="99"/>
        <v>0</v>
      </c>
      <c r="CR73" s="98">
        <f t="shared" si="144"/>
        <v>0</v>
      </c>
      <c r="CU73" s="165">
        <f t="shared" si="100"/>
        <v>0</v>
      </c>
      <c r="CW73" s="98">
        <f t="shared" si="145"/>
        <v>0</v>
      </c>
      <c r="CY73" s="162" t="str">
        <f t="shared" si="138"/>
        <v/>
      </c>
      <c r="CZ73" s="98" t="str">
        <f t="shared" si="139"/>
        <v xml:space="preserve"> </v>
      </c>
      <c r="DA73" s="98" t="str">
        <f t="shared" si="140"/>
        <v xml:space="preserve"> </v>
      </c>
      <c r="DB73" s="98" t="str">
        <f t="shared" si="141"/>
        <v xml:space="preserve"> </v>
      </c>
      <c r="DC73" s="163">
        <f t="shared" si="142"/>
        <v>0</v>
      </c>
      <c r="DD73" s="173" t="str">
        <f t="shared" si="146"/>
        <v/>
      </c>
      <c r="DE73" s="98" t="str">
        <f t="shared" si="147"/>
        <v xml:space="preserve"> </v>
      </c>
      <c r="DF73" s="98" t="str">
        <f t="shared" si="148"/>
        <v xml:space="preserve"> </v>
      </c>
      <c r="DG73" s="98" t="str">
        <f t="shared" si="149"/>
        <v xml:space="preserve"> </v>
      </c>
      <c r="DH73" s="163">
        <f t="shared" si="143"/>
        <v>0</v>
      </c>
    </row>
    <row r="74" spans="1:112">
      <c r="A74" s="158" t="s">
        <v>443</v>
      </c>
      <c r="B74" s="177" t="s">
        <v>444</v>
      </c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102"/>
        <v>0</v>
      </c>
      <c r="F74" s="157">
        <f>IFERROR(VLOOKUP($A74,'B0 2264預收'!$1:$1048576,6,0),0)</f>
        <v>0</v>
      </c>
      <c r="G74" s="157">
        <f t="shared" si="103"/>
        <v>0</v>
      </c>
      <c r="H74" s="158">
        <f>IFERROR(VLOOKUP($A74,'A0 BS 1240在建'!$1:$1048576,13,0),0)</f>
        <v>0</v>
      </c>
      <c r="I74" s="158">
        <f>IFERROR(VLOOKUP($A74,'B0 2264預收'!$1:$1048576,13,0),0)</f>
        <v>0</v>
      </c>
      <c r="J74" s="158">
        <f t="shared" si="104"/>
        <v>0</v>
      </c>
      <c r="K74" s="158">
        <f>IFERROR(VLOOKUP($A74,'B0 2264預收'!$1:$1048576,14,0),0)</f>
        <v>0</v>
      </c>
      <c r="L74" s="158">
        <f t="shared" si="105"/>
        <v>0</v>
      </c>
      <c r="M74" s="157">
        <f>H74+IFERROR(VLOOKUP($A74,'A0 BS 1240在建'!$1:$1048576,17,0),0)</f>
        <v>0</v>
      </c>
      <c r="N74" s="157">
        <f>I74+IFERROR(VLOOKUP($A74,'B0 2264預收'!$1:$1048576,17,0),0)</f>
        <v>0</v>
      </c>
      <c r="O74" s="157">
        <f t="shared" si="106"/>
        <v>0</v>
      </c>
      <c r="P74" s="157">
        <f>K74+IFERROR(+VLOOKUP($A74,'B0 2264預收'!$1:$1048576,18,0),0)</f>
        <v>0</v>
      </c>
      <c r="Q74" s="157">
        <f t="shared" si="107"/>
        <v>0</v>
      </c>
      <c r="R74" s="158">
        <f>M74+IFERROR(VLOOKUP($A74,'A0 BS 1240在建'!$1:$1048576,21,0),0)</f>
        <v>0</v>
      </c>
      <c r="S74" s="158">
        <f>+N74+IFERROR(VLOOKUP($A74,'B0 2264預收'!$1:$1048576,21,0),0)</f>
        <v>0</v>
      </c>
      <c r="T74" s="158">
        <f t="shared" si="108"/>
        <v>0</v>
      </c>
      <c r="U74" s="158">
        <f>+P74+IFERROR(+VLOOKUP($A74,'B0 2264預收'!$1:$1048576,22,0),0)</f>
        <v>0</v>
      </c>
      <c r="V74" s="158">
        <f t="shared" si="109"/>
        <v>0</v>
      </c>
      <c r="W74" s="157">
        <f>+R74+IFERROR(VLOOKUP($A74,'A0 BS 1240在建'!$1:$1048576,25,0),0)</f>
        <v>0</v>
      </c>
      <c r="X74" s="157">
        <f>+S74+IFERROR(VLOOKUP($A74,'B0 2264預收'!$1:$1048576,25,0),0)</f>
        <v>0</v>
      </c>
      <c r="Y74" s="157">
        <f t="shared" si="110"/>
        <v>0</v>
      </c>
      <c r="Z74" s="157">
        <f>+U74+IFERROR(+VLOOKUP($A74,'B0 2264預收'!$1:$1048576,26,0),0)</f>
        <v>0</v>
      </c>
      <c r="AA74" s="157">
        <f t="shared" si="111"/>
        <v>0</v>
      </c>
      <c r="AB74" s="158">
        <f>+W74+IFERROR(VLOOKUP($A74,'A0 BS 1240在建'!$1:$1048576,29,0),0)</f>
        <v>0</v>
      </c>
      <c r="AC74" s="158">
        <f>+X74+IFERROR(VLOOKUP($A74,'B0 2264預收'!$1:$1048576,29,0),0)</f>
        <v>0</v>
      </c>
      <c r="AD74" s="158">
        <f t="shared" si="112"/>
        <v>0</v>
      </c>
      <c r="AE74" s="158">
        <f>+Z74+IFERROR(+VLOOKUP($A74,'B0 2264預收'!$1:$1048576,30,0),0)</f>
        <v>0</v>
      </c>
      <c r="AF74" s="158">
        <f t="shared" si="113"/>
        <v>0</v>
      </c>
      <c r="AG74" s="157">
        <f>+AB74+IFERROR(VLOOKUP($A74,'A0 BS 1240在建'!$1:$1048576,33,0),0)</f>
        <v>0</v>
      </c>
      <c r="AH74" s="157">
        <f>+AC74+IFERROR(VLOOKUP($A74,'B0 2264預收'!$1:$1048576,33,0),0)</f>
        <v>0</v>
      </c>
      <c r="AI74" s="157">
        <f t="shared" si="114"/>
        <v>0</v>
      </c>
      <c r="AJ74" s="157">
        <f>+AE74+IFERROR(+VLOOKUP($A74,'B0 2264預收'!$1:$1048576,34,0),0)</f>
        <v>0</v>
      </c>
      <c r="AK74" s="157">
        <f t="shared" si="115"/>
        <v>0</v>
      </c>
      <c r="AL74" s="158">
        <f>+AG74+IFERROR(VLOOKUP($A74,'A0 BS 1240在建'!$1:$1048576,37,0),0)</f>
        <v>0</v>
      </c>
      <c r="AM74" s="158">
        <f>+AH74+IFERROR(VLOOKUP($A74,'B0 2264預收'!$1:$1048576,37,0),0)</f>
        <v>0</v>
      </c>
      <c r="AN74" s="158">
        <f t="shared" si="116"/>
        <v>0</v>
      </c>
      <c r="AO74" s="158">
        <f>+AJ74+IFERROR(+VLOOKUP($A74,'B0 2264預收'!$1:$1048576,38,0),0)</f>
        <v>0</v>
      </c>
      <c r="AP74" s="158">
        <f t="shared" si="117"/>
        <v>0</v>
      </c>
      <c r="AQ74" s="157">
        <f>+AL74+IFERROR(VLOOKUP($A74,'A0 BS 1240在建'!$1:$1048576,41,0),0)</f>
        <v>0</v>
      </c>
      <c r="AR74" s="157">
        <f>+AM74+IFERROR(VLOOKUP($A74,'B0 2264預收'!$1:$1048576,41,0),0)</f>
        <v>0</v>
      </c>
      <c r="AS74" s="157">
        <f t="shared" si="118"/>
        <v>0</v>
      </c>
      <c r="AT74" s="157">
        <f>+AO74+IFERROR(+VLOOKUP($A74,'B0 2264預收'!$1:$1048576,42,0),0)</f>
        <v>0</v>
      </c>
      <c r="AU74" s="157">
        <f t="shared" si="119"/>
        <v>0</v>
      </c>
      <c r="AV74" s="158">
        <f>+AQ74+IFERROR(VLOOKUP($A74,'A0 BS 1240在建'!$1:$1048576,45,0),0)</f>
        <v>0</v>
      </c>
      <c r="AW74" s="158">
        <f>+AR74+IFERROR(VLOOKUP($A74,'B0 2264預收'!$1:$1048576,45,0),0)</f>
        <v>0</v>
      </c>
      <c r="AX74" s="158">
        <f t="shared" si="120"/>
        <v>0</v>
      </c>
      <c r="AY74" s="158">
        <f>+AT74+IFERROR(+VLOOKUP($A74,'B0 2264預收'!$1:$1048576,46,0),0)</f>
        <v>0</v>
      </c>
      <c r="AZ74" s="158">
        <f t="shared" si="121"/>
        <v>0</v>
      </c>
      <c r="BA74" s="157">
        <f>+AV74+IFERROR(VLOOKUP($A74,'A0 BS 1240在建'!$1:$1048576,49,0),0)</f>
        <v>0</v>
      </c>
      <c r="BB74" s="157">
        <f>+AW74+IFERROR(VLOOKUP($A74,'B0 2264預收'!$1:$1048576,49,0),0)</f>
        <v>0</v>
      </c>
      <c r="BC74" s="157">
        <f t="shared" si="122"/>
        <v>0</v>
      </c>
      <c r="BD74" s="157">
        <f>+AY74+IFERROR(+VLOOKUP($A74,'B0 2264預收'!$1:$1048576,50,0),0)</f>
        <v>0</v>
      </c>
      <c r="BE74" s="157">
        <f t="shared" si="123"/>
        <v>0</v>
      </c>
      <c r="BF74" s="158">
        <f>+BA74+IFERROR(VLOOKUP($A74,'A0 BS 1240在建'!$1:$1048576,53,0),0)</f>
        <v>0</v>
      </c>
      <c r="BG74" s="158">
        <f>+BB74+IFERROR(VLOOKUP($A74,'B0 2264預收'!$1:$1048576,53,0),0)</f>
        <v>0</v>
      </c>
      <c r="BH74" s="158">
        <f t="shared" si="124"/>
        <v>0</v>
      </c>
      <c r="BI74" s="158">
        <f>+BD74+IFERROR(+VLOOKUP($A74,'B0 2264預收'!$1:$1048576,54,0),0)</f>
        <v>0</v>
      </c>
      <c r="BJ74" s="158">
        <f t="shared" si="125"/>
        <v>0</v>
      </c>
      <c r="BK74" s="157">
        <f>+BF74+IFERROR(VLOOKUP($A74,'A0 BS 1240在建'!$1:$1048576,57,0),0)</f>
        <v>0</v>
      </c>
      <c r="BL74" s="157">
        <f>+BG74+IFERROR(VLOOKUP($A74,'B0 2264預收'!$1:$1048576,57,0),0)</f>
        <v>0</v>
      </c>
      <c r="BM74" s="157">
        <f t="shared" si="126"/>
        <v>0</v>
      </c>
      <c r="BN74" s="157">
        <f>+BI74+IFERROR(+VLOOKUP($A74,'B0 2264預收'!$1:$1048576,58,0),0)</f>
        <v>0</v>
      </c>
      <c r="BO74" s="157">
        <f t="shared" si="127"/>
        <v>0</v>
      </c>
      <c r="BP74" s="158">
        <f>+BK74+IFERROR(VLOOKUP($A74,'A0 BS 1240在建'!$1:$1048576,61,0),0)</f>
        <v>0</v>
      </c>
      <c r="BQ74" s="158">
        <f>+BL74+IFERROR(VLOOKUP($A74,'B0 2264預收'!$1:$1048576,61,0),0)</f>
        <v>0</v>
      </c>
      <c r="BR74" s="159">
        <f t="shared" si="128"/>
        <v>0</v>
      </c>
      <c r="BS74" s="158">
        <f>+BN74+IFERROR(+VLOOKUP($A74,'B0 2264預收'!$1:$1048576,62,0),0)</f>
        <v>0</v>
      </c>
      <c r="BT74" s="158">
        <f t="shared" si="129"/>
        <v>0</v>
      </c>
      <c r="BU74" s="157">
        <f>+IFERROR(VLOOKUP($A74,'A0 BS 1240在建'!$1:$1048576,77,0),0)</f>
        <v>0</v>
      </c>
      <c r="BV74" s="157">
        <f>+IFERROR(VLOOKUP($A74,'B0 2264預收'!$1:$1048576,77,0),0)</f>
        <v>0</v>
      </c>
      <c r="BW74" s="157">
        <f t="shared" si="130"/>
        <v>0</v>
      </c>
      <c r="BX74" s="157">
        <f>+IFERROR(+VLOOKUP($A74,'B0 2264預收'!$1:$1048576,78,0),0)</f>
        <v>0</v>
      </c>
      <c r="BY74" s="157">
        <f t="shared" si="131"/>
        <v>0</v>
      </c>
      <c r="BZ74" s="158">
        <f>IFERROR(+VLOOKUP($A74,'A0 BS 1240在建'!$1:$1048576,85,0),0)</f>
        <v>0</v>
      </c>
      <c r="CA74" s="158">
        <f>IFERROR(+VLOOKUP($A74,'B0 2264預收'!$1:$1048576,85,0),0)</f>
        <v>0</v>
      </c>
      <c r="CB74" s="158">
        <f t="shared" si="132"/>
        <v>0</v>
      </c>
      <c r="CC74" s="158">
        <f>+IFERROR(+VLOOKUP($A74,'B0 2264預收'!$1:$1048576,86,0),0)</f>
        <v>0</v>
      </c>
      <c r="CD74" s="158">
        <f t="shared" si="133"/>
        <v>0</v>
      </c>
      <c r="CE74" s="157">
        <f>+IFERROR(VLOOKUP($A74,'A0 BS 1240在建'!$1:$1048576,93,0),0)</f>
        <v>0</v>
      </c>
      <c r="CF74" s="157">
        <f>+IFERROR(VLOOKUP($A74,'B0 2264預收'!$1:$1048576,93,0),0)</f>
        <v>0</v>
      </c>
      <c r="CG74" s="157">
        <f t="shared" si="134"/>
        <v>0</v>
      </c>
      <c r="CH74" s="157">
        <f>+IFERROR(+VLOOKUP($A74,'B0 2264預收'!$1:$1048576,94,0),0)</f>
        <v>0</v>
      </c>
      <c r="CI74" s="157">
        <f t="shared" si="135"/>
        <v>0</v>
      </c>
      <c r="CJ74" s="158">
        <f>IFERROR(+VLOOKUP($A74,'A0 BS 1240在建'!$1:$1048576,101,0),0)</f>
        <v>0</v>
      </c>
      <c r="CK74" s="158">
        <f>IFERROR(+VLOOKUP($A74,'B0 2264預收'!$1:$1048576,101,0),0)</f>
        <v>0</v>
      </c>
      <c r="CL74" s="158">
        <f t="shared" si="136"/>
        <v>0</v>
      </c>
      <c r="CM74" s="158">
        <f>+IFERROR(+VLOOKUP($A74,'B0 2264預收'!$1:$1048576,102,0),0)</f>
        <v>0</v>
      </c>
      <c r="CN74" s="158">
        <f t="shared" si="137"/>
        <v>0</v>
      </c>
      <c r="CP74" s="165">
        <f t="shared" si="99"/>
        <v>0</v>
      </c>
      <c r="CR74" s="98">
        <f t="shared" si="144"/>
        <v>0</v>
      </c>
      <c r="CU74" s="165">
        <f t="shared" si="100"/>
        <v>0</v>
      </c>
      <c r="CW74" s="98">
        <f t="shared" si="145"/>
        <v>0</v>
      </c>
      <c r="CY74" s="162" t="str">
        <f t="shared" si="138"/>
        <v/>
      </c>
      <c r="CZ74" s="98" t="str">
        <f t="shared" si="139"/>
        <v xml:space="preserve"> </v>
      </c>
      <c r="DA74" s="98" t="str">
        <f t="shared" si="140"/>
        <v xml:space="preserve"> </v>
      </c>
      <c r="DB74" s="98" t="str">
        <f t="shared" si="141"/>
        <v xml:space="preserve"> </v>
      </c>
      <c r="DC74" s="163">
        <f t="shared" si="142"/>
        <v>0</v>
      </c>
      <c r="DD74" s="162" t="str">
        <f t="shared" si="146"/>
        <v/>
      </c>
      <c r="DE74" s="98" t="str">
        <f t="shared" si="147"/>
        <v xml:space="preserve"> </v>
      </c>
      <c r="DF74" s="98" t="str">
        <f t="shared" si="148"/>
        <v xml:space="preserve"> </v>
      </c>
      <c r="DG74" s="98" t="str">
        <f t="shared" si="149"/>
        <v xml:space="preserve"> </v>
      </c>
      <c r="DH74" s="163">
        <f t="shared" si="143"/>
        <v>0</v>
      </c>
    </row>
    <row r="75" spans="1:112">
      <c r="A75" s="158" t="s">
        <v>445</v>
      </c>
      <c r="B75" s="177" t="s">
        <v>446</v>
      </c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102"/>
        <v>0</v>
      </c>
      <c r="F75" s="157">
        <f>IFERROR(VLOOKUP($A75,'B0 2264預收'!$1:$1048576,6,0),0)</f>
        <v>0</v>
      </c>
      <c r="G75" s="157">
        <f t="shared" si="103"/>
        <v>0</v>
      </c>
      <c r="H75" s="158">
        <f>IFERROR(VLOOKUP($A75,'A0 BS 1240在建'!$1:$1048576,13,0),0)</f>
        <v>0</v>
      </c>
      <c r="I75" s="158">
        <f>IFERROR(VLOOKUP($A75,'B0 2264預收'!$1:$1048576,13,0),0)</f>
        <v>0</v>
      </c>
      <c r="J75" s="158">
        <f t="shared" si="104"/>
        <v>0</v>
      </c>
      <c r="K75" s="158">
        <f>IFERROR(VLOOKUP($A75,'B0 2264預收'!$1:$1048576,14,0),0)</f>
        <v>0</v>
      </c>
      <c r="L75" s="158">
        <f t="shared" si="105"/>
        <v>0</v>
      </c>
      <c r="M75" s="157">
        <f>H75+IFERROR(VLOOKUP($A75,'A0 BS 1240在建'!$1:$1048576,17,0),0)</f>
        <v>0</v>
      </c>
      <c r="N75" s="157">
        <f>I75+IFERROR(VLOOKUP($A75,'B0 2264預收'!$1:$1048576,17,0),0)</f>
        <v>0</v>
      </c>
      <c r="O75" s="157">
        <f t="shared" si="106"/>
        <v>0</v>
      </c>
      <c r="P75" s="157">
        <f>K75+IFERROR(+VLOOKUP($A75,'B0 2264預收'!$1:$1048576,18,0),0)</f>
        <v>0</v>
      </c>
      <c r="Q75" s="157">
        <f t="shared" si="107"/>
        <v>0</v>
      </c>
      <c r="R75" s="158">
        <f>M75+IFERROR(VLOOKUP($A75,'A0 BS 1240在建'!$1:$1048576,21,0),0)</f>
        <v>0</v>
      </c>
      <c r="S75" s="158">
        <f>+N75+IFERROR(VLOOKUP($A75,'B0 2264預收'!$1:$1048576,21,0),0)</f>
        <v>0</v>
      </c>
      <c r="T75" s="158">
        <f t="shared" si="108"/>
        <v>0</v>
      </c>
      <c r="U75" s="158">
        <f>+P75+IFERROR(+VLOOKUP($A75,'B0 2264預收'!$1:$1048576,22,0),0)</f>
        <v>0</v>
      </c>
      <c r="V75" s="158">
        <f t="shared" si="109"/>
        <v>0</v>
      </c>
      <c r="W75" s="157">
        <f>+R75+IFERROR(VLOOKUP($A75,'A0 BS 1240在建'!$1:$1048576,25,0),0)</f>
        <v>0</v>
      </c>
      <c r="X75" s="157">
        <f>+S75+IFERROR(VLOOKUP($A75,'B0 2264預收'!$1:$1048576,25,0),0)</f>
        <v>0</v>
      </c>
      <c r="Y75" s="157">
        <f t="shared" si="110"/>
        <v>0</v>
      </c>
      <c r="Z75" s="157">
        <f>+U75+IFERROR(+VLOOKUP($A75,'B0 2264預收'!$1:$1048576,26,0),0)</f>
        <v>0</v>
      </c>
      <c r="AA75" s="157">
        <f t="shared" si="111"/>
        <v>0</v>
      </c>
      <c r="AB75" s="158">
        <f>+W75+IFERROR(VLOOKUP($A75,'A0 BS 1240在建'!$1:$1048576,29,0),0)</f>
        <v>0</v>
      </c>
      <c r="AC75" s="158">
        <f>+X75+IFERROR(VLOOKUP($A75,'B0 2264預收'!$1:$1048576,29,0),0)</f>
        <v>0</v>
      </c>
      <c r="AD75" s="158">
        <f t="shared" si="112"/>
        <v>0</v>
      </c>
      <c r="AE75" s="158">
        <f>+Z75+IFERROR(+VLOOKUP($A75,'B0 2264預收'!$1:$1048576,30,0),0)</f>
        <v>0</v>
      </c>
      <c r="AF75" s="158">
        <f t="shared" si="113"/>
        <v>0</v>
      </c>
      <c r="AG75" s="157">
        <f>+AB75+IFERROR(VLOOKUP($A75,'A0 BS 1240在建'!$1:$1048576,33,0),0)</f>
        <v>0</v>
      </c>
      <c r="AH75" s="157">
        <f>+AC75+IFERROR(VLOOKUP($A75,'B0 2264預收'!$1:$1048576,33,0),0)</f>
        <v>0</v>
      </c>
      <c r="AI75" s="157">
        <f t="shared" si="114"/>
        <v>0</v>
      </c>
      <c r="AJ75" s="157">
        <f>+AE75+IFERROR(+VLOOKUP($A75,'B0 2264預收'!$1:$1048576,34,0),0)</f>
        <v>0</v>
      </c>
      <c r="AK75" s="157">
        <f t="shared" si="115"/>
        <v>0</v>
      </c>
      <c r="AL75" s="158">
        <f>+AG75+IFERROR(VLOOKUP($A75,'A0 BS 1240在建'!$1:$1048576,37,0),0)</f>
        <v>0</v>
      </c>
      <c r="AM75" s="158">
        <f>+AH75+IFERROR(VLOOKUP($A75,'B0 2264預收'!$1:$1048576,37,0),0)</f>
        <v>0</v>
      </c>
      <c r="AN75" s="158">
        <f t="shared" si="116"/>
        <v>0</v>
      </c>
      <c r="AO75" s="158">
        <f>+AJ75+IFERROR(+VLOOKUP($A75,'B0 2264預收'!$1:$1048576,38,0),0)</f>
        <v>0</v>
      </c>
      <c r="AP75" s="158">
        <f t="shared" si="117"/>
        <v>0</v>
      </c>
      <c r="AQ75" s="157">
        <f>+AL75+IFERROR(VLOOKUP($A75,'A0 BS 1240在建'!$1:$1048576,41,0),0)</f>
        <v>0</v>
      </c>
      <c r="AR75" s="157">
        <f>+AM75+IFERROR(VLOOKUP($A75,'B0 2264預收'!$1:$1048576,41,0),0)</f>
        <v>0</v>
      </c>
      <c r="AS75" s="157">
        <f t="shared" si="118"/>
        <v>0</v>
      </c>
      <c r="AT75" s="157">
        <f>+AO75+IFERROR(+VLOOKUP($A75,'B0 2264預收'!$1:$1048576,42,0),0)</f>
        <v>0</v>
      </c>
      <c r="AU75" s="157">
        <f t="shared" si="119"/>
        <v>0</v>
      </c>
      <c r="AV75" s="158">
        <f>+AQ75+IFERROR(VLOOKUP($A75,'A0 BS 1240在建'!$1:$1048576,45,0),0)</f>
        <v>0</v>
      </c>
      <c r="AW75" s="158">
        <f>+AR75+IFERROR(VLOOKUP($A75,'B0 2264預收'!$1:$1048576,45,0),0)</f>
        <v>0</v>
      </c>
      <c r="AX75" s="158">
        <f t="shared" si="120"/>
        <v>0</v>
      </c>
      <c r="AY75" s="158">
        <f>+AT75+IFERROR(+VLOOKUP($A75,'B0 2264預收'!$1:$1048576,46,0),0)</f>
        <v>0</v>
      </c>
      <c r="AZ75" s="158">
        <f t="shared" si="121"/>
        <v>0</v>
      </c>
      <c r="BA75" s="157">
        <f>+AV75+IFERROR(VLOOKUP($A75,'A0 BS 1240在建'!$1:$1048576,49,0),0)</f>
        <v>0</v>
      </c>
      <c r="BB75" s="157">
        <f>+AW75+IFERROR(VLOOKUP($A75,'B0 2264預收'!$1:$1048576,49,0),0)</f>
        <v>0</v>
      </c>
      <c r="BC75" s="157">
        <f t="shared" si="122"/>
        <v>0</v>
      </c>
      <c r="BD75" s="157">
        <f>+AY75+IFERROR(+VLOOKUP($A75,'B0 2264預收'!$1:$1048576,50,0),0)</f>
        <v>0</v>
      </c>
      <c r="BE75" s="157">
        <f t="shared" si="123"/>
        <v>0</v>
      </c>
      <c r="BF75" s="158">
        <f>+BA75+IFERROR(VLOOKUP($A75,'A0 BS 1240在建'!$1:$1048576,53,0),0)</f>
        <v>0</v>
      </c>
      <c r="BG75" s="158">
        <f>+BB75+IFERROR(VLOOKUP($A75,'B0 2264預收'!$1:$1048576,53,0),0)</f>
        <v>0</v>
      </c>
      <c r="BH75" s="158">
        <f t="shared" si="124"/>
        <v>0</v>
      </c>
      <c r="BI75" s="158">
        <f>+BD75+IFERROR(+VLOOKUP($A75,'B0 2264預收'!$1:$1048576,54,0),0)</f>
        <v>0</v>
      </c>
      <c r="BJ75" s="158">
        <f t="shared" si="125"/>
        <v>0</v>
      </c>
      <c r="BK75" s="157">
        <f>+BF75+IFERROR(VLOOKUP($A75,'A0 BS 1240在建'!$1:$1048576,57,0),0)</f>
        <v>0</v>
      </c>
      <c r="BL75" s="157">
        <f>+BG75+IFERROR(VLOOKUP($A75,'B0 2264預收'!$1:$1048576,57,0),0)</f>
        <v>0</v>
      </c>
      <c r="BM75" s="157">
        <f t="shared" si="126"/>
        <v>0</v>
      </c>
      <c r="BN75" s="157">
        <f>+BI75+IFERROR(+VLOOKUP($A75,'B0 2264預收'!$1:$1048576,58,0),0)</f>
        <v>0</v>
      </c>
      <c r="BO75" s="157">
        <f t="shared" si="127"/>
        <v>0</v>
      </c>
      <c r="BP75" s="158">
        <f>+BK75+IFERROR(VLOOKUP($A75,'A0 BS 1240在建'!$1:$1048576,61,0),0)</f>
        <v>0</v>
      </c>
      <c r="BQ75" s="158">
        <f>+BL75+IFERROR(VLOOKUP($A75,'B0 2264預收'!$1:$1048576,61,0),0)</f>
        <v>0</v>
      </c>
      <c r="BR75" s="159">
        <f t="shared" si="128"/>
        <v>0</v>
      </c>
      <c r="BS75" s="158">
        <f>+BN75+IFERROR(+VLOOKUP($A75,'B0 2264預收'!$1:$1048576,62,0),0)</f>
        <v>0</v>
      </c>
      <c r="BT75" s="158">
        <f t="shared" si="129"/>
        <v>0</v>
      </c>
      <c r="BU75" s="157">
        <f>+IFERROR(VLOOKUP($A75,'A0 BS 1240在建'!$1:$1048576,77,0),0)</f>
        <v>0</v>
      </c>
      <c r="BV75" s="157">
        <f>+IFERROR(VLOOKUP($A75,'B0 2264預收'!$1:$1048576,77,0),0)</f>
        <v>0</v>
      </c>
      <c r="BW75" s="157">
        <f t="shared" si="130"/>
        <v>0</v>
      </c>
      <c r="BX75" s="157">
        <f>+IFERROR(+VLOOKUP($A75,'B0 2264預收'!$1:$1048576,78,0),0)</f>
        <v>0</v>
      </c>
      <c r="BY75" s="157">
        <f t="shared" si="131"/>
        <v>0</v>
      </c>
      <c r="BZ75" s="158">
        <f>IFERROR(+VLOOKUP($A75,'A0 BS 1240在建'!$1:$1048576,85,0),0)</f>
        <v>0</v>
      </c>
      <c r="CA75" s="158">
        <f>IFERROR(+VLOOKUP($A75,'B0 2264預收'!$1:$1048576,85,0),0)</f>
        <v>0</v>
      </c>
      <c r="CB75" s="158">
        <f t="shared" si="132"/>
        <v>0</v>
      </c>
      <c r="CC75" s="158">
        <f>+IFERROR(+VLOOKUP($A75,'B0 2264預收'!$1:$1048576,86,0),0)</f>
        <v>0</v>
      </c>
      <c r="CD75" s="158">
        <f t="shared" si="133"/>
        <v>0</v>
      </c>
      <c r="CE75" s="157">
        <f>+IFERROR(VLOOKUP($A75,'A0 BS 1240在建'!$1:$1048576,93,0),0)</f>
        <v>0</v>
      </c>
      <c r="CF75" s="157">
        <f>+IFERROR(VLOOKUP($A75,'B0 2264預收'!$1:$1048576,93,0),0)</f>
        <v>0</v>
      </c>
      <c r="CG75" s="157">
        <f t="shared" si="134"/>
        <v>0</v>
      </c>
      <c r="CH75" s="157">
        <f>+IFERROR(+VLOOKUP($A75,'B0 2264預收'!$1:$1048576,94,0),0)</f>
        <v>0</v>
      </c>
      <c r="CI75" s="157">
        <f t="shared" si="135"/>
        <v>0</v>
      </c>
      <c r="CJ75" s="158">
        <f>IFERROR(+VLOOKUP($A75,'A0 BS 1240在建'!$1:$1048576,101,0),0)</f>
        <v>0</v>
      </c>
      <c r="CK75" s="158">
        <f>IFERROR(+VLOOKUP($A75,'B0 2264預收'!$1:$1048576,101,0),0)</f>
        <v>0</v>
      </c>
      <c r="CL75" s="158">
        <f t="shared" si="136"/>
        <v>0</v>
      </c>
      <c r="CM75" s="158">
        <f>+IFERROR(+VLOOKUP($A75,'B0 2264預收'!$1:$1048576,102,0),0)</f>
        <v>0</v>
      </c>
      <c r="CN75" s="158">
        <f t="shared" si="137"/>
        <v>0</v>
      </c>
      <c r="CP75" s="165">
        <f t="shared" si="99"/>
        <v>0</v>
      </c>
      <c r="CR75" s="98">
        <f t="shared" si="144"/>
        <v>0</v>
      </c>
      <c r="CU75" s="165">
        <f t="shared" si="100"/>
        <v>0</v>
      </c>
      <c r="CW75" s="98">
        <f t="shared" si="145"/>
        <v>0</v>
      </c>
      <c r="CY75" s="162" t="str">
        <f t="shared" si="138"/>
        <v/>
      </c>
      <c r="CZ75" s="98" t="str">
        <f t="shared" si="139"/>
        <v xml:space="preserve"> </v>
      </c>
      <c r="DA75" s="98" t="str">
        <f t="shared" si="140"/>
        <v xml:space="preserve"> </v>
      </c>
      <c r="DB75" s="98" t="str">
        <f t="shared" si="141"/>
        <v xml:space="preserve"> </v>
      </c>
      <c r="DC75" s="163">
        <f t="shared" si="142"/>
        <v>0</v>
      </c>
      <c r="DD75" s="173" t="str">
        <f t="shared" si="146"/>
        <v/>
      </c>
      <c r="DE75" s="98" t="str">
        <f t="shared" si="147"/>
        <v xml:space="preserve"> </v>
      </c>
      <c r="DF75" s="98" t="str">
        <f t="shared" si="148"/>
        <v xml:space="preserve"> </v>
      </c>
      <c r="DG75" s="98" t="str">
        <f t="shared" si="149"/>
        <v xml:space="preserve"> </v>
      </c>
      <c r="DH75" s="163">
        <f t="shared" si="143"/>
        <v>0</v>
      </c>
    </row>
    <row r="76" spans="1:112">
      <c r="A76" s="158" t="s">
        <v>447</v>
      </c>
      <c r="B76" s="177" t="s">
        <v>448</v>
      </c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102"/>
        <v>0</v>
      </c>
      <c r="F76" s="157">
        <f>IFERROR(VLOOKUP($A76,'B0 2264預收'!$1:$1048576,6,0),0)</f>
        <v>0</v>
      </c>
      <c r="G76" s="157">
        <f t="shared" si="103"/>
        <v>0</v>
      </c>
      <c r="H76" s="158">
        <f>IFERROR(VLOOKUP($A76,'A0 BS 1240在建'!$1:$1048576,13,0),0)</f>
        <v>0</v>
      </c>
      <c r="I76" s="158">
        <f>IFERROR(VLOOKUP($A76,'B0 2264預收'!$1:$1048576,13,0),0)</f>
        <v>0</v>
      </c>
      <c r="J76" s="158">
        <f t="shared" si="104"/>
        <v>0</v>
      </c>
      <c r="K76" s="158">
        <f>IFERROR(VLOOKUP($A76,'B0 2264預收'!$1:$1048576,14,0),0)</f>
        <v>0</v>
      </c>
      <c r="L76" s="158">
        <f t="shared" si="105"/>
        <v>0</v>
      </c>
      <c r="M76" s="157">
        <f>H76+IFERROR(VLOOKUP($A76,'A0 BS 1240在建'!$1:$1048576,17,0),0)</f>
        <v>0</v>
      </c>
      <c r="N76" s="157">
        <f>I76+IFERROR(VLOOKUP($A76,'B0 2264預收'!$1:$1048576,17,0),0)</f>
        <v>0</v>
      </c>
      <c r="O76" s="157">
        <f t="shared" si="106"/>
        <v>0</v>
      </c>
      <c r="P76" s="157">
        <f>K76+IFERROR(+VLOOKUP($A76,'B0 2264預收'!$1:$1048576,18,0),0)</f>
        <v>0</v>
      </c>
      <c r="Q76" s="157">
        <f t="shared" si="107"/>
        <v>0</v>
      </c>
      <c r="R76" s="158">
        <f>M76+IFERROR(VLOOKUP($A76,'A0 BS 1240在建'!$1:$1048576,21,0),0)</f>
        <v>0</v>
      </c>
      <c r="S76" s="158">
        <f>+N76+IFERROR(VLOOKUP($A76,'B0 2264預收'!$1:$1048576,21,0),0)</f>
        <v>0</v>
      </c>
      <c r="T76" s="158">
        <f t="shared" si="108"/>
        <v>0</v>
      </c>
      <c r="U76" s="158">
        <f>+P76+IFERROR(+VLOOKUP($A76,'B0 2264預收'!$1:$1048576,22,0),0)</f>
        <v>0</v>
      </c>
      <c r="V76" s="158">
        <f t="shared" si="109"/>
        <v>0</v>
      </c>
      <c r="W76" s="157">
        <f>+R76+IFERROR(VLOOKUP($A76,'A0 BS 1240在建'!$1:$1048576,25,0),0)</f>
        <v>0</v>
      </c>
      <c r="X76" s="157">
        <f>+S76+IFERROR(VLOOKUP($A76,'B0 2264預收'!$1:$1048576,25,0),0)</f>
        <v>0</v>
      </c>
      <c r="Y76" s="157">
        <f t="shared" si="110"/>
        <v>0</v>
      </c>
      <c r="Z76" s="157">
        <f>+U76+IFERROR(+VLOOKUP($A76,'B0 2264預收'!$1:$1048576,26,0),0)</f>
        <v>0</v>
      </c>
      <c r="AA76" s="157">
        <f t="shared" si="111"/>
        <v>0</v>
      </c>
      <c r="AB76" s="158">
        <f>+W76+IFERROR(VLOOKUP($A76,'A0 BS 1240在建'!$1:$1048576,29,0),0)</f>
        <v>0</v>
      </c>
      <c r="AC76" s="158">
        <f>+X76+IFERROR(VLOOKUP($A76,'B0 2264預收'!$1:$1048576,29,0),0)</f>
        <v>0</v>
      </c>
      <c r="AD76" s="158">
        <f t="shared" si="112"/>
        <v>0</v>
      </c>
      <c r="AE76" s="158">
        <f>+Z76+IFERROR(+VLOOKUP($A76,'B0 2264預收'!$1:$1048576,30,0),0)</f>
        <v>0</v>
      </c>
      <c r="AF76" s="158">
        <f t="shared" si="113"/>
        <v>0</v>
      </c>
      <c r="AG76" s="157">
        <f>+AB76+IFERROR(VLOOKUP($A76,'A0 BS 1240在建'!$1:$1048576,33,0),0)</f>
        <v>0</v>
      </c>
      <c r="AH76" s="157">
        <f>+AC76+IFERROR(VLOOKUP($A76,'B0 2264預收'!$1:$1048576,33,0),0)</f>
        <v>0</v>
      </c>
      <c r="AI76" s="157">
        <f t="shared" si="114"/>
        <v>0</v>
      </c>
      <c r="AJ76" s="157">
        <f>+AE76+IFERROR(+VLOOKUP($A76,'B0 2264預收'!$1:$1048576,34,0),0)</f>
        <v>0</v>
      </c>
      <c r="AK76" s="157">
        <f t="shared" si="115"/>
        <v>0</v>
      </c>
      <c r="AL76" s="158">
        <f>+AG76+IFERROR(VLOOKUP($A76,'A0 BS 1240在建'!$1:$1048576,37,0),0)</f>
        <v>0</v>
      </c>
      <c r="AM76" s="158">
        <f>+AH76+IFERROR(VLOOKUP($A76,'B0 2264預收'!$1:$1048576,37,0),0)</f>
        <v>0</v>
      </c>
      <c r="AN76" s="158">
        <f t="shared" si="116"/>
        <v>0</v>
      </c>
      <c r="AO76" s="158">
        <f>+AJ76+IFERROR(+VLOOKUP($A76,'B0 2264預收'!$1:$1048576,38,0),0)</f>
        <v>0</v>
      </c>
      <c r="AP76" s="158">
        <f t="shared" si="117"/>
        <v>0</v>
      </c>
      <c r="AQ76" s="157">
        <f>+AL76+IFERROR(VLOOKUP($A76,'A0 BS 1240在建'!$1:$1048576,41,0),0)</f>
        <v>0</v>
      </c>
      <c r="AR76" s="157">
        <f>+AM76+IFERROR(VLOOKUP($A76,'B0 2264預收'!$1:$1048576,41,0),0)</f>
        <v>0</v>
      </c>
      <c r="AS76" s="157">
        <f t="shared" si="118"/>
        <v>0</v>
      </c>
      <c r="AT76" s="157">
        <f>+AO76+IFERROR(+VLOOKUP($A76,'B0 2264預收'!$1:$1048576,42,0),0)</f>
        <v>0</v>
      </c>
      <c r="AU76" s="157">
        <f t="shared" si="119"/>
        <v>0</v>
      </c>
      <c r="AV76" s="158">
        <f>+AQ76+IFERROR(VLOOKUP($A76,'A0 BS 1240在建'!$1:$1048576,45,0),0)</f>
        <v>0</v>
      </c>
      <c r="AW76" s="158">
        <f>+AR76+IFERROR(VLOOKUP($A76,'B0 2264預收'!$1:$1048576,45,0),0)</f>
        <v>0</v>
      </c>
      <c r="AX76" s="158">
        <f t="shared" si="120"/>
        <v>0</v>
      </c>
      <c r="AY76" s="158">
        <f>+AT76+IFERROR(+VLOOKUP($A76,'B0 2264預收'!$1:$1048576,46,0),0)</f>
        <v>0</v>
      </c>
      <c r="AZ76" s="158">
        <f t="shared" si="121"/>
        <v>0</v>
      </c>
      <c r="BA76" s="157">
        <f>+AV76+IFERROR(VLOOKUP($A76,'A0 BS 1240在建'!$1:$1048576,49,0),0)</f>
        <v>0</v>
      </c>
      <c r="BB76" s="157">
        <f>+AW76+IFERROR(VLOOKUP($A76,'B0 2264預收'!$1:$1048576,49,0),0)</f>
        <v>0</v>
      </c>
      <c r="BC76" s="157">
        <f t="shared" si="122"/>
        <v>0</v>
      </c>
      <c r="BD76" s="157">
        <f>+AY76+IFERROR(+VLOOKUP($A76,'B0 2264預收'!$1:$1048576,50,0),0)</f>
        <v>0</v>
      </c>
      <c r="BE76" s="157">
        <f t="shared" si="123"/>
        <v>0</v>
      </c>
      <c r="BF76" s="158">
        <f>+BA76+IFERROR(VLOOKUP($A76,'A0 BS 1240在建'!$1:$1048576,53,0),0)</f>
        <v>0</v>
      </c>
      <c r="BG76" s="158">
        <f>+BB76+IFERROR(VLOOKUP($A76,'B0 2264預收'!$1:$1048576,53,0),0)</f>
        <v>0</v>
      </c>
      <c r="BH76" s="158">
        <f t="shared" si="124"/>
        <v>0</v>
      </c>
      <c r="BI76" s="158">
        <f>+BD76+IFERROR(+VLOOKUP($A76,'B0 2264預收'!$1:$1048576,54,0),0)</f>
        <v>0</v>
      </c>
      <c r="BJ76" s="158">
        <f t="shared" si="125"/>
        <v>0</v>
      </c>
      <c r="BK76" s="157">
        <f>+BF76+IFERROR(VLOOKUP($A76,'A0 BS 1240在建'!$1:$1048576,57,0),0)</f>
        <v>0</v>
      </c>
      <c r="BL76" s="157">
        <f>+BG76+IFERROR(VLOOKUP($A76,'B0 2264預收'!$1:$1048576,57,0),0)</f>
        <v>0</v>
      </c>
      <c r="BM76" s="157">
        <f t="shared" si="126"/>
        <v>0</v>
      </c>
      <c r="BN76" s="157">
        <f>+BI76+IFERROR(+VLOOKUP($A76,'B0 2264預收'!$1:$1048576,58,0),0)</f>
        <v>0</v>
      </c>
      <c r="BO76" s="157">
        <f t="shared" si="127"/>
        <v>0</v>
      </c>
      <c r="BP76" s="158">
        <f>+BK76+IFERROR(VLOOKUP($A76,'A0 BS 1240在建'!$1:$1048576,61,0),0)</f>
        <v>0</v>
      </c>
      <c r="BQ76" s="158">
        <f>+BL76+IFERROR(VLOOKUP($A76,'B0 2264預收'!$1:$1048576,61,0),0)</f>
        <v>0</v>
      </c>
      <c r="BR76" s="159">
        <f t="shared" si="128"/>
        <v>0</v>
      </c>
      <c r="BS76" s="158">
        <f>+BN76+IFERROR(+VLOOKUP($A76,'B0 2264預收'!$1:$1048576,62,0),0)</f>
        <v>0</v>
      </c>
      <c r="BT76" s="158">
        <f t="shared" si="129"/>
        <v>0</v>
      </c>
      <c r="BU76" s="157">
        <f>+IFERROR(VLOOKUP($A76,'A0 BS 1240在建'!$1:$1048576,77,0),0)</f>
        <v>0</v>
      </c>
      <c r="BV76" s="157">
        <f>+IFERROR(VLOOKUP($A76,'B0 2264預收'!$1:$1048576,77,0),0)</f>
        <v>0</v>
      </c>
      <c r="BW76" s="157">
        <f t="shared" si="130"/>
        <v>0</v>
      </c>
      <c r="BX76" s="157">
        <f>+IFERROR(+VLOOKUP($A76,'B0 2264預收'!$1:$1048576,78,0),0)</f>
        <v>0</v>
      </c>
      <c r="BY76" s="157">
        <f t="shared" si="131"/>
        <v>0</v>
      </c>
      <c r="BZ76" s="158">
        <f>IFERROR(+VLOOKUP($A76,'A0 BS 1240在建'!$1:$1048576,85,0),0)</f>
        <v>0</v>
      </c>
      <c r="CA76" s="158">
        <f>IFERROR(+VLOOKUP($A76,'B0 2264預收'!$1:$1048576,85,0),0)</f>
        <v>0</v>
      </c>
      <c r="CB76" s="158">
        <f t="shared" si="132"/>
        <v>0</v>
      </c>
      <c r="CC76" s="158">
        <f>+IFERROR(+VLOOKUP($A76,'B0 2264預收'!$1:$1048576,86,0),0)</f>
        <v>0</v>
      </c>
      <c r="CD76" s="158">
        <f t="shared" si="133"/>
        <v>0</v>
      </c>
      <c r="CE76" s="157">
        <f>+IFERROR(VLOOKUP($A76,'A0 BS 1240在建'!$1:$1048576,93,0),0)</f>
        <v>0</v>
      </c>
      <c r="CF76" s="157">
        <f>+IFERROR(VLOOKUP($A76,'B0 2264預收'!$1:$1048576,93,0),0)</f>
        <v>0</v>
      </c>
      <c r="CG76" s="157">
        <f t="shared" si="134"/>
        <v>0</v>
      </c>
      <c r="CH76" s="157">
        <f>+IFERROR(+VLOOKUP($A76,'B0 2264預收'!$1:$1048576,94,0),0)</f>
        <v>0</v>
      </c>
      <c r="CI76" s="157">
        <f t="shared" si="135"/>
        <v>0</v>
      </c>
      <c r="CJ76" s="158">
        <f>IFERROR(+VLOOKUP($A76,'A0 BS 1240在建'!$1:$1048576,101,0),0)</f>
        <v>0</v>
      </c>
      <c r="CK76" s="158">
        <f>IFERROR(+VLOOKUP($A76,'B0 2264預收'!$1:$1048576,101,0),0)</f>
        <v>0</v>
      </c>
      <c r="CL76" s="158">
        <f t="shared" si="136"/>
        <v>0</v>
      </c>
      <c r="CM76" s="158">
        <f>+IFERROR(+VLOOKUP($A76,'B0 2264預收'!$1:$1048576,102,0),0)</f>
        <v>0</v>
      </c>
      <c r="CN76" s="158">
        <f t="shared" si="137"/>
        <v>0</v>
      </c>
      <c r="CP76" s="165">
        <f t="shared" si="99"/>
        <v>0</v>
      </c>
      <c r="CR76" s="98">
        <f t="shared" si="144"/>
        <v>0</v>
      </c>
      <c r="CU76" s="165">
        <f t="shared" si="100"/>
        <v>0</v>
      </c>
      <c r="CW76" s="98">
        <f t="shared" si="145"/>
        <v>0</v>
      </c>
      <c r="CY76" s="162" t="str">
        <f t="shared" si="138"/>
        <v/>
      </c>
      <c r="CZ76" s="98" t="str">
        <f t="shared" si="139"/>
        <v xml:space="preserve"> </v>
      </c>
      <c r="DA76" s="98" t="str">
        <f t="shared" si="140"/>
        <v xml:space="preserve"> </v>
      </c>
      <c r="DB76" s="98" t="str">
        <f t="shared" si="141"/>
        <v xml:space="preserve"> </v>
      </c>
      <c r="DC76" s="163">
        <f t="shared" si="142"/>
        <v>0</v>
      </c>
      <c r="DD76" s="162" t="str">
        <f t="shared" si="146"/>
        <v/>
      </c>
      <c r="DE76" s="98" t="str">
        <f t="shared" si="147"/>
        <v xml:space="preserve"> </v>
      </c>
      <c r="DF76" s="98" t="str">
        <f t="shared" si="148"/>
        <v xml:space="preserve"> </v>
      </c>
      <c r="DG76" s="98" t="str">
        <f t="shared" si="149"/>
        <v xml:space="preserve"> </v>
      </c>
      <c r="DH76" s="163">
        <f t="shared" si="143"/>
        <v>0</v>
      </c>
    </row>
    <row r="77" spans="1:112">
      <c r="A77" s="158" t="s">
        <v>449</v>
      </c>
      <c r="B77" s="177" t="s">
        <v>450</v>
      </c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102"/>
        <v>0</v>
      </c>
      <c r="F77" s="157">
        <f>IFERROR(VLOOKUP($A77,'B0 2264預收'!$1:$1048576,6,0),0)</f>
        <v>0</v>
      </c>
      <c r="G77" s="157">
        <f t="shared" si="103"/>
        <v>0</v>
      </c>
      <c r="H77" s="158">
        <f>IFERROR(VLOOKUP($A77,'A0 BS 1240在建'!$1:$1048576,13,0),0)</f>
        <v>0</v>
      </c>
      <c r="I77" s="158">
        <f>IFERROR(VLOOKUP($A77,'B0 2264預收'!$1:$1048576,13,0),0)</f>
        <v>0</v>
      </c>
      <c r="J77" s="158">
        <f t="shared" si="104"/>
        <v>0</v>
      </c>
      <c r="K77" s="158">
        <f>IFERROR(VLOOKUP($A77,'B0 2264預收'!$1:$1048576,14,0),0)</f>
        <v>0</v>
      </c>
      <c r="L77" s="158">
        <f t="shared" si="105"/>
        <v>0</v>
      </c>
      <c r="M77" s="157">
        <f>H77+IFERROR(VLOOKUP($A77,'A0 BS 1240在建'!$1:$1048576,17,0),0)</f>
        <v>0</v>
      </c>
      <c r="N77" s="157">
        <f>I77+IFERROR(VLOOKUP($A77,'B0 2264預收'!$1:$1048576,17,0),0)</f>
        <v>0</v>
      </c>
      <c r="O77" s="157">
        <f t="shared" si="106"/>
        <v>0</v>
      </c>
      <c r="P77" s="157">
        <f>K77+IFERROR(+VLOOKUP($A77,'B0 2264預收'!$1:$1048576,18,0),0)</f>
        <v>0</v>
      </c>
      <c r="Q77" s="157">
        <f t="shared" si="107"/>
        <v>0</v>
      </c>
      <c r="R77" s="158">
        <f>M77+IFERROR(VLOOKUP($A77,'A0 BS 1240在建'!$1:$1048576,21,0),0)</f>
        <v>0</v>
      </c>
      <c r="S77" s="158">
        <f>+N77+IFERROR(VLOOKUP($A77,'B0 2264預收'!$1:$1048576,21,0),0)</f>
        <v>0</v>
      </c>
      <c r="T77" s="158">
        <f t="shared" si="108"/>
        <v>0</v>
      </c>
      <c r="U77" s="158">
        <f>+P77+IFERROR(+VLOOKUP($A77,'B0 2264預收'!$1:$1048576,22,0),0)</f>
        <v>0</v>
      </c>
      <c r="V77" s="158">
        <f t="shared" si="109"/>
        <v>0</v>
      </c>
      <c r="W77" s="157">
        <f>+R77+IFERROR(VLOOKUP($A77,'A0 BS 1240在建'!$1:$1048576,25,0),0)</f>
        <v>0</v>
      </c>
      <c r="X77" s="157">
        <f>+S77+IFERROR(VLOOKUP($A77,'B0 2264預收'!$1:$1048576,25,0),0)</f>
        <v>0</v>
      </c>
      <c r="Y77" s="157">
        <f t="shared" si="110"/>
        <v>0</v>
      </c>
      <c r="Z77" s="157">
        <f>+U77+IFERROR(+VLOOKUP($A77,'B0 2264預收'!$1:$1048576,26,0),0)</f>
        <v>0</v>
      </c>
      <c r="AA77" s="157">
        <f t="shared" si="111"/>
        <v>0</v>
      </c>
      <c r="AB77" s="158">
        <f>+W77+IFERROR(VLOOKUP($A77,'A0 BS 1240在建'!$1:$1048576,29,0),0)</f>
        <v>0</v>
      </c>
      <c r="AC77" s="158">
        <f>+X77+IFERROR(VLOOKUP($A77,'B0 2264預收'!$1:$1048576,29,0),0)</f>
        <v>0</v>
      </c>
      <c r="AD77" s="158">
        <f t="shared" si="112"/>
        <v>0</v>
      </c>
      <c r="AE77" s="158">
        <f>+Z77+IFERROR(+VLOOKUP($A77,'B0 2264預收'!$1:$1048576,30,0),0)</f>
        <v>0</v>
      </c>
      <c r="AF77" s="158">
        <f t="shared" si="113"/>
        <v>0</v>
      </c>
      <c r="AG77" s="157">
        <f>+AB77+IFERROR(VLOOKUP($A77,'A0 BS 1240在建'!$1:$1048576,33,0),0)</f>
        <v>0</v>
      </c>
      <c r="AH77" s="157">
        <f>+AC77+IFERROR(VLOOKUP($A77,'B0 2264預收'!$1:$1048576,33,0),0)</f>
        <v>0</v>
      </c>
      <c r="AI77" s="157">
        <f t="shared" si="114"/>
        <v>0</v>
      </c>
      <c r="AJ77" s="157">
        <f>+AE77+IFERROR(+VLOOKUP($A77,'B0 2264預收'!$1:$1048576,34,0),0)</f>
        <v>0</v>
      </c>
      <c r="AK77" s="157">
        <f t="shared" si="115"/>
        <v>0</v>
      </c>
      <c r="AL77" s="158">
        <f>+AG77+IFERROR(VLOOKUP($A77,'A0 BS 1240在建'!$1:$1048576,37,0),0)</f>
        <v>0</v>
      </c>
      <c r="AM77" s="158">
        <f>+AH77+IFERROR(VLOOKUP($A77,'B0 2264預收'!$1:$1048576,37,0),0)</f>
        <v>0</v>
      </c>
      <c r="AN77" s="158">
        <f t="shared" si="116"/>
        <v>0</v>
      </c>
      <c r="AO77" s="158">
        <f>+AJ77+IFERROR(+VLOOKUP($A77,'B0 2264預收'!$1:$1048576,38,0),0)</f>
        <v>0</v>
      </c>
      <c r="AP77" s="158">
        <f t="shared" si="117"/>
        <v>0</v>
      </c>
      <c r="AQ77" s="157">
        <f>+AL77+IFERROR(VLOOKUP($A77,'A0 BS 1240在建'!$1:$1048576,41,0),0)</f>
        <v>0</v>
      </c>
      <c r="AR77" s="157">
        <f>+AM77+IFERROR(VLOOKUP($A77,'B0 2264預收'!$1:$1048576,41,0),0)</f>
        <v>0</v>
      </c>
      <c r="AS77" s="157">
        <f t="shared" si="118"/>
        <v>0</v>
      </c>
      <c r="AT77" s="157">
        <f>+AO77+IFERROR(+VLOOKUP($A77,'B0 2264預收'!$1:$1048576,42,0),0)</f>
        <v>0</v>
      </c>
      <c r="AU77" s="157">
        <f t="shared" si="119"/>
        <v>0</v>
      </c>
      <c r="AV77" s="158">
        <f>+AQ77+IFERROR(VLOOKUP($A77,'A0 BS 1240在建'!$1:$1048576,45,0),0)</f>
        <v>0</v>
      </c>
      <c r="AW77" s="158">
        <f>+AR77+IFERROR(VLOOKUP($A77,'B0 2264預收'!$1:$1048576,45,0),0)</f>
        <v>0</v>
      </c>
      <c r="AX77" s="158">
        <f t="shared" si="120"/>
        <v>0</v>
      </c>
      <c r="AY77" s="158">
        <f>+AT77+IFERROR(+VLOOKUP($A77,'B0 2264預收'!$1:$1048576,46,0),0)</f>
        <v>0</v>
      </c>
      <c r="AZ77" s="158">
        <f t="shared" si="121"/>
        <v>0</v>
      </c>
      <c r="BA77" s="157">
        <f>+AV77+IFERROR(VLOOKUP($A77,'A0 BS 1240在建'!$1:$1048576,49,0),0)</f>
        <v>0</v>
      </c>
      <c r="BB77" s="157">
        <f>+AW77+IFERROR(VLOOKUP($A77,'B0 2264預收'!$1:$1048576,49,0),0)</f>
        <v>0</v>
      </c>
      <c r="BC77" s="157">
        <f t="shared" si="122"/>
        <v>0</v>
      </c>
      <c r="BD77" s="157">
        <f>+AY77+IFERROR(+VLOOKUP($A77,'B0 2264預收'!$1:$1048576,50,0),0)</f>
        <v>0</v>
      </c>
      <c r="BE77" s="157">
        <f t="shared" si="123"/>
        <v>0</v>
      </c>
      <c r="BF77" s="158">
        <f>+BA77+IFERROR(VLOOKUP($A77,'A0 BS 1240在建'!$1:$1048576,53,0),0)</f>
        <v>0</v>
      </c>
      <c r="BG77" s="158">
        <f>+BB77+IFERROR(VLOOKUP($A77,'B0 2264預收'!$1:$1048576,53,0),0)</f>
        <v>0</v>
      </c>
      <c r="BH77" s="158">
        <f t="shared" si="124"/>
        <v>0</v>
      </c>
      <c r="BI77" s="158">
        <f>+BD77+IFERROR(+VLOOKUP($A77,'B0 2264預收'!$1:$1048576,54,0),0)</f>
        <v>0</v>
      </c>
      <c r="BJ77" s="158">
        <f t="shared" si="125"/>
        <v>0</v>
      </c>
      <c r="BK77" s="157">
        <f>+BF77+IFERROR(VLOOKUP($A77,'A0 BS 1240在建'!$1:$1048576,57,0),0)</f>
        <v>0</v>
      </c>
      <c r="BL77" s="157">
        <f>+BG77+IFERROR(VLOOKUP($A77,'B0 2264預收'!$1:$1048576,57,0),0)</f>
        <v>0</v>
      </c>
      <c r="BM77" s="157">
        <f t="shared" si="126"/>
        <v>0</v>
      </c>
      <c r="BN77" s="157">
        <f>+BI77+IFERROR(+VLOOKUP($A77,'B0 2264預收'!$1:$1048576,58,0),0)</f>
        <v>0</v>
      </c>
      <c r="BO77" s="157">
        <f t="shared" si="127"/>
        <v>0</v>
      </c>
      <c r="BP77" s="158">
        <f>+BK77+IFERROR(VLOOKUP($A77,'A0 BS 1240在建'!$1:$1048576,61,0),0)</f>
        <v>0</v>
      </c>
      <c r="BQ77" s="158">
        <f>+BL77+IFERROR(VLOOKUP($A77,'B0 2264預收'!$1:$1048576,61,0),0)</f>
        <v>0</v>
      </c>
      <c r="BR77" s="159">
        <f t="shared" si="128"/>
        <v>0</v>
      </c>
      <c r="BS77" s="158">
        <f>+BN77+IFERROR(+VLOOKUP($A77,'B0 2264預收'!$1:$1048576,62,0),0)</f>
        <v>0</v>
      </c>
      <c r="BT77" s="158">
        <f t="shared" si="129"/>
        <v>0</v>
      </c>
      <c r="BU77" s="157">
        <f>+IFERROR(VLOOKUP($A77,'A0 BS 1240在建'!$1:$1048576,77,0),0)</f>
        <v>0</v>
      </c>
      <c r="BV77" s="157">
        <f>+IFERROR(VLOOKUP($A77,'B0 2264預收'!$1:$1048576,77,0),0)</f>
        <v>0</v>
      </c>
      <c r="BW77" s="157">
        <f t="shared" si="130"/>
        <v>0</v>
      </c>
      <c r="BX77" s="157">
        <f>+IFERROR(+VLOOKUP($A77,'B0 2264預收'!$1:$1048576,78,0),0)</f>
        <v>0</v>
      </c>
      <c r="BY77" s="157">
        <f t="shared" si="131"/>
        <v>0</v>
      </c>
      <c r="BZ77" s="158">
        <f>IFERROR(+VLOOKUP($A77,'A0 BS 1240在建'!$1:$1048576,85,0),0)</f>
        <v>0</v>
      </c>
      <c r="CA77" s="158">
        <f>IFERROR(+VLOOKUP($A77,'B0 2264預收'!$1:$1048576,85,0),0)</f>
        <v>0</v>
      </c>
      <c r="CB77" s="158">
        <f t="shared" si="132"/>
        <v>0</v>
      </c>
      <c r="CC77" s="158">
        <f>+IFERROR(+VLOOKUP($A77,'B0 2264預收'!$1:$1048576,86,0),0)</f>
        <v>0</v>
      </c>
      <c r="CD77" s="158">
        <f t="shared" si="133"/>
        <v>0</v>
      </c>
      <c r="CE77" s="157">
        <f>+IFERROR(VLOOKUP($A77,'A0 BS 1240在建'!$1:$1048576,93,0),0)</f>
        <v>0</v>
      </c>
      <c r="CF77" s="157">
        <f>+IFERROR(VLOOKUP($A77,'B0 2264預收'!$1:$1048576,93,0),0)</f>
        <v>0</v>
      </c>
      <c r="CG77" s="157">
        <f t="shared" si="134"/>
        <v>0</v>
      </c>
      <c r="CH77" s="157">
        <f>+IFERROR(+VLOOKUP($A77,'B0 2264預收'!$1:$1048576,94,0),0)</f>
        <v>0</v>
      </c>
      <c r="CI77" s="157">
        <f t="shared" si="135"/>
        <v>0</v>
      </c>
      <c r="CJ77" s="158">
        <f>IFERROR(+VLOOKUP($A77,'A0 BS 1240在建'!$1:$1048576,101,0),0)</f>
        <v>0</v>
      </c>
      <c r="CK77" s="158">
        <f>IFERROR(+VLOOKUP($A77,'B0 2264預收'!$1:$1048576,101,0),0)</f>
        <v>0</v>
      </c>
      <c r="CL77" s="158">
        <f t="shared" si="136"/>
        <v>0</v>
      </c>
      <c r="CM77" s="158">
        <f>+IFERROR(+VLOOKUP($A77,'B0 2264預收'!$1:$1048576,102,0),0)</f>
        <v>0</v>
      </c>
      <c r="CN77" s="158">
        <f t="shared" si="137"/>
        <v>0</v>
      </c>
      <c r="CP77" s="165">
        <f t="shared" si="99"/>
        <v>0</v>
      </c>
      <c r="CR77" s="98">
        <f t="shared" si="144"/>
        <v>0</v>
      </c>
      <c r="CU77" s="165">
        <f t="shared" si="100"/>
        <v>0</v>
      </c>
      <c r="CW77" s="98">
        <f t="shared" si="145"/>
        <v>0</v>
      </c>
      <c r="CY77" s="162" t="str">
        <f t="shared" si="138"/>
        <v/>
      </c>
      <c r="CZ77" s="98" t="str">
        <f t="shared" si="139"/>
        <v xml:space="preserve"> </v>
      </c>
      <c r="DA77" s="98" t="str">
        <f t="shared" si="140"/>
        <v xml:space="preserve"> </v>
      </c>
      <c r="DB77" s="98" t="str">
        <f t="shared" si="141"/>
        <v xml:space="preserve"> </v>
      </c>
      <c r="DC77" s="163">
        <f t="shared" si="142"/>
        <v>0</v>
      </c>
      <c r="DD77" s="162" t="str">
        <f t="shared" si="146"/>
        <v/>
      </c>
      <c r="DE77" s="98" t="str">
        <f t="shared" si="147"/>
        <v xml:space="preserve"> </v>
      </c>
      <c r="DF77" s="98" t="str">
        <f t="shared" si="148"/>
        <v xml:space="preserve"> </v>
      </c>
      <c r="DG77" s="98" t="str">
        <f t="shared" si="149"/>
        <v xml:space="preserve"> </v>
      </c>
      <c r="DH77" s="163">
        <f t="shared" si="143"/>
        <v>0</v>
      </c>
    </row>
    <row r="78" spans="1:112">
      <c r="A78" s="158" t="s">
        <v>451</v>
      </c>
      <c r="B78" s="177" t="s">
        <v>452</v>
      </c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102"/>
        <v>0</v>
      </c>
      <c r="F78" s="157">
        <f>IFERROR(VLOOKUP($A78,'B0 2264預收'!$1:$1048576,6,0),0)</f>
        <v>0</v>
      </c>
      <c r="G78" s="157">
        <f t="shared" si="103"/>
        <v>0</v>
      </c>
      <c r="H78" s="158">
        <f>IFERROR(VLOOKUP($A78,'A0 BS 1240在建'!$1:$1048576,13,0),0)</f>
        <v>0</v>
      </c>
      <c r="I78" s="158">
        <f>IFERROR(VLOOKUP($A78,'B0 2264預收'!$1:$1048576,13,0),0)</f>
        <v>0</v>
      </c>
      <c r="J78" s="158">
        <f t="shared" si="104"/>
        <v>0</v>
      </c>
      <c r="K78" s="158">
        <f>IFERROR(VLOOKUP($A78,'B0 2264預收'!$1:$1048576,14,0),0)</f>
        <v>0</v>
      </c>
      <c r="L78" s="158">
        <f t="shared" si="105"/>
        <v>0</v>
      </c>
      <c r="M78" s="157">
        <f>H78+IFERROR(VLOOKUP($A78,'A0 BS 1240在建'!$1:$1048576,17,0),0)</f>
        <v>0</v>
      </c>
      <c r="N78" s="157">
        <f>I78+IFERROR(VLOOKUP($A78,'B0 2264預收'!$1:$1048576,17,0),0)</f>
        <v>0</v>
      </c>
      <c r="O78" s="157">
        <f t="shared" si="106"/>
        <v>0</v>
      </c>
      <c r="P78" s="157">
        <f>K78+IFERROR(+VLOOKUP($A78,'B0 2264預收'!$1:$1048576,18,0),0)</f>
        <v>0</v>
      </c>
      <c r="Q78" s="157">
        <f t="shared" si="107"/>
        <v>0</v>
      </c>
      <c r="R78" s="158">
        <f>M78+IFERROR(VLOOKUP($A78,'A0 BS 1240在建'!$1:$1048576,21,0),0)</f>
        <v>0</v>
      </c>
      <c r="S78" s="158">
        <f>+N78+IFERROR(VLOOKUP($A78,'B0 2264預收'!$1:$1048576,21,0),0)</f>
        <v>0</v>
      </c>
      <c r="T78" s="158">
        <f t="shared" si="108"/>
        <v>0</v>
      </c>
      <c r="U78" s="158">
        <f>+P78+IFERROR(+VLOOKUP($A78,'B0 2264預收'!$1:$1048576,22,0),0)</f>
        <v>0</v>
      </c>
      <c r="V78" s="158">
        <f t="shared" si="109"/>
        <v>0</v>
      </c>
      <c r="W78" s="157">
        <f>+R78+IFERROR(VLOOKUP($A78,'A0 BS 1240在建'!$1:$1048576,25,0),0)</f>
        <v>0</v>
      </c>
      <c r="X78" s="157">
        <f>+S78+IFERROR(VLOOKUP($A78,'B0 2264預收'!$1:$1048576,25,0),0)</f>
        <v>0</v>
      </c>
      <c r="Y78" s="157">
        <f t="shared" si="110"/>
        <v>0</v>
      </c>
      <c r="Z78" s="157">
        <f>+U78+IFERROR(+VLOOKUP($A78,'B0 2264預收'!$1:$1048576,26,0),0)</f>
        <v>0</v>
      </c>
      <c r="AA78" s="157">
        <f t="shared" si="111"/>
        <v>0</v>
      </c>
      <c r="AB78" s="158">
        <f>+W78+IFERROR(VLOOKUP($A78,'A0 BS 1240在建'!$1:$1048576,29,0),0)</f>
        <v>0</v>
      </c>
      <c r="AC78" s="158">
        <f>+X78+IFERROR(VLOOKUP($A78,'B0 2264預收'!$1:$1048576,29,0),0)</f>
        <v>0</v>
      </c>
      <c r="AD78" s="158">
        <f t="shared" si="112"/>
        <v>0</v>
      </c>
      <c r="AE78" s="158">
        <f>+Z78+IFERROR(+VLOOKUP($A78,'B0 2264預收'!$1:$1048576,30,0),0)</f>
        <v>0</v>
      </c>
      <c r="AF78" s="158">
        <f t="shared" si="113"/>
        <v>0</v>
      </c>
      <c r="AG78" s="157">
        <f>+AB78+IFERROR(VLOOKUP($A78,'A0 BS 1240在建'!$1:$1048576,33,0),0)</f>
        <v>0</v>
      </c>
      <c r="AH78" s="157">
        <f>+AC78+IFERROR(VLOOKUP($A78,'B0 2264預收'!$1:$1048576,33,0),0)</f>
        <v>0</v>
      </c>
      <c r="AI78" s="157">
        <f t="shared" si="114"/>
        <v>0</v>
      </c>
      <c r="AJ78" s="157">
        <f>+AE78+IFERROR(+VLOOKUP($A78,'B0 2264預收'!$1:$1048576,34,0),0)</f>
        <v>0</v>
      </c>
      <c r="AK78" s="157">
        <f t="shared" si="115"/>
        <v>0</v>
      </c>
      <c r="AL78" s="158">
        <f>+AG78+IFERROR(VLOOKUP($A78,'A0 BS 1240在建'!$1:$1048576,37,0),0)</f>
        <v>0</v>
      </c>
      <c r="AM78" s="158">
        <f>+AH78+IFERROR(VLOOKUP($A78,'B0 2264預收'!$1:$1048576,37,0),0)</f>
        <v>0</v>
      </c>
      <c r="AN78" s="158">
        <f t="shared" si="116"/>
        <v>0</v>
      </c>
      <c r="AO78" s="158">
        <f>+AJ78+IFERROR(+VLOOKUP($A78,'B0 2264預收'!$1:$1048576,38,0),0)</f>
        <v>0</v>
      </c>
      <c r="AP78" s="158">
        <f t="shared" si="117"/>
        <v>0</v>
      </c>
      <c r="AQ78" s="157">
        <f>+AL78+IFERROR(VLOOKUP($A78,'A0 BS 1240在建'!$1:$1048576,41,0),0)</f>
        <v>0</v>
      </c>
      <c r="AR78" s="157">
        <f>+AM78+IFERROR(VLOOKUP($A78,'B0 2264預收'!$1:$1048576,41,0),0)</f>
        <v>0</v>
      </c>
      <c r="AS78" s="157">
        <f t="shared" si="118"/>
        <v>0</v>
      </c>
      <c r="AT78" s="157">
        <f>+AO78+IFERROR(+VLOOKUP($A78,'B0 2264預收'!$1:$1048576,42,0),0)</f>
        <v>0</v>
      </c>
      <c r="AU78" s="157">
        <f t="shared" si="119"/>
        <v>0</v>
      </c>
      <c r="AV78" s="158">
        <f>+AQ78+IFERROR(VLOOKUP($A78,'A0 BS 1240在建'!$1:$1048576,45,0),0)</f>
        <v>0</v>
      </c>
      <c r="AW78" s="158">
        <f>+AR78+IFERROR(VLOOKUP($A78,'B0 2264預收'!$1:$1048576,45,0),0)</f>
        <v>0</v>
      </c>
      <c r="AX78" s="158">
        <f t="shared" si="120"/>
        <v>0</v>
      </c>
      <c r="AY78" s="158">
        <f>+AT78+IFERROR(+VLOOKUP($A78,'B0 2264預收'!$1:$1048576,46,0),0)</f>
        <v>0</v>
      </c>
      <c r="AZ78" s="158">
        <f t="shared" si="121"/>
        <v>0</v>
      </c>
      <c r="BA78" s="157">
        <f>+AV78+IFERROR(VLOOKUP($A78,'A0 BS 1240在建'!$1:$1048576,49,0),0)</f>
        <v>0</v>
      </c>
      <c r="BB78" s="157">
        <f>+AW78+IFERROR(VLOOKUP($A78,'B0 2264預收'!$1:$1048576,49,0),0)</f>
        <v>0</v>
      </c>
      <c r="BC78" s="157">
        <f t="shared" si="122"/>
        <v>0</v>
      </c>
      <c r="BD78" s="157">
        <f>+AY78+IFERROR(+VLOOKUP($A78,'B0 2264預收'!$1:$1048576,50,0),0)</f>
        <v>0</v>
      </c>
      <c r="BE78" s="157">
        <f t="shared" si="123"/>
        <v>0</v>
      </c>
      <c r="BF78" s="158">
        <f>+BA78+IFERROR(VLOOKUP($A78,'A0 BS 1240在建'!$1:$1048576,53,0),0)</f>
        <v>0</v>
      </c>
      <c r="BG78" s="158">
        <f>+BB78+IFERROR(VLOOKUP($A78,'B0 2264預收'!$1:$1048576,53,0),0)</f>
        <v>0</v>
      </c>
      <c r="BH78" s="158">
        <f t="shared" si="124"/>
        <v>0</v>
      </c>
      <c r="BI78" s="158">
        <f>+BD78+IFERROR(+VLOOKUP($A78,'B0 2264預收'!$1:$1048576,54,0),0)</f>
        <v>0</v>
      </c>
      <c r="BJ78" s="158">
        <f t="shared" si="125"/>
        <v>0</v>
      </c>
      <c r="BK78" s="157">
        <f>+BF78+IFERROR(VLOOKUP($A78,'A0 BS 1240在建'!$1:$1048576,57,0),0)</f>
        <v>0</v>
      </c>
      <c r="BL78" s="157">
        <f>+BG78+IFERROR(VLOOKUP($A78,'B0 2264預收'!$1:$1048576,57,0),0)</f>
        <v>0</v>
      </c>
      <c r="BM78" s="157">
        <f t="shared" si="126"/>
        <v>0</v>
      </c>
      <c r="BN78" s="157">
        <f>+BI78+IFERROR(+VLOOKUP($A78,'B0 2264預收'!$1:$1048576,58,0),0)</f>
        <v>0</v>
      </c>
      <c r="BO78" s="157">
        <f t="shared" si="127"/>
        <v>0</v>
      </c>
      <c r="BP78" s="158">
        <f>+BK78+IFERROR(VLOOKUP($A78,'A0 BS 1240在建'!$1:$1048576,61,0),0)</f>
        <v>0</v>
      </c>
      <c r="BQ78" s="158">
        <f>+BL78+IFERROR(VLOOKUP($A78,'B0 2264預收'!$1:$1048576,61,0),0)</f>
        <v>0</v>
      </c>
      <c r="BR78" s="159">
        <f t="shared" si="128"/>
        <v>0</v>
      </c>
      <c r="BS78" s="158">
        <f>+BN78+IFERROR(+VLOOKUP($A78,'B0 2264預收'!$1:$1048576,62,0),0)</f>
        <v>0</v>
      </c>
      <c r="BT78" s="158">
        <f t="shared" si="129"/>
        <v>0</v>
      </c>
      <c r="BU78" s="157">
        <f>+IFERROR(VLOOKUP($A78,'A0 BS 1240在建'!$1:$1048576,77,0),0)</f>
        <v>0</v>
      </c>
      <c r="BV78" s="157">
        <f>+IFERROR(VLOOKUP($A78,'B0 2264預收'!$1:$1048576,77,0),0)</f>
        <v>0</v>
      </c>
      <c r="BW78" s="157">
        <f t="shared" si="130"/>
        <v>0</v>
      </c>
      <c r="BX78" s="157">
        <f>+IFERROR(+VLOOKUP($A78,'B0 2264預收'!$1:$1048576,78,0),0)</f>
        <v>0</v>
      </c>
      <c r="BY78" s="157">
        <f t="shared" si="131"/>
        <v>0</v>
      </c>
      <c r="BZ78" s="158">
        <f>IFERROR(+VLOOKUP($A78,'A0 BS 1240在建'!$1:$1048576,85,0),0)</f>
        <v>0</v>
      </c>
      <c r="CA78" s="158">
        <f>IFERROR(+VLOOKUP($A78,'B0 2264預收'!$1:$1048576,85,0),0)</f>
        <v>0</v>
      </c>
      <c r="CB78" s="158">
        <f t="shared" si="132"/>
        <v>0</v>
      </c>
      <c r="CC78" s="158">
        <f>+IFERROR(+VLOOKUP($A78,'B0 2264預收'!$1:$1048576,86,0),0)</f>
        <v>0</v>
      </c>
      <c r="CD78" s="158">
        <f t="shared" si="133"/>
        <v>0</v>
      </c>
      <c r="CE78" s="157">
        <f>+IFERROR(VLOOKUP($A78,'A0 BS 1240在建'!$1:$1048576,93,0),0)</f>
        <v>0</v>
      </c>
      <c r="CF78" s="157">
        <f>+IFERROR(VLOOKUP($A78,'B0 2264預收'!$1:$1048576,93,0),0)</f>
        <v>0</v>
      </c>
      <c r="CG78" s="157">
        <f t="shared" si="134"/>
        <v>0</v>
      </c>
      <c r="CH78" s="157">
        <f>+IFERROR(+VLOOKUP($A78,'B0 2264預收'!$1:$1048576,94,0),0)</f>
        <v>0</v>
      </c>
      <c r="CI78" s="157">
        <f t="shared" si="135"/>
        <v>0</v>
      </c>
      <c r="CJ78" s="158">
        <f>IFERROR(+VLOOKUP($A78,'A0 BS 1240在建'!$1:$1048576,101,0),0)</f>
        <v>0</v>
      </c>
      <c r="CK78" s="158">
        <f>IFERROR(+VLOOKUP($A78,'B0 2264預收'!$1:$1048576,101,0),0)</f>
        <v>0</v>
      </c>
      <c r="CL78" s="158">
        <f t="shared" si="136"/>
        <v>0</v>
      </c>
      <c r="CM78" s="158">
        <f>+IFERROR(+VLOOKUP($A78,'B0 2264預收'!$1:$1048576,102,0),0)</f>
        <v>0</v>
      </c>
      <c r="CN78" s="158">
        <f t="shared" si="137"/>
        <v>0</v>
      </c>
      <c r="CP78" s="165"/>
      <c r="CU78" s="165"/>
      <c r="CY78" s="162" t="str">
        <f t="shared" si="138"/>
        <v/>
      </c>
      <c r="CZ78" s="98" t="str">
        <f t="shared" si="139"/>
        <v xml:space="preserve"> </v>
      </c>
      <c r="DA78" s="98" t="str">
        <f t="shared" si="140"/>
        <v xml:space="preserve"> </v>
      </c>
      <c r="DB78" s="98" t="str">
        <f t="shared" si="141"/>
        <v xml:space="preserve"> </v>
      </c>
      <c r="DC78" s="163">
        <f t="shared" si="142"/>
        <v>0</v>
      </c>
      <c r="DD78" s="162" t="str">
        <f t="shared" si="146"/>
        <v/>
      </c>
      <c r="DE78" s="98" t="str">
        <f t="shared" si="147"/>
        <v xml:space="preserve"> </v>
      </c>
      <c r="DF78" s="98" t="str">
        <f t="shared" si="148"/>
        <v xml:space="preserve"> </v>
      </c>
      <c r="DG78" s="98" t="str">
        <f t="shared" si="149"/>
        <v xml:space="preserve"> </v>
      </c>
      <c r="DH78" s="163">
        <f t="shared" si="143"/>
        <v>0</v>
      </c>
    </row>
    <row r="79" spans="1:112">
      <c r="A79" s="158" t="s">
        <v>453</v>
      </c>
      <c r="B79" s="177" t="s">
        <v>454</v>
      </c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102"/>
        <v>0</v>
      </c>
      <c r="F79" s="157">
        <f>IFERROR(VLOOKUP($A79,'B0 2264預收'!$1:$1048576,6,0),0)</f>
        <v>0</v>
      </c>
      <c r="G79" s="157">
        <f t="shared" si="103"/>
        <v>0</v>
      </c>
      <c r="H79" s="158">
        <f>IFERROR(VLOOKUP($A79,'A0 BS 1240在建'!$1:$1048576,13,0),0)</f>
        <v>0</v>
      </c>
      <c r="I79" s="158">
        <f>IFERROR(VLOOKUP($A79,'B0 2264預收'!$1:$1048576,13,0),0)</f>
        <v>0</v>
      </c>
      <c r="J79" s="158">
        <f t="shared" si="104"/>
        <v>0</v>
      </c>
      <c r="K79" s="158">
        <f>IFERROR(VLOOKUP($A79,'B0 2264預收'!$1:$1048576,14,0),0)</f>
        <v>0</v>
      </c>
      <c r="L79" s="158">
        <f t="shared" si="105"/>
        <v>0</v>
      </c>
      <c r="M79" s="157">
        <f>H79+IFERROR(VLOOKUP($A79,'A0 BS 1240在建'!$1:$1048576,17,0),0)</f>
        <v>0</v>
      </c>
      <c r="N79" s="157">
        <f>I79+IFERROR(VLOOKUP($A79,'B0 2264預收'!$1:$1048576,17,0),0)</f>
        <v>0</v>
      </c>
      <c r="O79" s="157">
        <f t="shared" si="106"/>
        <v>0</v>
      </c>
      <c r="P79" s="157">
        <f>K79+IFERROR(+VLOOKUP($A79,'B0 2264預收'!$1:$1048576,18,0),0)</f>
        <v>0</v>
      </c>
      <c r="Q79" s="157">
        <f t="shared" si="107"/>
        <v>0</v>
      </c>
      <c r="R79" s="158">
        <f>M79+IFERROR(VLOOKUP($A79,'A0 BS 1240在建'!$1:$1048576,21,0),0)</f>
        <v>0</v>
      </c>
      <c r="S79" s="158">
        <f>+N79+IFERROR(VLOOKUP($A79,'B0 2264預收'!$1:$1048576,21,0),0)</f>
        <v>0</v>
      </c>
      <c r="T79" s="158">
        <f t="shared" si="108"/>
        <v>0</v>
      </c>
      <c r="U79" s="158">
        <f>+P79+IFERROR(+VLOOKUP($A79,'B0 2264預收'!$1:$1048576,22,0),0)</f>
        <v>0</v>
      </c>
      <c r="V79" s="158">
        <f t="shared" si="109"/>
        <v>0</v>
      </c>
      <c r="W79" s="157">
        <f>+R79+IFERROR(VLOOKUP($A79,'A0 BS 1240在建'!$1:$1048576,25,0),0)</f>
        <v>0</v>
      </c>
      <c r="X79" s="157">
        <f>+S79+IFERROR(VLOOKUP($A79,'B0 2264預收'!$1:$1048576,25,0),0)</f>
        <v>0</v>
      </c>
      <c r="Y79" s="157">
        <f t="shared" si="110"/>
        <v>0</v>
      </c>
      <c r="Z79" s="157">
        <f>+U79+IFERROR(+VLOOKUP($A79,'B0 2264預收'!$1:$1048576,26,0),0)</f>
        <v>0</v>
      </c>
      <c r="AA79" s="157">
        <f t="shared" si="111"/>
        <v>0</v>
      </c>
      <c r="AB79" s="158">
        <f>+W79+IFERROR(VLOOKUP($A79,'A0 BS 1240在建'!$1:$1048576,29,0),0)</f>
        <v>0</v>
      </c>
      <c r="AC79" s="158">
        <f>+X79+IFERROR(VLOOKUP($A79,'B0 2264預收'!$1:$1048576,29,0),0)</f>
        <v>0</v>
      </c>
      <c r="AD79" s="158">
        <f t="shared" si="112"/>
        <v>0</v>
      </c>
      <c r="AE79" s="158">
        <f>+Z79+IFERROR(+VLOOKUP($A79,'B0 2264預收'!$1:$1048576,30,0),0)</f>
        <v>0</v>
      </c>
      <c r="AF79" s="158">
        <f t="shared" si="113"/>
        <v>0</v>
      </c>
      <c r="AG79" s="157">
        <f>+AB79+IFERROR(VLOOKUP($A79,'A0 BS 1240在建'!$1:$1048576,33,0),0)</f>
        <v>0</v>
      </c>
      <c r="AH79" s="157">
        <f>+AC79+IFERROR(VLOOKUP($A79,'B0 2264預收'!$1:$1048576,33,0),0)</f>
        <v>0</v>
      </c>
      <c r="AI79" s="157">
        <f t="shared" si="114"/>
        <v>0</v>
      </c>
      <c r="AJ79" s="157">
        <f>+AE79+IFERROR(+VLOOKUP($A79,'B0 2264預收'!$1:$1048576,34,0),0)</f>
        <v>0</v>
      </c>
      <c r="AK79" s="157">
        <f t="shared" si="115"/>
        <v>0</v>
      </c>
      <c r="AL79" s="158">
        <f>+AG79+IFERROR(VLOOKUP($A79,'A0 BS 1240在建'!$1:$1048576,37,0),0)</f>
        <v>0</v>
      </c>
      <c r="AM79" s="158">
        <f>+AH79+IFERROR(VLOOKUP($A79,'B0 2264預收'!$1:$1048576,37,0),0)</f>
        <v>0</v>
      </c>
      <c r="AN79" s="158">
        <f t="shared" si="116"/>
        <v>0</v>
      </c>
      <c r="AO79" s="158">
        <f>+AJ79+IFERROR(+VLOOKUP($A79,'B0 2264預收'!$1:$1048576,38,0),0)</f>
        <v>0</v>
      </c>
      <c r="AP79" s="158">
        <f t="shared" si="117"/>
        <v>0</v>
      </c>
      <c r="AQ79" s="157">
        <f>+AL79+IFERROR(VLOOKUP($A79,'A0 BS 1240在建'!$1:$1048576,41,0),0)</f>
        <v>0</v>
      </c>
      <c r="AR79" s="157">
        <f>+AM79+IFERROR(VLOOKUP($A79,'B0 2264預收'!$1:$1048576,41,0),0)</f>
        <v>0</v>
      </c>
      <c r="AS79" s="157">
        <f t="shared" si="118"/>
        <v>0</v>
      </c>
      <c r="AT79" s="157">
        <f>+AO79+IFERROR(+VLOOKUP($A79,'B0 2264預收'!$1:$1048576,42,0),0)</f>
        <v>0</v>
      </c>
      <c r="AU79" s="157">
        <f t="shared" si="119"/>
        <v>0</v>
      </c>
      <c r="AV79" s="158">
        <f>+AQ79+IFERROR(VLOOKUP($A79,'A0 BS 1240在建'!$1:$1048576,45,0),0)</f>
        <v>0</v>
      </c>
      <c r="AW79" s="158">
        <f>+AR79+IFERROR(VLOOKUP($A79,'B0 2264預收'!$1:$1048576,45,0),0)</f>
        <v>0</v>
      </c>
      <c r="AX79" s="158">
        <f t="shared" si="120"/>
        <v>0</v>
      </c>
      <c r="AY79" s="158">
        <f>+AT79+IFERROR(+VLOOKUP($A79,'B0 2264預收'!$1:$1048576,46,0),0)</f>
        <v>0</v>
      </c>
      <c r="AZ79" s="158">
        <f t="shared" si="121"/>
        <v>0</v>
      </c>
      <c r="BA79" s="157">
        <f>+AV79+IFERROR(VLOOKUP($A79,'A0 BS 1240在建'!$1:$1048576,49,0),0)</f>
        <v>0</v>
      </c>
      <c r="BB79" s="157">
        <f>+AW79+IFERROR(VLOOKUP($A79,'B0 2264預收'!$1:$1048576,49,0),0)</f>
        <v>0</v>
      </c>
      <c r="BC79" s="157">
        <f t="shared" si="122"/>
        <v>0</v>
      </c>
      <c r="BD79" s="157">
        <f>+AY79+IFERROR(+VLOOKUP($A79,'B0 2264預收'!$1:$1048576,50,0),0)</f>
        <v>0</v>
      </c>
      <c r="BE79" s="157">
        <f t="shared" si="123"/>
        <v>0</v>
      </c>
      <c r="BF79" s="158">
        <f>+BA79+IFERROR(VLOOKUP($A79,'A0 BS 1240在建'!$1:$1048576,53,0),0)</f>
        <v>0</v>
      </c>
      <c r="BG79" s="158">
        <f>+BB79+IFERROR(VLOOKUP($A79,'B0 2264預收'!$1:$1048576,53,0),0)</f>
        <v>0</v>
      </c>
      <c r="BH79" s="158">
        <f t="shared" si="124"/>
        <v>0</v>
      </c>
      <c r="BI79" s="158">
        <f>+BD79+IFERROR(+VLOOKUP($A79,'B0 2264預收'!$1:$1048576,54,0),0)</f>
        <v>0</v>
      </c>
      <c r="BJ79" s="158">
        <f t="shared" si="125"/>
        <v>0</v>
      </c>
      <c r="BK79" s="157">
        <f>+BF79+IFERROR(VLOOKUP($A79,'A0 BS 1240在建'!$1:$1048576,57,0),0)</f>
        <v>0</v>
      </c>
      <c r="BL79" s="157">
        <f>+BG79+IFERROR(VLOOKUP($A79,'B0 2264預收'!$1:$1048576,57,0),0)</f>
        <v>0</v>
      </c>
      <c r="BM79" s="157">
        <f t="shared" si="126"/>
        <v>0</v>
      </c>
      <c r="BN79" s="157">
        <f>+BI79+IFERROR(+VLOOKUP($A79,'B0 2264預收'!$1:$1048576,58,0),0)</f>
        <v>0</v>
      </c>
      <c r="BO79" s="157">
        <f t="shared" si="127"/>
        <v>0</v>
      </c>
      <c r="BP79" s="158">
        <f>+BK79+IFERROR(VLOOKUP($A79,'A0 BS 1240在建'!$1:$1048576,61,0),0)</f>
        <v>0</v>
      </c>
      <c r="BQ79" s="158">
        <f>+BL79+IFERROR(VLOOKUP($A79,'B0 2264預收'!$1:$1048576,61,0),0)</f>
        <v>0</v>
      </c>
      <c r="BR79" s="159">
        <f t="shared" si="128"/>
        <v>0</v>
      </c>
      <c r="BS79" s="158">
        <f>+BN79+IFERROR(+VLOOKUP($A79,'B0 2264預收'!$1:$1048576,62,0),0)</f>
        <v>0</v>
      </c>
      <c r="BT79" s="158">
        <f t="shared" si="129"/>
        <v>0</v>
      </c>
      <c r="BU79" s="157">
        <f>+IFERROR(VLOOKUP($A79,'A0 BS 1240在建'!$1:$1048576,77,0),0)</f>
        <v>0</v>
      </c>
      <c r="BV79" s="157">
        <f>+IFERROR(VLOOKUP($A79,'B0 2264預收'!$1:$1048576,77,0),0)</f>
        <v>0</v>
      </c>
      <c r="BW79" s="157">
        <f t="shared" si="130"/>
        <v>0</v>
      </c>
      <c r="BX79" s="157">
        <f>+IFERROR(+VLOOKUP($A79,'B0 2264預收'!$1:$1048576,78,0),0)</f>
        <v>0</v>
      </c>
      <c r="BY79" s="157">
        <f t="shared" si="131"/>
        <v>0</v>
      </c>
      <c r="BZ79" s="158">
        <f>IFERROR(+VLOOKUP($A79,'A0 BS 1240在建'!$1:$1048576,85,0),0)</f>
        <v>0</v>
      </c>
      <c r="CA79" s="158">
        <f>IFERROR(+VLOOKUP($A79,'B0 2264預收'!$1:$1048576,85,0),0)</f>
        <v>0</v>
      </c>
      <c r="CB79" s="158">
        <f t="shared" si="132"/>
        <v>0</v>
      </c>
      <c r="CC79" s="158">
        <f>+IFERROR(+VLOOKUP($A79,'B0 2264預收'!$1:$1048576,86,0),0)</f>
        <v>0</v>
      </c>
      <c r="CD79" s="158">
        <f t="shared" si="133"/>
        <v>0</v>
      </c>
      <c r="CE79" s="157">
        <f>+IFERROR(VLOOKUP($A79,'A0 BS 1240在建'!$1:$1048576,93,0),0)</f>
        <v>0</v>
      </c>
      <c r="CF79" s="157">
        <f>+IFERROR(VLOOKUP($A79,'B0 2264預收'!$1:$1048576,93,0),0)</f>
        <v>0</v>
      </c>
      <c r="CG79" s="157">
        <f t="shared" si="134"/>
        <v>0</v>
      </c>
      <c r="CH79" s="157">
        <f>+IFERROR(+VLOOKUP($A79,'B0 2264預收'!$1:$1048576,94,0),0)</f>
        <v>0</v>
      </c>
      <c r="CI79" s="157">
        <f t="shared" si="135"/>
        <v>0</v>
      </c>
      <c r="CJ79" s="158">
        <f>IFERROR(+VLOOKUP($A79,'A0 BS 1240在建'!$1:$1048576,101,0),0)</f>
        <v>0</v>
      </c>
      <c r="CK79" s="158">
        <f>IFERROR(+VLOOKUP($A79,'B0 2264預收'!$1:$1048576,101,0),0)</f>
        <v>0</v>
      </c>
      <c r="CL79" s="158">
        <f t="shared" si="136"/>
        <v>0</v>
      </c>
      <c r="CM79" s="158">
        <f>+IFERROR(+VLOOKUP($A79,'B0 2264預收'!$1:$1048576,102,0),0)</f>
        <v>0</v>
      </c>
      <c r="CN79" s="158">
        <f t="shared" si="137"/>
        <v>0</v>
      </c>
      <c r="CP79" s="165"/>
      <c r="CU79" s="165"/>
      <c r="CY79" s="162" t="str">
        <f t="shared" si="138"/>
        <v/>
      </c>
      <c r="CZ79" s="98" t="str">
        <f t="shared" si="139"/>
        <v xml:space="preserve"> </v>
      </c>
      <c r="DA79" s="98" t="str">
        <f t="shared" si="140"/>
        <v xml:space="preserve"> </v>
      </c>
      <c r="DB79" s="98" t="str">
        <f t="shared" si="141"/>
        <v xml:space="preserve"> </v>
      </c>
      <c r="DC79" s="163">
        <f t="shared" si="142"/>
        <v>0</v>
      </c>
      <c r="DD79" s="162" t="str">
        <f t="shared" si="146"/>
        <v/>
      </c>
      <c r="DE79" s="98" t="str">
        <f t="shared" si="147"/>
        <v xml:space="preserve"> </v>
      </c>
      <c r="DF79" s="98" t="str">
        <f t="shared" si="148"/>
        <v xml:space="preserve"> </v>
      </c>
      <c r="DG79" s="98" t="str">
        <f t="shared" si="149"/>
        <v xml:space="preserve"> </v>
      </c>
      <c r="DH79" s="163">
        <f t="shared" si="143"/>
        <v>0</v>
      </c>
    </row>
    <row r="80" spans="1:112">
      <c r="A80" s="158" t="s">
        <v>455</v>
      </c>
      <c r="B80" s="177" t="s">
        <v>456</v>
      </c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102"/>
        <v>0</v>
      </c>
      <c r="F80" s="157">
        <f>IFERROR(VLOOKUP($A80,'B0 2264預收'!$1:$1048576,6,0),0)</f>
        <v>0</v>
      </c>
      <c r="G80" s="157">
        <f t="shared" si="103"/>
        <v>0</v>
      </c>
      <c r="H80" s="158">
        <f>IFERROR(VLOOKUP($A80,'A0 BS 1240在建'!$1:$1048576,13,0),0)</f>
        <v>0</v>
      </c>
      <c r="I80" s="158">
        <f>IFERROR(VLOOKUP($A80,'B0 2264預收'!$1:$1048576,13,0),0)</f>
        <v>0</v>
      </c>
      <c r="J80" s="158">
        <f t="shared" si="104"/>
        <v>0</v>
      </c>
      <c r="K80" s="158">
        <f>IFERROR(VLOOKUP($A80,'B0 2264預收'!$1:$1048576,14,0),0)</f>
        <v>0</v>
      </c>
      <c r="L80" s="158">
        <f t="shared" si="105"/>
        <v>0</v>
      </c>
      <c r="M80" s="157">
        <f>H80+IFERROR(VLOOKUP($A80,'A0 BS 1240在建'!$1:$1048576,17,0),0)</f>
        <v>0</v>
      </c>
      <c r="N80" s="157">
        <f>I80+IFERROR(VLOOKUP($A80,'B0 2264預收'!$1:$1048576,17,0),0)</f>
        <v>0</v>
      </c>
      <c r="O80" s="157">
        <f t="shared" si="106"/>
        <v>0</v>
      </c>
      <c r="P80" s="157">
        <f>K80+IFERROR(+VLOOKUP($A80,'B0 2264預收'!$1:$1048576,18,0),0)</f>
        <v>0</v>
      </c>
      <c r="Q80" s="157">
        <f t="shared" si="107"/>
        <v>0</v>
      </c>
      <c r="R80" s="158">
        <f>M80+IFERROR(VLOOKUP($A80,'A0 BS 1240在建'!$1:$1048576,21,0),0)</f>
        <v>0</v>
      </c>
      <c r="S80" s="158">
        <f>+N80+IFERROR(VLOOKUP($A80,'B0 2264預收'!$1:$1048576,21,0),0)</f>
        <v>0</v>
      </c>
      <c r="T80" s="158">
        <f t="shared" si="108"/>
        <v>0</v>
      </c>
      <c r="U80" s="158">
        <f>+P80+IFERROR(+VLOOKUP($A80,'B0 2264預收'!$1:$1048576,22,0),0)</f>
        <v>0</v>
      </c>
      <c r="V80" s="158">
        <f t="shared" si="109"/>
        <v>0</v>
      </c>
      <c r="W80" s="157">
        <f>+R80+IFERROR(VLOOKUP($A80,'A0 BS 1240在建'!$1:$1048576,25,0),0)</f>
        <v>0</v>
      </c>
      <c r="X80" s="157">
        <f>+S80+IFERROR(VLOOKUP($A80,'B0 2264預收'!$1:$1048576,25,0),0)</f>
        <v>0</v>
      </c>
      <c r="Y80" s="157">
        <f t="shared" si="110"/>
        <v>0</v>
      </c>
      <c r="Z80" s="157">
        <f>+U80+IFERROR(+VLOOKUP($A80,'B0 2264預收'!$1:$1048576,26,0),0)</f>
        <v>0</v>
      </c>
      <c r="AA80" s="157">
        <f t="shared" si="111"/>
        <v>0</v>
      </c>
      <c r="AB80" s="158">
        <f>+W80+IFERROR(VLOOKUP($A80,'A0 BS 1240在建'!$1:$1048576,29,0),0)</f>
        <v>0</v>
      </c>
      <c r="AC80" s="158">
        <f>+X80+IFERROR(VLOOKUP($A80,'B0 2264預收'!$1:$1048576,29,0),0)</f>
        <v>0</v>
      </c>
      <c r="AD80" s="158">
        <f t="shared" si="112"/>
        <v>0</v>
      </c>
      <c r="AE80" s="158">
        <f>+Z80+IFERROR(+VLOOKUP($A80,'B0 2264預收'!$1:$1048576,30,0),0)</f>
        <v>0</v>
      </c>
      <c r="AF80" s="158">
        <f t="shared" si="113"/>
        <v>0</v>
      </c>
      <c r="AG80" s="157">
        <f>+AB80+IFERROR(VLOOKUP($A80,'A0 BS 1240在建'!$1:$1048576,33,0),0)</f>
        <v>0</v>
      </c>
      <c r="AH80" s="157">
        <f>+AC80+IFERROR(VLOOKUP($A80,'B0 2264預收'!$1:$1048576,33,0),0)</f>
        <v>0</v>
      </c>
      <c r="AI80" s="157">
        <f t="shared" si="114"/>
        <v>0</v>
      </c>
      <c r="AJ80" s="157">
        <f>+AE80+IFERROR(+VLOOKUP($A80,'B0 2264預收'!$1:$1048576,34,0),0)</f>
        <v>0</v>
      </c>
      <c r="AK80" s="157">
        <f t="shared" si="115"/>
        <v>0</v>
      </c>
      <c r="AL80" s="158">
        <f>+AG80+IFERROR(VLOOKUP($A80,'A0 BS 1240在建'!$1:$1048576,37,0),0)</f>
        <v>0</v>
      </c>
      <c r="AM80" s="158">
        <f>+AH80+IFERROR(VLOOKUP($A80,'B0 2264預收'!$1:$1048576,37,0),0)</f>
        <v>0</v>
      </c>
      <c r="AN80" s="158">
        <f t="shared" si="116"/>
        <v>0</v>
      </c>
      <c r="AO80" s="158">
        <f>+AJ80+IFERROR(+VLOOKUP($A80,'B0 2264預收'!$1:$1048576,38,0),0)</f>
        <v>0</v>
      </c>
      <c r="AP80" s="158">
        <f t="shared" si="117"/>
        <v>0</v>
      </c>
      <c r="AQ80" s="157">
        <f>+AL80+IFERROR(VLOOKUP($A80,'A0 BS 1240在建'!$1:$1048576,41,0),0)</f>
        <v>0</v>
      </c>
      <c r="AR80" s="157">
        <f>+AM80+IFERROR(VLOOKUP($A80,'B0 2264預收'!$1:$1048576,41,0),0)</f>
        <v>0</v>
      </c>
      <c r="AS80" s="157">
        <f t="shared" si="118"/>
        <v>0</v>
      </c>
      <c r="AT80" s="157">
        <f>+AO80+IFERROR(+VLOOKUP($A80,'B0 2264預收'!$1:$1048576,42,0),0)</f>
        <v>0</v>
      </c>
      <c r="AU80" s="157">
        <f t="shared" si="119"/>
        <v>0</v>
      </c>
      <c r="AV80" s="158">
        <f>+AQ80+IFERROR(VLOOKUP($A80,'A0 BS 1240在建'!$1:$1048576,45,0),0)</f>
        <v>0</v>
      </c>
      <c r="AW80" s="158">
        <f>+AR80+IFERROR(VLOOKUP($A80,'B0 2264預收'!$1:$1048576,45,0),0)</f>
        <v>0</v>
      </c>
      <c r="AX80" s="158">
        <f t="shared" si="120"/>
        <v>0</v>
      </c>
      <c r="AY80" s="158">
        <f>+AT80+IFERROR(+VLOOKUP($A80,'B0 2264預收'!$1:$1048576,46,0),0)</f>
        <v>0</v>
      </c>
      <c r="AZ80" s="158">
        <f t="shared" si="121"/>
        <v>0</v>
      </c>
      <c r="BA80" s="157">
        <f>+AV80+IFERROR(VLOOKUP($A80,'A0 BS 1240在建'!$1:$1048576,49,0),0)</f>
        <v>0</v>
      </c>
      <c r="BB80" s="157">
        <f>+AW80+IFERROR(VLOOKUP($A80,'B0 2264預收'!$1:$1048576,49,0),0)</f>
        <v>0</v>
      </c>
      <c r="BC80" s="157">
        <f t="shared" si="122"/>
        <v>0</v>
      </c>
      <c r="BD80" s="157">
        <f>+AY80+IFERROR(+VLOOKUP($A80,'B0 2264預收'!$1:$1048576,50,0),0)</f>
        <v>0</v>
      </c>
      <c r="BE80" s="157">
        <f t="shared" si="123"/>
        <v>0</v>
      </c>
      <c r="BF80" s="158">
        <f>+BA80+IFERROR(VLOOKUP($A80,'A0 BS 1240在建'!$1:$1048576,53,0),0)</f>
        <v>0</v>
      </c>
      <c r="BG80" s="158">
        <f>+BB80+IFERROR(VLOOKUP($A80,'B0 2264預收'!$1:$1048576,53,0),0)</f>
        <v>0</v>
      </c>
      <c r="BH80" s="158">
        <f t="shared" si="124"/>
        <v>0</v>
      </c>
      <c r="BI80" s="158">
        <f>+BD80+IFERROR(+VLOOKUP($A80,'B0 2264預收'!$1:$1048576,54,0),0)</f>
        <v>0</v>
      </c>
      <c r="BJ80" s="158">
        <f t="shared" si="125"/>
        <v>0</v>
      </c>
      <c r="BK80" s="157">
        <f>+BF80+IFERROR(VLOOKUP($A80,'A0 BS 1240在建'!$1:$1048576,57,0),0)</f>
        <v>0</v>
      </c>
      <c r="BL80" s="157">
        <f>+BG80+IFERROR(VLOOKUP($A80,'B0 2264預收'!$1:$1048576,57,0),0)</f>
        <v>0</v>
      </c>
      <c r="BM80" s="157">
        <f t="shared" si="126"/>
        <v>0</v>
      </c>
      <c r="BN80" s="157">
        <f>+BI80+IFERROR(+VLOOKUP($A80,'B0 2264預收'!$1:$1048576,58,0),0)</f>
        <v>0</v>
      </c>
      <c r="BO80" s="157">
        <f t="shared" si="127"/>
        <v>0</v>
      </c>
      <c r="BP80" s="158">
        <f>+BK80+IFERROR(VLOOKUP($A80,'A0 BS 1240在建'!$1:$1048576,61,0),0)</f>
        <v>0</v>
      </c>
      <c r="BQ80" s="158">
        <f>+BL80+IFERROR(VLOOKUP($A80,'B0 2264預收'!$1:$1048576,61,0),0)</f>
        <v>0</v>
      </c>
      <c r="BR80" s="159">
        <f t="shared" si="128"/>
        <v>0</v>
      </c>
      <c r="BS80" s="158">
        <f>+BN80+IFERROR(+VLOOKUP($A80,'B0 2264預收'!$1:$1048576,62,0),0)</f>
        <v>0</v>
      </c>
      <c r="BT80" s="158">
        <f t="shared" si="129"/>
        <v>0</v>
      </c>
      <c r="BU80" s="157">
        <f>+IFERROR(VLOOKUP($A80,'A0 BS 1240在建'!$1:$1048576,77,0),0)</f>
        <v>0</v>
      </c>
      <c r="BV80" s="157">
        <f>+IFERROR(VLOOKUP($A80,'B0 2264預收'!$1:$1048576,77,0),0)</f>
        <v>0</v>
      </c>
      <c r="BW80" s="157">
        <f t="shared" si="130"/>
        <v>0</v>
      </c>
      <c r="BX80" s="157">
        <f>+IFERROR(+VLOOKUP($A80,'B0 2264預收'!$1:$1048576,78,0),0)</f>
        <v>0</v>
      </c>
      <c r="BY80" s="157">
        <f t="shared" si="131"/>
        <v>0</v>
      </c>
      <c r="BZ80" s="158">
        <f>IFERROR(+VLOOKUP($A80,'A0 BS 1240在建'!$1:$1048576,85,0),0)</f>
        <v>0</v>
      </c>
      <c r="CA80" s="158">
        <f>IFERROR(+VLOOKUP($A80,'B0 2264預收'!$1:$1048576,85,0),0)</f>
        <v>0</v>
      </c>
      <c r="CB80" s="158">
        <f t="shared" si="132"/>
        <v>0</v>
      </c>
      <c r="CC80" s="158">
        <f>+IFERROR(+VLOOKUP($A80,'B0 2264預收'!$1:$1048576,86,0),0)</f>
        <v>0</v>
      </c>
      <c r="CD80" s="158">
        <f t="shared" si="133"/>
        <v>0</v>
      </c>
      <c r="CE80" s="157">
        <f>+IFERROR(VLOOKUP($A80,'A0 BS 1240在建'!$1:$1048576,93,0),0)</f>
        <v>0</v>
      </c>
      <c r="CF80" s="157">
        <f>+IFERROR(VLOOKUP($A80,'B0 2264預收'!$1:$1048576,93,0),0)</f>
        <v>0</v>
      </c>
      <c r="CG80" s="157">
        <f t="shared" si="134"/>
        <v>0</v>
      </c>
      <c r="CH80" s="157">
        <f>+IFERROR(+VLOOKUP($A80,'B0 2264預收'!$1:$1048576,94,0),0)</f>
        <v>0</v>
      </c>
      <c r="CI80" s="157">
        <f t="shared" si="135"/>
        <v>0</v>
      </c>
      <c r="CJ80" s="158">
        <f>IFERROR(+VLOOKUP($A80,'A0 BS 1240在建'!$1:$1048576,101,0),0)</f>
        <v>0</v>
      </c>
      <c r="CK80" s="158">
        <f>IFERROR(+VLOOKUP($A80,'B0 2264預收'!$1:$1048576,101,0),0)</f>
        <v>0</v>
      </c>
      <c r="CL80" s="158">
        <f t="shared" si="136"/>
        <v>0</v>
      </c>
      <c r="CM80" s="158">
        <f>+IFERROR(+VLOOKUP($A80,'B0 2264預收'!$1:$1048576,102,0),0)</f>
        <v>0</v>
      </c>
      <c r="CN80" s="158">
        <f t="shared" si="137"/>
        <v>0</v>
      </c>
      <c r="CP80" s="165">
        <f t="shared" ref="CP80:CP88" si="150">+J80-E80</f>
        <v>0</v>
      </c>
      <c r="CR80" s="98">
        <f>+CP80</f>
        <v>0</v>
      </c>
      <c r="CU80" s="165">
        <f t="shared" ref="CU80:CU88" si="151">+BR80-J80</f>
        <v>0</v>
      </c>
      <c r="CW80" s="98">
        <f>+CU80</f>
        <v>0</v>
      </c>
      <c r="CY80" s="162" t="str">
        <f t="shared" si="138"/>
        <v/>
      </c>
      <c r="CZ80" s="98" t="str">
        <f t="shared" si="139"/>
        <v xml:space="preserve"> </v>
      </c>
      <c r="DA80" s="98" t="str">
        <f t="shared" si="140"/>
        <v xml:space="preserve"> </v>
      </c>
      <c r="DB80" s="98" t="str">
        <f t="shared" si="141"/>
        <v xml:space="preserve"> </v>
      </c>
      <c r="DC80" s="163">
        <f t="shared" si="142"/>
        <v>0</v>
      </c>
      <c r="DD80" s="162" t="str">
        <f t="shared" si="146"/>
        <v/>
      </c>
      <c r="DE80" s="98" t="str">
        <f t="shared" si="147"/>
        <v xml:space="preserve"> </v>
      </c>
      <c r="DF80" s="98" t="str">
        <f t="shared" si="148"/>
        <v xml:space="preserve"> </v>
      </c>
      <c r="DG80" s="98" t="str">
        <f t="shared" si="149"/>
        <v xml:space="preserve"> </v>
      </c>
      <c r="DH80" s="163">
        <f t="shared" si="143"/>
        <v>0</v>
      </c>
    </row>
    <row r="81" spans="1:112">
      <c r="A81" s="158" t="s">
        <v>457</v>
      </c>
      <c r="B81" s="177" t="s">
        <v>458</v>
      </c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102"/>
        <v>0</v>
      </c>
      <c r="F81" s="157">
        <f>IFERROR(VLOOKUP($A81,'B0 2264預收'!$1:$1048576,6,0),0)</f>
        <v>0</v>
      </c>
      <c r="G81" s="157">
        <f t="shared" si="103"/>
        <v>0</v>
      </c>
      <c r="H81" s="158">
        <f>IFERROR(VLOOKUP($A81,'A0 BS 1240在建'!$1:$1048576,13,0),0)</f>
        <v>0</v>
      </c>
      <c r="I81" s="158">
        <f>IFERROR(VLOOKUP($A81,'B0 2264預收'!$1:$1048576,13,0),0)</f>
        <v>0</v>
      </c>
      <c r="J81" s="158">
        <f t="shared" si="104"/>
        <v>0</v>
      </c>
      <c r="K81" s="158">
        <f>IFERROR(VLOOKUP($A81,'B0 2264預收'!$1:$1048576,14,0),0)</f>
        <v>0</v>
      </c>
      <c r="L81" s="158">
        <f t="shared" si="105"/>
        <v>0</v>
      </c>
      <c r="M81" s="157">
        <f>H81+IFERROR(VLOOKUP($A81,'A0 BS 1240在建'!$1:$1048576,17,0),0)</f>
        <v>0</v>
      </c>
      <c r="N81" s="157">
        <f>I81+IFERROR(VLOOKUP($A81,'B0 2264預收'!$1:$1048576,17,0),0)</f>
        <v>0</v>
      </c>
      <c r="O81" s="157">
        <f t="shared" si="106"/>
        <v>0</v>
      </c>
      <c r="P81" s="157">
        <f>K81+IFERROR(+VLOOKUP($A81,'B0 2264預收'!$1:$1048576,18,0),0)</f>
        <v>0</v>
      </c>
      <c r="Q81" s="157">
        <f t="shared" si="107"/>
        <v>0</v>
      </c>
      <c r="R81" s="158">
        <f>M81+IFERROR(VLOOKUP($A81,'A0 BS 1240在建'!$1:$1048576,21,0),0)</f>
        <v>0</v>
      </c>
      <c r="S81" s="158">
        <f>+N81+IFERROR(VLOOKUP($A81,'B0 2264預收'!$1:$1048576,21,0),0)</f>
        <v>0</v>
      </c>
      <c r="T81" s="158">
        <f t="shared" si="108"/>
        <v>0</v>
      </c>
      <c r="U81" s="158">
        <f>+P81+IFERROR(+VLOOKUP($A81,'B0 2264預收'!$1:$1048576,22,0),0)</f>
        <v>0</v>
      </c>
      <c r="V81" s="158">
        <f t="shared" si="109"/>
        <v>0</v>
      </c>
      <c r="W81" s="157">
        <f>+R81+IFERROR(VLOOKUP($A81,'A0 BS 1240在建'!$1:$1048576,25,0),0)</f>
        <v>0</v>
      </c>
      <c r="X81" s="157">
        <f>+S81+IFERROR(VLOOKUP($A81,'B0 2264預收'!$1:$1048576,25,0),0)</f>
        <v>0</v>
      </c>
      <c r="Y81" s="157">
        <f t="shared" si="110"/>
        <v>0</v>
      </c>
      <c r="Z81" s="157">
        <f>+U81+IFERROR(+VLOOKUP($A81,'B0 2264預收'!$1:$1048576,26,0),0)</f>
        <v>0</v>
      </c>
      <c r="AA81" s="157">
        <f t="shared" si="111"/>
        <v>0</v>
      </c>
      <c r="AB81" s="158">
        <f>+W81+IFERROR(VLOOKUP($A81,'A0 BS 1240在建'!$1:$1048576,29,0),0)</f>
        <v>0</v>
      </c>
      <c r="AC81" s="158">
        <f>+X81+IFERROR(VLOOKUP($A81,'B0 2264預收'!$1:$1048576,29,0),0)</f>
        <v>0</v>
      </c>
      <c r="AD81" s="158">
        <f t="shared" si="112"/>
        <v>0</v>
      </c>
      <c r="AE81" s="158">
        <f>+Z81+IFERROR(+VLOOKUP($A81,'B0 2264預收'!$1:$1048576,30,0),0)</f>
        <v>0</v>
      </c>
      <c r="AF81" s="158">
        <f t="shared" si="113"/>
        <v>0</v>
      </c>
      <c r="AG81" s="157">
        <f>+AB81+IFERROR(VLOOKUP($A81,'A0 BS 1240在建'!$1:$1048576,33,0),0)</f>
        <v>0</v>
      </c>
      <c r="AH81" s="157">
        <f>+AC81+IFERROR(VLOOKUP($A81,'B0 2264預收'!$1:$1048576,33,0),0)</f>
        <v>0</v>
      </c>
      <c r="AI81" s="157">
        <f t="shared" si="114"/>
        <v>0</v>
      </c>
      <c r="AJ81" s="157">
        <f>+AE81+IFERROR(+VLOOKUP($A81,'B0 2264預收'!$1:$1048576,34,0),0)</f>
        <v>0</v>
      </c>
      <c r="AK81" s="157">
        <f t="shared" si="115"/>
        <v>0</v>
      </c>
      <c r="AL81" s="158">
        <f>+AG81+IFERROR(VLOOKUP($A81,'A0 BS 1240在建'!$1:$1048576,37,0),0)</f>
        <v>0</v>
      </c>
      <c r="AM81" s="158">
        <f>+AH81+IFERROR(VLOOKUP($A81,'B0 2264預收'!$1:$1048576,37,0),0)</f>
        <v>0</v>
      </c>
      <c r="AN81" s="158">
        <f t="shared" si="116"/>
        <v>0</v>
      </c>
      <c r="AO81" s="158">
        <f>+AJ81+IFERROR(+VLOOKUP($A81,'B0 2264預收'!$1:$1048576,38,0),0)</f>
        <v>0</v>
      </c>
      <c r="AP81" s="158">
        <f t="shared" si="117"/>
        <v>0</v>
      </c>
      <c r="AQ81" s="157">
        <f>+AL81+IFERROR(VLOOKUP($A81,'A0 BS 1240在建'!$1:$1048576,41,0),0)</f>
        <v>0</v>
      </c>
      <c r="AR81" s="157">
        <f>+AM81+IFERROR(VLOOKUP($A81,'B0 2264預收'!$1:$1048576,41,0),0)</f>
        <v>0</v>
      </c>
      <c r="AS81" s="157">
        <f t="shared" si="118"/>
        <v>0</v>
      </c>
      <c r="AT81" s="157">
        <f>+AO81+IFERROR(+VLOOKUP($A81,'B0 2264預收'!$1:$1048576,42,0),0)</f>
        <v>0</v>
      </c>
      <c r="AU81" s="157">
        <f t="shared" si="119"/>
        <v>0</v>
      </c>
      <c r="AV81" s="158">
        <f>+AQ81+IFERROR(VLOOKUP($A81,'A0 BS 1240在建'!$1:$1048576,45,0),0)</f>
        <v>0</v>
      </c>
      <c r="AW81" s="158">
        <f>+AR81+IFERROR(VLOOKUP($A81,'B0 2264預收'!$1:$1048576,45,0),0)</f>
        <v>0</v>
      </c>
      <c r="AX81" s="158">
        <f t="shared" si="120"/>
        <v>0</v>
      </c>
      <c r="AY81" s="158">
        <f>+AT81+IFERROR(+VLOOKUP($A81,'B0 2264預收'!$1:$1048576,46,0),0)</f>
        <v>0</v>
      </c>
      <c r="AZ81" s="158">
        <f t="shared" si="121"/>
        <v>0</v>
      </c>
      <c r="BA81" s="157">
        <f>+AV81+IFERROR(VLOOKUP($A81,'A0 BS 1240在建'!$1:$1048576,49,0),0)</f>
        <v>0</v>
      </c>
      <c r="BB81" s="157">
        <f>+AW81+IFERROR(VLOOKUP($A81,'B0 2264預收'!$1:$1048576,49,0),0)</f>
        <v>0</v>
      </c>
      <c r="BC81" s="157">
        <f t="shared" si="122"/>
        <v>0</v>
      </c>
      <c r="BD81" s="157">
        <f>+AY81+IFERROR(+VLOOKUP($A81,'B0 2264預收'!$1:$1048576,50,0),0)</f>
        <v>0</v>
      </c>
      <c r="BE81" s="157">
        <f t="shared" si="123"/>
        <v>0</v>
      </c>
      <c r="BF81" s="158">
        <f>+BA81+IFERROR(VLOOKUP($A81,'A0 BS 1240在建'!$1:$1048576,53,0),0)</f>
        <v>0</v>
      </c>
      <c r="BG81" s="158">
        <f>+BB81+IFERROR(VLOOKUP($A81,'B0 2264預收'!$1:$1048576,53,0),0)</f>
        <v>0</v>
      </c>
      <c r="BH81" s="158">
        <f t="shared" si="124"/>
        <v>0</v>
      </c>
      <c r="BI81" s="158">
        <f>+BD81+IFERROR(+VLOOKUP($A81,'B0 2264預收'!$1:$1048576,54,0),0)</f>
        <v>0</v>
      </c>
      <c r="BJ81" s="158">
        <f t="shared" si="125"/>
        <v>0</v>
      </c>
      <c r="BK81" s="157">
        <f>+BF81+IFERROR(VLOOKUP($A81,'A0 BS 1240在建'!$1:$1048576,57,0),0)</f>
        <v>0</v>
      </c>
      <c r="BL81" s="157">
        <f>+BG81+IFERROR(VLOOKUP($A81,'B0 2264預收'!$1:$1048576,57,0),0)</f>
        <v>0</v>
      </c>
      <c r="BM81" s="157">
        <f t="shared" si="126"/>
        <v>0</v>
      </c>
      <c r="BN81" s="157">
        <f>+BI81+IFERROR(+VLOOKUP($A81,'B0 2264預收'!$1:$1048576,58,0),0)</f>
        <v>0</v>
      </c>
      <c r="BO81" s="157">
        <f t="shared" si="127"/>
        <v>0</v>
      </c>
      <c r="BP81" s="158">
        <f>+BK81+IFERROR(VLOOKUP($A81,'A0 BS 1240在建'!$1:$1048576,61,0),0)</f>
        <v>0</v>
      </c>
      <c r="BQ81" s="158">
        <f>+BL81+IFERROR(VLOOKUP($A81,'B0 2264預收'!$1:$1048576,61,0),0)</f>
        <v>0</v>
      </c>
      <c r="BR81" s="159">
        <f t="shared" si="128"/>
        <v>0</v>
      </c>
      <c r="BS81" s="158">
        <f>+BN81+IFERROR(+VLOOKUP($A81,'B0 2264預收'!$1:$1048576,62,0),0)</f>
        <v>0</v>
      </c>
      <c r="BT81" s="158">
        <f t="shared" si="129"/>
        <v>0</v>
      </c>
      <c r="BU81" s="157">
        <f>+IFERROR(VLOOKUP($A81,'A0 BS 1240在建'!$1:$1048576,77,0),0)</f>
        <v>0</v>
      </c>
      <c r="BV81" s="157">
        <f>+IFERROR(VLOOKUP($A81,'B0 2264預收'!$1:$1048576,77,0),0)</f>
        <v>0</v>
      </c>
      <c r="BW81" s="157">
        <f t="shared" si="130"/>
        <v>0</v>
      </c>
      <c r="BX81" s="157">
        <f>+IFERROR(+VLOOKUP($A81,'B0 2264預收'!$1:$1048576,78,0),0)</f>
        <v>0</v>
      </c>
      <c r="BY81" s="157">
        <f t="shared" si="131"/>
        <v>0</v>
      </c>
      <c r="BZ81" s="158">
        <f>IFERROR(+VLOOKUP($A81,'A0 BS 1240在建'!$1:$1048576,85,0),0)</f>
        <v>0</v>
      </c>
      <c r="CA81" s="158">
        <f>IFERROR(+VLOOKUP($A81,'B0 2264預收'!$1:$1048576,85,0),0)</f>
        <v>0</v>
      </c>
      <c r="CB81" s="158">
        <f t="shared" si="132"/>
        <v>0</v>
      </c>
      <c r="CC81" s="158">
        <f>+IFERROR(+VLOOKUP($A81,'B0 2264預收'!$1:$1048576,86,0),0)</f>
        <v>0</v>
      </c>
      <c r="CD81" s="158">
        <f t="shared" si="133"/>
        <v>0</v>
      </c>
      <c r="CE81" s="157">
        <f>+IFERROR(VLOOKUP($A81,'A0 BS 1240在建'!$1:$1048576,93,0),0)</f>
        <v>0</v>
      </c>
      <c r="CF81" s="157">
        <f>+IFERROR(VLOOKUP($A81,'B0 2264預收'!$1:$1048576,93,0),0)</f>
        <v>0</v>
      </c>
      <c r="CG81" s="157">
        <f t="shared" si="134"/>
        <v>0</v>
      </c>
      <c r="CH81" s="157">
        <f>+IFERROR(+VLOOKUP($A81,'B0 2264預收'!$1:$1048576,94,0),0)</f>
        <v>0</v>
      </c>
      <c r="CI81" s="157">
        <f t="shared" si="135"/>
        <v>0</v>
      </c>
      <c r="CJ81" s="158">
        <f>IFERROR(+VLOOKUP($A81,'A0 BS 1240在建'!$1:$1048576,101,0),0)</f>
        <v>0</v>
      </c>
      <c r="CK81" s="158">
        <f>IFERROR(+VLOOKUP($A81,'B0 2264預收'!$1:$1048576,101,0),0)</f>
        <v>0</v>
      </c>
      <c r="CL81" s="158">
        <f t="shared" si="136"/>
        <v>0</v>
      </c>
      <c r="CM81" s="158">
        <f>+IFERROR(+VLOOKUP($A81,'B0 2264預收'!$1:$1048576,102,0),0)</f>
        <v>0</v>
      </c>
      <c r="CN81" s="158">
        <f t="shared" si="137"/>
        <v>0</v>
      </c>
      <c r="CP81" s="165">
        <f t="shared" si="150"/>
        <v>0</v>
      </c>
      <c r="CR81" s="98">
        <f>+CP81</f>
        <v>0</v>
      </c>
      <c r="CU81" s="165">
        <f t="shared" si="151"/>
        <v>0</v>
      </c>
      <c r="CW81" s="98">
        <f>+CU81</f>
        <v>0</v>
      </c>
      <c r="CY81" s="162" t="str">
        <f t="shared" si="138"/>
        <v/>
      </c>
      <c r="CZ81" s="98" t="str">
        <f t="shared" si="139"/>
        <v xml:space="preserve"> </v>
      </c>
      <c r="DA81" s="98" t="str">
        <f t="shared" si="140"/>
        <v xml:space="preserve"> </v>
      </c>
      <c r="DB81" s="98" t="str">
        <f t="shared" si="141"/>
        <v xml:space="preserve"> </v>
      </c>
      <c r="DC81" s="163">
        <f t="shared" si="142"/>
        <v>0</v>
      </c>
      <c r="DD81" s="162" t="str">
        <f t="shared" si="146"/>
        <v/>
      </c>
      <c r="DE81" s="98" t="str">
        <f t="shared" si="147"/>
        <v xml:space="preserve"> </v>
      </c>
      <c r="DF81" s="98" t="str">
        <f t="shared" si="148"/>
        <v xml:space="preserve"> </v>
      </c>
      <c r="DG81" s="98" t="str">
        <f t="shared" si="149"/>
        <v xml:space="preserve"> </v>
      </c>
      <c r="DH81" s="163">
        <f t="shared" si="143"/>
        <v>0</v>
      </c>
    </row>
    <row r="82" spans="1:112">
      <c r="A82" s="171" t="s">
        <v>459</v>
      </c>
      <c r="B82" s="172" t="s">
        <v>342</v>
      </c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102"/>
        <v>0</v>
      </c>
      <c r="F82" s="157">
        <f>IFERROR(VLOOKUP($A82,'B0 2264預收'!$1:$1048576,6,0),0)</f>
        <v>0</v>
      </c>
      <c r="G82" s="157">
        <f t="shared" si="103"/>
        <v>0</v>
      </c>
      <c r="H82" s="158">
        <f>IFERROR(VLOOKUP($A82,'A0 BS 1240在建'!$1:$1048576,13,0),0)</f>
        <v>0</v>
      </c>
      <c r="I82" s="158">
        <f>IFERROR(VLOOKUP($A82,'B0 2264預收'!$1:$1048576,13,0),0)</f>
        <v>0</v>
      </c>
      <c r="J82" s="158">
        <f t="shared" si="104"/>
        <v>0</v>
      </c>
      <c r="K82" s="158">
        <f>IFERROR(VLOOKUP($A82,'B0 2264預收'!$1:$1048576,14,0),0)</f>
        <v>0</v>
      </c>
      <c r="L82" s="158">
        <f t="shared" si="105"/>
        <v>0</v>
      </c>
      <c r="M82" s="157">
        <f>H82+IFERROR(VLOOKUP($A82,'A0 BS 1240在建'!$1:$1048576,17,0),0)</f>
        <v>0</v>
      </c>
      <c r="N82" s="157">
        <f>I82+IFERROR(VLOOKUP($A82,'B0 2264預收'!$1:$1048576,17,0),0)</f>
        <v>0</v>
      </c>
      <c r="O82" s="157">
        <f t="shared" si="106"/>
        <v>0</v>
      </c>
      <c r="P82" s="157">
        <f>K82+IFERROR(+VLOOKUP($A82,'B0 2264預收'!$1:$1048576,18,0),0)</f>
        <v>0</v>
      </c>
      <c r="Q82" s="157">
        <f t="shared" si="107"/>
        <v>0</v>
      </c>
      <c r="R82" s="158">
        <f>M82+IFERROR(VLOOKUP($A82,'A0 BS 1240在建'!$1:$1048576,21,0),0)</f>
        <v>0</v>
      </c>
      <c r="S82" s="158">
        <f>+N82+IFERROR(VLOOKUP($A82,'B0 2264預收'!$1:$1048576,21,0),0)</f>
        <v>0</v>
      </c>
      <c r="T82" s="158">
        <f t="shared" si="108"/>
        <v>0</v>
      </c>
      <c r="U82" s="158">
        <f>+P82+IFERROR(+VLOOKUP($A82,'B0 2264預收'!$1:$1048576,22,0),0)</f>
        <v>0</v>
      </c>
      <c r="V82" s="158">
        <f t="shared" si="109"/>
        <v>0</v>
      </c>
      <c r="W82" s="157">
        <f>+R82+IFERROR(VLOOKUP($A82,'A0 BS 1240在建'!$1:$1048576,25,0),0)</f>
        <v>0</v>
      </c>
      <c r="X82" s="157">
        <f>+S82+IFERROR(VLOOKUP($A82,'B0 2264預收'!$1:$1048576,25,0),0)</f>
        <v>0</v>
      </c>
      <c r="Y82" s="157">
        <f t="shared" si="110"/>
        <v>0</v>
      </c>
      <c r="Z82" s="157">
        <f>+U82+IFERROR(+VLOOKUP($A82,'B0 2264預收'!$1:$1048576,26,0),0)</f>
        <v>0</v>
      </c>
      <c r="AA82" s="157">
        <f t="shared" si="111"/>
        <v>0</v>
      </c>
      <c r="AB82" s="158">
        <f>+W82+IFERROR(VLOOKUP($A82,'A0 BS 1240在建'!$1:$1048576,29,0),0)</f>
        <v>0</v>
      </c>
      <c r="AC82" s="158">
        <f>+X82+IFERROR(VLOOKUP($A82,'B0 2264預收'!$1:$1048576,29,0),0)</f>
        <v>0</v>
      </c>
      <c r="AD82" s="158">
        <f t="shared" si="112"/>
        <v>0</v>
      </c>
      <c r="AE82" s="158">
        <f>+Z82+IFERROR(+VLOOKUP($A82,'B0 2264預收'!$1:$1048576,30,0),0)</f>
        <v>0</v>
      </c>
      <c r="AF82" s="158">
        <f t="shared" si="113"/>
        <v>0</v>
      </c>
      <c r="AG82" s="157">
        <f>+AB82+IFERROR(VLOOKUP($A82,'A0 BS 1240在建'!$1:$1048576,33,0),0)</f>
        <v>0</v>
      </c>
      <c r="AH82" s="157">
        <f>+AC82+IFERROR(VLOOKUP($A82,'B0 2264預收'!$1:$1048576,33,0),0)</f>
        <v>0</v>
      </c>
      <c r="AI82" s="157">
        <f t="shared" si="114"/>
        <v>0</v>
      </c>
      <c r="AJ82" s="157">
        <f>+AE82+IFERROR(+VLOOKUP($A82,'B0 2264預收'!$1:$1048576,34,0),0)</f>
        <v>0</v>
      </c>
      <c r="AK82" s="157">
        <f t="shared" si="115"/>
        <v>0</v>
      </c>
      <c r="AL82" s="158">
        <f>+AG82+IFERROR(VLOOKUP($A82,'A0 BS 1240在建'!$1:$1048576,37,0),0)</f>
        <v>0</v>
      </c>
      <c r="AM82" s="158">
        <f>+AH82+IFERROR(VLOOKUP($A82,'B0 2264預收'!$1:$1048576,37,0),0)</f>
        <v>0</v>
      </c>
      <c r="AN82" s="158">
        <f t="shared" si="116"/>
        <v>0</v>
      </c>
      <c r="AO82" s="158">
        <f>+AJ82+IFERROR(+VLOOKUP($A82,'B0 2264預收'!$1:$1048576,38,0),0)</f>
        <v>0</v>
      </c>
      <c r="AP82" s="158">
        <f t="shared" si="117"/>
        <v>0</v>
      </c>
      <c r="AQ82" s="157">
        <f>+AL82+IFERROR(VLOOKUP($A82,'A0 BS 1240在建'!$1:$1048576,41,0),0)</f>
        <v>0</v>
      </c>
      <c r="AR82" s="157">
        <f>+AM82+IFERROR(VLOOKUP($A82,'B0 2264預收'!$1:$1048576,41,0),0)</f>
        <v>0</v>
      </c>
      <c r="AS82" s="157">
        <f t="shared" si="118"/>
        <v>0</v>
      </c>
      <c r="AT82" s="157">
        <f>+AO82+IFERROR(+VLOOKUP($A82,'B0 2264預收'!$1:$1048576,42,0),0)</f>
        <v>0</v>
      </c>
      <c r="AU82" s="157">
        <f t="shared" si="119"/>
        <v>0</v>
      </c>
      <c r="AV82" s="158">
        <f>+AQ82+IFERROR(VLOOKUP($A82,'A0 BS 1240在建'!$1:$1048576,45,0),0)</f>
        <v>0</v>
      </c>
      <c r="AW82" s="158">
        <f>+AR82+IFERROR(VLOOKUP($A82,'B0 2264預收'!$1:$1048576,45,0),0)</f>
        <v>0</v>
      </c>
      <c r="AX82" s="158">
        <f t="shared" si="120"/>
        <v>0</v>
      </c>
      <c r="AY82" s="158">
        <f>+AT82+IFERROR(+VLOOKUP($A82,'B0 2264預收'!$1:$1048576,46,0),0)</f>
        <v>0</v>
      </c>
      <c r="AZ82" s="158">
        <f t="shared" si="121"/>
        <v>0</v>
      </c>
      <c r="BA82" s="157">
        <f>+AV82+IFERROR(VLOOKUP($A82,'A0 BS 1240在建'!$1:$1048576,49,0),0)</f>
        <v>0</v>
      </c>
      <c r="BB82" s="157">
        <f>+AW82+IFERROR(VLOOKUP($A82,'B0 2264預收'!$1:$1048576,49,0),0)</f>
        <v>0</v>
      </c>
      <c r="BC82" s="157">
        <f t="shared" si="122"/>
        <v>0</v>
      </c>
      <c r="BD82" s="157">
        <f>+AY82+IFERROR(+VLOOKUP($A82,'B0 2264預收'!$1:$1048576,50,0),0)</f>
        <v>0</v>
      </c>
      <c r="BE82" s="157">
        <f t="shared" si="123"/>
        <v>0</v>
      </c>
      <c r="BF82" s="158">
        <f>+BA82+IFERROR(VLOOKUP($A82,'A0 BS 1240在建'!$1:$1048576,53,0),0)</f>
        <v>0</v>
      </c>
      <c r="BG82" s="158">
        <f>+BB82+IFERROR(VLOOKUP($A82,'B0 2264預收'!$1:$1048576,53,0),0)</f>
        <v>0</v>
      </c>
      <c r="BH82" s="158">
        <f t="shared" si="124"/>
        <v>0</v>
      </c>
      <c r="BI82" s="158">
        <f>+BD82+IFERROR(+VLOOKUP($A82,'B0 2264預收'!$1:$1048576,54,0),0)</f>
        <v>0</v>
      </c>
      <c r="BJ82" s="158">
        <f t="shared" si="125"/>
        <v>0</v>
      </c>
      <c r="BK82" s="157">
        <f>+BF82+IFERROR(VLOOKUP($A82,'A0 BS 1240在建'!$1:$1048576,57,0),0)</f>
        <v>0</v>
      </c>
      <c r="BL82" s="157">
        <f>+BG82+IFERROR(VLOOKUP($A82,'B0 2264預收'!$1:$1048576,57,0),0)</f>
        <v>0</v>
      </c>
      <c r="BM82" s="157">
        <f t="shared" si="126"/>
        <v>0</v>
      </c>
      <c r="BN82" s="157">
        <f>+BI82+IFERROR(+VLOOKUP($A82,'B0 2264預收'!$1:$1048576,58,0),0)</f>
        <v>0</v>
      </c>
      <c r="BO82" s="157">
        <f t="shared" si="127"/>
        <v>0</v>
      </c>
      <c r="BP82" s="158">
        <f>+BK82+IFERROR(VLOOKUP($A82,'A0 BS 1240在建'!$1:$1048576,61,0),0)</f>
        <v>0</v>
      </c>
      <c r="BQ82" s="170">
        <f>+BL82+IFERROR(VLOOKUP($A82,'B0 2264預收'!$1:$1048576,61,0),0)</f>
        <v>0</v>
      </c>
      <c r="BR82" s="159">
        <f t="shared" si="128"/>
        <v>0</v>
      </c>
      <c r="BS82" s="158">
        <f>+BN82+IFERROR(+VLOOKUP($A82,'B0 2264預收'!$1:$1048576,62,0),0)</f>
        <v>0</v>
      </c>
      <c r="BT82" s="158">
        <f t="shared" si="129"/>
        <v>0</v>
      </c>
      <c r="BU82" s="157">
        <f>+IFERROR(VLOOKUP($A82,'A0 BS 1240在建'!$1:$1048576,77,0),0)</f>
        <v>0</v>
      </c>
      <c r="BV82" s="157">
        <f>+IFERROR(VLOOKUP($A82,'B0 2264預收'!$1:$1048576,77,0),0)</f>
        <v>0</v>
      </c>
      <c r="BW82" s="157">
        <f t="shared" si="130"/>
        <v>0</v>
      </c>
      <c r="BX82" s="157">
        <f>+IFERROR(+VLOOKUP($A82,'B0 2264預收'!$1:$1048576,78,0),0)</f>
        <v>0</v>
      </c>
      <c r="BY82" s="157">
        <f t="shared" si="131"/>
        <v>0</v>
      </c>
      <c r="BZ82" s="158">
        <f>IFERROR(+VLOOKUP($A82,'A0 BS 1240在建'!$1:$1048576,85,0),0)</f>
        <v>0</v>
      </c>
      <c r="CA82" s="158">
        <f>IFERROR(+VLOOKUP($A82,'B0 2264預收'!$1:$1048576,85,0),0)</f>
        <v>0</v>
      </c>
      <c r="CB82" s="158">
        <f t="shared" si="132"/>
        <v>0</v>
      </c>
      <c r="CC82" s="158">
        <f>+IFERROR(+VLOOKUP($A82,'B0 2264預收'!$1:$1048576,86,0),0)</f>
        <v>0</v>
      </c>
      <c r="CD82" s="158">
        <f t="shared" si="133"/>
        <v>0</v>
      </c>
      <c r="CE82" s="157">
        <f>+IFERROR(VLOOKUP($A82,'A0 BS 1240在建'!$1:$1048576,93,0),0)</f>
        <v>0</v>
      </c>
      <c r="CF82" s="157">
        <f>+IFERROR(VLOOKUP($A82,'B0 2264預收'!$1:$1048576,93,0),0)</f>
        <v>0</v>
      </c>
      <c r="CG82" s="157">
        <f t="shared" si="134"/>
        <v>0</v>
      </c>
      <c r="CH82" s="157">
        <f>+IFERROR(+VLOOKUP($A82,'B0 2264預收'!$1:$1048576,94,0),0)</f>
        <v>0</v>
      </c>
      <c r="CI82" s="157">
        <f t="shared" si="135"/>
        <v>0</v>
      </c>
      <c r="CJ82" s="158">
        <f>IFERROR(+VLOOKUP($A82,'A0 BS 1240在建'!$1:$1048576,101,0),0)</f>
        <v>0</v>
      </c>
      <c r="CK82" s="158">
        <f>IFERROR(+VLOOKUP($A82,'B0 2264預收'!$1:$1048576,101,0),0)</f>
        <v>0</v>
      </c>
      <c r="CL82" s="158">
        <f t="shared" si="136"/>
        <v>0</v>
      </c>
      <c r="CM82" s="158">
        <f>+IFERROR(+VLOOKUP($A82,'B0 2264預收'!$1:$1048576,102,0),0)</f>
        <v>0</v>
      </c>
      <c r="CN82" s="158">
        <f t="shared" si="137"/>
        <v>0</v>
      </c>
      <c r="CP82" s="98">
        <f t="shared" si="150"/>
        <v>0</v>
      </c>
      <c r="CU82" s="98">
        <f t="shared" si="151"/>
        <v>0</v>
      </c>
      <c r="CY82" s="162" t="str">
        <f t="shared" si="138"/>
        <v/>
      </c>
      <c r="CZ82" s="98" t="str">
        <f t="shared" si="139"/>
        <v xml:space="preserve"> </v>
      </c>
      <c r="DA82" s="98" t="str">
        <f t="shared" si="140"/>
        <v xml:space="preserve"> </v>
      </c>
      <c r="DB82" s="98" t="str">
        <f t="shared" si="141"/>
        <v xml:space="preserve"> </v>
      </c>
      <c r="DC82" s="163">
        <f t="shared" si="142"/>
        <v>0</v>
      </c>
      <c r="DD82" s="162" t="str">
        <f t="shared" si="146"/>
        <v/>
      </c>
      <c r="DE82" s="98" t="str">
        <f t="shared" si="147"/>
        <v xml:space="preserve"> </v>
      </c>
      <c r="DF82" s="98" t="str">
        <f t="shared" si="148"/>
        <v xml:space="preserve"> </v>
      </c>
      <c r="DG82" s="98" t="str">
        <f t="shared" si="149"/>
        <v xml:space="preserve"> </v>
      </c>
      <c r="DH82" s="163">
        <f t="shared" si="143"/>
        <v>0</v>
      </c>
    </row>
    <row r="83" spans="1:112">
      <c r="A83" s="171" t="s">
        <v>460</v>
      </c>
      <c r="B83" s="172" t="s">
        <v>344</v>
      </c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102"/>
        <v>0</v>
      </c>
      <c r="F83" s="157">
        <f>IFERROR(VLOOKUP($A83,'B0 2264預收'!$1:$1048576,6,0),0)</f>
        <v>0</v>
      </c>
      <c r="G83" s="157">
        <f t="shared" si="103"/>
        <v>0</v>
      </c>
      <c r="H83" s="158">
        <f>IFERROR(VLOOKUP($A83,'A0 BS 1240在建'!$1:$1048576,13,0),0)</f>
        <v>0</v>
      </c>
      <c r="I83" s="158">
        <f>IFERROR(VLOOKUP($A83,'B0 2264預收'!$1:$1048576,13,0),0)</f>
        <v>0</v>
      </c>
      <c r="J83" s="158">
        <f t="shared" si="104"/>
        <v>0</v>
      </c>
      <c r="K83" s="158">
        <f>IFERROR(VLOOKUP($A83,'B0 2264預收'!$1:$1048576,14,0),0)</f>
        <v>0</v>
      </c>
      <c r="L83" s="158">
        <f t="shared" si="105"/>
        <v>0</v>
      </c>
      <c r="M83" s="157">
        <f>H83+IFERROR(VLOOKUP($A83,'A0 BS 1240在建'!$1:$1048576,17,0),0)</f>
        <v>0</v>
      </c>
      <c r="N83" s="157">
        <f>I83+IFERROR(VLOOKUP($A83,'B0 2264預收'!$1:$1048576,17,0),0)</f>
        <v>0</v>
      </c>
      <c r="O83" s="157">
        <f t="shared" si="106"/>
        <v>0</v>
      </c>
      <c r="P83" s="157">
        <f>K83+IFERROR(+VLOOKUP($A83,'B0 2264預收'!$1:$1048576,18,0),0)</f>
        <v>0</v>
      </c>
      <c r="Q83" s="157">
        <f t="shared" si="107"/>
        <v>0</v>
      </c>
      <c r="R83" s="158">
        <f>M83+IFERROR(VLOOKUP($A83,'A0 BS 1240在建'!$1:$1048576,21,0),0)</f>
        <v>0</v>
      </c>
      <c r="S83" s="158">
        <f>+N83+IFERROR(VLOOKUP($A83,'B0 2264預收'!$1:$1048576,21,0),0)</f>
        <v>0</v>
      </c>
      <c r="T83" s="158">
        <f t="shared" si="108"/>
        <v>0</v>
      </c>
      <c r="U83" s="158">
        <f>+P83+IFERROR(+VLOOKUP($A83,'B0 2264預收'!$1:$1048576,22,0),0)</f>
        <v>0</v>
      </c>
      <c r="V83" s="158">
        <f t="shared" si="109"/>
        <v>0</v>
      </c>
      <c r="W83" s="157">
        <f>+R83+IFERROR(VLOOKUP($A83,'A0 BS 1240在建'!$1:$1048576,25,0),0)</f>
        <v>0</v>
      </c>
      <c r="X83" s="157">
        <f>+S83+IFERROR(VLOOKUP($A83,'B0 2264預收'!$1:$1048576,25,0),0)</f>
        <v>0</v>
      </c>
      <c r="Y83" s="157">
        <f t="shared" si="110"/>
        <v>0</v>
      </c>
      <c r="Z83" s="157">
        <f>+U83+IFERROR(+VLOOKUP($A83,'B0 2264預收'!$1:$1048576,26,0),0)</f>
        <v>0</v>
      </c>
      <c r="AA83" s="157">
        <f t="shared" si="111"/>
        <v>0</v>
      </c>
      <c r="AB83" s="158">
        <f>+W83+IFERROR(VLOOKUP($A83,'A0 BS 1240在建'!$1:$1048576,29,0),0)</f>
        <v>0</v>
      </c>
      <c r="AC83" s="158">
        <f>+X83+IFERROR(VLOOKUP($A83,'B0 2264預收'!$1:$1048576,29,0),0)</f>
        <v>0</v>
      </c>
      <c r="AD83" s="158">
        <f t="shared" si="112"/>
        <v>0</v>
      </c>
      <c r="AE83" s="158">
        <f>+Z83+IFERROR(+VLOOKUP($A83,'B0 2264預收'!$1:$1048576,30,0),0)</f>
        <v>0</v>
      </c>
      <c r="AF83" s="158">
        <f t="shared" si="113"/>
        <v>0</v>
      </c>
      <c r="AG83" s="157">
        <f>+AB83+IFERROR(VLOOKUP($A83,'A0 BS 1240在建'!$1:$1048576,33,0),0)</f>
        <v>0</v>
      </c>
      <c r="AH83" s="157">
        <f>+AC83+IFERROR(VLOOKUP($A83,'B0 2264預收'!$1:$1048576,33,0),0)</f>
        <v>0</v>
      </c>
      <c r="AI83" s="157">
        <f t="shared" si="114"/>
        <v>0</v>
      </c>
      <c r="AJ83" s="157">
        <f>+AE83+IFERROR(+VLOOKUP($A83,'B0 2264預收'!$1:$1048576,34,0),0)</f>
        <v>0</v>
      </c>
      <c r="AK83" s="157">
        <f t="shared" si="115"/>
        <v>0</v>
      </c>
      <c r="AL83" s="158">
        <f>+AG83+IFERROR(VLOOKUP($A83,'A0 BS 1240在建'!$1:$1048576,37,0),0)</f>
        <v>0</v>
      </c>
      <c r="AM83" s="158">
        <f>+AH83+IFERROR(VLOOKUP($A83,'B0 2264預收'!$1:$1048576,37,0),0)</f>
        <v>0</v>
      </c>
      <c r="AN83" s="158">
        <f t="shared" si="116"/>
        <v>0</v>
      </c>
      <c r="AO83" s="158">
        <f>+AJ83+IFERROR(+VLOOKUP($A83,'B0 2264預收'!$1:$1048576,38,0),0)</f>
        <v>0</v>
      </c>
      <c r="AP83" s="158">
        <f t="shared" si="117"/>
        <v>0</v>
      </c>
      <c r="AQ83" s="157">
        <f>+AL83+IFERROR(VLOOKUP($A83,'A0 BS 1240在建'!$1:$1048576,41,0),0)</f>
        <v>0</v>
      </c>
      <c r="AR83" s="157">
        <f>+AM83+IFERROR(VLOOKUP($A83,'B0 2264預收'!$1:$1048576,41,0),0)</f>
        <v>0</v>
      </c>
      <c r="AS83" s="157">
        <f t="shared" si="118"/>
        <v>0</v>
      </c>
      <c r="AT83" s="157">
        <f>+AO83+IFERROR(+VLOOKUP($A83,'B0 2264預收'!$1:$1048576,42,0),0)</f>
        <v>0</v>
      </c>
      <c r="AU83" s="157">
        <f t="shared" si="119"/>
        <v>0</v>
      </c>
      <c r="AV83" s="158">
        <f>+AQ83+IFERROR(VLOOKUP($A83,'A0 BS 1240在建'!$1:$1048576,45,0),0)</f>
        <v>0</v>
      </c>
      <c r="AW83" s="158">
        <f>+AR83+IFERROR(VLOOKUP($A83,'B0 2264預收'!$1:$1048576,45,0),0)</f>
        <v>0</v>
      </c>
      <c r="AX83" s="158">
        <f t="shared" si="120"/>
        <v>0</v>
      </c>
      <c r="AY83" s="158">
        <f>+AT83+IFERROR(+VLOOKUP($A83,'B0 2264預收'!$1:$1048576,46,0),0)</f>
        <v>0</v>
      </c>
      <c r="AZ83" s="158">
        <f t="shared" si="121"/>
        <v>0</v>
      </c>
      <c r="BA83" s="157">
        <f>+AV83+IFERROR(VLOOKUP($A83,'A0 BS 1240在建'!$1:$1048576,49,0),0)</f>
        <v>0</v>
      </c>
      <c r="BB83" s="157">
        <f>+AW83+IFERROR(VLOOKUP($A83,'B0 2264預收'!$1:$1048576,49,0),0)</f>
        <v>0</v>
      </c>
      <c r="BC83" s="157">
        <f t="shared" si="122"/>
        <v>0</v>
      </c>
      <c r="BD83" s="157">
        <f>+AY83+IFERROR(+VLOOKUP($A83,'B0 2264預收'!$1:$1048576,50,0),0)</f>
        <v>0</v>
      </c>
      <c r="BE83" s="157">
        <f t="shared" si="123"/>
        <v>0</v>
      </c>
      <c r="BF83" s="158">
        <f>+BA83+IFERROR(VLOOKUP($A83,'A0 BS 1240在建'!$1:$1048576,53,0),0)</f>
        <v>0</v>
      </c>
      <c r="BG83" s="158">
        <f>+BB83+IFERROR(VLOOKUP($A83,'B0 2264預收'!$1:$1048576,53,0),0)</f>
        <v>0</v>
      </c>
      <c r="BH83" s="158">
        <f t="shared" si="124"/>
        <v>0</v>
      </c>
      <c r="BI83" s="158">
        <f>+BD83+IFERROR(+VLOOKUP($A83,'B0 2264預收'!$1:$1048576,54,0),0)</f>
        <v>0</v>
      </c>
      <c r="BJ83" s="158">
        <f t="shared" si="125"/>
        <v>0</v>
      </c>
      <c r="BK83" s="157">
        <f>+BF83+IFERROR(VLOOKUP($A83,'A0 BS 1240在建'!$1:$1048576,57,0),0)</f>
        <v>0</v>
      </c>
      <c r="BL83" s="157">
        <f>+BG83+IFERROR(VLOOKUP($A83,'B0 2264預收'!$1:$1048576,57,0),0)</f>
        <v>0</v>
      </c>
      <c r="BM83" s="157">
        <f t="shared" si="126"/>
        <v>0</v>
      </c>
      <c r="BN83" s="157">
        <f>+BI83+IFERROR(+VLOOKUP($A83,'B0 2264預收'!$1:$1048576,58,0),0)</f>
        <v>0</v>
      </c>
      <c r="BO83" s="157">
        <f t="shared" si="127"/>
        <v>0</v>
      </c>
      <c r="BP83" s="158">
        <f>+BK83+IFERROR(VLOOKUP($A83,'A0 BS 1240在建'!$1:$1048576,61,0),0)</f>
        <v>0</v>
      </c>
      <c r="BQ83" s="170">
        <f>+BL83+IFERROR(VLOOKUP($A83,'B0 2264預收'!$1:$1048576,61,0),0)</f>
        <v>0</v>
      </c>
      <c r="BR83" s="159">
        <f t="shared" si="128"/>
        <v>0</v>
      </c>
      <c r="BS83" s="158">
        <f>+BN83+IFERROR(+VLOOKUP($A83,'B0 2264預收'!$1:$1048576,62,0),0)</f>
        <v>0</v>
      </c>
      <c r="BT83" s="158">
        <f t="shared" si="129"/>
        <v>0</v>
      </c>
      <c r="BU83" s="157">
        <f>+IFERROR(VLOOKUP($A83,'A0 BS 1240在建'!$1:$1048576,77,0),0)</f>
        <v>0</v>
      </c>
      <c r="BV83" s="157">
        <f>+IFERROR(VLOOKUP($A83,'B0 2264預收'!$1:$1048576,77,0),0)</f>
        <v>0</v>
      </c>
      <c r="BW83" s="157">
        <f t="shared" si="130"/>
        <v>0</v>
      </c>
      <c r="BX83" s="157">
        <f>+IFERROR(+VLOOKUP($A83,'B0 2264預收'!$1:$1048576,78,0),0)</f>
        <v>0</v>
      </c>
      <c r="BY83" s="157">
        <f t="shared" si="131"/>
        <v>0</v>
      </c>
      <c r="BZ83" s="158">
        <f>IFERROR(+VLOOKUP($A83,'A0 BS 1240在建'!$1:$1048576,85,0),0)</f>
        <v>0</v>
      </c>
      <c r="CA83" s="158">
        <f>IFERROR(+VLOOKUP($A83,'B0 2264預收'!$1:$1048576,85,0),0)</f>
        <v>0</v>
      </c>
      <c r="CB83" s="158">
        <f t="shared" si="132"/>
        <v>0</v>
      </c>
      <c r="CC83" s="158">
        <f>+IFERROR(+VLOOKUP($A83,'B0 2264預收'!$1:$1048576,86,0),0)</f>
        <v>0</v>
      </c>
      <c r="CD83" s="158">
        <f t="shared" si="133"/>
        <v>0</v>
      </c>
      <c r="CE83" s="157">
        <f>+IFERROR(VLOOKUP($A83,'A0 BS 1240在建'!$1:$1048576,93,0),0)</f>
        <v>0</v>
      </c>
      <c r="CF83" s="157">
        <f>+IFERROR(VLOOKUP($A83,'B0 2264預收'!$1:$1048576,93,0),0)</f>
        <v>0</v>
      </c>
      <c r="CG83" s="157">
        <f t="shared" si="134"/>
        <v>0</v>
      </c>
      <c r="CH83" s="157">
        <f>+IFERROR(+VLOOKUP($A83,'B0 2264預收'!$1:$1048576,94,0),0)</f>
        <v>0</v>
      </c>
      <c r="CI83" s="157">
        <f t="shared" si="135"/>
        <v>0</v>
      </c>
      <c r="CJ83" s="158">
        <f>IFERROR(+VLOOKUP($A83,'A0 BS 1240在建'!$1:$1048576,101,0),0)</f>
        <v>0</v>
      </c>
      <c r="CK83" s="158">
        <f>IFERROR(+VLOOKUP($A83,'B0 2264預收'!$1:$1048576,101,0),0)</f>
        <v>0</v>
      </c>
      <c r="CL83" s="158">
        <f t="shared" si="136"/>
        <v>0</v>
      </c>
      <c r="CM83" s="158">
        <f>+IFERROR(+VLOOKUP($A83,'B0 2264預收'!$1:$1048576,102,0),0)</f>
        <v>0</v>
      </c>
      <c r="CN83" s="158">
        <f t="shared" si="137"/>
        <v>0</v>
      </c>
      <c r="CP83" s="98">
        <f t="shared" si="150"/>
        <v>0</v>
      </c>
      <c r="CU83" s="166">
        <f t="shared" si="151"/>
        <v>0</v>
      </c>
      <c r="CV83" s="98">
        <f>+CU83</f>
        <v>0</v>
      </c>
      <c r="CY83" s="162" t="str">
        <f t="shared" si="138"/>
        <v/>
      </c>
      <c r="CZ83" s="98" t="str">
        <f t="shared" si="139"/>
        <v xml:space="preserve"> </v>
      </c>
      <c r="DA83" s="98" t="str">
        <f t="shared" si="140"/>
        <v xml:space="preserve"> </v>
      </c>
      <c r="DB83" s="98" t="str">
        <f t="shared" si="141"/>
        <v xml:space="preserve"> </v>
      </c>
      <c r="DC83" s="163">
        <f t="shared" si="142"/>
        <v>0</v>
      </c>
      <c r="DD83" s="162" t="str">
        <f t="shared" si="146"/>
        <v/>
      </c>
      <c r="DE83" s="98" t="str">
        <f t="shared" si="147"/>
        <v xml:space="preserve"> </v>
      </c>
      <c r="DF83" s="98" t="str">
        <f t="shared" si="148"/>
        <v xml:space="preserve"> </v>
      </c>
      <c r="DG83" s="98" t="str">
        <f t="shared" si="149"/>
        <v xml:space="preserve"> </v>
      </c>
      <c r="DH83" s="163">
        <f t="shared" si="143"/>
        <v>0</v>
      </c>
    </row>
    <row r="84" spans="1:112">
      <c r="A84" s="171" t="s">
        <v>461</v>
      </c>
      <c r="B84" s="172" t="s">
        <v>346</v>
      </c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102"/>
        <v>0</v>
      </c>
      <c r="F84" s="157">
        <f>IFERROR(VLOOKUP($A84,'B0 2264預收'!$1:$1048576,6,0),0)</f>
        <v>0</v>
      </c>
      <c r="G84" s="157">
        <f t="shared" si="103"/>
        <v>0</v>
      </c>
      <c r="H84" s="158">
        <f>IFERROR(VLOOKUP($A84,'A0 BS 1240在建'!$1:$1048576,13,0),0)</f>
        <v>0</v>
      </c>
      <c r="I84" s="158">
        <f>IFERROR(VLOOKUP($A84,'B0 2264預收'!$1:$1048576,13,0),0)</f>
        <v>0</v>
      </c>
      <c r="J84" s="158">
        <f t="shared" si="104"/>
        <v>0</v>
      </c>
      <c r="K84" s="158">
        <f>IFERROR(VLOOKUP($A84,'B0 2264預收'!$1:$1048576,14,0),0)</f>
        <v>0</v>
      </c>
      <c r="L84" s="158">
        <f t="shared" si="105"/>
        <v>0</v>
      </c>
      <c r="M84" s="157">
        <f>H84+IFERROR(VLOOKUP($A84,'A0 BS 1240在建'!$1:$1048576,17,0),0)</f>
        <v>0</v>
      </c>
      <c r="N84" s="157">
        <f>I84+IFERROR(VLOOKUP($A84,'B0 2264預收'!$1:$1048576,17,0),0)</f>
        <v>0</v>
      </c>
      <c r="O84" s="157">
        <f t="shared" si="106"/>
        <v>0</v>
      </c>
      <c r="P84" s="157">
        <f>K84+IFERROR(+VLOOKUP($A84,'B0 2264預收'!$1:$1048576,18,0),0)</f>
        <v>0</v>
      </c>
      <c r="Q84" s="157">
        <f t="shared" si="107"/>
        <v>0</v>
      </c>
      <c r="R84" s="158">
        <f>M84+IFERROR(VLOOKUP($A84,'A0 BS 1240在建'!$1:$1048576,21,0),0)</f>
        <v>0</v>
      </c>
      <c r="S84" s="158">
        <f>+N84+IFERROR(VLOOKUP($A84,'B0 2264預收'!$1:$1048576,21,0),0)</f>
        <v>0</v>
      </c>
      <c r="T84" s="158">
        <f t="shared" si="108"/>
        <v>0</v>
      </c>
      <c r="U84" s="158">
        <f>+P84+IFERROR(+VLOOKUP($A84,'B0 2264預收'!$1:$1048576,22,0),0)</f>
        <v>0</v>
      </c>
      <c r="V84" s="158">
        <f t="shared" si="109"/>
        <v>0</v>
      </c>
      <c r="W84" s="157">
        <f>+R84+IFERROR(VLOOKUP($A84,'A0 BS 1240在建'!$1:$1048576,25,0),0)</f>
        <v>0</v>
      </c>
      <c r="X84" s="157">
        <f>+S84+IFERROR(VLOOKUP($A84,'B0 2264預收'!$1:$1048576,25,0),0)</f>
        <v>0</v>
      </c>
      <c r="Y84" s="157">
        <f t="shared" si="110"/>
        <v>0</v>
      </c>
      <c r="Z84" s="157">
        <f>+U84+IFERROR(+VLOOKUP($A84,'B0 2264預收'!$1:$1048576,26,0),0)</f>
        <v>0</v>
      </c>
      <c r="AA84" s="157">
        <f t="shared" si="111"/>
        <v>0</v>
      </c>
      <c r="AB84" s="158">
        <f>+W84+IFERROR(VLOOKUP($A84,'A0 BS 1240在建'!$1:$1048576,29,0),0)</f>
        <v>0</v>
      </c>
      <c r="AC84" s="158">
        <f>+X84+IFERROR(VLOOKUP($A84,'B0 2264預收'!$1:$1048576,29,0),0)</f>
        <v>0</v>
      </c>
      <c r="AD84" s="158">
        <f t="shared" si="112"/>
        <v>0</v>
      </c>
      <c r="AE84" s="158">
        <f>+Z84+IFERROR(+VLOOKUP($A84,'B0 2264預收'!$1:$1048576,30,0),0)</f>
        <v>0</v>
      </c>
      <c r="AF84" s="158">
        <f t="shared" si="113"/>
        <v>0</v>
      </c>
      <c r="AG84" s="157">
        <f>+AB84+IFERROR(VLOOKUP($A84,'A0 BS 1240在建'!$1:$1048576,33,0),0)</f>
        <v>0</v>
      </c>
      <c r="AH84" s="157">
        <f>+AC84+IFERROR(VLOOKUP($A84,'B0 2264預收'!$1:$1048576,33,0),0)</f>
        <v>0</v>
      </c>
      <c r="AI84" s="157">
        <f t="shared" si="114"/>
        <v>0</v>
      </c>
      <c r="AJ84" s="157">
        <f>+AE84+IFERROR(+VLOOKUP($A84,'B0 2264預收'!$1:$1048576,34,0),0)</f>
        <v>0</v>
      </c>
      <c r="AK84" s="157">
        <f t="shared" si="115"/>
        <v>0</v>
      </c>
      <c r="AL84" s="158">
        <f>+AG84+IFERROR(VLOOKUP($A84,'A0 BS 1240在建'!$1:$1048576,37,0),0)</f>
        <v>0</v>
      </c>
      <c r="AM84" s="158">
        <f>+AH84+IFERROR(VLOOKUP($A84,'B0 2264預收'!$1:$1048576,37,0),0)</f>
        <v>0</v>
      </c>
      <c r="AN84" s="158">
        <f t="shared" si="116"/>
        <v>0</v>
      </c>
      <c r="AO84" s="158">
        <f>+AJ84+IFERROR(+VLOOKUP($A84,'B0 2264預收'!$1:$1048576,38,0),0)</f>
        <v>0</v>
      </c>
      <c r="AP84" s="158">
        <f t="shared" si="117"/>
        <v>0</v>
      </c>
      <c r="AQ84" s="157">
        <f>+AL84+IFERROR(VLOOKUP($A84,'A0 BS 1240在建'!$1:$1048576,41,0),0)</f>
        <v>0</v>
      </c>
      <c r="AR84" s="157">
        <f>+AM84+IFERROR(VLOOKUP($A84,'B0 2264預收'!$1:$1048576,41,0),0)</f>
        <v>0</v>
      </c>
      <c r="AS84" s="157">
        <f t="shared" si="118"/>
        <v>0</v>
      </c>
      <c r="AT84" s="157">
        <f>+AO84+IFERROR(+VLOOKUP($A84,'B0 2264預收'!$1:$1048576,42,0),0)</f>
        <v>0</v>
      </c>
      <c r="AU84" s="157">
        <f t="shared" si="119"/>
        <v>0</v>
      </c>
      <c r="AV84" s="158">
        <f>+AQ84+IFERROR(VLOOKUP($A84,'A0 BS 1240在建'!$1:$1048576,45,0),0)</f>
        <v>0</v>
      </c>
      <c r="AW84" s="158">
        <f>+AR84+IFERROR(VLOOKUP($A84,'B0 2264預收'!$1:$1048576,45,0),0)</f>
        <v>0</v>
      </c>
      <c r="AX84" s="158">
        <f t="shared" si="120"/>
        <v>0</v>
      </c>
      <c r="AY84" s="158">
        <f>+AT84+IFERROR(+VLOOKUP($A84,'B0 2264預收'!$1:$1048576,46,0),0)</f>
        <v>0</v>
      </c>
      <c r="AZ84" s="158">
        <f t="shared" si="121"/>
        <v>0</v>
      </c>
      <c r="BA84" s="157">
        <f>+AV84+IFERROR(VLOOKUP($A84,'A0 BS 1240在建'!$1:$1048576,49,0),0)</f>
        <v>0</v>
      </c>
      <c r="BB84" s="157">
        <f>+AW84+IFERROR(VLOOKUP($A84,'B0 2264預收'!$1:$1048576,49,0),0)</f>
        <v>0</v>
      </c>
      <c r="BC84" s="157">
        <f t="shared" si="122"/>
        <v>0</v>
      </c>
      <c r="BD84" s="157">
        <f>+AY84+IFERROR(+VLOOKUP($A84,'B0 2264預收'!$1:$1048576,50,0),0)</f>
        <v>0</v>
      </c>
      <c r="BE84" s="157">
        <f t="shared" si="123"/>
        <v>0</v>
      </c>
      <c r="BF84" s="158">
        <f>+BA84+IFERROR(VLOOKUP($A84,'A0 BS 1240在建'!$1:$1048576,53,0),0)</f>
        <v>0</v>
      </c>
      <c r="BG84" s="158">
        <f>+BB84+IFERROR(VLOOKUP($A84,'B0 2264預收'!$1:$1048576,53,0),0)</f>
        <v>0</v>
      </c>
      <c r="BH84" s="158">
        <f t="shared" si="124"/>
        <v>0</v>
      </c>
      <c r="BI84" s="158">
        <f>+BD84+IFERROR(+VLOOKUP($A84,'B0 2264預收'!$1:$1048576,54,0),0)</f>
        <v>0</v>
      </c>
      <c r="BJ84" s="158">
        <f t="shared" si="125"/>
        <v>0</v>
      </c>
      <c r="BK84" s="157">
        <f>+BF84+IFERROR(VLOOKUP($A84,'A0 BS 1240在建'!$1:$1048576,57,0),0)</f>
        <v>0</v>
      </c>
      <c r="BL84" s="157">
        <f>+BG84+IFERROR(VLOOKUP($A84,'B0 2264預收'!$1:$1048576,57,0),0)</f>
        <v>0</v>
      </c>
      <c r="BM84" s="157">
        <f t="shared" si="126"/>
        <v>0</v>
      </c>
      <c r="BN84" s="157">
        <f>+BI84+IFERROR(+VLOOKUP($A84,'B0 2264預收'!$1:$1048576,58,0),0)</f>
        <v>0</v>
      </c>
      <c r="BO84" s="157">
        <f t="shared" si="127"/>
        <v>0</v>
      </c>
      <c r="BP84" s="158">
        <f>+BK84+IFERROR(VLOOKUP($A84,'A0 BS 1240在建'!$1:$1048576,61,0),0)</f>
        <v>0</v>
      </c>
      <c r="BQ84" s="158">
        <f>+BL84+IFERROR(VLOOKUP($A84,'B0 2264預收'!$1:$1048576,61,0),0)</f>
        <v>0</v>
      </c>
      <c r="BR84" s="159">
        <f t="shared" si="128"/>
        <v>0</v>
      </c>
      <c r="BS84" s="158">
        <f>+BN84+IFERROR(+VLOOKUP($A84,'B0 2264預收'!$1:$1048576,62,0),0)</f>
        <v>0</v>
      </c>
      <c r="BT84" s="158">
        <f t="shared" si="129"/>
        <v>0</v>
      </c>
      <c r="BU84" s="157">
        <f>+IFERROR(VLOOKUP($A84,'A0 BS 1240在建'!$1:$1048576,77,0),0)</f>
        <v>0</v>
      </c>
      <c r="BV84" s="157">
        <f>+IFERROR(VLOOKUP($A84,'B0 2264預收'!$1:$1048576,77,0),0)</f>
        <v>0</v>
      </c>
      <c r="BW84" s="157">
        <f t="shared" si="130"/>
        <v>0</v>
      </c>
      <c r="BX84" s="157">
        <f>+IFERROR(+VLOOKUP($A84,'B0 2264預收'!$1:$1048576,78,0),0)</f>
        <v>0</v>
      </c>
      <c r="BY84" s="157">
        <f t="shared" si="131"/>
        <v>0</v>
      </c>
      <c r="BZ84" s="158">
        <f>IFERROR(+VLOOKUP($A84,'A0 BS 1240在建'!$1:$1048576,85,0),0)</f>
        <v>0</v>
      </c>
      <c r="CA84" s="158">
        <f>IFERROR(+VLOOKUP($A84,'B0 2264預收'!$1:$1048576,85,0),0)</f>
        <v>0</v>
      </c>
      <c r="CB84" s="158">
        <f t="shared" si="132"/>
        <v>0</v>
      </c>
      <c r="CC84" s="158">
        <f>+IFERROR(+VLOOKUP($A84,'B0 2264預收'!$1:$1048576,86,0),0)</f>
        <v>0</v>
      </c>
      <c r="CD84" s="158">
        <f t="shared" si="133"/>
        <v>0</v>
      </c>
      <c r="CE84" s="157">
        <f>+IFERROR(VLOOKUP($A84,'A0 BS 1240在建'!$1:$1048576,93,0),0)</f>
        <v>0</v>
      </c>
      <c r="CF84" s="157">
        <f>+IFERROR(VLOOKUP($A84,'B0 2264預收'!$1:$1048576,93,0),0)</f>
        <v>0</v>
      </c>
      <c r="CG84" s="157">
        <f t="shared" si="134"/>
        <v>0</v>
      </c>
      <c r="CH84" s="157">
        <f>+IFERROR(+VLOOKUP($A84,'B0 2264預收'!$1:$1048576,94,0),0)</f>
        <v>0</v>
      </c>
      <c r="CI84" s="157">
        <f t="shared" si="135"/>
        <v>0</v>
      </c>
      <c r="CJ84" s="158">
        <f>IFERROR(+VLOOKUP($A84,'A0 BS 1240在建'!$1:$1048576,101,0),0)</f>
        <v>0</v>
      </c>
      <c r="CK84" s="158">
        <f>IFERROR(+VLOOKUP($A84,'B0 2264預收'!$1:$1048576,101,0),0)</f>
        <v>0</v>
      </c>
      <c r="CL84" s="158">
        <f t="shared" si="136"/>
        <v>0</v>
      </c>
      <c r="CM84" s="158">
        <f>+IFERROR(+VLOOKUP($A84,'B0 2264預收'!$1:$1048576,102,0),0)</f>
        <v>0</v>
      </c>
      <c r="CN84" s="158">
        <f t="shared" si="137"/>
        <v>0</v>
      </c>
      <c r="CP84" s="98">
        <f t="shared" si="150"/>
        <v>0</v>
      </c>
      <c r="CU84" s="98">
        <f t="shared" si="151"/>
        <v>0</v>
      </c>
      <c r="CY84" s="162" t="str">
        <f t="shared" si="138"/>
        <v/>
      </c>
      <c r="CZ84" s="98" t="str">
        <f t="shared" si="139"/>
        <v xml:space="preserve"> </v>
      </c>
      <c r="DA84" s="98" t="str">
        <f t="shared" si="140"/>
        <v xml:space="preserve"> </v>
      </c>
      <c r="DB84" s="98" t="str">
        <f t="shared" si="141"/>
        <v xml:space="preserve"> </v>
      </c>
      <c r="DC84" s="163">
        <f t="shared" si="142"/>
        <v>0</v>
      </c>
      <c r="DD84" s="162" t="str">
        <f t="shared" si="146"/>
        <v/>
      </c>
      <c r="DE84" s="98" t="str">
        <f t="shared" si="147"/>
        <v xml:space="preserve"> </v>
      </c>
      <c r="DF84" s="98" t="str">
        <f t="shared" si="148"/>
        <v xml:space="preserve"> </v>
      </c>
      <c r="DG84" s="98" t="str">
        <f t="shared" si="149"/>
        <v xml:space="preserve"> </v>
      </c>
      <c r="DH84" s="163">
        <f t="shared" si="143"/>
        <v>0</v>
      </c>
    </row>
    <row r="85" spans="1:112">
      <c r="A85" s="171" t="s">
        <v>462</v>
      </c>
      <c r="B85" s="172" t="s">
        <v>348</v>
      </c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102"/>
        <v>0</v>
      </c>
      <c r="F85" s="157">
        <f>IFERROR(VLOOKUP($A85,'B0 2264預收'!$1:$1048576,6,0),0)</f>
        <v>0</v>
      </c>
      <c r="G85" s="157">
        <f t="shared" si="103"/>
        <v>0</v>
      </c>
      <c r="H85" s="158">
        <f>IFERROR(VLOOKUP($A85,'A0 BS 1240在建'!$1:$1048576,13,0),0)</f>
        <v>0</v>
      </c>
      <c r="I85" s="158">
        <f>IFERROR(VLOOKUP($A85,'B0 2264預收'!$1:$1048576,13,0),0)</f>
        <v>0</v>
      </c>
      <c r="J85" s="158">
        <f t="shared" si="104"/>
        <v>0</v>
      </c>
      <c r="K85" s="158">
        <f>IFERROR(VLOOKUP($A85,'B0 2264預收'!$1:$1048576,14,0),0)</f>
        <v>0</v>
      </c>
      <c r="L85" s="158">
        <f t="shared" si="105"/>
        <v>0</v>
      </c>
      <c r="M85" s="157">
        <f>H85+IFERROR(VLOOKUP($A85,'A0 BS 1240在建'!$1:$1048576,17,0),0)</f>
        <v>0</v>
      </c>
      <c r="N85" s="157">
        <f>I85+IFERROR(VLOOKUP($A85,'B0 2264預收'!$1:$1048576,17,0),0)</f>
        <v>0</v>
      </c>
      <c r="O85" s="157">
        <f t="shared" si="106"/>
        <v>0</v>
      </c>
      <c r="P85" s="157">
        <f>K85+IFERROR(+VLOOKUP($A85,'B0 2264預收'!$1:$1048576,18,0),0)</f>
        <v>0</v>
      </c>
      <c r="Q85" s="157">
        <f t="shared" si="107"/>
        <v>0</v>
      </c>
      <c r="R85" s="158">
        <f>M85+IFERROR(VLOOKUP($A85,'A0 BS 1240在建'!$1:$1048576,21,0),0)</f>
        <v>0</v>
      </c>
      <c r="S85" s="158">
        <f>+N85+IFERROR(VLOOKUP($A85,'B0 2264預收'!$1:$1048576,21,0),0)</f>
        <v>0</v>
      </c>
      <c r="T85" s="158">
        <f t="shared" si="108"/>
        <v>0</v>
      </c>
      <c r="U85" s="158">
        <f>+P85+IFERROR(+VLOOKUP($A85,'B0 2264預收'!$1:$1048576,22,0),0)</f>
        <v>0</v>
      </c>
      <c r="V85" s="158">
        <f t="shared" si="109"/>
        <v>0</v>
      </c>
      <c r="W85" s="157">
        <f>+R85+IFERROR(VLOOKUP($A85,'A0 BS 1240在建'!$1:$1048576,25,0),0)</f>
        <v>0</v>
      </c>
      <c r="X85" s="157">
        <f>+S85+IFERROR(VLOOKUP($A85,'B0 2264預收'!$1:$1048576,25,0),0)</f>
        <v>0</v>
      </c>
      <c r="Y85" s="157">
        <f t="shared" si="110"/>
        <v>0</v>
      </c>
      <c r="Z85" s="157">
        <f>+U85+IFERROR(+VLOOKUP($A85,'B0 2264預收'!$1:$1048576,26,0),0)</f>
        <v>0</v>
      </c>
      <c r="AA85" s="157">
        <f t="shared" si="111"/>
        <v>0</v>
      </c>
      <c r="AB85" s="158">
        <f>+W85+IFERROR(VLOOKUP($A85,'A0 BS 1240在建'!$1:$1048576,29,0),0)</f>
        <v>0</v>
      </c>
      <c r="AC85" s="158">
        <f>+X85+IFERROR(VLOOKUP($A85,'B0 2264預收'!$1:$1048576,29,0),0)</f>
        <v>0</v>
      </c>
      <c r="AD85" s="158">
        <f t="shared" si="112"/>
        <v>0</v>
      </c>
      <c r="AE85" s="158">
        <f>+Z85+IFERROR(+VLOOKUP($A85,'B0 2264預收'!$1:$1048576,30,0),0)</f>
        <v>0</v>
      </c>
      <c r="AF85" s="158">
        <f t="shared" si="113"/>
        <v>0</v>
      </c>
      <c r="AG85" s="157">
        <f>+AB85+IFERROR(VLOOKUP($A85,'A0 BS 1240在建'!$1:$1048576,33,0),0)</f>
        <v>0</v>
      </c>
      <c r="AH85" s="157">
        <f>+AC85+IFERROR(VLOOKUP($A85,'B0 2264預收'!$1:$1048576,33,0),0)</f>
        <v>0</v>
      </c>
      <c r="AI85" s="157">
        <f t="shared" si="114"/>
        <v>0</v>
      </c>
      <c r="AJ85" s="157">
        <f>+AE85+IFERROR(+VLOOKUP($A85,'B0 2264預收'!$1:$1048576,34,0),0)</f>
        <v>0</v>
      </c>
      <c r="AK85" s="157">
        <f t="shared" si="115"/>
        <v>0</v>
      </c>
      <c r="AL85" s="158">
        <f>+AG85+IFERROR(VLOOKUP($A85,'A0 BS 1240在建'!$1:$1048576,37,0),0)</f>
        <v>0</v>
      </c>
      <c r="AM85" s="158">
        <f>+AH85+IFERROR(VLOOKUP($A85,'B0 2264預收'!$1:$1048576,37,0),0)</f>
        <v>0</v>
      </c>
      <c r="AN85" s="158">
        <f t="shared" si="116"/>
        <v>0</v>
      </c>
      <c r="AO85" s="158">
        <f>+AJ85+IFERROR(+VLOOKUP($A85,'B0 2264預收'!$1:$1048576,38,0),0)</f>
        <v>0</v>
      </c>
      <c r="AP85" s="158">
        <f t="shared" si="117"/>
        <v>0</v>
      </c>
      <c r="AQ85" s="157">
        <f>+AL85+IFERROR(VLOOKUP($A85,'A0 BS 1240在建'!$1:$1048576,41,0),0)</f>
        <v>0</v>
      </c>
      <c r="AR85" s="157">
        <f>+AM85+IFERROR(VLOOKUP($A85,'B0 2264預收'!$1:$1048576,41,0),0)</f>
        <v>0</v>
      </c>
      <c r="AS85" s="157">
        <f t="shared" si="118"/>
        <v>0</v>
      </c>
      <c r="AT85" s="157">
        <f>+AO85+IFERROR(+VLOOKUP($A85,'B0 2264預收'!$1:$1048576,42,0),0)</f>
        <v>0</v>
      </c>
      <c r="AU85" s="157">
        <f t="shared" si="119"/>
        <v>0</v>
      </c>
      <c r="AV85" s="158">
        <f>+AQ85+IFERROR(VLOOKUP($A85,'A0 BS 1240在建'!$1:$1048576,45,0),0)</f>
        <v>0</v>
      </c>
      <c r="AW85" s="158">
        <f>+AR85+IFERROR(VLOOKUP($A85,'B0 2264預收'!$1:$1048576,45,0),0)</f>
        <v>0</v>
      </c>
      <c r="AX85" s="158">
        <f t="shared" si="120"/>
        <v>0</v>
      </c>
      <c r="AY85" s="158">
        <f>+AT85+IFERROR(+VLOOKUP($A85,'B0 2264預收'!$1:$1048576,46,0),0)</f>
        <v>0</v>
      </c>
      <c r="AZ85" s="158">
        <f t="shared" si="121"/>
        <v>0</v>
      </c>
      <c r="BA85" s="157">
        <f>+AV85+IFERROR(VLOOKUP($A85,'A0 BS 1240在建'!$1:$1048576,49,0),0)</f>
        <v>0</v>
      </c>
      <c r="BB85" s="157">
        <f>+AW85+IFERROR(VLOOKUP($A85,'B0 2264預收'!$1:$1048576,49,0),0)</f>
        <v>0</v>
      </c>
      <c r="BC85" s="157">
        <f t="shared" si="122"/>
        <v>0</v>
      </c>
      <c r="BD85" s="157">
        <f>+AY85+IFERROR(+VLOOKUP($A85,'B0 2264預收'!$1:$1048576,50,0),0)</f>
        <v>0</v>
      </c>
      <c r="BE85" s="157">
        <f t="shared" si="123"/>
        <v>0</v>
      </c>
      <c r="BF85" s="158">
        <f>+BA85+IFERROR(VLOOKUP($A85,'A0 BS 1240在建'!$1:$1048576,53,0),0)</f>
        <v>0</v>
      </c>
      <c r="BG85" s="158">
        <f>+BB85+IFERROR(VLOOKUP($A85,'B0 2264預收'!$1:$1048576,53,0),0)</f>
        <v>0</v>
      </c>
      <c r="BH85" s="158">
        <f t="shared" si="124"/>
        <v>0</v>
      </c>
      <c r="BI85" s="158">
        <f>+BD85+IFERROR(+VLOOKUP($A85,'B0 2264預收'!$1:$1048576,54,0),0)</f>
        <v>0</v>
      </c>
      <c r="BJ85" s="158">
        <f t="shared" si="125"/>
        <v>0</v>
      </c>
      <c r="BK85" s="157">
        <f>+BF85+IFERROR(VLOOKUP($A85,'A0 BS 1240在建'!$1:$1048576,57,0),0)</f>
        <v>0</v>
      </c>
      <c r="BL85" s="157">
        <f>+BG85+IFERROR(VLOOKUP($A85,'B0 2264預收'!$1:$1048576,57,0),0)</f>
        <v>0</v>
      </c>
      <c r="BM85" s="157">
        <f t="shared" si="126"/>
        <v>0</v>
      </c>
      <c r="BN85" s="157">
        <f>+BI85+IFERROR(+VLOOKUP($A85,'B0 2264預收'!$1:$1048576,58,0),0)</f>
        <v>0</v>
      </c>
      <c r="BO85" s="157">
        <f t="shared" si="127"/>
        <v>0</v>
      </c>
      <c r="BP85" s="158">
        <f>+BK85+IFERROR(VLOOKUP($A85,'A0 BS 1240在建'!$1:$1048576,61,0),0)</f>
        <v>0</v>
      </c>
      <c r="BQ85" s="158">
        <f>+BL85+IFERROR(VLOOKUP($A85,'B0 2264預收'!$1:$1048576,61,0),0)</f>
        <v>0</v>
      </c>
      <c r="BR85" s="159">
        <f t="shared" si="128"/>
        <v>0</v>
      </c>
      <c r="BS85" s="158">
        <f>+BN85+IFERROR(+VLOOKUP($A85,'B0 2264預收'!$1:$1048576,62,0),0)</f>
        <v>0</v>
      </c>
      <c r="BT85" s="158">
        <f t="shared" si="129"/>
        <v>0</v>
      </c>
      <c r="BU85" s="157">
        <f>+IFERROR(VLOOKUP($A85,'A0 BS 1240在建'!$1:$1048576,77,0),0)</f>
        <v>0</v>
      </c>
      <c r="BV85" s="157">
        <f>+IFERROR(VLOOKUP($A85,'B0 2264預收'!$1:$1048576,77,0),0)</f>
        <v>0</v>
      </c>
      <c r="BW85" s="157">
        <f t="shared" si="130"/>
        <v>0</v>
      </c>
      <c r="BX85" s="157">
        <f>+IFERROR(+VLOOKUP($A85,'B0 2264預收'!$1:$1048576,78,0),0)</f>
        <v>0</v>
      </c>
      <c r="BY85" s="157">
        <f t="shared" si="131"/>
        <v>0</v>
      </c>
      <c r="BZ85" s="158">
        <f>IFERROR(+VLOOKUP($A85,'A0 BS 1240在建'!$1:$1048576,85,0),0)</f>
        <v>0</v>
      </c>
      <c r="CA85" s="158">
        <f>IFERROR(+VLOOKUP($A85,'B0 2264預收'!$1:$1048576,85,0),0)</f>
        <v>0</v>
      </c>
      <c r="CB85" s="158">
        <f t="shared" si="132"/>
        <v>0</v>
      </c>
      <c r="CC85" s="158">
        <f>+IFERROR(+VLOOKUP($A85,'B0 2264預收'!$1:$1048576,86,0),0)</f>
        <v>0</v>
      </c>
      <c r="CD85" s="158">
        <f t="shared" si="133"/>
        <v>0</v>
      </c>
      <c r="CE85" s="157">
        <f>+IFERROR(VLOOKUP($A85,'A0 BS 1240在建'!$1:$1048576,93,0),0)</f>
        <v>0</v>
      </c>
      <c r="CF85" s="157">
        <f>+IFERROR(VLOOKUP($A85,'B0 2264預收'!$1:$1048576,93,0),0)</f>
        <v>0</v>
      </c>
      <c r="CG85" s="157">
        <f t="shared" si="134"/>
        <v>0</v>
      </c>
      <c r="CH85" s="157">
        <f>+IFERROR(+VLOOKUP($A85,'B0 2264預收'!$1:$1048576,94,0),0)</f>
        <v>0</v>
      </c>
      <c r="CI85" s="157">
        <f t="shared" si="135"/>
        <v>0</v>
      </c>
      <c r="CJ85" s="158">
        <f>IFERROR(+VLOOKUP($A85,'A0 BS 1240在建'!$1:$1048576,101,0),0)</f>
        <v>0</v>
      </c>
      <c r="CK85" s="158">
        <f>IFERROR(+VLOOKUP($A85,'B0 2264預收'!$1:$1048576,101,0),0)</f>
        <v>0</v>
      </c>
      <c r="CL85" s="158">
        <f t="shared" si="136"/>
        <v>0</v>
      </c>
      <c r="CM85" s="158">
        <f>+IFERROR(+VLOOKUP($A85,'B0 2264預收'!$1:$1048576,102,0),0)</f>
        <v>0</v>
      </c>
      <c r="CN85" s="158">
        <f t="shared" si="137"/>
        <v>0</v>
      </c>
      <c r="CP85" s="98">
        <f t="shared" si="150"/>
        <v>0</v>
      </c>
      <c r="CU85" s="98">
        <f t="shared" si="151"/>
        <v>0</v>
      </c>
      <c r="CY85" s="162" t="str">
        <f t="shared" si="138"/>
        <v/>
      </c>
      <c r="CZ85" s="98" t="str">
        <f t="shared" si="139"/>
        <v xml:space="preserve"> </v>
      </c>
      <c r="DA85" s="98" t="str">
        <f t="shared" si="140"/>
        <v xml:space="preserve"> </v>
      </c>
      <c r="DB85" s="98" t="str">
        <f t="shared" si="141"/>
        <v xml:space="preserve"> </v>
      </c>
      <c r="DC85" s="163">
        <f t="shared" si="142"/>
        <v>0</v>
      </c>
      <c r="DD85" s="162" t="str">
        <f t="shared" si="146"/>
        <v/>
      </c>
      <c r="DE85" s="98" t="str">
        <f t="shared" si="147"/>
        <v xml:space="preserve"> </v>
      </c>
      <c r="DF85" s="98" t="str">
        <f t="shared" si="148"/>
        <v xml:space="preserve"> </v>
      </c>
      <c r="DG85" s="98" t="str">
        <f t="shared" si="149"/>
        <v xml:space="preserve"> </v>
      </c>
      <c r="DH85" s="163">
        <f t="shared" si="143"/>
        <v>0</v>
      </c>
    </row>
    <row r="86" spans="1:112">
      <c r="A86" s="171" t="s">
        <v>463</v>
      </c>
      <c r="B86" s="172" t="s">
        <v>350</v>
      </c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102"/>
        <v>0</v>
      </c>
      <c r="F86" s="157">
        <f>IFERROR(VLOOKUP($A86,'B0 2264預收'!$1:$1048576,6,0),0)</f>
        <v>0</v>
      </c>
      <c r="G86" s="157">
        <f t="shared" si="103"/>
        <v>0</v>
      </c>
      <c r="H86" s="158">
        <f>IFERROR(VLOOKUP($A86,'A0 BS 1240在建'!$1:$1048576,13,0),0)</f>
        <v>0</v>
      </c>
      <c r="I86" s="158">
        <f>IFERROR(VLOOKUP($A86,'B0 2264預收'!$1:$1048576,13,0),0)</f>
        <v>0</v>
      </c>
      <c r="J86" s="158">
        <f t="shared" si="104"/>
        <v>0</v>
      </c>
      <c r="K86" s="158">
        <f>IFERROR(VLOOKUP($A86,'B0 2264預收'!$1:$1048576,14,0),0)</f>
        <v>0</v>
      </c>
      <c r="L86" s="158">
        <f t="shared" si="105"/>
        <v>0</v>
      </c>
      <c r="M86" s="157">
        <f>H86+IFERROR(VLOOKUP($A86,'A0 BS 1240在建'!$1:$1048576,17,0),0)</f>
        <v>0</v>
      </c>
      <c r="N86" s="157">
        <f>I86+IFERROR(VLOOKUP($A86,'B0 2264預收'!$1:$1048576,17,0),0)</f>
        <v>0</v>
      </c>
      <c r="O86" s="157">
        <f t="shared" si="106"/>
        <v>0</v>
      </c>
      <c r="P86" s="157">
        <f>K86+IFERROR(+VLOOKUP($A86,'B0 2264預收'!$1:$1048576,18,0),0)</f>
        <v>0</v>
      </c>
      <c r="Q86" s="157">
        <f t="shared" si="107"/>
        <v>0</v>
      </c>
      <c r="R86" s="158">
        <f>M86+IFERROR(VLOOKUP($A86,'A0 BS 1240在建'!$1:$1048576,21,0),0)</f>
        <v>0</v>
      </c>
      <c r="S86" s="158">
        <f>+N86+IFERROR(VLOOKUP($A86,'B0 2264預收'!$1:$1048576,21,0),0)</f>
        <v>0</v>
      </c>
      <c r="T86" s="158">
        <f t="shared" si="108"/>
        <v>0</v>
      </c>
      <c r="U86" s="158">
        <f>+P86+IFERROR(+VLOOKUP($A86,'B0 2264預收'!$1:$1048576,22,0),0)</f>
        <v>0</v>
      </c>
      <c r="V86" s="158">
        <f t="shared" si="109"/>
        <v>0</v>
      </c>
      <c r="W86" s="157">
        <f>+R86+IFERROR(VLOOKUP($A86,'A0 BS 1240在建'!$1:$1048576,25,0),0)</f>
        <v>0</v>
      </c>
      <c r="X86" s="157">
        <f>+S86+IFERROR(VLOOKUP($A86,'B0 2264預收'!$1:$1048576,25,0),0)</f>
        <v>0</v>
      </c>
      <c r="Y86" s="157">
        <f t="shared" si="110"/>
        <v>0</v>
      </c>
      <c r="Z86" s="157">
        <f>+U86+IFERROR(+VLOOKUP($A86,'B0 2264預收'!$1:$1048576,26,0),0)</f>
        <v>0</v>
      </c>
      <c r="AA86" s="157">
        <f t="shared" si="111"/>
        <v>0</v>
      </c>
      <c r="AB86" s="158">
        <f>+W86+IFERROR(VLOOKUP($A86,'A0 BS 1240在建'!$1:$1048576,29,0),0)</f>
        <v>0</v>
      </c>
      <c r="AC86" s="158">
        <f>+X86+IFERROR(VLOOKUP($A86,'B0 2264預收'!$1:$1048576,29,0),0)</f>
        <v>0</v>
      </c>
      <c r="AD86" s="158">
        <f t="shared" si="112"/>
        <v>0</v>
      </c>
      <c r="AE86" s="158">
        <f>+Z86+IFERROR(+VLOOKUP($A86,'B0 2264預收'!$1:$1048576,30,0),0)</f>
        <v>0</v>
      </c>
      <c r="AF86" s="158">
        <f t="shared" si="113"/>
        <v>0</v>
      </c>
      <c r="AG86" s="157">
        <f>+AB86+IFERROR(VLOOKUP($A86,'A0 BS 1240在建'!$1:$1048576,33,0),0)</f>
        <v>0</v>
      </c>
      <c r="AH86" s="157">
        <f>+AC86+IFERROR(VLOOKUP($A86,'B0 2264預收'!$1:$1048576,33,0),0)</f>
        <v>0</v>
      </c>
      <c r="AI86" s="157">
        <f t="shared" si="114"/>
        <v>0</v>
      </c>
      <c r="AJ86" s="157">
        <f>+AE86+IFERROR(+VLOOKUP($A86,'B0 2264預收'!$1:$1048576,34,0),0)</f>
        <v>0</v>
      </c>
      <c r="AK86" s="157">
        <f t="shared" si="115"/>
        <v>0</v>
      </c>
      <c r="AL86" s="158">
        <f>+AG86+IFERROR(VLOOKUP($A86,'A0 BS 1240在建'!$1:$1048576,37,0),0)</f>
        <v>0</v>
      </c>
      <c r="AM86" s="158">
        <f>+AH86+IFERROR(VLOOKUP($A86,'B0 2264預收'!$1:$1048576,37,0),0)</f>
        <v>0</v>
      </c>
      <c r="AN86" s="158">
        <f t="shared" si="116"/>
        <v>0</v>
      </c>
      <c r="AO86" s="158">
        <f>+AJ86+IFERROR(+VLOOKUP($A86,'B0 2264預收'!$1:$1048576,38,0),0)</f>
        <v>0</v>
      </c>
      <c r="AP86" s="158">
        <f t="shared" si="117"/>
        <v>0</v>
      </c>
      <c r="AQ86" s="157">
        <f>+AL86+IFERROR(VLOOKUP($A86,'A0 BS 1240在建'!$1:$1048576,41,0),0)</f>
        <v>0</v>
      </c>
      <c r="AR86" s="157">
        <f>+AM86+IFERROR(VLOOKUP($A86,'B0 2264預收'!$1:$1048576,41,0),0)</f>
        <v>0</v>
      </c>
      <c r="AS86" s="157">
        <f t="shared" si="118"/>
        <v>0</v>
      </c>
      <c r="AT86" s="157">
        <f>+AO86+IFERROR(+VLOOKUP($A86,'B0 2264預收'!$1:$1048576,42,0),0)</f>
        <v>0</v>
      </c>
      <c r="AU86" s="157">
        <f t="shared" si="119"/>
        <v>0</v>
      </c>
      <c r="AV86" s="158">
        <f>+AQ86+IFERROR(VLOOKUP($A86,'A0 BS 1240在建'!$1:$1048576,45,0),0)</f>
        <v>0</v>
      </c>
      <c r="AW86" s="158">
        <f>+AR86+IFERROR(VLOOKUP($A86,'B0 2264預收'!$1:$1048576,45,0),0)</f>
        <v>0</v>
      </c>
      <c r="AX86" s="158">
        <f t="shared" si="120"/>
        <v>0</v>
      </c>
      <c r="AY86" s="158">
        <f>+AT86+IFERROR(+VLOOKUP($A86,'B0 2264預收'!$1:$1048576,46,0),0)</f>
        <v>0</v>
      </c>
      <c r="AZ86" s="158">
        <f t="shared" si="121"/>
        <v>0</v>
      </c>
      <c r="BA86" s="157">
        <f>+AV86+IFERROR(VLOOKUP($A86,'A0 BS 1240在建'!$1:$1048576,49,0),0)</f>
        <v>0</v>
      </c>
      <c r="BB86" s="157">
        <f>+AW86+IFERROR(VLOOKUP($A86,'B0 2264預收'!$1:$1048576,49,0),0)</f>
        <v>0</v>
      </c>
      <c r="BC86" s="157">
        <f t="shared" si="122"/>
        <v>0</v>
      </c>
      <c r="BD86" s="157">
        <f>+AY86+IFERROR(+VLOOKUP($A86,'B0 2264預收'!$1:$1048576,50,0),0)</f>
        <v>0</v>
      </c>
      <c r="BE86" s="157">
        <f t="shared" si="123"/>
        <v>0</v>
      </c>
      <c r="BF86" s="158">
        <f>+BA86+IFERROR(VLOOKUP($A86,'A0 BS 1240在建'!$1:$1048576,53,0),0)</f>
        <v>0</v>
      </c>
      <c r="BG86" s="158">
        <f>+BB86+IFERROR(VLOOKUP($A86,'B0 2264預收'!$1:$1048576,53,0),0)</f>
        <v>0</v>
      </c>
      <c r="BH86" s="158">
        <f t="shared" si="124"/>
        <v>0</v>
      </c>
      <c r="BI86" s="158">
        <f>+BD86+IFERROR(+VLOOKUP($A86,'B0 2264預收'!$1:$1048576,54,0),0)</f>
        <v>0</v>
      </c>
      <c r="BJ86" s="158">
        <f t="shared" si="125"/>
        <v>0</v>
      </c>
      <c r="BK86" s="157">
        <f>+BF86+IFERROR(VLOOKUP($A86,'A0 BS 1240在建'!$1:$1048576,57,0),0)</f>
        <v>0</v>
      </c>
      <c r="BL86" s="157">
        <f>+BG86+IFERROR(VLOOKUP($A86,'B0 2264預收'!$1:$1048576,57,0),0)</f>
        <v>0</v>
      </c>
      <c r="BM86" s="157">
        <f t="shared" si="126"/>
        <v>0</v>
      </c>
      <c r="BN86" s="157">
        <f>+BI86+IFERROR(+VLOOKUP($A86,'B0 2264預收'!$1:$1048576,58,0),0)</f>
        <v>0</v>
      </c>
      <c r="BO86" s="157">
        <f t="shared" si="127"/>
        <v>0</v>
      </c>
      <c r="BP86" s="158">
        <f>+BK86+IFERROR(VLOOKUP($A86,'A0 BS 1240在建'!$1:$1048576,61,0),0)</f>
        <v>0</v>
      </c>
      <c r="BQ86" s="158">
        <f>+BL86+IFERROR(VLOOKUP($A86,'B0 2264預收'!$1:$1048576,61,0),0)</f>
        <v>0</v>
      </c>
      <c r="BR86" s="159">
        <f t="shared" si="128"/>
        <v>0</v>
      </c>
      <c r="BS86" s="158">
        <f>+BN86+IFERROR(+VLOOKUP($A86,'B0 2264預收'!$1:$1048576,62,0),0)</f>
        <v>0</v>
      </c>
      <c r="BT86" s="158">
        <f t="shared" si="129"/>
        <v>0</v>
      </c>
      <c r="BU86" s="157">
        <f>+IFERROR(VLOOKUP($A86,'A0 BS 1240在建'!$1:$1048576,77,0),0)</f>
        <v>0</v>
      </c>
      <c r="BV86" s="157">
        <f>+IFERROR(VLOOKUP($A86,'B0 2264預收'!$1:$1048576,77,0),0)</f>
        <v>0</v>
      </c>
      <c r="BW86" s="157">
        <f t="shared" si="130"/>
        <v>0</v>
      </c>
      <c r="BX86" s="157">
        <f>+IFERROR(+VLOOKUP($A86,'B0 2264預收'!$1:$1048576,78,0),0)</f>
        <v>0</v>
      </c>
      <c r="BY86" s="157">
        <f t="shared" si="131"/>
        <v>0</v>
      </c>
      <c r="BZ86" s="158">
        <f>IFERROR(+VLOOKUP($A86,'A0 BS 1240在建'!$1:$1048576,85,0),0)</f>
        <v>0</v>
      </c>
      <c r="CA86" s="158">
        <f>IFERROR(+VLOOKUP($A86,'B0 2264預收'!$1:$1048576,85,0),0)</f>
        <v>0</v>
      </c>
      <c r="CB86" s="158">
        <f t="shared" si="132"/>
        <v>0</v>
      </c>
      <c r="CC86" s="158">
        <f>+IFERROR(+VLOOKUP($A86,'B0 2264預收'!$1:$1048576,86,0),0)</f>
        <v>0</v>
      </c>
      <c r="CD86" s="158">
        <f t="shared" si="133"/>
        <v>0</v>
      </c>
      <c r="CE86" s="157">
        <f>+IFERROR(VLOOKUP($A86,'A0 BS 1240在建'!$1:$1048576,93,0),0)</f>
        <v>0</v>
      </c>
      <c r="CF86" s="157">
        <f>+IFERROR(VLOOKUP($A86,'B0 2264預收'!$1:$1048576,93,0),0)</f>
        <v>0</v>
      </c>
      <c r="CG86" s="157">
        <f t="shared" si="134"/>
        <v>0</v>
      </c>
      <c r="CH86" s="157">
        <f>+IFERROR(+VLOOKUP($A86,'B0 2264預收'!$1:$1048576,94,0),0)</f>
        <v>0</v>
      </c>
      <c r="CI86" s="157">
        <f t="shared" si="135"/>
        <v>0</v>
      </c>
      <c r="CJ86" s="158">
        <f>IFERROR(+VLOOKUP($A86,'A0 BS 1240在建'!$1:$1048576,101,0),0)</f>
        <v>0</v>
      </c>
      <c r="CK86" s="158">
        <f>IFERROR(+VLOOKUP($A86,'B0 2264預收'!$1:$1048576,101,0),0)</f>
        <v>0</v>
      </c>
      <c r="CL86" s="158">
        <f t="shared" si="136"/>
        <v>0</v>
      </c>
      <c r="CM86" s="158">
        <f>+IFERROR(+VLOOKUP($A86,'B0 2264預收'!$1:$1048576,102,0),0)</f>
        <v>0</v>
      </c>
      <c r="CN86" s="158">
        <f t="shared" si="137"/>
        <v>0</v>
      </c>
      <c r="CP86" s="98">
        <f t="shared" si="150"/>
        <v>0</v>
      </c>
      <c r="CU86" s="98">
        <f t="shared" si="151"/>
        <v>0</v>
      </c>
      <c r="CY86" s="162" t="str">
        <f t="shared" si="138"/>
        <v/>
      </c>
      <c r="CZ86" s="98" t="str">
        <f t="shared" si="139"/>
        <v xml:space="preserve"> </v>
      </c>
      <c r="DA86" s="98" t="str">
        <f t="shared" si="140"/>
        <v xml:space="preserve"> </v>
      </c>
      <c r="DB86" s="98" t="str">
        <f t="shared" si="141"/>
        <v xml:space="preserve"> </v>
      </c>
      <c r="DC86" s="163">
        <f t="shared" si="142"/>
        <v>0</v>
      </c>
      <c r="DD86" s="162" t="str">
        <f t="shared" si="146"/>
        <v/>
      </c>
      <c r="DE86" s="98" t="str">
        <f t="shared" si="147"/>
        <v xml:space="preserve"> </v>
      </c>
      <c r="DF86" s="98" t="str">
        <f t="shared" si="148"/>
        <v xml:space="preserve"> </v>
      </c>
      <c r="DG86" s="98" t="str">
        <f t="shared" si="149"/>
        <v xml:space="preserve"> </v>
      </c>
      <c r="DH86" s="163">
        <f t="shared" si="143"/>
        <v>0</v>
      </c>
    </row>
    <row r="87" spans="1:112">
      <c r="A87" s="171" t="s">
        <v>464</v>
      </c>
      <c r="B87" s="172" t="s">
        <v>352</v>
      </c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102"/>
        <v>0</v>
      </c>
      <c r="F87" s="157">
        <f>IFERROR(VLOOKUP($A87,'B0 2264預收'!$1:$1048576,6,0),0)</f>
        <v>0</v>
      </c>
      <c r="G87" s="157">
        <f t="shared" si="103"/>
        <v>0</v>
      </c>
      <c r="H87" s="158">
        <f>IFERROR(VLOOKUP($A87,'A0 BS 1240在建'!$1:$1048576,13,0),0)</f>
        <v>0</v>
      </c>
      <c r="I87" s="158">
        <f>IFERROR(VLOOKUP($A87,'B0 2264預收'!$1:$1048576,13,0),0)</f>
        <v>0</v>
      </c>
      <c r="J87" s="158">
        <f t="shared" si="104"/>
        <v>0</v>
      </c>
      <c r="K87" s="158">
        <f>IFERROR(VLOOKUP($A87,'B0 2264預收'!$1:$1048576,14,0),0)</f>
        <v>0</v>
      </c>
      <c r="L87" s="158">
        <f t="shared" si="105"/>
        <v>0</v>
      </c>
      <c r="M87" s="157">
        <f>H87+IFERROR(VLOOKUP($A87,'A0 BS 1240在建'!$1:$1048576,17,0),0)</f>
        <v>0</v>
      </c>
      <c r="N87" s="157">
        <f>I87+IFERROR(VLOOKUP($A87,'B0 2264預收'!$1:$1048576,17,0),0)</f>
        <v>0</v>
      </c>
      <c r="O87" s="157">
        <f t="shared" si="106"/>
        <v>0</v>
      </c>
      <c r="P87" s="157">
        <f>K87+IFERROR(+VLOOKUP($A87,'B0 2264預收'!$1:$1048576,18,0),0)</f>
        <v>0</v>
      </c>
      <c r="Q87" s="157">
        <f t="shared" si="107"/>
        <v>0</v>
      </c>
      <c r="R87" s="158">
        <f>M87+IFERROR(VLOOKUP($A87,'A0 BS 1240在建'!$1:$1048576,21,0),0)</f>
        <v>0</v>
      </c>
      <c r="S87" s="158">
        <f>+N87+IFERROR(VLOOKUP($A87,'B0 2264預收'!$1:$1048576,21,0),0)</f>
        <v>0</v>
      </c>
      <c r="T87" s="158">
        <f t="shared" si="108"/>
        <v>0</v>
      </c>
      <c r="U87" s="158">
        <f>+P87+IFERROR(+VLOOKUP($A87,'B0 2264預收'!$1:$1048576,22,0),0)</f>
        <v>0</v>
      </c>
      <c r="V87" s="158">
        <f t="shared" si="109"/>
        <v>0</v>
      </c>
      <c r="W87" s="157">
        <f>+R87+IFERROR(VLOOKUP($A87,'A0 BS 1240在建'!$1:$1048576,25,0),0)</f>
        <v>0</v>
      </c>
      <c r="X87" s="157">
        <f>+S87+IFERROR(VLOOKUP($A87,'B0 2264預收'!$1:$1048576,25,0),0)</f>
        <v>0</v>
      </c>
      <c r="Y87" s="157">
        <f t="shared" si="110"/>
        <v>0</v>
      </c>
      <c r="Z87" s="157">
        <f>+U87+IFERROR(+VLOOKUP($A87,'B0 2264預收'!$1:$1048576,26,0),0)</f>
        <v>0</v>
      </c>
      <c r="AA87" s="157">
        <f t="shared" si="111"/>
        <v>0</v>
      </c>
      <c r="AB87" s="158">
        <f>+W87+IFERROR(VLOOKUP($A87,'A0 BS 1240在建'!$1:$1048576,29,0),0)</f>
        <v>0</v>
      </c>
      <c r="AC87" s="158">
        <f>+X87+IFERROR(VLOOKUP($A87,'B0 2264預收'!$1:$1048576,29,0),0)</f>
        <v>0</v>
      </c>
      <c r="AD87" s="158">
        <f t="shared" si="112"/>
        <v>0</v>
      </c>
      <c r="AE87" s="158">
        <f>+Z87+IFERROR(+VLOOKUP($A87,'B0 2264預收'!$1:$1048576,30,0),0)</f>
        <v>0</v>
      </c>
      <c r="AF87" s="158">
        <f t="shared" si="113"/>
        <v>0</v>
      </c>
      <c r="AG87" s="157">
        <f>+AB87+IFERROR(VLOOKUP($A87,'A0 BS 1240在建'!$1:$1048576,33,0),0)</f>
        <v>0</v>
      </c>
      <c r="AH87" s="157">
        <f>+AC87+IFERROR(VLOOKUP($A87,'B0 2264預收'!$1:$1048576,33,0),0)</f>
        <v>0</v>
      </c>
      <c r="AI87" s="157">
        <f t="shared" si="114"/>
        <v>0</v>
      </c>
      <c r="AJ87" s="157">
        <f>+AE87+IFERROR(+VLOOKUP($A87,'B0 2264預收'!$1:$1048576,34,0),0)</f>
        <v>0</v>
      </c>
      <c r="AK87" s="157">
        <f t="shared" si="115"/>
        <v>0</v>
      </c>
      <c r="AL87" s="158">
        <f>+AG87+IFERROR(VLOOKUP($A87,'A0 BS 1240在建'!$1:$1048576,37,0),0)</f>
        <v>0</v>
      </c>
      <c r="AM87" s="158">
        <f>+AH87+IFERROR(VLOOKUP($A87,'B0 2264預收'!$1:$1048576,37,0),0)</f>
        <v>0</v>
      </c>
      <c r="AN87" s="158">
        <f t="shared" si="116"/>
        <v>0</v>
      </c>
      <c r="AO87" s="158">
        <f>+AJ87+IFERROR(+VLOOKUP($A87,'B0 2264預收'!$1:$1048576,38,0),0)</f>
        <v>0</v>
      </c>
      <c r="AP87" s="158">
        <f t="shared" si="117"/>
        <v>0</v>
      </c>
      <c r="AQ87" s="157">
        <f>+AL87+IFERROR(VLOOKUP($A87,'A0 BS 1240在建'!$1:$1048576,41,0),0)</f>
        <v>0</v>
      </c>
      <c r="AR87" s="157">
        <f>+AM87+IFERROR(VLOOKUP($A87,'B0 2264預收'!$1:$1048576,41,0),0)</f>
        <v>0</v>
      </c>
      <c r="AS87" s="157">
        <f t="shared" si="118"/>
        <v>0</v>
      </c>
      <c r="AT87" s="157">
        <f>+AO87+IFERROR(+VLOOKUP($A87,'B0 2264預收'!$1:$1048576,42,0),0)</f>
        <v>0</v>
      </c>
      <c r="AU87" s="157">
        <f t="shared" si="119"/>
        <v>0</v>
      </c>
      <c r="AV87" s="158">
        <f>+AQ87+IFERROR(VLOOKUP($A87,'A0 BS 1240在建'!$1:$1048576,45,0),0)</f>
        <v>0</v>
      </c>
      <c r="AW87" s="158">
        <f>+AR87+IFERROR(VLOOKUP($A87,'B0 2264預收'!$1:$1048576,45,0),0)</f>
        <v>0</v>
      </c>
      <c r="AX87" s="158">
        <f t="shared" si="120"/>
        <v>0</v>
      </c>
      <c r="AY87" s="158">
        <f>+AT87+IFERROR(+VLOOKUP($A87,'B0 2264預收'!$1:$1048576,46,0),0)</f>
        <v>0</v>
      </c>
      <c r="AZ87" s="158">
        <f t="shared" si="121"/>
        <v>0</v>
      </c>
      <c r="BA87" s="157">
        <f>+AV87+IFERROR(VLOOKUP($A87,'A0 BS 1240在建'!$1:$1048576,49,0),0)</f>
        <v>0</v>
      </c>
      <c r="BB87" s="157">
        <f>+AW87+IFERROR(VLOOKUP($A87,'B0 2264預收'!$1:$1048576,49,0),0)</f>
        <v>0</v>
      </c>
      <c r="BC87" s="157">
        <f t="shared" si="122"/>
        <v>0</v>
      </c>
      <c r="BD87" s="157">
        <f>+AY87+IFERROR(+VLOOKUP($A87,'B0 2264預收'!$1:$1048576,50,0),0)</f>
        <v>0</v>
      </c>
      <c r="BE87" s="157">
        <f t="shared" si="123"/>
        <v>0</v>
      </c>
      <c r="BF87" s="158">
        <f>+BA87+IFERROR(VLOOKUP($A87,'A0 BS 1240在建'!$1:$1048576,53,0),0)</f>
        <v>0</v>
      </c>
      <c r="BG87" s="158">
        <f>+BB87+IFERROR(VLOOKUP($A87,'B0 2264預收'!$1:$1048576,53,0),0)</f>
        <v>0</v>
      </c>
      <c r="BH87" s="158">
        <f t="shared" si="124"/>
        <v>0</v>
      </c>
      <c r="BI87" s="158">
        <f>+BD87+IFERROR(+VLOOKUP($A87,'B0 2264預收'!$1:$1048576,54,0),0)</f>
        <v>0</v>
      </c>
      <c r="BJ87" s="158">
        <f t="shared" si="125"/>
        <v>0</v>
      </c>
      <c r="BK87" s="157">
        <f>+BF87+IFERROR(VLOOKUP($A87,'A0 BS 1240在建'!$1:$1048576,57,0),0)</f>
        <v>0</v>
      </c>
      <c r="BL87" s="157">
        <f>+BG87+IFERROR(VLOOKUP($A87,'B0 2264預收'!$1:$1048576,57,0),0)</f>
        <v>0</v>
      </c>
      <c r="BM87" s="157">
        <f t="shared" si="126"/>
        <v>0</v>
      </c>
      <c r="BN87" s="157">
        <f>+BI87+IFERROR(+VLOOKUP($A87,'B0 2264預收'!$1:$1048576,58,0),0)</f>
        <v>0</v>
      </c>
      <c r="BO87" s="157">
        <f t="shared" si="127"/>
        <v>0</v>
      </c>
      <c r="BP87" s="158">
        <f>+BK87+IFERROR(VLOOKUP($A87,'A0 BS 1240在建'!$1:$1048576,61,0),0)</f>
        <v>0</v>
      </c>
      <c r="BQ87" s="158">
        <f>+BL87+IFERROR(VLOOKUP($A87,'B0 2264預收'!$1:$1048576,61,0),0)</f>
        <v>0</v>
      </c>
      <c r="BR87" s="159">
        <f t="shared" si="128"/>
        <v>0</v>
      </c>
      <c r="BS87" s="158">
        <f>+BN87+IFERROR(+VLOOKUP($A87,'B0 2264預收'!$1:$1048576,62,0),0)</f>
        <v>0</v>
      </c>
      <c r="BT87" s="158">
        <f t="shared" si="129"/>
        <v>0</v>
      </c>
      <c r="BU87" s="157">
        <f>+IFERROR(VLOOKUP($A87,'A0 BS 1240在建'!$1:$1048576,77,0),0)</f>
        <v>0</v>
      </c>
      <c r="BV87" s="157">
        <f>+IFERROR(VLOOKUP($A87,'B0 2264預收'!$1:$1048576,77,0),0)</f>
        <v>0</v>
      </c>
      <c r="BW87" s="157">
        <f t="shared" si="130"/>
        <v>0</v>
      </c>
      <c r="BX87" s="157">
        <f>+IFERROR(+VLOOKUP($A87,'B0 2264預收'!$1:$1048576,78,0),0)</f>
        <v>0</v>
      </c>
      <c r="BY87" s="157">
        <f t="shared" si="131"/>
        <v>0</v>
      </c>
      <c r="BZ87" s="158">
        <f>IFERROR(+VLOOKUP($A87,'A0 BS 1240在建'!$1:$1048576,85,0),0)</f>
        <v>0</v>
      </c>
      <c r="CA87" s="158">
        <f>IFERROR(+VLOOKUP($A87,'B0 2264預收'!$1:$1048576,85,0),0)</f>
        <v>0</v>
      </c>
      <c r="CB87" s="158">
        <f t="shared" si="132"/>
        <v>0</v>
      </c>
      <c r="CC87" s="158">
        <f>+IFERROR(+VLOOKUP($A87,'B0 2264預收'!$1:$1048576,86,0),0)</f>
        <v>0</v>
      </c>
      <c r="CD87" s="158">
        <f t="shared" si="133"/>
        <v>0</v>
      </c>
      <c r="CE87" s="157">
        <f>+IFERROR(VLOOKUP($A87,'A0 BS 1240在建'!$1:$1048576,93,0),0)</f>
        <v>0</v>
      </c>
      <c r="CF87" s="157">
        <f>+IFERROR(VLOOKUP($A87,'B0 2264預收'!$1:$1048576,93,0),0)</f>
        <v>0</v>
      </c>
      <c r="CG87" s="157">
        <f t="shared" si="134"/>
        <v>0</v>
      </c>
      <c r="CH87" s="157">
        <f>+IFERROR(+VLOOKUP($A87,'B0 2264預收'!$1:$1048576,94,0),0)</f>
        <v>0</v>
      </c>
      <c r="CI87" s="157">
        <f t="shared" si="135"/>
        <v>0</v>
      </c>
      <c r="CJ87" s="158">
        <f>IFERROR(+VLOOKUP($A87,'A0 BS 1240在建'!$1:$1048576,101,0),0)</f>
        <v>0</v>
      </c>
      <c r="CK87" s="158">
        <f>IFERROR(+VLOOKUP($A87,'B0 2264預收'!$1:$1048576,101,0),0)</f>
        <v>0</v>
      </c>
      <c r="CL87" s="158">
        <f t="shared" si="136"/>
        <v>0</v>
      </c>
      <c r="CM87" s="158">
        <f>+IFERROR(+VLOOKUP($A87,'B0 2264預收'!$1:$1048576,102,0),0)</f>
        <v>0</v>
      </c>
      <c r="CN87" s="158">
        <f t="shared" si="137"/>
        <v>0</v>
      </c>
      <c r="CP87" s="98">
        <f t="shared" si="150"/>
        <v>0</v>
      </c>
      <c r="CU87" s="98">
        <f t="shared" si="151"/>
        <v>0</v>
      </c>
      <c r="CY87" s="162" t="str">
        <f t="shared" si="138"/>
        <v/>
      </c>
      <c r="CZ87" s="98" t="str">
        <f t="shared" si="139"/>
        <v xml:space="preserve"> </v>
      </c>
      <c r="DA87" s="98" t="str">
        <f t="shared" si="140"/>
        <v xml:space="preserve"> </v>
      </c>
      <c r="DB87" s="98" t="str">
        <f t="shared" si="141"/>
        <v xml:space="preserve"> </v>
      </c>
      <c r="DC87" s="163">
        <f t="shared" si="142"/>
        <v>0</v>
      </c>
      <c r="DD87" s="162" t="str">
        <f t="shared" si="146"/>
        <v/>
      </c>
      <c r="DE87" s="98" t="str">
        <f t="shared" si="147"/>
        <v xml:space="preserve"> </v>
      </c>
      <c r="DF87" s="98" t="str">
        <f t="shared" si="148"/>
        <v xml:space="preserve"> </v>
      </c>
      <c r="DG87" s="98" t="str">
        <f t="shared" si="149"/>
        <v xml:space="preserve"> </v>
      </c>
      <c r="DH87" s="163">
        <f t="shared" si="143"/>
        <v>0</v>
      </c>
    </row>
    <row r="88" spans="1:112">
      <c r="A88" s="179" t="s">
        <v>465</v>
      </c>
      <c r="B88" s="172" t="s">
        <v>466</v>
      </c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102"/>
        <v>0</v>
      </c>
      <c r="F88" s="157">
        <f>IFERROR(VLOOKUP($A88,'B0 2264預收'!$1:$1048576,6,0),0)</f>
        <v>0</v>
      </c>
      <c r="G88" s="157">
        <f t="shared" si="103"/>
        <v>0</v>
      </c>
      <c r="H88" s="158">
        <f>IFERROR(VLOOKUP($A88,'A0 BS 1240在建'!$1:$1048576,13,0),0)</f>
        <v>0</v>
      </c>
      <c r="I88" s="158">
        <f>IFERROR(VLOOKUP($A88,'B0 2264預收'!$1:$1048576,13,0),0)</f>
        <v>0</v>
      </c>
      <c r="J88" s="158">
        <f t="shared" si="104"/>
        <v>0</v>
      </c>
      <c r="K88" s="158">
        <f>IFERROR(VLOOKUP($A88,'B0 2264預收'!$1:$1048576,14,0),0)</f>
        <v>0</v>
      </c>
      <c r="L88" s="158">
        <f t="shared" si="105"/>
        <v>0</v>
      </c>
      <c r="M88" s="157">
        <f>H88+IFERROR(VLOOKUP($A88,'A0 BS 1240在建'!$1:$1048576,17,0),0)</f>
        <v>0</v>
      </c>
      <c r="N88" s="157">
        <f>I88+IFERROR(VLOOKUP($A88,'B0 2264預收'!$1:$1048576,17,0),0)</f>
        <v>0</v>
      </c>
      <c r="O88" s="157">
        <f t="shared" si="106"/>
        <v>0</v>
      </c>
      <c r="P88" s="157">
        <f>K88+IFERROR(+VLOOKUP($A88,'B0 2264預收'!$1:$1048576,18,0),0)</f>
        <v>0</v>
      </c>
      <c r="Q88" s="157">
        <f t="shared" si="107"/>
        <v>0</v>
      </c>
      <c r="R88" s="158">
        <f>M88+IFERROR(VLOOKUP($A88,'A0 BS 1240在建'!$1:$1048576,21,0),0)</f>
        <v>0</v>
      </c>
      <c r="S88" s="158">
        <f>+N88+IFERROR(VLOOKUP($A88,'B0 2264預收'!$1:$1048576,21,0),0)</f>
        <v>0</v>
      </c>
      <c r="T88" s="158">
        <f t="shared" si="108"/>
        <v>0</v>
      </c>
      <c r="U88" s="158">
        <f>+P88+IFERROR(+VLOOKUP($A88,'B0 2264預收'!$1:$1048576,22,0),0)</f>
        <v>0</v>
      </c>
      <c r="V88" s="158">
        <f t="shared" si="109"/>
        <v>0</v>
      </c>
      <c r="W88" s="157">
        <f>+R88+IFERROR(VLOOKUP($A88,'A0 BS 1240在建'!$1:$1048576,25,0),0)</f>
        <v>0</v>
      </c>
      <c r="X88" s="157">
        <f>+S88+IFERROR(VLOOKUP($A88,'B0 2264預收'!$1:$1048576,25,0),0)</f>
        <v>0</v>
      </c>
      <c r="Y88" s="157">
        <f t="shared" si="110"/>
        <v>0</v>
      </c>
      <c r="Z88" s="157">
        <f>+U88+IFERROR(+VLOOKUP($A88,'B0 2264預收'!$1:$1048576,26,0),0)</f>
        <v>0</v>
      </c>
      <c r="AA88" s="157">
        <f t="shared" si="111"/>
        <v>0</v>
      </c>
      <c r="AB88" s="158">
        <f>+W88+IFERROR(VLOOKUP($A88,'A0 BS 1240在建'!$1:$1048576,29,0),0)</f>
        <v>0</v>
      </c>
      <c r="AC88" s="158">
        <f>+X88+IFERROR(VLOOKUP($A88,'B0 2264預收'!$1:$1048576,29,0),0)</f>
        <v>0</v>
      </c>
      <c r="AD88" s="158">
        <f t="shared" si="112"/>
        <v>0</v>
      </c>
      <c r="AE88" s="158">
        <f>+Z88+IFERROR(+VLOOKUP($A88,'B0 2264預收'!$1:$1048576,30,0),0)</f>
        <v>0</v>
      </c>
      <c r="AF88" s="158">
        <f t="shared" si="113"/>
        <v>0</v>
      </c>
      <c r="AG88" s="157">
        <f>+AB88+IFERROR(VLOOKUP($A88,'A0 BS 1240在建'!$1:$1048576,33,0),0)</f>
        <v>0</v>
      </c>
      <c r="AH88" s="157">
        <f>+AC88+IFERROR(VLOOKUP($A88,'B0 2264預收'!$1:$1048576,33,0),0)</f>
        <v>0</v>
      </c>
      <c r="AI88" s="157">
        <f t="shared" si="114"/>
        <v>0</v>
      </c>
      <c r="AJ88" s="157">
        <f>+AE88+IFERROR(+VLOOKUP($A88,'B0 2264預收'!$1:$1048576,34,0),0)</f>
        <v>0</v>
      </c>
      <c r="AK88" s="157">
        <f t="shared" si="115"/>
        <v>0</v>
      </c>
      <c r="AL88" s="158">
        <f>+AG88+IFERROR(VLOOKUP($A88,'A0 BS 1240在建'!$1:$1048576,37,0),0)</f>
        <v>0</v>
      </c>
      <c r="AM88" s="158">
        <f>+AH88+IFERROR(VLOOKUP($A88,'B0 2264預收'!$1:$1048576,37,0),0)</f>
        <v>0</v>
      </c>
      <c r="AN88" s="158">
        <f t="shared" si="116"/>
        <v>0</v>
      </c>
      <c r="AO88" s="158">
        <f>+AJ88+IFERROR(+VLOOKUP($A88,'B0 2264預收'!$1:$1048576,38,0),0)</f>
        <v>0</v>
      </c>
      <c r="AP88" s="158">
        <f t="shared" si="117"/>
        <v>0</v>
      </c>
      <c r="AQ88" s="157">
        <f>+AL88+IFERROR(VLOOKUP($A88,'A0 BS 1240在建'!$1:$1048576,41,0),0)</f>
        <v>0</v>
      </c>
      <c r="AR88" s="157">
        <f>+AM88+IFERROR(VLOOKUP($A88,'B0 2264預收'!$1:$1048576,41,0),0)</f>
        <v>0</v>
      </c>
      <c r="AS88" s="157">
        <f t="shared" si="118"/>
        <v>0</v>
      </c>
      <c r="AT88" s="157">
        <f>+AO88+IFERROR(+VLOOKUP($A88,'B0 2264預收'!$1:$1048576,42,0),0)</f>
        <v>0</v>
      </c>
      <c r="AU88" s="157">
        <f t="shared" si="119"/>
        <v>0</v>
      </c>
      <c r="AV88" s="158">
        <f>+AQ88+IFERROR(VLOOKUP($A88,'A0 BS 1240在建'!$1:$1048576,45,0),0)</f>
        <v>0</v>
      </c>
      <c r="AW88" s="158">
        <f>+AR88+IFERROR(VLOOKUP($A88,'B0 2264預收'!$1:$1048576,45,0),0)</f>
        <v>0</v>
      </c>
      <c r="AX88" s="158">
        <f t="shared" si="120"/>
        <v>0</v>
      </c>
      <c r="AY88" s="158">
        <f>+AT88+IFERROR(+VLOOKUP($A88,'B0 2264預收'!$1:$1048576,46,0),0)</f>
        <v>0</v>
      </c>
      <c r="AZ88" s="158">
        <f t="shared" si="121"/>
        <v>0</v>
      </c>
      <c r="BA88" s="157">
        <f>+AV88+IFERROR(VLOOKUP($A88,'A0 BS 1240在建'!$1:$1048576,49,0),0)</f>
        <v>0</v>
      </c>
      <c r="BB88" s="157">
        <f>+AW88+IFERROR(VLOOKUP($A88,'B0 2264預收'!$1:$1048576,49,0),0)</f>
        <v>0</v>
      </c>
      <c r="BC88" s="157">
        <f t="shared" si="122"/>
        <v>0</v>
      </c>
      <c r="BD88" s="157">
        <f>+AY88+IFERROR(+VLOOKUP($A88,'B0 2264預收'!$1:$1048576,50,0),0)</f>
        <v>0</v>
      </c>
      <c r="BE88" s="157">
        <f t="shared" si="123"/>
        <v>0</v>
      </c>
      <c r="BF88" s="158">
        <f>+BA88+IFERROR(VLOOKUP($A88,'A0 BS 1240在建'!$1:$1048576,53,0),0)</f>
        <v>0</v>
      </c>
      <c r="BG88" s="158">
        <f>+BB88+IFERROR(VLOOKUP($A88,'B0 2264預收'!$1:$1048576,53,0),0)</f>
        <v>0</v>
      </c>
      <c r="BH88" s="158">
        <f t="shared" si="124"/>
        <v>0</v>
      </c>
      <c r="BI88" s="158">
        <f>+BD88+IFERROR(+VLOOKUP($A88,'B0 2264預收'!$1:$1048576,54,0),0)</f>
        <v>0</v>
      </c>
      <c r="BJ88" s="158">
        <f t="shared" si="125"/>
        <v>0</v>
      </c>
      <c r="BK88" s="157">
        <f>+BF88+IFERROR(VLOOKUP($A88,'A0 BS 1240在建'!$1:$1048576,57,0),0)</f>
        <v>0</v>
      </c>
      <c r="BL88" s="157">
        <f>+BG88+IFERROR(VLOOKUP($A88,'B0 2264預收'!$1:$1048576,57,0),0)</f>
        <v>0</v>
      </c>
      <c r="BM88" s="157">
        <f t="shared" si="126"/>
        <v>0</v>
      </c>
      <c r="BN88" s="157">
        <f>+BI88+IFERROR(+VLOOKUP($A88,'B0 2264預收'!$1:$1048576,58,0),0)</f>
        <v>0</v>
      </c>
      <c r="BO88" s="157">
        <f t="shared" si="127"/>
        <v>0</v>
      </c>
      <c r="BP88" s="158">
        <f>+BK88+IFERROR(VLOOKUP($A88,'A0 BS 1240在建'!$1:$1048576,61,0),0)</f>
        <v>0</v>
      </c>
      <c r="BQ88" s="158">
        <f>+BL88+IFERROR(VLOOKUP($A88,'B0 2264預收'!$1:$1048576,61,0),0)</f>
        <v>0</v>
      </c>
      <c r="BR88" s="159">
        <f t="shared" si="128"/>
        <v>0</v>
      </c>
      <c r="BS88" s="158">
        <f>+BN88+IFERROR(+VLOOKUP($A88,'B0 2264預收'!$1:$1048576,62,0),0)</f>
        <v>0</v>
      </c>
      <c r="BT88" s="158">
        <f t="shared" si="129"/>
        <v>0</v>
      </c>
      <c r="BU88" s="157">
        <f>+IFERROR(VLOOKUP($A88,'A0 BS 1240在建'!$1:$1048576,77,0),0)</f>
        <v>0</v>
      </c>
      <c r="BV88" s="157">
        <f>+IFERROR(VLOOKUP($A88,'B0 2264預收'!$1:$1048576,77,0),0)</f>
        <v>0</v>
      </c>
      <c r="BW88" s="157">
        <f t="shared" si="130"/>
        <v>0</v>
      </c>
      <c r="BX88" s="157">
        <f>+IFERROR(+VLOOKUP($A88,'B0 2264預收'!$1:$1048576,78,0),0)</f>
        <v>0</v>
      </c>
      <c r="BY88" s="157">
        <f t="shared" si="131"/>
        <v>0</v>
      </c>
      <c r="BZ88" s="158">
        <f>IFERROR(+VLOOKUP($A88,'A0 BS 1240在建'!$1:$1048576,85,0),0)</f>
        <v>0</v>
      </c>
      <c r="CA88" s="158">
        <f>IFERROR(+VLOOKUP($A88,'B0 2264預收'!$1:$1048576,85,0),0)</f>
        <v>0</v>
      </c>
      <c r="CB88" s="158">
        <f t="shared" si="132"/>
        <v>0</v>
      </c>
      <c r="CC88" s="158">
        <f>+IFERROR(+VLOOKUP($A88,'B0 2264預收'!$1:$1048576,86,0),0)</f>
        <v>0</v>
      </c>
      <c r="CD88" s="158">
        <f t="shared" si="133"/>
        <v>0</v>
      </c>
      <c r="CE88" s="157">
        <f>+IFERROR(VLOOKUP($A88,'A0 BS 1240在建'!$1:$1048576,93,0),0)</f>
        <v>0</v>
      </c>
      <c r="CF88" s="157">
        <f>+IFERROR(VLOOKUP($A88,'B0 2264預收'!$1:$1048576,93,0),0)</f>
        <v>0</v>
      </c>
      <c r="CG88" s="157">
        <f t="shared" si="134"/>
        <v>0</v>
      </c>
      <c r="CH88" s="157">
        <f>+IFERROR(+VLOOKUP($A88,'B0 2264預收'!$1:$1048576,94,0),0)</f>
        <v>0</v>
      </c>
      <c r="CI88" s="157">
        <f t="shared" si="135"/>
        <v>0</v>
      </c>
      <c r="CJ88" s="158">
        <f>IFERROR(+VLOOKUP($A88,'A0 BS 1240在建'!$1:$1048576,101,0),0)</f>
        <v>0</v>
      </c>
      <c r="CK88" s="158">
        <f>IFERROR(+VLOOKUP($A88,'B0 2264預收'!$1:$1048576,101,0),0)</f>
        <v>0</v>
      </c>
      <c r="CL88" s="158">
        <f t="shared" si="136"/>
        <v>0</v>
      </c>
      <c r="CM88" s="158">
        <f>+IFERROR(+VLOOKUP($A88,'B0 2264預收'!$1:$1048576,102,0),0)</f>
        <v>0</v>
      </c>
      <c r="CN88" s="158">
        <f t="shared" si="137"/>
        <v>0</v>
      </c>
      <c r="CP88" s="166">
        <f t="shared" si="150"/>
        <v>0</v>
      </c>
      <c r="CQ88" s="98">
        <f>+CP88</f>
        <v>0</v>
      </c>
      <c r="CU88" s="166">
        <f t="shared" si="151"/>
        <v>0</v>
      </c>
      <c r="CV88" s="98">
        <f>+CU88</f>
        <v>0</v>
      </c>
      <c r="CY88" s="162" t="str">
        <f t="shared" si="138"/>
        <v/>
      </c>
      <c r="CZ88" s="98" t="str">
        <f t="shared" si="139"/>
        <v xml:space="preserve"> </v>
      </c>
      <c r="DA88" s="98" t="str">
        <f t="shared" si="140"/>
        <v xml:space="preserve"> </v>
      </c>
      <c r="DB88" s="98" t="str">
        <f t="shared" si="141"/>
        <v xml:space="preserve"> </v>
      </c>
      <c r="DC88" s="163">
        <f t="shared" si="142"/>
        <v>0</v>
      </c>
      <c r="DD88" s="162" t="str">
        <f t="shared" si="146"/>
        <v/>
      </c>
      <c r="DE88" s="98" t="str">
        <f t="shared" si="147"/>
        <v xml:space="preserve"> </v>
      </c>
      <c r="DF88" s="98" t="str">
        <f t="shared" si="148"/>
        <v xml:space="preserve"> </v>
      </c>
      <c r="DG88" s="98" t="str">
        <f t="shared" si="149"/>
        <v xml:space="preserve"> </v>
      </c>
      <c r="DH88" s="163">
        <f t="shared" si="143"/>
        <v>0</v>
      </c>
    </row>
    <row r="89" spans="1:112" hidden="1">
      <c r="A89" s="179"/>
      <c r="B89" s="172"/>
      <c r="C89" s="157"/>
      <c r="D89" s="157"/>
      <c r="E89" s="157"/>
      <c r="F89" s="157"/>
      <c r="G89" s="157"/>
      <c r="H89" s="158"/>
      <c r="I89" s="158"/>
      <c r="J89" s="158"/>
      <c r="K89" s="158"/>
      <c r="L89" s="158"/>
      <c r="M89" s="157"/>
      <c r="N89" s="157"/>
      <c r="O89" s="157"/>
      <c r="P89" s="157"/>
      <c r="Q89" s="157"/>
      <c r="R89" s="158"/>
      <c r="S89" s="158"/>
      <c r="T89" s="158"/>
      <c r="U89" s="158"/>
      <c r="V89" s="158"/>
      <c r="W89" s="157"/>
      <c r="X89" s="157"/>
      <c r="Y89" s="157"/>
      <c r="Z89" s="157"/>
      <c r="AA89" s="157"/>
      <c r="AB89" s="158"/>
      <c r="AC89" s="158"/>
      <c r="AD89" s="158"/>
      <c r="AE89" s="158"/>
      <c r="AF89" s="158"/>
      <c r="AG89" s="157"/>
      <c r="AH89" s="157"/>
      <c r="AI89" s="157"/>
      <c r="AJ89" s="157"/>
      <c r="AK89" s="157"/>
      <c r="AL89" s="158"/>
      <c r="AM89" s="158"/>
      <c r="AN89" s="158"/>
      <c r="AO89" s="158"/>
      <c r="AP89" s="158"/>
      <c r="AQ89" s="157"/>
      <c r="AR89" s="157"/>
      <c r="AS89" s="157"/>
      <c r="AT89" s="157"/>
      <c r="AU89" s="157"/>
      <c r="AV89" s="158"/>
      <c r="AW89" s="158"/>
      <c r="AX89" s="158"/>
      <c r="AY89" s="158"/>
      <c r="AZ89" s="158"/>
      <c r="BA89" s="157"/>
      <c r="BB89" s="157"/>
      <c r="BC89" s="157"/>
      <c r="BD89" s="157"/>
      <c r="BE89" s="157"/>
      <c r="BF89" s="158"/>
      <c r="BG89" s="158"/>
      <c r="BH89" s="158"/>
      <c r="BI89" s="158"/>
      <c r="BJ89" s="158"/>
      <c r="BK89" s="157"/>
      <c r="BL89" s="157"/>
      <c r="BM89" s="157"/>
      <c r="BN89" s="157"/>
      <c r="BO89" s="157"/>
      <c r="BP89" s="158"/>
      <c r="BQ89" s="158"/>
      <c r="BR89" s="159"/>
      <c r="BS89" s="158"/>
      <c r="BT89" s="158"/>
      <c r="BU89" s="157"/>
      <c r="BV89" s="157"/>
      <c r="BW89" s="157"/>
      <c r="BX89" s="157"/>
      <c r="BY89" s="157"/>
      <c r="BZ89" s="158"/>
      <c r="CA89" s="158"/>
      <c r="CB89" s="158"/>
      <c r="CC89" s="158"/>
      <c r="CD89" s="158"/>
      <c r="CE89" s="157"/>
      <c r="CF89" s="157"/>
      <c r="CG89" s="157"/>
      <c r="CH89" s="157"/>
      <c r="CI89" s="157"/>
      <c r="CJ89" s="158"/>
      <c r="CK89" s="158"/>
      <c r="CL89" s="158"/>
      <c r="CM89" s="158"/>
      <c r="CN89" s="158"/>
      <c r="CP89" s="165"/>
      <c r="CY89" s="162" t="str">
        <f t="shared" si="138"/>
        <v/>
      </c>
      <c r="CZ89" s="98" t="str">
        <f t="shared" si="139"/>
        <v xml:space="preserve"> </v>
      </c>
      <c r="DA89" s="98" t="str">
        <f t="shared" si="140"/>
        <v xml:space="preserve"> </v>
      </c>
      <c r="DB89" s="98" t="str">
        <f t="shared" si="141"/>
        <v xml:space="preserve"> </v>
      </c>
      <c r="DC89" s="163">
        <f t="shared" si="142"/>
        <v>0</v>
      </c>
      <c r="DD89" s="162" t="str">
        <f t="shared" si="146"/>
        <v/>
      </c>
      <c r="DE89" s="98" t="str">
        <f t="shared" si="147"/>
        <v xml:space="preserve"> </v>
      </c>
      <c r="DF89" s="98" t="str">
        <f t="shared" si="148"/>
        <v xml:space="preserve"> </v>
      </c>
      <c r="DG89" s="98" t="str">
        <f t="shared" si="149"/>
        <v xml:space="preserve"> </v>
      </c>
      <c r="DH89" s="163">
        <f t="shared" si="143"/>
        <v>0</v>
      </c>
    </row>
    <row r="90" spans="1:112">
      <c r="A90" s="179" t="s">
        <v>467</v>
      </c>
      <c r="B90" s="172" t="s">
        <v>468</v>
      </c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ref="E90:E121" si="152">+C90-D90</f>
        <v>0</v>
      </c>
      <c r="F90" s="157">
        <f>IFERROR(VLOOKUP($A90,'B0 2264預收'!$1:$1048576,6,0),0)</f>
        <v>0</v>
      </c>
      <c r="G90" s="157">
        <f t="shared" ref="G90:G121" si="153">+E90-F90</f>
        <v>0</v>
      </c>
      <c r="H90" s="158">
        <f>IFERROR(VLOOKUP($A90,'A0 BS 1240在建'!$1:$1048576,13,0),0)</f>
        <v>0</v>
      </c>
      <c r="I90" s="158">
        <f>IFERROR(VLOOKUP($A90,'B0 2264預收'!$1:$1048576,13,0),0)</f>
        <v>0</v>
      </c>
      <c r="J90" s="158">
        <f t="shared" ref="J90:J121" si="154">+H90-I90</f>
        <v>0</v>
      </c>
      <c r="K90" s="158">
        <f>IFERROR(VLOOKUP($A90,'B0 2264預收'!$1:$1048576,14,0),0)</f>
        <v>0</v>
      </c>
      <c r="L90" s="158">
        <f t="shared" ref="L90:L121" si="155">+H90-I90-K90</f>
        <v>0</v>
      </c>
      <c r="M90" s="157">
        <f>H90+IFERROR(VLOOKUP($A90,'A0 BS 1240在建'!$1:$1048576,17,0),0)</f>
        <v>0</v>
      </c>
      <c r="N90" s="157">
        <f>I90+IFERROR(VLOOKUP($A90,'B0 2264預收'!$1:$1048576,17,0),0)</f>
        <v>0</v>
      </c>
      <c r="O90" s="157">
        <f t="shared" ref="O90:O121" si="156">+M90-N90</f>
        <v>0</v>
      </c>
      <c r="P90" s="157">
        <f>K90+IFERROR(+VLOOKUP($A90,'B0 2264預收'!$1:$1048576,18,0),0)</f>
        <v>0</v>
      </c>
      <c r="Q90" s="157">
        <f t="shared" ref="Q90:Q121" si="157">+O90-P90</f>
        <v>0</v>
      </c>
      <c r="R90" s="158">
        <f>M90+IFERROR(VLOOKUP($A90,'A0 BS 1240在建'!$1:$1048576,21,0),0)</f>
        <v>0</v>
      </c>
      <c r="S90" s="158">
        <f>+N90+IFERROR(VLOOKUP($A90,'B0 2264預收'!$1:$1048576,21,0),0)</f>
        <v>0</v>
      </c>
      <c r="T90" s="158">
        <f t="shared" ref="T90:T121" si="158">+R90-S90</f>
        <v>0</v>
      </c>
      <c r="U90" s="158">
        <f>+P90+IFERROR(+VLOOKUP($A90,'B0 2264預收'!$1:$1048576,22,0),0)</f>
        <v>0</v>
      </c>
      <c r="V90" s="158">
        <f t="shared" ref="V90:V121" si="159">+T90-U90</f>
        <v>0</v>
      </c>
      <c r="W90" s="157">
        <f>+R90+IFERROR(VLOOKUP($A90,'A0 BS 1240在建'!$1:$1048576,25,0),0)</f>
        <v>0</v>
      </c>
      <c r="X90" s="157">
        <f>+S90+IFERROR(VLOOKUP($A90,'B0 2264預收'!$1:$1048576,25,0),0)</f>
        <v>0</v>
      </c>
      <c r="Y90" s="157">
        <f t="shared" ref="Y90:Y121" si="160">+W90-X90</f>
        <v>0</v>
      </c>
      <c r="Z90" s="157">
        <f>+U90+IFERROR(+VLOOKUP($A90,'B0 2264預收'!$1:$1048576,26,0),0)</f>
        <v>0</v>
      </c>
      <c r="AA90" s="157">
        <f t="shared" ref="AA90:AA121" si="161">+Y90-Z90</f>
        <v>0</v>
      </c>
      <c r="AB90" s="158">
        <f>+W90+IFERROR(VLOOKUP($A90,'A0 BS 1240在建'!$1:$1048576,29,0),0)</f>
        <v>0</v>
      </c>
      <c r="AC90" s="158">
        <f>+X90+IFERROR(VLOOKUP($A90,'B0 2264預收'!$1:$1048576,29,0),0)</f>
        <v>0</v>
      </c>
      <c r="AD90" s="158">
        <f t="shared" ref="AD90:AD121" si="162">+AB90-AC90</f>
        <v>0</v>
      </c>
      <c r="AE90" s="158">
        <f>+Z90+IFERROR(+VLOOKUP($A90,'B0 2264預收'!$1:$1048576,30,0),0)</f>
        <v>0</v>
      </c>
      <c r="AF90" s="158">
        <f t="shared" ref="AF90:AF121" si="163">+AD90-AE90</f>
        <v>0</v>
      </c>
      <c r="AG90" s="157">
        <f>+AB90+IFERROR(VLOOKUP($A90,'A0 BS 1240在建'!$1:$1048576,33,0),0)</f>
        <v>0</v>
      </c>
      <c r="AH90" s="157">
        <f>+AC90+IFERROR(VLOOKUP($A90,'B0 2264預收'!$1:$1048576,33,0),0)</f>
        <v>0</v>
      </c>
      <c r="AI90" s="157">
        <f t="shared" ref="AI90:AI121" si="164">+AG90-AH90</f>
        <v>0</v>
      </c>
      <c r="AJ90" s="157">
        <f>+AE90+IFERROR(+VLOOKUP($A90,'B0 2264預收'!$1:$1048576,34,0),0)</f>
        <v>0</v>
      </c>
      <c r="AK90" s="157">
        <f t="shared" ref="AK90:AK121" si="165">+AI90-AJ90</f>
        <v>0</v>
      </c>
      <c r="AL90" s="158">
        <f>+AG90+IFERROR(VLOOKUP($A90,'A0 BS 1240在建'!$1:$1048576,37,0),0)</f>
        <v>0</v>
      </c>
      <c r="AM90" s="158">
        <f>+AH90+IFERROR(VLOOKUP($A90,'B0 2264預收'!$1:$1048576,37,0),0)</f>
        <v>0</v>
      </c>
      <c r="AN90" s="158">
        <f t="shared" ref="AN90:AN121" si="166">+AL90-AM90</f>
        <v>0</v>
      </c>
      <c r="AO90" s="158">
        <f>+AJ90+IFERROR(+VLOOKUP($A90,'B0 2264預收'!$1:$1048576,38,0),0)</f>
        <v>0</v>
      </c>
      <c r="AP90" s="158">
        <f t="shared" ref="AP90:AP121" si="167">+AN90-AO90</f>
        <v>0</v>
      </c>
      <c r="AQ90" s="157">
        <f>+AL90+IFERROR(VLOOKUP($A90,'A0 BS 1240在建'!$1:$1048576,41,0),0)</f>
        <v>0</v>
      </c>
      <c r="AR90" s="157">
        <f>+AM90+IFERROR(VLOOKUP($A90,'B0 2264預收'!$1:$1048576,41,0),0)</f>
        <v>0</v>
      </c>
      <c r="AS90" s="157">
        <f t="shared" ref="AS90:AS121" si="168">+AQ90-AR90</f>
        <v>0</v>
      </c>
      <c r="AT90" s="157">
        <f>+AO90+IFERROR(+VLOOKUP($A90,'B0 2264預收'!$1:$1048576,42,0),0)</f>
        <v>0</v>
      </c>
      <c r="AU90" s="157">
        <f t="shared" ref="AU90:AU121" si="169">+AS90-AT90</f>
        <v>0</v>
      </c>
      <c r="AV90" s="158">
        <f>+AQ90+IFERROR(VLOOKUP($A90,'A0 BS 1240在建'!$1:$1048576,45,0),0)</f>
        <v>0</v>
      </c>
      <c r="AW90" s="158">
        <f>+AR90+IFERROR(VLOOKUP($A90,'B0 2264預收'!$1:$1048576,45,0),0)</f>
        <v>0</v>
      </c>
      <c r="AX90" s="158">
        <f t="shared" ref="AX90:AX121" si="170">+AV90-AW90</f>
        <v>0</v>
      </c>
      <c r="AY90" s="158">
        <f>+AT90+IFERROR(+VLOOKUP($A90,'B0 2264預收'!$1:$1048576,46,0),0)</f>
        <v>0</v>
      </c>
      <c r="AZ90" s="158">
        <f t="shared" ref="AZ90:AZ121" si="171">+AX90-AY90</f>
        <v>0</v>
      </c>
      <c r="BA90" s="157">
        <f>+AV90+IFERROR(VLOOKUP($A90,'A0 BS 1240在建'!$1:$1048576,49,0),0)</f>
        <v>0</v>
      </c>
      <c r="BB90" s="157">
        <f>+AW90+IFERROR(VLOOKUP($A90,'B0 2264預收'!$1:$1048576,49,0),0)</f>
        <v>0</v>
      </c>
      <c r="BC90" s="157">
        <f t="shared" ref="BC90:BC121" si="172">+BA90-BB90</f>
        <v>0</v>
      </c>
      <c r="BD90" s="157">
        <f>+AY90+IFERROR(+VLOOKUP($A90,'B0 2264預收'!$1:$1048576,50,0),0)</f>
        <v>0</v>
      </c>
      <c r="BE90" s="157">
        <f t="shared" ref="BE90:BE121" si="173">+BC90-BD90</f>
        <v>0</v>
      </c>
      <c r="BF90" s="158">
        <f>+BA90+IFERROR(VLOOKUP($A90,'A0 BS 1240在建'!$1:$1048576,53,0),0)</f>
        <v>0</v>
      </c>
      <c r="BG90" s="158">
        <f>+BB90+IFERROR(VLOOKUP($A90,'B0 2264預收'!$1:$1048576,53,0),0)</f>
        <v>0</v>
      </c>
      <c r="BH90" s="158">
        <f t="shared" ref="BH90:BH121" si="174">+BF90-BG90</f>
        <v>0</v>
      </c>
      <c r="BI90" s="158">
        <f>+BD90+IFERROR(+VLOOKUP($A90,'B0 2264預收'!$1:$1048576,54,0),0)</f>
        <v>0</v>
      </c>
      <c r="BJ90" s="158">
        <f t="shared" ref="BJ90:BJ121" si="175">+BH90-BI90</f>
        <v>0</v>
      </c>
      <c r="BK90" s="157">
        <f>+BF90+IFERROR(VLOOKUP($A90,'A0 BS 1240在建'!$1:$1048576,57,0),0)</f>
        <v>0</v>
      </c>
      <c r="BL90" s="157">
        <f>+BG90+IFERROR(VLOOKUP($A90,'B0 2264預收'!$1:$1048576,57,0),0)</f>
        <v>0</v>
      </c>
      <c r="BM90" s="157">
        <f t="shared" ref="BM90:BM121" si="176">+BK90-BL90</f>
        <v>0</v>
      </c>
      <c r="BN90" s="157">
        <f>+BI90+IFERROR(+VLOOKUP($A90,'B0 2264預收'!$1:$1048576,58,0),0)</f>
        <v>0</v>
      </c>
      <c r="BO90" s="157">
        <f t="shared" ref="BO90:BO121" si="177">+BM90-BN90</f>
        <v>0</v>
      </c>
      <c r="BP90" s="158">
        <f>+BK90+IFERROR(VLOOKUP($A90,'A0 BS 1240在建'!$1:$1048576,61,0),0)</f>
        <v>0</v>
      </c>
      <c r="BQ90" s="158">
        <f>+BL90+IFERROR(VLOOKUP($A90,'B0 2264預收'!$1:$1048576,61,0),0)</f>
        <v>0</v>
      </c>
      <c r="BR90" s="159">
        <f t="shared" ref="BR90:BR121" si="178">+BP90-BQ90</f>
        <v>0</v>
      </c>
      <c r="BS90" s="158">
        <f>+BN90+IFERROR(+VLOOKUP($A90,'B0 2264預收'!$1:$1048576,62,0),0)</f>
        <v>0</v>
      </c>
      <c r="BT90" s="158">
        <f t="shared" ref="BT90:BT121" si="179">+BR90-BS90</f>
        <v>0</v>
      </c>
      <c r="BU90" s="157">
        <f>+IFERROR(VLOOKUP($A90,'A0 BS 1240在建'!$1:$1048576,77,0),0)</f>
        <v>0</v>
      </c>
      <c r="BV90" s="157">
        <f>+IFERROR(VLOOKUP($A90,'B0 2264預收'!$1:$1048576,77,0),0)</f>
        <v>0</v>
      </c>
      <c r="BW90" s="157">
        <f t="shared" ref="BW90:BW121" si="180">+BU90-BV90</f>
        <v>0</v>
      </c>
      <c r="BX90" s="157">
        <f>+IFERROR(+VLOOKUP($A90,'B0 2264預收'!$1:$1048576,78,0),0)</f>
        <v>0</v>
      </c>
      <c r="BY90" s="157">
        <f t="shared" ref="BY90:BY121" si="181">+BW90-BX90</f>
        <v>0</v>
      </c>
      <c r="BZ90" s="158">
        <f>IFERROR(+VLOOKUP($A90,'A0 BS 1240在建'!$1:$1048576,85,0),0)</f>
        <v>0</v>
      </c>
      <c r="CA90" s="158">
        <f>IFERROR(+VLOOKUP($A90,'B0 2264預收'!$1:$1048576,85,0),0)</f>
        <v>0</v>
      </c>
      <c r="CB90" s="158">
        <f t="shared" ref="CB90:CB121" si="182">+BZ90-CA90</f>
        <v>0</v>
      </c>
      <c r="CC90" s="158">
        <f>+IFERROR(+VLOOKUP($A90,'B0 2264預收'!$1:$1048576,86,0),0)</f>
        <v>0</v>
      </c>
      <c r="CD90" s="158">
        <f t="shared" ref="CD90:CD121" si="183">+CB90-CC90</f>
        <v>0</v>
      </c>
      <c r="CE90" s="157">
        <f>+IFERROR(VLOOKUP($A90,'A0 BS 1240在建'!$1:$1048576,93,0),0)</f>
        <v>0</v>
      </c>
      <c r="CF90" s="157">
        <f>+IFERROR(VLOOKUP($A90,'B0 2264預收'!$1:$1048576,93,0),0)</f>
        <v>0</v>
      </c>
      <c r="CG90" s="157">
        <f t="shared" ref="CG90:CG121" si="184">+CE90-CF90</f>
        <v>0</v>
      </c>
      <c r="CH90" s="157">
        <f>+IFERROR(+VLOOKUP($A90,'B0 2264預收'!$1:$1048576,94,0),0)</f>
        <v>0</v>
      </c>
      <c r="CI90" s="157">
        <f t="shared" ref="CI90:CI121" si="185">+CG90-CH90</f>
        <v>0</v>
      </c>
      <c r="CJ90" s="158">
        <f>IFERROR(+VLOOKUP($A90,'A0 BS 1240在建'!$1:$1048576,101,0),0)</f>
        <v>0</v>
      </c>
      <c r="CK90" s="158">
        <f>IFERROR(+VLOOKUP($A90,'B0 2264預收'!$1:$1048576,101,0),0)</f>
        <v>0</v>
      </c>
      <c r="CL90" s="158">
        <f t="shared" ref="CL90:CL121" si="186">+CJ90-CK90</f>
        <v>0</v>
      </c>
      <c r="CM90" s="158">
        <f>+IFERROR(+VLOOKUP($A90,'B0 2264預收'!$1:$1048576,102,0),0)</f>
        <v>0</v>
      </c>
      <c r="CN90" s="158">
        <f t="shared" ref="CN90:CN121" si="187">+CL90-CM90</f>
        <v>0</v>
      </c>
      <c r="CP90" s="165">
        <f t="shared" ref="CP90:CP100" si="188">+J90-E90</f>
        <v>0</v>
      </c>
      <c r="CR90" s="98">
        <f>+CP90</f>
        <v>0</v>
      </c>
      <c r="CU90" s="165">
        <f t="shared" ref="CU90:CU100" si="189">+BR90-J90</f>
        <v>0</v>
      </c>
      <c r="CY90" s="162" t="str">
        <f t="shared" si="138"/>
        <v/>
      </c>
      <c r="CZ90" s="98" t="str">
        <f t="shared" si="139"/>
        <v xml:space="preserve"> </v>
      </c>
      <c r="DA90" s="98" t="str">
        <f t="shared" si="140"/>
        <v xml:space="preserve"> </v>
      </c>
      <c r="DB90" s="98" t="str">
        <f t="shared" si="141"/>
        <v xml:space="preserve"> </v>
      </c>
      <c r="DC90" s="163">
        <f t="shared" si="142"/>
        <v>0</v>
      </c>
      <c r="DD90" s="162" t="str">
        <f t="shared" si="146"/>
        <v/>
      </c>
      <c r="DE90" s="98" t="str">
        <f t="shared" si="147"/>
        <v xml:space="preserve"> </v>
      </c>
      <c r="DF90" s="98" t="str">
        <f t="shared" si="148"/>
        <v xml:space="preserve"> </v>
      </c>
      <c r="DG90" s="98" t="str">
        <f t="shared" si="149"/>
        <v xml:space="preserve"> </v>
      </c>
      <c r="DH90" s="163">
        <f t="shared" si="143"/>
        <v>0</v>
      </c>
    </row>
    <row r="91" spans="1:112">
      <c r="A91" s="179" t="s">
        <v>469</v>
      </c>
      <c r="B91" s="172" t="s">
        <v>470</v>
      </c>
      <c r="C91" s="157">
        <f>IFERROR(VLOOKUP($A91,'A0 BS 1240在建'!$1:$1048576,5,0),0)</f>
        <v>0</v>
      </c>
      <c r="D91" s="157">
        <f>IFERROR(VLOOKUP($A91,'B0 2264預收'!$1:$1048576,5,0),0)</f>
        <v>0</v>
      </c>
      <c r="E91" s="157">
        <f t="shared" si="152"/>
        <v>0</v>
      </c>
      <c r="F91" s="157">
        <f>IFERROR(VLOOKUP($A91,'B0 2264預收'!$1:$1048576,6,0),0)</f>
        <v>0</v>
      </c>
      <c r="G91" s="157">
        <f t="shared" si="153"/>
        <v>0</v>
      </c>
      <c r="H91" s="158">
        <f>IFERROR(VLOOKUP($A91,'A0 BS 1240在建'!$1:$1048576,13,0),0)</f>
        <v>0</v>
      </c>
      <c r="I91" s="158">
        <f>IFERROR(VLOOKUP($A91,'B0 2264預收'!$1:$1048576,13,0),0)</f>
        <v>0</v>
      </c>
      <c r="J91" s="158">
        <f t="shared" si="154"/>
        <v>0</v>
      </c>
      <c r="K91" s="158">
        <f>IFERROR(VLOOKUP($A91,'B0 2264預收'!$1:$1048576,14,0),0)</f>
        <v>0</v>
      </c>
      <c r="L91" s="158">
        <f t="shared" si="155"/>
        <v>0</v>
      </c>
      <c r="M91" s="157">
        <f>H91+IFERROR(VLOOKUP($A91,'A0 BS 1240在建'!$1:$1048576,17,0),0)</f>
        <v>0</v>
      </c>
      <c r="N91" s="157">
        <f>I91+IFERROR(VLOOKUP($A91,'B0 2264預收'!$1:$1048576,17,0),0)</f>
        <v>0</v>
      </c>
      <c r="O91" s="157">
        <f t="shared" si="156"/>
        <v>0</v>
      </c>
      <c r="P91" s="157">
        <f>K91+IFERROR(+VLOOKUP($A91,'B0 2264預收'!$1:$1048576,18,0),0)</f>
        <v>0</v>
      </c>
      <c r="Q91" s="157">
        <f t="shared" si="157"/>
        <v>0</v>
      </c>
      <c r="R91" s="158">
        <f>M91+IFERROR(VLOOKUP($A91,'A0 BS 1240在建'!$1:$1048576,21,0),0)</f>
        <v>0</v>
      </c>
      <c r="S91" s="158">
        <f>+N91+IFERROR(VLOOKUP($A91,'B0 2264預收'!$1:$1048576,21,0),0)</f>
        <v>0</v>
      </c>
      <c r="T91" s="158">
        <f t="shared" si="158"/>
        <v>0</v>
      </c>
      <c r="U91" s="158">
        <f>+P91+IFERROR(+VLOOKUP($A91,'B0 2264預收'!$1:$1048576,22,0),0)</f>
        <v>0</v>
      </c>
      <c r="V91" s="158">
        <f t="shared" si="159"/>
        <v>0</v>
      </c>
      <c r="W91" s="157">
        <f>+R91+IFERROR(VLOOKUP($A91,'A0 BS 1240在建'!$1:$1048576,25,0),0)</f>
        <v>0</v>
      </c>
      <c r="X91" s="157">
        <f>+S91+IFERROR(VLOOKUP($A91,'B0 2264預收'!$1:$1048576,25,0),0)</f>
        <v>0</v>
      </c>
      <c r="Y91" s="157">
        <f t="shared" si="160"/>
        <v>0</v>
      </c>
      <c r="Z91" s="157">
        <f>+U91+IFERROR(+VLOOKUP($A91,'B0 2264預收'!$1:$1048576,26,0),0)</f>
        <v>0</v>
      </c>
      <c r="AA91" s="157">
        <f t="shared" si="161"/>
        <v>0</v>
      </c>
      <c r="AB91" s="158">
        <f>+W91+IFERROR(VLOOKUP($A91,'A0 BS 1240在建'!$1:$1048576,29,0),0)</f>
        <v>0</v>
      </c>
      <c r="AC91" s="158">
        <f>+X91+IFERROR(VLOOKUP($A91,'B0 2264預收'!$1:$1048576,29,0),0)</f>
        <v>0</v>
      </c>
      <c r="AD91" s="158">
        <f t="shared" si="162"/>
        <v>0</v>
      </c>
      <c r="AE91" s="158">
        <f>+Z91+IFERROR(+VLOOKUP($A91,'B0 2264預收'!$1:$1048576,30,0),0)</f>
        <v>0</v>
      </c>
      <c r="AF91" s="158">
        <f t="shared" si="163"/>
        <v>0</v>
      </c>
      <c r="AG91" s="157">
        <f>+AB91+IFERROR(VLOOKUP($A91,'A0 BS 1240在建'!$1:$1048576,33,0),0)</f>
        <v>0</v>
      </c>
      <c r="AH91" s="157">
        <f>+AC91+IFERROR(VLOOKUP($A91,'B0 2264預收'!$1:$1048576,33,0),0)</f>
        <v>0</v>
      </c>
      <c r="AI91" s="157">
        <f t="shared" si="164"/>
        <v>0</v>
      </c>
      <c r="AJ91" s="157">
        <f>+AE91+IFERROR(+VLOOKUP($A91,'B0 2264預收'!$1:$1048576,34,0),0)</f>
        <v>0</v>
      </c>
      <c r="AK91" s="157">
        <f t="shared" si="165"/>
        <v>0</v>
      </c>
      <c r="AL91" s="158">
        <f>+AG91+IFERROR(VLOOKUP($A91,'A0 BS 1240在建'!$1:$1048576,37,0),0)</f>
        <v>0</v>
      </c>
      <c r="AM91" s="158">
        <f>+AH91+IFERROR(VLOOKUP($A91,'B0 2264預收'!$1:$1048576,37,0),0)</f>
        <v>0</v>
      </c>
      <c r="AN91" s="158">
        <f t="shared" si="166"/>
        <v>0</v>
      </c>
      <c r="AO91" s="158">
        <f>+AJ91+IFERROR(+VLOOKUP($A91,'B0 2264預收'!$1:$1048576,38,0),0)</f>
        <v>0</v>
      </c>
      <c r="AP91" s="158">
        <f t="shared" si="167"/>
        <v>0</v>
      </c>
      <c r="AQ91" s="157">
        <f>+AL91+IFERROR(VLOOKUP($A91,'A0 BS 1240在建'!$1:$1048576,41,0),0)</f>
        <v>0</v>
      </c>
      <c r="AR91" s="157">
        <f>+AM91+IFERROR(VLOOKUP($A91,'B0 2264預收'!$1:$1048576,41,0),0)</f>
        <v>0</v>
      </c>
      <c r="AS91" s="157">
        <f t="shared" si="168"/>
        <v>0</v>
      </c>
      <c r="AT91" s="157">
        <f>+AO91+IFERROR(+VLOOKUP($A91,'B0 2264預收'!$1:$1048576,42,0),0)</f>
        <v>0</v>
      </c>
      <c r="AU91" s="157">
        <f t="shared" si="169"/>
        <v>0</v>
      </c>
      <c r="AV91" s="158">
        <f>+AQ91+IFERROR(VLOOKUP($A91,'A0 BS 1240在建'!$1:$1048576,45,0),0)</f>
        <v>0</v>
      </c>
      <c r="AW91" s="158">
        <f>+AR91+IFERROR(VLOOKUP($A91,'B0 2264預收'!$1:$1048576,45,0),0)</f>
        <v>0</v>
      </c>
      <c r="AX91" s="158">
        <f t="shared" si="170"/>
        <v>0</v>
      </c>
      <c r="AY91" s="158">
        <f>+AT91+IFERROR(+VLOOKUP($A91,'B0 2264預收'!$1:$1048576,46,0),0)</f>
        <v>0</v>
      </c>
      <c r="AZ91" s="158">
        <f t="shared" si="171"/>
        <v>0</v>
      </c>
      <c r="BA91" s="157">
        <f>+AV91+IFERROR(VLOOKUP($A91,'A0 BS 1240在建'!$1:$1048576,49,0),0)</f>
        <v>0</v>
      </c>
      <c r="BB91" s="157">
        <f>+AW91+IFERROR(VLOOKUP($A91,'B0 2264預收'!$1:$1048576,49,0),0)</f>
        <v>0</v>
      </c>
      <c r="BC91" s="157">
        <f t="shared" si="172"/>
        <v>0</v>
      </c>
      <c r="BD91" s="157">
        <f>+AY91+IFERROR(+VLOOKUP($A91,'B0 2264預收'!$1:$1048576,50,0),0)</f>
        <v>0</v>
      </c>
      <c r="BE91" s="157">
        <f t="shared" si="173"/>
        <v>0</v>
      </c>
      <c r="BF91" s="158">
        <f>+BA91+IFERROR(VLOOKUP($A91,'A0 BS 1240在建'!$1:$1048576,53,0),0)</f>
        <v>0</v>
      </c>
      <c r="BG91" s="158">
        <f>+BB91+IFERROR(VLOOKUP($A91,'B0 2264預收'!$1:$1048576,53,0),0)</f>
        <v>0</v>
      </c>
      <c r="BH91" s="158">
        <f t="shared" si="174"/>
        <v>0</v>
      </c>
      <c r="BI91" s="158">
        <f>+BD91+IFERROR(+VLOOKUP($A91,'B0 2264預收'!$1:$1048576,54,0),0)</f>
        <v>0</v>
      </c>
      <c r="BJ91" s="158">
        <f t="shared" si="175"/>
        <v>0</v>
      </c>
      <c r="BK91" s="157">
        <f>+BF91+IFERROR(VLOOKUP($A91,'A0 BS 1240在建'!$1:$1048576,57,0),0)</f>
        <v>0</v>
      </c>
      <c r="BL91" s="157">
        <f>+BG91+IFERROR(VLOOKUP($A91,'B0 2264預收'!$1:$1048576,57,0),0)</f>
        <v>0</v>
      </c>
      <c r="BM91" s="157">
        <f t="shared" si="176"/>
        <v>0</v>
      </c>
      <c r="BN91" s="157">
        <f>+BI91+IFERROR(+VLOOKUP($A91,'B0 2264預收'!$1:$1048576,58,0),0)</f>
        <v>0</v>
      </c>
      <c r="BO91" s="157">
        <f t="shared" si="177"/>
        <v>0</v>
      </c>
      <c r="BP91" s="158">
        <f>+BK91+IFERROR(VLOOKUP($A91,'A0 BS 1240在建'!$1:$1048576,61,0),0)</f>
        <v>0</v>
      </c>
      <c r="BQ91" s="158">
        <f>+BL91+IFERROR(VLOOKUP($A91,'B0 2264預收'!$1:$1048576,61,0),0)</f>
        <v>0</v>
      </c>
      <c r="BR91" s="159">
        <f t="shared" si="178"/>
        <v>0</v>
      </c>
      <c r="BS91" s="158">
        <f>+BN91+IFERROR(+VLOOKUP($A91,'B0 2264預收'!$1:$1048576,62,0),0)</f>
        <v>0</v>
      </c>
      <c r="BT91" s="158">
        <f t="shared" si="179"/>
        <v>0</v>
      </c>
      <c r="BU91" s="157">
        <f>+IFERROR(VLOOKUP($A91,'A0 BS 1240在建'!$1:$1048576,77,0),0)</f>
        <v>0</v>
      </c>
      <c r="BV91" s="157">
        <f>+IFERROR(VLOOKUP($A91,'B0 2264預收'!$1:$1048576,77,0),0)</f>
        <v>0</v>
      </c>
      <c r="BW91" s="157">
        <f t="shared" si="180"/>
        <v>0</v>
      </c>
      <c r="BX91" s="157">
        <f>+IFERROR(+VLOOKUP($A91,'B0 2264預收'!$1:$1048576,78,0),0)</f>
        <v>0</v>
      </c>
      <c r="BY91" s="157">
        <f t="shared" si="181"/>
        <v>0</v>
      </c>
      <c r="BZ91" s="158">
        <f>IFERROR(+VLOOKUP($A91,'A0 BS 1240在建'!$1:$1048576,85,0),0)</f>
        <v>0</v>
      </c>
      <c r="CA91" s="158">
        <f>IFERROR(+VLOOKUP($A91,'B0 2264預收'!$1:$1048576,85,0),0)</f>
        <v>0</v>
      </c>
      <c r="CB91" s="158">
        <f t="shared" si="182"/>
        <v>0</v>
      </c>
      <c r="CC91" s="158">
        <f>+IFERROR(+VLOOKUP($A91,'B0 2264預收'!$1:$1048576,86,0),0)</f>
        <v>0</v>
      </c>
      <c r="CD91" s="158">
        <f t="shared" si="183"/>
        <v>0</v>
      </c>
      <c r="CE91" s="157">
        <f>+IFERROR(VLOOKUP($A91,'A0 BS 1240在建'!$1:$1048576,93,0),0)</f>
        <v>0</v>
      </c>
      <c r="CF91" s="157">
        <f>+IFERROR(VLOOKUP($A91,'B0 2264預收'!$1:$1048576,93,0),0)</f>
        <v>0</v>
      </c>
      <c r="CG91" s="157">
        <f t="shared" si="184"/>
        <v>0</v>
      </c>
      <c r="CH91" s="157">
        <f>+IFERROR(+VLOOKUP($A91,'B0 2264預收'!$1:$1048576,94,0),0)</f>
        <v>0</v>
      </c>
      <c r="CI91" s="157">
        <f t="shared" si="185"/>
        <v>0</v>
      </c>
      <c r="CJ91" s="158">
        <f>IFERROR(+VLOOKUP($A91,'A0 BS 1240在建'!$1:$1048576,101,0),0)</f>
        <v>0</v>
      </c>
      <c r="CK91" s="158">
        <f>IFERROR(+VLOOKUP($A91,'B0 2264預收'!$1:$1048576,101,0),0)</f>
        <v>0</v>
      </c>
      <c r="CL91" s="158">
        <f t="shared" si="186"/>
        <v>0</v>
      </c>
      <c r="CM91" s="158">
        <f>+IFERROR(+VLOOKUP($A91,'B0 2264預收'!$1:$1048576,102,0),0)</f>
        <v>0</v>
      </c>
      <c r="CN91" s="158">
        <f t="shared" si="187"/>
        <v>0</v>
      </c>
      <c r="CP91" s="165">
        <f t="shared" si="188"/>
        <v>0</v>
      </c>
      <c r="CR91" s="98">
        <f>+CP91</f>
        <v>0</v>
      </c>
      <c r="CU91" s="165">
        <f t="shared" si="189"/>
        <v>0</v>
      </c>
      <c r="CW91" s="98">
        <f>+CU91</f>
        <v>0</v>
      </c>
      <c r="CY91" s="162" t="str">
        <f t="shared" si="138"/>
        <v/>
      </c>
      <c r="CZ91" s="98" t="str">
        <f t="shared" si="139"/>
        <v xml:space="preserve"> </v>
      </c>
      <c r="DA91" s="98" t="str">
        <f t="shared" si="140"/>
        <v xml:space="preserve"> </v>
      </c>
      <c r="DB91" s="98" t="str">
        <f t="shared" si="141"/>
        <v xml:space="preserve"> </v>
      </c>
      <c r="DC91" s="163">
        <f t="shared" si="142"/>
        <v>0</v>
      </c>
      <c r="DD91" s="162" t="str">
        <f t="shared" si="146"/>
        <v/>
      </c>
      <c r="DE91" s="98" t="str">
        <f t="shared" si="147"/>
        <v xml:space="preserve"> </v>
      </c>
      <c r="DF91" s="98" t="str">
        <f t="shared" si="148"/>
        <v xml:space="preserve"> </v>
      </c>
      <c r="DG91" s="98" t="str">
        <f t="shared" si="149"/>
        <v xml:space="preserve"> </v>
      </c>
      <c r="DH91" s="163">
        <f t="shared" si="143"/>
        <v>0</v>
      </c>
    </row>
    <row r="92" spans="1:112">
      <c r="A92" s="179" t="s">
        <v>471</v>
      </c>
      <c r="B92" s="172" t="s">
        <v>472</v>
      </c>
      <c r="C92" s="157">
        <f>IFERROR(VLOOKUP($A92,'A0 BS 1240在建'!$1:$1048576,5,0),0)</f>
        <v>0</v>
      </c>
      <c r="D92" s="157">
        <f>IFERROR(VLOOKUP($A92,'B0 2264預收'!$1:$1048576,5,0),0)</f>
        <v>0</v>
      </c>
      <c r="E92" s="157">
        <f t="shared" si="152"/>
        <v>0</v>
      </c>
      <c r="F92" s="157">
        <f>IFERROR(VLOOKUP($A92,'B0 2264預收'!$1:$1048576,6,0),0)</f>
        <v>0</v>
      </c>
      <c r="G92" s="157">
        <f t="shared" si="153"/>
        <v>0</v>
      </c>
      <c r="H92" s="158">
        <f>IFERROR(VLOOKUP($A92,'A0 BS 1240在建'!$1:$1048576,13,0),0)</f>
        <v>0</v>
      </c>
      <c r="I92" s="158">
        <f>IFERROR(VLOOKUP($A92,'B0 2264預收'!$1:$1048576,13,0),0)</f>
        <v>0</v>
      </c>
      <c r="J92" s="158">
        <f t="shared" si="154"/>
        <v>0</v>
      </c>
      <c r="K92" s="158">
        <f>IFERROR(VLOOKUP($A92,'B0 2264預收'!$1:$1048576,14,0),0)</f>
        <v>0</v>
      </c>
      <c r="L92" s="158">
        <f t="shared" si="155"/>
        <v>0</v>
      </c>
      <c r="M92" s="157">
        <f>H92+IFERROR(VLOOKUP($A92,'A0 BS 1240在建'!$1:$1048576,17,0),0)</f>
        <v>0</v>
      </c>
      <c r="N92" s="157">
        <f>I92+IFERROR(VLOOKUP($A92,'B0 2264預收'!$1:$1048576,17,0),0)</f>
        <v>0</v>
      </c>
      <c r="O92" s="157">
        <f t="shared" si="156"/>
        <v>0</v>
      </c>
      <c r="P92" s="157">
        <f>K92+IFERROR(+VLOOKUP($A92,'B0 2264預收'!$1:$1048576,18,0),0)</f>
        <v>0</v>
      </c>
      <c r="Q92" s="157">
        <f t="shared" si="157"/>
        <v>0</v>
      </c>
      <c r="R92" s="158">
        <f>M92+IFERROR(VLOOKUP($A92,'A0 BS 1240在建'!$1:$1048576,21,0),0)</f>
        <v>0</v>
      </c>
      <c r="S92" s="158">
        <f>+N92+IFERROR(VLOOKUP($A92,'B0 2264預收'!$1:$1048576,21,0),0)</f>
        <v>0</v>
      </c>
      <c r="T92" s="158">
        <f t="shared" si="158"/>
        <v>0</v>
      </c>
      <c r="U92" s="158">
        <f>+P92+IFERROR(+VLOOKUP($A92,'B0 2264預收'!$1:$1048576,22,0),0)</f>
        <v>0</v>
      </c>
      <c r="V92" s="158">
        <f t="shared" si="159"/>
        <v>0</v>
      </c>
      <c r="W92" s="157">
        <f>+R92+IFERROR(VLOOKUP($A92,'A0 BS 1240在建'!$1:$1048576,25,0),0)</f>
        <v>0</v>
      </c>
      <c r="X92" s="157">
        <f>+S92+IFERROR(VLOOKUP($A92,'B0 2264預收'!$1:$1048576,25,0),0)</f>
        <v>0</v>
      </c>
      <c r="Y92" s="157">
        <f t="shared" si="160"/>
        <v>0</v>
      </c>
      <c r="Z92" s="157">
        <f>+U92+IFERROR(+VLOOKUP($A92,'B0 2264預收'!$1:$1048576,26,0),0)</f>
        <v>0</v>
      </c>
      <c r="AA92" s="157">
        <f t="shared" si="161"/>
        <v>0</v>
      </c>
      <c r="AB92" s="158">
        <f>+W92+IFERROR(VLOOKUP($A92,'A0 BS 1240在建'!$1:$1048576,29,0),0)</f>
        <v>0</v>
      </c>
      <c r="AC92" s="158">
        <f>+X92+IFERROR(VLOOKUP($A92,'B0 2264預收'!$1:$1048576,29,0),0)</f>
        <v>0</v>
      </c>
      <c r="AD92" s="158">
        <f t="shared" si="162"/>
        <v>0</v>
      </c>
      <c r="AE92" s="158">
        <f>+Z92+IFERROR(+VLOOKUP($A92,'B0 2264預收'!$1:$1048576,30,0),0)</f>
        <v>0</v>
      </c>
      <c r="AF92" s="158">
        <f t="shared" si="163"/>
        <v>0</v>
      </c>
      <c r="AG92" s="157">
        <f>+AB92+IFERROR(VLOOKUP($A92,'A0 BS 1240在建'!$1:$1048576,33,0),0)</f>
        <v>0</v>
      </c>
      <c r="AH92" s="157">
        <f>+AC92+IFERROR(VLOOKUP($A92,'B0 2264預收'!$1:$1048576,33,0),0)</f>
        <v>0</v>
      </c>
      <c r="AI92" s="157">
        <f t="shared" si="164"/>
        <v>0</v>
      </c>
      <c r="AJ92" s="157">
        <f>+AE92+IFERROR(+VLOOKUP($A92,'B0 2264預收'!$1:$1048576,34,0),0)</f>
        <v>0</v>
      </c>
      <c r="AK92" s="157">
        <f t="shared" si="165"/>
        <v>0</v>
      </c>
      <c r="AL92" s="158">
        <f>+AG92+IFERROR(VLOOKUP($A92,'A0 BS 1240在建'!$1:$1048576,37,0),0)</f>
        <v>0</v>
      </c>
      <c r="AM92" s="158">
        <f>+AH92+IFERROR(VLOOKUP($A92,'B0 2264預收'!$1:$1048576,37,0),0)</f>
        <v>0</v>
      </c>
      <c r="AN92" s="158">
        <f t="shared" si="166"/>
        <v>0</v>
      </c>
      <c r="AO92" s="158">
        <f>+AJ92+IFERROR(+VLOOKUP($A92,'B0 2264預收'!$1:$1048576,38,0),0)</f>
        <v>0</v>
      </c>
      <c r="AP92" s="158">
        <f t="shared" si="167"/>
        <v>0</v>
      </c>
      <c r="AQ92" s="157">
        <f>+AL92+IFERROR(VLOOKUP($A92,'A0 BS 1240在建'!$1:$1048576,41,0),0)</f>
        <v>0</v>
      </c>
      <c r="AR92" s="157">
        <f>+AM92+IFERROR(VLOOKUP($A92,'B0 2264預收'!$1:$1048576,41,0),0)</f>
        <v>0</v>
      </c>
      <c r="AS92" s="157">
        <f t="shared" si="168"/>
        <v>0</v>
      </c>
      <c r="AT92" s="157">
        <f>+AO92+IFERROR(+VLOOKUP($A92,'B0 2264預收'!$1:$1048576,42,0),0)</f>
        <v>0</v>
      </c>
      <c r="AU92" s="157">
        <f t="shared" si="169"/>
        <v>0</v>
      </c>
      <c r="AV92" s="158">
        <f>+AQ92+IFERROR(VLOOKUP($A92,'A0 BS 1240在建'!$1:$1048576,45,0),0)</f>
        <v>0</v>
      </c>
      <c r="AW92" s="158">
        <f>+AR92+IFERROR(VLOOKUP($A92,'B0 2264預收'!$1:$1048576,45,0),0)</f>
        <v>0</v>
      </c>
      <c r="AX92" s="158">
        <f t="shared" si="170"/>
        <v>0</v>
      </c>
      <c r="AY92" s="158">
        <f>+AT92+IFERROR(+VLOOKUP($A92,'B0 2264預收'!$1:$1048576,46,0),0)</f>
        <v>0</v>
      </c>
      <c r="AZ92" s="158">
        <f t="shared" si="171"/>
        <v>0</v>
      </c>
      <c r="BA92" s="157">
        <f>+AV92+IFERROR(VLOOKUP($A92,'A0 BS 1240在建'!$1:$1048576,49,0),0)</f>
        <v>0</v>
      </c>
      <c r="BB92" s="157">
        <f>+AW92+IFERROR(VLOOKUP($A92,'B0 2264預收'!$1:$1048576,49,0),0)</f>
        <v>0</v>
      </c>
      <c r="BC92" s="157">
        <f t="shared" si="172"/>
        <v>0</v>
      </c>
      <c r="BD92" s="157">
        <f>+AY92+IFERROR(+VLOOKUP($A92,'B0 2264預收'!$1:$1048576,50,0),0)</f>
        <v>0</v>
      </c>
      <c r="BE92" s="157">
        <f t="shared" si="173"/>
        <v>0</v>
      </c>
      <c r="BF92" s="158">
        <f>+BA92+IFERROR(VLOOKUP($A92,'A0 BS 1240在建'!$1:$1048576,53,0),0)</f>
        <v>0</v>
      </c>
      <c r="BG92" s="158">
        <f>+BB92+IFERROR(VLOOKUP($A92,'B0 2264預收'!$1:$1048576,53,0),0)</f>
        <v>0</v>
      </c>
      <c r="BH92" s="158">
        <f t="shared" si="174"/>
        <v>0</v>
      </c>
      <c r="BI92" s="158">
        <f>+BD92+IFERROR(+VLOOKUP($A92,'B0 2264預收'!$1:$1048576,54,0),0)</f>
        <v>0</v>
      </c>
      <c r="BJ92" s="158">
        <f t="shared" si="175"/>
        <v>0</v>
      </c>
      <c r="BK92" s="157">
        <f>+BF92+IFERROR(VLOOKUP($A92,'A0 BS 1240在建'!$1:$1048576,57,0),0)</f>
        <v>0</v>
      </c>
      <c r="BL92" s="157">
        <f>+BG92+IFERROR(VLOOKUP($A92,'B0 2264預收'!$1:$1048576,57,0),0)</f>
        <v>0</v>
      </c>
      <c r="BM92" s="157">
        <f t="shared" si="176"/>
        <v>0</v>
      </c>
      <c r="BN92" s="157">
        <f>+BI92+IFERROR(+VLOOKUP($A92,'B0 2264預收'!$1:$1048576,58,0),0)</f>
        <v>0</v>
      </c>
      <c r="BO92" s="157">
        <f t="shared" si="177"/>
        <v>0</v>
      </c>
      <c r="BP92" s="158">
        <f>+BK92+IFERROR(VLOOKUP($A92,'A0 BS 1240在建'!$1:$1048576,61,0),0)</f>
        <v>0</v>
      </c>
      <c r="BQ92" s="158">
        <f>+BL92+IFERROR(VLOOKUP($A92,'B0 2264預收'!$1:$1048576,61,0),0)</f>
        <v>0</v>
      </c>
      <c r="BR92" s="159">
        <f t="shared" si="178"/>
        <v>0</v>
      </c>
      <c r="BS92" s="158">
        <f>+BN92+IFERROR(+VLOOKUP($A92,'B0 2264預收'!$1:$1048576,62,0),0)</f>
        <v>0</v>
      </c>
      <c r="BT92" s="158">
        <f t="shared" si="179"/>
        <v>0</v>
      </c>
      <c r="BU92" s="157">
        <f>+IFERROR(VLOOKUP($A92,'A0 BS 1240在建'!$1:$1048576,77,0),0)</f>
        <v>0</v>
      </c>
      <c r="BV92" s="157">
        <f>+IFERROR(VLOOKUP($A92,'B0 2264預收'!$1:$1048576,77,0),0)</f>
        <v>0</v>
      </c>
      <c r="BW92" s="157">
        <f t="shared" si="180"/>
        <v>0</v>
      </c>
      <c r="BX92" s="157">
        <f>+IFERROR(+VLOOKUP($A92,'B0 2264預收'!$1:$1048576,78,0),0)</f>
        <v>0</v>
      </c>
      <c r="BY92" s="157">
        <f t="shared" si="181"/>
        <v>0</v>
      </c>
      <c r="BZ92" s="158">
        <f>IFERROR(+VLOOKUP($A92,'A0 BS 1240在建'!$1:$1048576,85,0),0)</f>
        <v>0</v>
      </c>
      <c r="CA92" s="158">
        <f>IFERROR(+VLOOKUP($A92,'B0 2264預收'!$1:$1048576,85,0),0)</f>
        <v>0</v>
      </c>
      <c r="CB92" s="158">
        <f t="shared" si="182"/>
        <v>0</v>
      </c>
      <c r="CC92" s="158">
        <f>+IFERROR(+VLOOKUP($A92,'B0 2264預收'!$1:$1048576,86,0),0)</f>
        <v>0</v>
      </c>
      <c r="CD92" s="158">
        <f t="shared" si="183"/>
        <v>0</v>
      </c>
      <c r="CE92" s="157">
        <f>+IFERROR(VLOOKUP($A92,'A0 BS 1240在建'!$1:$1048576,93,0),0)</f>
        <v>0</v>
      </c>
      <c r="CF92" s="157">
        <f>+IFERROR(VLOOKUP($A92,'B0 2264預收'!$1:$1048576,93,0),0)</f>
        <v>0</v>
      </c>
      <c r="CG92" s="157">
        <f t="shared" si="184"/>
        <v>0</v>
      </c>
      <c r="CH92" s="157">
        <f>+IFERROR(+VLOOKUP($A92,'B0 2264預收'!$1:$1048576,94,0),0)</f>
        <v>0</v>
      </c>
      <c r="CI92" s="157">
        <f t="shared" si="185"/>
        <v>0</v>
      </c>
      <c r="CJ92" s="158">
        <f>IFERROR(+VLOOKUP($A92,'A0 BS 1240在建'!$1:$1048576,101,0),0)</f>
        <v>0</v>
      </c>
      <c r="CK92" s="158">
        <f>IFERROR(+VLOOKUP($A92,'B0 2264預收'!$1:$1048576,101,0),0)</f>
        <v>0</v>
      </c>
      <c r="CL92" s="158">
        <f t="shared" si="186"/>
        <v>0</v>
      </c>
      <c r="CM92" s="158">
        <f>+IFERROR(+VLOOKUP($A92,'B0 2264預收'!$1:$1048576,102,0),0)</f>
        <v>0</v>
      </c>
      <c r="CN92" s="158">
        <f t="shared" si="187"/>
        <v>0</v>
      </c>
      <c r="CP92" s="165">
        <f t="shared" si="188"/>
        <v>0</v>
      </c>
      <c r="CR92" s="98">
        <f>+CP92</f>
        <v>0</v>
      </c>
      <c r="CU92" s="165">
        <f t="shared" si="189"/>
        <v>0</v>
      </c>
      <c r="CW92" s="98">
        <f>+CU92</f>
        <v>0</v>
      </c>
      <c r="CY92" s="162" t="str">
        <f t="shared" si="138"/>
        <v/>
      </c>
      <c r="CZ92" s="98" t="str">
        <f t="shared" si="139"/>
        <v xml:space="preserve"> </v>
      </c>
      <c r="DA92" s="98" t="str">
        <f t="shared" si="140"/>
        <v xml:space="preserve"> </v>
      </c>
      <c r="DB92" s="98" t="str">
        <f t="shared" si="141"/>
        <v xml:space="preserve"> </v>
      </c>
      <c r="DC92" s="163">
        <f t="shared" si="142"/>
        <v>0</v>
      </c>
      <c r="DD92" s="162" t="str">
        <f t="shared" si="146"/>
        <v/>
      </c>
      <c r="DE92" s="98" t="str">
        <f t="shared" si="147"/>
        <v xml:space="preserve"> </v>
      </c>
      <c r="DF92" s="98" t="str">
        <f t="shared" si="148"/>
        <v xml:space="preserve"> </v>
      </c>
      <c r="DG92" s="98" t="str">
        <f t="shared" si="149"/>
        <v xml:space="preserve"> </v>
      </c>
      <c r="DH92" s="163">
        <f t="shared" si="143"/>
        <v>0</v>
      </c>
    </row>
    <row r="93" spans="1:112">
      <c r="A93" s="179" t="s">
        <v>473</v>
      </c>
      <c r="B93" s="172" t="s">
        <v>474</v>
      </c>
      <c r="C93" s="157">
        <f>IFERROR(VLOOKUP($A93,'A0 BS 1240在建'!$1:$1048576,5,0),0)</f>
        <v>0</v>
      </c>
      <c r="D93" s="157">
        <f>IFERROR(VLOOKUP($A93,'B0 2264預收'!$1:$1048576,5,0),0)</f>
        <v>0</v>
      </c>
      <c r="E93" s="157">
        <f t="shared" si="152"/>
        <v>0</v>
      </c>
      <c r="F93" s="157">
        <f>IFERROR(VLOOKUP($A93,'B0 2264預收'!$1:$1048576,6,0),0)</f>
        <v>0</v>
      </c>
      <c r="G93" s="157">
        <f t="shared" si="153"/>
        <v>0</v>
      </c>
      <c r="H93" s="158">
        <f>IFERROR(VLOOKUP($A93,'A0 BS 1240在建'!$1:$1048576,13,0),0)</f>
        <v>0</v>
      </c>
      <c r="I93" s="158">
        <f>IFERROR(VLOOKUP($A93,'B0 2264預收'!$1:$1048576,13,0),0)</f>
        <v>0</v>
      </c>
      <c r="J93" s="158">
        <f t="shared" si="154"/>
        <v>0</v>
      </c>
      <c r="K93" s="158">
        <f>IFERROR(VLOOKUP($A93,'B0 2264預收'!$1:$1048576,14,0),0)</f>
        <v>0</v>
      </c>
      <c r="L93" s="158">
        <f t="shared" si="155"/>
        <v>0</v>
      </c>
      <c r="M93" s="157">
        <f>H93+IFERROR(VLOOKUP($A93,'A0 BS 1240在建'!$1:$1048576,17,0),0)</f>
        <v>0</v>
      </c>
      <c r="N93" s="157">
        <f>I93+IFERROR(VLOOKUP($A93,'B0 2264預收'!$1:$1048576,17,0),0)</f>
        <v>0</v>
      </c>
      <c r="O93" s="157">
        <f t="shared" si="156"/>
        <v>0</v>
      </c>
      <c r="P93" s="157">
        <f>K93+IFERROR(+VLOOKUP($A93,'B0 2264預收'!$1:$1048576,18,0),0)</f>
        <v>0</v>
      </c>
      <c r="Q93" s="157">
        <f t="shared" si="157"/>
        <v>0</v>
      </c>
      <c r="R93" s="158">
        <f>M93+IFERROR(VLOOKUP($A93,'A0 BS 1240在建'!$1:$1048576,21,0),0)</f>
        <v>0</v>
      </c>
      <c r="S93" s="158">
        <f>+N93+IFERROR(VLOOKUP($A93,'B0 2264預收'!$1:$1048576,21,0),0)</f>
        <v>0</v>
      </c>
      <c r="T93" s="158">
        <f t="shared" si="158"/>
        <v>0</v>
      </c>
      <c r="U93" s="158">
        <f>+P93+IFERROR(+VLOOKUP($A93,'B0 2264預收'!$1:$1048576,22,0),0)</f>
        <v>0</v>
      </c>
      <c r="V93" s="158">
        <f t="shared" si="159"/>
        <v>0</v>
      </c>
      <c r="W93" s="157">
        <f>+R93+IFERROR(VLOOKUP($A93,'A0 BS 1240在建'!$1:$1048576,25,0),0)</f>
        <v>0</v>
      </c>
      <c r="X93" s="157">
        <f>+S93+IFERROR(VLOOKUP($A93,'B0 2264預收'!$1:$1048576,25,0),0)</f>
        <v>0</v>
      </c>
      <c r="Y93" s="157">
        <f t="shared" si="160"/>
        <v>0</v>
      </c>
      <c r="Z93" s="157">
        <f>+U93+IFERROR(+VLOOKUP($A93,'B0 2264預收'!$1:$1048576,26,0),0)</f>
        <v>0</v>
      </c>
      <c r="AA93" s="157">
        <f t="shared" si="161"/>
        <v>0</v>
      </c>
      <c r="AB93" s="158">
        <f>+W93+IFERROR(VLOOKUP($A93,'A0 BS 1240在建'!$1:$1048576,29,0),0)</f>
        <v>0</v>
      </c>
      <c r="AC93" s="158">
        <f>+X93+IFERROR(VLOOKUP($A93,'B0 2264預收'!$1:$1048576,29,0),0)</f>
        <v>0</v>
      </c>
      <c r="AD93" s="158">
        <f t="shared" si="162"/>
        <v>0</v>
      </c>
      <c r="AE93" s="158">
        <f>+Z93+IFERROR(+VLOOKUP($A93,'B0 2264預收'!$1:$1048576,30,0),0)</f>
        <v>0</v>
      </c>
      <c r="AF93" s="158">
        <f t="shared" si="163"/>
        <v>0</v>
      </c>
      <c r="AG93" s="157">
        <f>+AB93+IFERROR(VLOOKUP($A93,'A0 BS 1240在建'!$1:$1048576,33,0),0)</f>
        <v>0</v>
      </c>
      <c r="AH93" s="157">
        <f>+AC93+IFERROR(VLOOKUP($A93,'B0 2264預收'!$1:$1048576,33,0),0)</f>
        <v>0</v>
      </c>
      <c r="AI93" s="157">
        <f t="shared" si="164"/>
        <v>0</v>
      </c>
      <c r="AJ93" s="157">
        <f>+AE93+IFERROR(+VLOOKUP($A93,'B0 2264預收'!$1:$1048576,34,0),0)</f>
        <v>0</v>
      </c>
      <c r="AK93" s="157">
        <f t="shared" si="165"/>
        <v>0</v>
      </c>
      <c r="AL93" s="158">
        <f>+AG93+IFERROR(VLOOKUP($A93,'A0 BS 1240在建'!$1:$1048576,37,0),0)</f>
        <v>0</v>
      </c>
      <c r="AM93" s="158">
        <f>+AH93+IFERROR(VLOOKUP($A93,'B0 2264預收'!$1:$1048576,37,0),0)</f>
        <v>0</v>
      </c>
      <c r="AN93" s="158">
        <f t="shared" si="166"/>
        <v>0</v>
      </c>
      <c r="AO93" s="158">
        <f>+AJ93+IFERROR(+VLOOKUP($A93,'B0 2264預收'!$1:$1048576,38,0),0)</f>
        <v>0</v>
      </c>
      <c r="AP93" s="158">
        <f t="shared" si="167"/>
        <v>0</v>
      </c>
      <c r="AQ93" s="157">
        <f>+AL93+IFERROR(VLOOKUP($A93,'A0 BS 1240在建'!$1:$1048576,41,0),0)</f>
        <v>0</v>
      </c>
      <c r="AR93" s="157">
        <f>+AM93+IFERROR(VLOOKUP($A93,'B0 2264預收'!$1:$1048576,41,0),0)</f>
        <v>0</v>
      </c>
      <c r="AS93" s="157">
        <f t="shared" si="168"/>
        <v>0</v>
      </c>
      <c r="AT93" s="157">
        <f>+AO93+IFERROR(+VLOOKUP($A93,'B0 2264預收'!$1:$1048576,42,0),0)</f>
        <v>0</v>
      </c>
      <c r="AU93" s="157">
        <f t="shared" si="169"/>
        <v>0</v>
      </c>
      <c r="AV93" s="158">
        <f>+AQ93+IFERROR(VLOOKUP($A93,'A0 BS 1240在建'!$1:$1048576,45,0),0)</f>
        <v>0</v>
      </c>
      <c r="AW93" s="158">
        <f>+AR93+IFERROR(VLOOKUP($A93,'B0 2264預收'!$1:$1048576,45,0),0)</f>
        <v>0</v>
      </c>
      <c r="AX93" s="158">
        <f t="shared" si="170"/>
        <v>0</v>
      </c>
      <c r="AY93" s="158">
        <f>+AT93+IFERROR(+VLOOKUP($A93,'B0 2264預收'!$1:$1048576,46,0),0)</f>
        <v>0</v>
      </c>
      <c r="AZ93" s="158">
        <f t="shared" si="171"/>
        <v>0</v>
      </c>
      <c r="BA93" s="157">
        <f>+AV93+IFERROR(VLOOKUP($A93,'A0 BS 1240在建'!$1:$1048576,49,0),0)</f>
        <v>0</v>
      </c>
      <c r="BB93" s="157">
        <f>+AW93+IFERROR(VLOOKUP($A93,'B0 2264預收'!$1:$1048576,49,0),0)</f>
        <v>0</v>
      </c>
      <c r="BC93" s="157">
        <f t="shared" si="172"/>
        <v>0</v>
      </c>
      <c r="BD93" s="157">
        <f>+AY93+IFERROR(+VLOOKUP($A93,'B0 2264預收'!$1:$1048576,50,0),0)</f>
        <v>0</v>
      </c>
      <c r="BE93" s="157">
        <f t="shared" si="173"/>
        <v>0</v>
      </c>
      <c r="BF93" s="158">
        <f>+BA93+IFERROR(VLOOKUP($A93,'A0 BS 1240在建'!$1:$1048576,53,0),0)</f>
        <v>0</v>
      </c>
      <c r="BG93" s="158">
        <f>+BB93+IFERROR(VLOOKUP($A93,'B0 2264預收'!$1:$1048576,53,0),0)</f>
        <v>0</v>
      </c>
      <c r="BH93" s="158">
        <f t="shared" si="174"/>
        <v>0</v>
      </c>
      <c r="BI93" s="158">
        <f>+BD93+IFERROR(+VLOOKUP($A93,'B0 2264預收'!$1:$1048576,54,0),0)</f>
        <v>0</v>
      </c>
      <c r="BJ93" s="158">
        <f t="shared" si="175"/>
        <v>0</v>
      </c>
      <c r="BK93" s="157">
        <f>+BF93+IFERROR(VLOOKUP($A93,'A0 BS 1240在建'!$1:$1048576,57,0),0)</f>
        <v>0</v>
      </c>
      <c r="BL93" s="157">
        <f>+BG93+IFERROR(VLOOKUP($A93,'B0 2264預收'!$1:$1048576,57,0),0)</f>
        <v>0</v>
      </c>
      <c r="BM93" s="157">
        <f t="shared" si="176"/>
        <v>0</v>
      </c>
      <c r="BN93" s="157">
        <f>+BI93+IFERROR(+VLOOKUP($A93,'B0 2264預收'!$1:$1048576,58,0),0)</f>
        <v>0</v>
      </c>
      <c r="BO93" s="157">
        <f t="shared" si="177"/>
        <v>0</v>
      </c>
      <c r="BP93" s="158">
        <f>+BK93+IFERROR(VLOOKUP($A93,'A0 BS 1240在建'!$1:$1048576,61,0),0)</f>
        <v>0</v>
      </c>
      <c r="BQ93" s="158">
        <f>+BL93+IFERROR(VLOOKUP($A93,'B0 2264預收'!$1:$1048576,61,0),0)</f>
        <v>0</v>
      </c>
      <c r="BR93" s="159">
        <f t="shared" si="178"/>
        <v>0</v>
      </c>
      <c r="BS93" s="158">
        <f>+BN93+IFERROR(+VLOOKUP($A93,'B0 2264預收'!$1:$1048576,62,0),0)</f>
        <v>0</v>
      </c>
      <c r="BT93" s="158">
        <f t="shared" si="179"/>
        <v>0</v>
      </c>
      <c r="BU93" s="157">
        <f>+IFERROR(VLOOKUP($A93,'A0 BS 1240在建'!$1:$1048576,77,0),0)</f>
        <v>0</v>
      </c>
      <c r="BV93" s="157">
        <f>+IFERROR(VLOOKUP($A93,'B0 2264預收'!$1:$1048576,77,0),0)</f>
        <v>0</v>
      </c>
      <c r="BW93" s="157">
        <f t="shared" si="180"/>
        <v>0</v>
      </c>
      <c r="BX93" s="157">
        <f>+IFERROR(+VLOOKUP($A93,'B0 2264預收'!$1:$1048576,78,0),0)</f>
        <v>0</v>
      </c>
      <c r="BY93" s="157">
        <f t="shared" si="181"/>
        <v>0</v>
      </c>
      <c r="BZ93" s="158">
        <f>IFERROR(+VLOOKUP($A93,'A0 BS 1240在建'!$1:$1048576,85,0),0)</f>
        <v>0</v>
      </c>
      <c r="CA93" s="158">
        <f>IFERROR(+VLOOKUP($A93,'B0 2264預收'!$1:$1048576,85,0),0)</f>
        <v>0</v>
      </c>
      <c r="CB93" s="158">
        <f t="shared" si="182"/>
        <v>0</v>
      </c>
      <c r="CC93" s="158">
        <f>+IFERROR(+VLOOKUP($A93,'B0 2264預收'!$1:$1048576,86,0),0)</f>
        <v>0</v>
      </c>
      <c r="CD93" s="158">
        <f t="shared" si="183"/>
        <v>0</v>
      </c>
      <c r="CE93" s="157">
        <f>+IFERROR(VLOOKUP($A93,'A0 BS 1240在建'!$1:$1048576,93,0),0)</f>
        <v>0</v>
      </c>
      <c r="CF93" s="157">
        <f>+IFERROR(VLOOKUP($A93,'B0 2264預收'!$1:$1048576,93,0),0)</f>
        <v>0</v>
      </c>
      <c r="CG93" s="157">
        <f t="shared" si="184"/>
        <v>0</v>
      </c>
      <c r="CH93" s="157">
        <f>+IFERROR(+VLOOKUP($A93,'B0 2264預收'!$1:$1048576,94,0),0)</f>
        <v>0</v>
      </c>
      <c r="CI93" s="157">
        <f t="shared" si="185"/>
        <v>0</v>
      </c>
      <c r="CJ93" s="158">
        <f>IFERROR(+VLOOKUP($A93,'A0 BS 1240在建'!$1:$1048576,101,0),0)</f>
        <v>0</v>
      </c>
      <c r="CK93" s="158">
        <f>IFERROR(+VLOOKUP($A93,'B0 2264預收'!$1:$1048576,101,0),0)</f>
        <v>0</v>
      </c>
      <c r="CL93" s="158">
        <f t="shared" si="186"/>
        <v>0</v>
      </c>
      <c r="CM93" s="158">
        <f>+IFERROR(+VLOOKUP($A93,'B0 2264預收'!$1:$1048576,102,0),0)</f>
        <v>0</v>
      </c>
      <c r="CN93" s="158">
        <f t="shared" si="187"/>
        <v>0</v>
      </c>
      <c r="CP93" s="166">
        <f t="shared" si="188"/>
        <v>0</v>
      </c>
      <c r="CQ93" s="98">
        <f>+CP93</f>
        <v>0</v>
      </c>
      <c r="CU93" s="160">
        <f t="shared" si="189"/>
        <v>0</v>
      </c>
      <c r="CV93" s="118">
        <f>-J93</f>
        <v>0</v>
      </c>
      <c r="CW93" s="98">
        <f>+BR93</f>
        <v>0</v>
      </c>
      <c r="CY93" s="162" t="str">
        <f t="shared" si="138"/>
        <v/>
      </c>
      <c r="CZ93" s="98" t="str">
        <f t="shared" si="139"/>
        <v xml:space="preserve"> </v>
      </c>
      <c r="DA93" s="98" t="str">
        <f t="shared" si="140"/>
        <v xml:space="preserve"> </v>
      </c>
      <c r="DB93" s="98" t="str">
        <f t="shared" si="141"/>
        <v xml:space="preserve"> </v>
      </c>
      <c r="DC93" s="163">
        <f t="shared" si="142"/>
        <v>0</v>
      </c>
      <c r="DD93" s="162" t="str">
        <f t="shared" si="146"/>
        <v/>
      </c>
      <c r="DE93" s="98" t="str">
        <f t="shared" si="147"/>
        <v xml:space="preserve"> </v>
      </c>
      <c r="DF93" s="98" t="str">
        <f t="shared" si="148"/>
        <v xml:space="preserve"> </v>
      </c>
      <c r="DG93" s="98" t="str">
        <f t="shared" si="149"/>
        <v xml:space="preserve"> </v>
      </c>
      <c r="DH93" s="163">
        <f t="shared" si="143"/>
        <v>0</v>
      </c>
    </row>
    <row r="94" spans="1:112">
      <c r="A94" s="179" t="s">
        <v>475</v>
      </c>
      <c r="B94" s="180" t="s">
        <v>476</v>
      </c>
      <c r="C94" s="157">
        <f>IFERROR(VLOOKUP($A94,'A0 BS 1240在建'!$1:$1048576,5,0),0)</f>
        <v>0</v>
      </c>
      <c r="D94" s="157">
        <f>IFERROR(VLOOKUP($A94,'B0 2264預收'!$1:$1048576,5,0),0)</f>
        <v>0</v>
      </c>
      <c r="E94" s="157">
        <f t="shared" si="152"/>
        <v>0</v>
      </c>
      <c r="F94" s="157">
        <f>IFERROR(VLOOKUP($A94,'B0 2264預收'!$1:$1048576,6,0),0)</f>
        <v>0</v>
      </c>
      <c r="G94" s="157">
        <f t="shared" si="153"/>
        <v>0</v>
      </c>
      <c r="H94" s="158">
        <f>IFERROR(VLOOKUP($A94,'A0 BS 1240在建'!$1:$1048576,13,0),0)</f>
        <v>0</v>
      </c>
      <c r="I94" s="158">
        <f>IFERROR(VLOOKUP($A94,'B0 2264預收'!$1:$1048576,13,0),0)</f>
        <v>0</v>
      </c>
      <c r="J94" s="158">
        <f t="shared" si="154"/>
        <v>0</v>
      </c>
      <c r="K94" s="158">
        <f>IFERROR(VLOOKUP($A94,'B0 2264預收'!$1:$1048576,14,0),0)</f>
        <v>0</v>
      </c>
      <c r="L94" s="158">
        <f t="shared" si="155"/>
        <v>0</v>
      </c>
      <c r="M94" s="157">
        <f>H94+IFERROR(VLOOKUP($A94,'A0 BS 1240在建'!$1:$1048576,17,0),0)</f>
        <v>0</v>
      </c>
      <c r="N94" s="157">
        <f>I94+IFERROR(VLOOKUP($A94,'B0 2264預收'!$1:$1048576,17,0),0)</f>
        <v>0</v>
      </c>
      <c r="O94" s="157">
        <f t="shared" si="156"/>
        <v>0</v>
      </c>
      <c r="P94" s="157">
        <f>K94+IFERROR(+VLOOKUP($A94,'B0 2264預收'!$1:$1048576,18,0),0)</f>
        <v>0</v>
      </c>
      <c r="Q94" s="157">
        <f t="shared" si="157"/>
        <v>0</v>
      </c>
      <c r="R94" s="158">
        <f>M94+IFERROR(VLOOKUP($A94,'A0 BS 1240在建'!$1:$1048576,21,0),0)</f>
        <v>0</v>
      </c>
      <c r="S94" s="158">
        <f>+N94+IFERROR(VLOOKUP($A94,'B0 2264預收'!$1:$1048576,21,0),0)</f>
        <v>0</v>
      </c>
      <c r="T94" s="158">
        <f t="shared" si="158"/>
        <v>0</v>
      </c>
      <c r="U94" s="158">
        <f>+P94+IFERROR(+VLOOKUP($A94,'B0 2264預收'!$1:$1048576,22,0),0)</f>
        <v>0</v>
      </c>
      <c r="V94" s="158">
        <f t="shared" si="159"/>
        <v>0</v>
      </c>
      <c r="W94" s="157">
        <f>+R94+IFERROR(VLOOKUP($A94,'A0 BS 1240在建'!$1:$1048576,25,0),0)</f>
        <v>0</v>
      </c>
      <c r="X94" s="157">
        <f>+S94+IFERROR(VLOOKUP($A94,'B0 2264預收'!$1:$1048576,25,0),0)</f>
        <v>0</v>
      </c>
      <c r="Y94" s="157">
        <f t="shared" si="160"/>
        <v>0</v>
      </c>
      <c r="Z94" s="157">
        <f>+U94+IFERROR(+VLOOKUP($A94,'B0 2264預收'!$1:$1048576,26,0),0)</f>
        <v>0</v>
      </c>
      <c r="AA94" s="157">
        <f t="shared" si="161"/>
        <v>0</v>
      </c>
      <c r="AB94" s="158">
        <f>+W94+IFERROR(VLOOKUP($A94,'A0 BS 1240在建'!$1:$1048576,29,0),0)</f>
        <v>0</v>
      </c>
      <c r="AC94" s="158">
        <f>+X94+IFERROR(VLOOKUP($A94,'B0 2264預收'!$1:$1048576,29,0),0)</f>
        <v>0</v>
      </c>
      <c r="AD94" s="158">
        <f t="shared" si="162"/>
        <v>0</v>
      </c>
      <c r="AE94" s="158">
        <f>+Z94+IFERROR(+VLOOKUP($A94,'B0 2264預收'!$1:$1048576,30,0),0)</f>
        <v>0</v>
      </c>
      <c r="AF94" s="158">
        <f t="shared" si="163"/>
        <v>0</v>
      </c>
      <c r="AG94" s="157">
        <f>+AB94+IFERROR(VLOOKUP($A94,'A0 BS 1240在建'!$1:$1048576,33,0),0)</f>
        <v>0</v>
      </c>
      <c r="AH94" s="157">
        <f>+AC94+IFERROR(VLOOKUP($A94,'B0 2264預收'!$1:$1048576,33,0),0)</f>
        <v>0</v>
      </c>
      <c r="AI94" s="157">
        <f t="shared" si="164"/>
        <v>0</v>
      </c>
      <c r="AJ94" s="157">
        <f>+AE94+IFERROR(+VLOOKUP($A94,'B0 2264預收'!$1:$1048576,34,0),0)</f>
        <v>0</v>
      </c>
      <c r="AK94" s="157">
        <f t="shared" si="165"/>
        <v>0</v>
      </c>
      <c r="AL94" s="158">
        <f>+AG94+IFERROR(VLOOKUP($A94,'A0 BS 1240在建'!$1:$1048576,37,0),0)</f>
        <v>0</v>
      </c>
      <c r="AM94" s="158">
        <f>+AH94+IFERROR(VLOOKUP($A94,'B0 2264預收'!$1:$1048576,37,0),0)</f>
        <v>0</v>
      </c>
      <c r="AN94" s="158">
        <f t="shared" si="166"/>
        <v>0</v>
      </c>
      <c r="AO94" s="158">
        <f>+AJ94+IFERROR(+VLOOKUP($A94,'B0 2264預收'!$1:$1048576,38,0),0)</f>
        <v>0</v>
      </c>
      <c r="AP94" s="158">
        <f t="shared" si="167"/>
        <v>0</v>
      </c>
      <c r="AQ94" s="157">
        <f>+AL94+IFERROR(VLOOKUP($A94,'A0 BS 1240在建'!$1:$1048576,41,0),0)</f>
        <v>0</v>
      </c>
      <c r="AR94" s="157">
        <f>+AM94+IFERROR(VLOOKUP($A94,'B0 2264預收'!$1:$1048576,41,0),0)</f>
        <v>0</v>
      </c>
      <c r="AS94" s="157">
        <f t="shared" si="168"/>
        <v>0</v>
      </c>
      <c r="AT94" s="157">
        <f>+AO94+IFERROR(+VLOOKUP($A94,'B0 2264預收'!$1:$1048576,42,0),0)</f>
        <v>0</v>
      </c>
      <c r="AU94" s="157">
        <f t="shared" si="169"/>
        <v>0</v>
      </c>
      <c r="AV94" s="158">
        <f>+AQ94+IFERROR(VLOOKUP($A94,'A0 BS 1240在建'!$1:$1048576,45,0),0)</f>
        <v>0</v>
      </c>
      <c r="AW94" s="158">
        <f>+AR94+IFERROR(VLOOKUP($A94,'B0 2264預收'!$1:$1048576,45,0),0)</f>
        <v>0</v>
      </c>
      <c r="AX94" s="158">
        <f t="shared" si="170"/>
        <v>0</v>
      </c>
      <c r="AY94" s="158">
        <f>+AT94+IFERROR(+VLOOKUP($A94,'B0 2264預收'!$1:$1048576,46,0),0)</f>
        <v>0</v>
      </c>
      <c r="AZ94" s="158">
        <f t="shared" si="171"/>
        <v>0</v>
      </c>
      <c r="BA94" s="157">
        <f>+AV94+IFERROR(VLOOKUP($A94,'A0 BS 1240在建'!$1:$1048576,49,0),0)</f>
        <v>0</v>
      </c>
      <c r="BB94" s="157">
        <f>+AW94+IFERROR(VLOOKUP($A94,'B0 2264預收'!$1:$1048576,49,0),0)</f>
        <v>0</v>
      </c>
      <c r="BC94" s="157">
        <f t="shared" si="172"/>
        <v>0</v>
      </c>
      <c r="BD94" s="157">
        <f>+AY94+IFERROR(+VLOOKUP($A94,'B0 2264預收'!$1:$1048576,50,0),0)</f>
        <v>0</v>
      </c>
      <c r="BE94" s="157">
        <f t="shared" si="173"/>
        <v>0</v>
      </c>
      <c r="BF94" s="158">
        <f>+BA94+IFERROR(VLOOKUP($A94,'A0 BS 1240在建'!$1:$1048576,53,0),0)</f>
        <v>0</v>
      </c>
      <c r="BG94" s="158">
        <f>+BB94+IFERROR(VLOOKUP($A94,'B0 2264預收'!$1:$1048576,53,0),0)</f>
        <v>0</v>
      </c>
      <c r="BH94" s="158">
        <f t="shared" si="174"/>
        <v>0</v>
      </c>
      <c r="BI94" s="158">
        <f>+BD94+IFERROR(+VLOOKUP($A94,'B0 2264預收'!$1:$1048576,54,0),0)</f>
        <v>0</v>
      </c>
      <c r="BJ94" s="158">
        <f t="shared" si="175"/>
        <v>0</v>
      </c>
      <c r="BK94" s="157">
        <f>+BF94+IFERROR(VLOOKUP($A94,'A0 BS 1240在建'!$1:$1048576,57,0),0)</f>
        <v>0</v>
      </c>
      <c r="BL94" s="157">
        <f>+BG94+IFERROR(VLOOKUP($A94,'B0 2264預收'!$1:$1048576,57,0),0)</f>
        <v>0</v>
      </c>
      <c r="BM94" s="157">
        <f t="shared" si="176"/>
        <v>0</v>
      </c>
      <c r="BN94" s="157">
        <f>+BI94+IFERROR(+VLOOKUP($A94,'B0 2264預收'!$1:$1048576,58,0),0)</f>
        <v>0</v>
      </c>
      <c r="BO94" s="157">
        <f t="shared" si="177"/>
        <v>0</v>
      </c>
      <c r="BP94" s="158">
        <f>+BK94+IFERROR(VLOOKUP($A94,'A0 BS 1240在建'!$1:$1048576,61,0),0)</f>
        <v>0</v>
      </c>
      <c r="BQ94" s="158">
        <f>+BL94+IFERROR(VLOOKUP($A94,'B0 2264預收'!$1:$1048576,61,0),0)</f>
        <v>0</v>
      </c>
      <c r="BR94" s="159">
        <f t="shared" si="178"/>
        <v>0</v>
      </c>
      <c r="BS94" s="158">
        <f>+BN94+IFERROR(+VLOOKUP($A94,'B0 2264預收'!$1:$1048576,62,0),0)</f>
        <v>0</v>
      </c>
      <c r="BT94" s="158">
        <f t="shared" si="179"/>
        <v>0</v>
      </c>
      <c r="BU94" s="157">
        <f>+IFERROR(VLOOKUP($A94,'A0 BS 1240在建'!$1:$1048576,77,0),0)</f>
        <v>0</v>
      </c>
      <c r="BV94" s="157">
        <f>+IFERROR(VLOOKUP($A94,'B0 2264預收'!$1:$1048576,77,0),0)</f>
        <v>0</v>
      </c>
      <c r="BW94" s="157">
        <f t="shared" si="180"/>
        <v>0</v>
      </c>
      <c r="BX94" s="157">
        <f>+IFERROR(+VLOOKUP($A94,'B0 2264預收'!$1:$1048576,78,0),0)</f>
        <v>0</v>
      </c>
      <c r="BY94" s="157">
        <f t="shared" si="181"/>
        <v>0</v>
      </c>
      <c r="BZ94" s="158">
        <f>IFERROR(+VLOOKUP($A94,'A0 BS 1240在建'!$1:$1048576,85,0),0)</f>
        <v>0</v>
      </c>
      <c r="CA94" s="158">
        <f>IFERROR(+VLOOKUP($A94,'B0 2264預收'!$1:$1048576,85,0),0)</f>
        <v>0</v>
      </c>
      <c r="CB94" s="158">
        <f t="shared" si="182"/>
        <v>0</v>
      </c>
      <c r="CC94" s="158">
        <f>+IFERROR(+VLOOKUP($A94,'B0 2264預收'!$1:$1048576,86,0),0)</f>
        <v>0</v>
      </c>
      <c r="CD94" s="158">
        <f t="shared" si="183"/>
        <v>0</v>
      </c>
      <c r="CE94" s="157">
        <f>+IFERROR(VLOOKUP($A94,'A0 BS 1240在建'!$1:$1048576,93,0),0)</f>
        <v>0</v>
      </c>
      <c r="CF94" s="157">
        <f>+IFERROR(VLOOKUP($A94,'B0 2264預收'!$1:$1048576,93,0),0)</f>
        <v>0</v>
      </c>
      <c r="CG94" s="157">
        <f t="shared" si="184"/>
        <v>0</v>
      </c>
      <c r="CH94" s="157">
        <f>+IFERROR(+VLOOKUP($A94,'B0 2264預收'!$1:$1048576,94,0),0)</f>
        <v>0</v>
      </c>
      <c r="CI94" s="157">
        <f t="shared" si="185"/>
        <v>0</v>
      </c>
      <c r="CJ94" s="158">
        <f>IFERROR(+VLOOKUP($A94,'A0 BS 1240在建'!$1:$1048576,101,0),0)</f>
        <v>0</v>
      </c>
      <c r="CK94" s="158">
        <f>IFERROR(+VLOOKUP($A94,'B0 2264預收'!$1:$1048576,101,0),0)</f>
        <v>0</v>
      </c>
      <c r="CL94" s="158">
        <f t="shared" si="186"/>
        <v>0</v>
      </c>
      <c r="CM94" s="158">
        <f>+IFERROR(+VLOOKUP($A94,'B0 2264預收'!$1:$1048576,102,0),0)</f>
        <v>0</v>
      </c>
      <c r="CN94" s="158">
        <f t="shared" si="187"/>
        <v>0</v>
      </c>
      <c r="CP94" s="166">
        <f t="shared" si="188"/>
        <v>0</v>
      </c>
      <c r="CQ94" s="98">
        <f>+CP94</f>
        <v>0</v>
      </c>
      <c r="CU94" s="166">
        <f t="shared" si="189"/>
        <v>0</v>
      </c>
      <c r="CV94" s="98">
        <f>+CU94</f>
        <v>0</v>
      </c>
      <c r="CY94" s="162" t="str">
        <f t="shared" si="138"/>
        <v/>
      </c>
      <c r="CZ94" s="98" t="str">
        <f t="shared" si="139"/>
        <v xml:space="preserve"> </v>
      </c>
      <c r="DA94" s="98" t="str">
        <f t="shared" si="140"/>
        <v xml:space="preserve"> </v>
      </c>
      <c r="DB94" s="98" t="str">
        <f t="shared" si="141"/>
        <v xml:space="preserve"> </v>
      </c>
      <c r="DC94" s="163">
        <f t="shared" si="142"/>
        <v>0</v>
      </c>
      <c r="DD94" s="162" t="str">
        <f t="shared" si="146"/>
        <v/>
      </c>
      <c r="DE94" s="98" t="str">
        <f t="shared" si="147"/>
        <v xml:space="preserve"> </v>
      </c>
      <c r="DF94" s="98" t="str">
        <f t="shared" si="148"/>
        <v xml:space="preserve"> </v>
      </c>
      <c r="DG94" s="98" t="str">
        <f t="shared" si="149"/>
        <v xml:space="preserve"> </v>
      </c>
      <c r="DH94" s="163">
        <f t="shared" si="143"/>
        <v>0</v>
      </c>
    </row>
    <row r="95" spans="1:112">
      <c r="A95" s="179" t="s">
        <v>477</v>
      </c>
      <c r="B95" s="172" t="s">
        <v>478</v>
      </c>
      <c r="C95" s="157">
        <f>IFERROR(VLOOKUP($A95,'A0 BS 1240在建'!$1:$1048576,5,0),0)</f>
        <v>0</v>
      </c>
      <c r="D95" s="157">
        <f>IFERROR(VLOOKUP($A95,'B0 2264預收'!$1:$1048576,5,0),0)</f>
        <v>0</v>
      </c>
      <c r="E95" s="157">
        <f t="shared" si="152"/>
        <v>0</v>
      </c>
      <c r="F95" s="157">
        <f>IFERROR(VLOOKUP($A95,'B0 2264預收'!$1:$1048576,6,0),0)</f>
        <v>0</v>
      </c>
      <c r="G95" s="157">
        <f t="shared" si="153"/>
        <v>0</v>
      </c>
      <c r="H95" s="158">
        <f>IFERROR(VLOOKUP($A95,'A0 BS 1240在建'!$1:$1048576,13,0),0)</f>
        <v>0</v>
      </c>
      <c r="I95" s="158">
        <f>IFERROR(VLOOKUP($A95,'B0 2264預收'!$1:$1048576,13,0),0)</f>
        <v>0</v>
      </c>
      <c r="J95" s="158">
        <f t="shared" si="154"/>
        <v>0</v>
      </c>
      <c r="K95" s="158">
        <f>IFERROR(VLOOKUP($A95,'B0 2264預收'!$1:$1048576,14,0),0)</f>
        <v>0</v>
      </c>
      <c r="L95" s="158">
        <f t="shared" si="155"/>
        <v>0</v>
      </c>
      <c r="M95" s="157">
        <f>H95+IFERROR(VLOOKUP($A95,'A0 BS 1240在建'!$1:$1048576,17,0),0)</f>
        <v>0</v>
      </c>
      <c r="N95" s="157">
        <f>I95+IFERROR(VLOOKUP($A95,'B0 2264預收'!$1:$1048576,17,0),0)</f>
        <v>0</v>
      </c>
      <c r="O95" s="157">
        <f t="shared" si="156"/>
        <v>0</v>
      </c>
      <c r="P95" s="157">
        <f>K95+IFERROR(+VLOOKUP($A95,'B0 2264預收'!$1:$1048576,18,0),0)</f>
        <v>0</v>
      </c>
      <c r="Q95" s="157">
        <f t="shared" si="157"/>
        <v>0</v>
      </c>
      <c r="R95" s="158">
        <f>M95+IFERROR(VLOOKUP($A95,'A0 BS 1240在建'!$1:$1048576,21,0),0)</f>
        <v>0</v>
      </c>
      <c r="S95" s="158">
        <f>+N95+IFERROR(VLOOKUP($A95,'B0 2264預收'!$1:$1048576,21,0),0)</f>
        <v>0</v>
      </c>
      <c r="T95" s="158">
        <f t="shared" si="158"/>
        <v>0</v>
      </c>
      <c r="U95" s="158">
        <f>+P95+IFERROR(+VLOOKUP($A95,'B0 2264預收'!$1:$1048576,22,0),0)</f>
        <v>0</v>
      </c>
      <c r="V95" s="158">
        <f t="shared" si="159"/>
        <v>0</v>
      </c>
      <c r="W95" s="157">
        <f>+R95+IFERROR(VLOOKUP($A95,'A0 BS 1240在建'!$1:$1048576,25,0),0)</f>
        <v>0</v>
      </c>
      <c r="X95" s="157">
        <f>+S95+IFERROR(VLOOKUP($A95,'B0 2264預收'!$1:$1048576,25,0),0)</f>
        <v>0</v>
      </c>
      <c r="Y95" s="157">
        <f t="shared" si="160"/>
        <v>0</v>
      </c>
      <c r="Z95" s="157">
        <f>+U95+IFERROR(+VLOOKUP($A95,'B0 2264預收'!$1:$1048576,26,0),0)</f>
        <v>0</v>
      </c>
      <c r="AA95" s="157">
        <f t="shared" si="161"/>
        <v>0</v>
      </c>
      <c r="AB95" s="158">
        <f>+W95+IFERROR(VLOOKUP($A95,'A0 BS 1240在建'!$1:$1048576,29,0),0)</f>
        <v>0</v>
      </c>
      <c r="AC95" s="158">
        <f>+X95+IFERROR(VLOOKUP($A95,'B0 2264預收'!$1:$1048576,29,0),0)</f>
        <v>0</v>
      </c>
      <c r="AD95" s="158">
        <f t="shared" si="162"/>
        <v>0</v>
      </c>
      <c r="AE95" s="158">
        <f>+Z95+IFERROR(+VLOOKUP($A95,'B0 2264預收'!$1:$1048576,30,0),0)</f>
        <v>0</v>
      </c>
      <c r="AF95" s="158">
        <f t="shared" si="163"/>
        <v>0</v>
      </c>
      <c r="AG95" s="157">
        <f>+AB95+IFERROR(VLOOKUP($A95,'A0 BS 1240在建'!$1:$1048576,33,0),0)</f>
        <v>0</v>
      </c>
      <c r="AH95" s="157">
        <f>+AC95+IFERROR(VLOOKUP($A95,'B0 2264預收'!$1:$1048576,33,0),0)</f>
        <v>0</v>
      </c>
      <c r="AI95" s="157">
        <f t="shared" si="164"/>
        <v>0</v>
      </c>
      <c r="AJ95" s="157">
        <f>+AE95+IFERROR(+VLOOKUP($A95,'B0 2264預收'!$1:$1048576,34,0),0)</f>
        <v>0</v>
      </c>
      <c r="AK95" s="157">
        <f t="shared" si="165"/>
        <v>0</v>
      </c>
      <c r="AL95" s="158">
        <f>+AG95+IFERROR(VLOOKUP($A95,'A0 BS 1240在建'!$1:$1048576,37,0),0)</f>
        <v>0</v>
      </c>
      <c r="AM95" s="158">
        <f>+AH95+IFERROR(VLOOKUP($A95,'B0 2264預收'!$1:$1048576,37,0),0)</f>
        <v>0</v>
      </c>
      <c r="AN95" s="158">
        <f t="shared" si="166"/>
        <v>0</v>
      </c>
      <c r="AO95" s="158">
        <f>+AJ95+IFERROR(+VLOOKUP($A95,'B0 2264預收'!$1:$1048576,38,0),0)</f>
        <v>0</v>
      </c>
      <c r="AP95" s="158">
        <f t="shared" si="167"/>
        <v>0</v>
      </c>
      <c r="AQ95" s="157">
        <f>+AL95+IFERROR(VLOOKUP($A95,'A0 BS 1240在建'!$1:$1048576,41,0),0)</f>
        <v>0</v>
      </c>
      <c r="AR95" s="157">
        <f>+AM95+IFERROR(VLOOKUP($A95,'B0 2264預收'!$1:$1048576,41,0),0)</f>
        <v>0</v>
      </c>
      <c r="AS95" s="157">
        <f t="shared" si="168"/>
        <v>0</v>
      </c>
      <c r="AT95" s="157">
        <f>+AO95+IFERROR(+VLOOKUP($A95,'B0 2264預收'!$1:$1048576,42,0),0)</f>
        <v>0</v>
      </c>
      <c r="AU95" s="157">
        <f t="shared" si="169"/>
        <v>0</v>
      </c>
      <c r="AV95" s="158">
        <f>+AQ95+IFERROR(VLOOKUP($A95,'A0 BS 1240在建'!$1:$1048576,45,0),0)</f>
        <v>0</v>
      </c>
      <c r="AW95" s="158">
        <f>+AR95+IFERROR(VLOOKUP($A95,'B0 2264預收'!$1:$1048576,45,0),0)</f>
        <v>0</v>
      </c>
      <c r="AX95" s="158">
        <f t="shared" si="170"/>
        <v>0</v>
      </c>
      <c r="AY95" s="158">
        <f>+AT95+IFERROR(+VLOOKUP($A95,'B0 2264預收'!$1:$1048576,46,0),0)</f>
        <v>0</v>
      </c>
      <c r="AZ95" s="158">
        <f t="shared" si="171"/>
        <v>0</v>
      </c>
      <c r="BA95" s="157">
        <f>+AV95+IFERROR(VLOOKUP($A95,'A0 BS 1240在建'!$1:$1048576,49,0),0)</f>
        <v>0</v>
      </c>
      <c r="BB95" s="157">
        <f>+AW95+IFERROR(VLOOKUP($A95,'B0 2264預收'!$1:$1048576,49,0),0)</f>
        <v>0</v>
      </c>
      <c r="BC95" s="157">
        <f t="shared" si="172"/>
        <v>0</v>
      </c>
      <c r="BD95" s="157">
        <f>+AY95+IFERROR(+VLOOKUP($A95,'B0 2264預收'!$1:$1048576,50,0),0)</f>
        <v>0</v>
      </c>
      <c r="BE95" s="157">
        <f t="shared" si="173"/>
        <v>0</v>
      </c>
      <c r="BF95" s="158">
        <f>+BA95+IFERROR(VLOOKUP($A95,'A0 BS 1240在建'!$1:$1048576,53,0),0)</f>
        <v>0</v>
      </c>
      <c r="BG95" s="158">
        <f>+BB95+IFERROR(VLOOKUP($A95,'B0 2264預收'!$1:$1048576,53,0),0)</f>
        <v>0</v>
      </c>
      <c r="BH95" s="158">
        <f t="shared" si="174"/>
        <v>0</v>
      </c>
      <c r="BI95" s="158">
        <f>+BD95+IFERROR(+VLOOKUP($A95,'B0 2264預收'!$1:$1048576,54,0),0)</f>
        <v>0</v>
      </c>
      <c r="BJ95" s="158">
        <f t="shared" si="175"/>
        <v>0</v>
      </c>
      <c r="BK95" s="157">
        <f>+BF95+IFERROR(VLOOKUP($A95,'A0 BS 1240在建'!$1:$1048576,57,0),0)</f>
        <v>0</v>
      </c>
      <c r="BL95" s="157">
        <f>+BG95+IFERROR(VLOOKUP($A95,'B0 2264預收'!$1:$1048576,57,0),0)</f>
        <v>0</v>
      </c>
      <c r="BM95" s="157">
        <f t="shared" si="176"/>
        <v>0</v>
      </c>
      <c r="BN95" s="157">
        <f>+BI95+IFERROR(+VLOOKUP($A95,'B0 2264預收'!$1:$1048576,58,0),0)</f>
        <v>0</v>
      </c>
      <c r="BO95" s="157">
        <f t="shared" si="177"/>
        <v>0</v>
      </c>
      <c r="BP95" s="158">
        <f>+BK95+IFERROR(VLOOKUP($A95,'A0 BS 1240在建'!$1:$1048576,61,0),0)</f>
        <v>0</v>
      </c>
      <c r="BQ95" s="158">
        <f>+BL95+IFERROR(VLOOKUP($A95,'B0 2264預收'!$1:$1048576,61,0),0)</f>
        <v>0</v>
      </c>
      <c r="BR95" s="159">
        <f t="shared" si="178"/>
        <v>0</v>
      </c>
      <c r="BS95" s="158">
        <f>+BN95+IFERROR(+VLOOKUP($A95,'B0 2264預收'!$1:$1048576,62,0),0)</f>
        <v>0</v>
      </c>
      <c r="BT95" s="158">
        <f t="shared" si="179"/>
        <v>0</v>
      </c>
      <c r="BU95" s="157">
        <f>+IFERROR(VLOOKUP($A95,'A0 BS 1240在建'!$1:$1048576,77,0),0)</f>
        <v>0</v>
      </c>
      <c r="BV95" s="157">
        <f>+IFERROR(VLOOKUP($A95,'B0 2264預收'!$1:$1048576,77,0),0)</f>
        <v>0</v>
      </c>
      <c r="BW95" s="157">
        <f t="shared" si="180"/>
        <v>0</v>
      </c>
      <c r="BX95" s="157">
        <f>+IFERROR(+VLOOKUP($A95,'B0 2264預收'!$1:$1048576,78,0),0)</f>
        <v>0</v>
      </c>
      <c r="BY95" s="157">
        <f t="shared" si="181"/>
        <v>0</v>
      </c>
      <c r="BZ95" s="158">
        <f>IFERROR(+VLOOKUP($A95,'A0 BS 1240在建'!$1:$1048576,85,0),0)</f>
        <v>0</v>
      </c>
      <c r="CA95" s="158">
        <f>IFERROR(+VLOOKUP($A95,'B0 2264預收'!$1:$1048576,85,0),0)</f>
        <v>0</v>
      </c>
      <c r="CB95" s="158">
        <f t="shared" si="182"/>
        <v>0</v>
      </c>
      <c r="CC95" s="158">
        <f>+IFERROR(+VLOOKUP($A95,'B0 2264預收'!$1:$1048576,86,0),0)</f>
        <v>0</v>
      </c>
      <c r="CD95" s="158">
        <f t="shared" si="183"/>
        <v>0</v>
      </c>
      <c r="CE95" s="157">
        <f>+IFERROR(VLOOKUP($A95,'A0 BS 1240在建'!$1:$1048576,93,0),0)</f>
        <v>0</v>
      </c>
      <c r="CF95" s="157">
        <f>+IFERROR(VLOOKUP($A95,'B0 2264預收'!$1:$1048576,93,0),0)</f>
        <v>0</v>
      </c>
      <c r="CG95" s="157">
        <f t="shared" si="184"/>
        <v>0</v>
      </c>
      <c r="CH95" s="157">
        <f>+IFERROR(+VLOOKUP($A95,'B0 2264預收'!$1:$1048576,94,0),0)</f>
        <v>0</v>
      </c>
      <c r="CI95" s="157">
        <f t="shared" si="185"/>
        <v>0</v>
      </c>
      <c r="CJ95" s="158">
        <f>IFERROR(+VLOOKUP($A95,'A0 BS 1240在建'!$1:$1048576,101,0),0)</f>
        <v>0</v>
      </c>
      <c r="CK95" s="158">
        <f>IFERROR(+VLOOKUP($A95,'B0 2264預收'!$1:$1048576,101,0),0)</f>
        <v>0</v>
      </c>
      <c r="CL95" s="158">
        <f t="shared" si="186"/>
        <v>0</v>
      </c>
      <c r="CM95" s="158">
        <f>+IFERROR(+VLOOKUP($A95,'B0 2264預收'!$1:$1048576,102,0),0)</f>
        <v>0</v>
      </c>
      <c r="CN95" s="158">
        <f t="shared" si="187"/>
        <v>0</v>
      </c>
      <c r="CP95" s="165">
        <f t="shared" si="188"/>
        <v>0</v>
      </c>
      <c r="CR95" s="98">
        <f>+CP95</f>
        <v>0</v>
      </c>
      <c r="CU95" s="165">
        <f t="shared" si="189"/>
        <v>0</v>
      </c>
      <c r="CW95" s="98">
        <f>+CU95</f>
        <v>0</v>
      </c>
      <c r="CY95" s="162" t="str">
        <f t="shared" si="138"/>
        <v/>
      </c>
      <c r="CZ95" s="98" t="str">
        <f t="shared" si="139"/>
        <v xml:space="preserve"> </v>
      </c>
      <c r="DA95" s="98" t="str">
        <f t="shared" si="140"/>
        <v xml:space="preserve"> </v>
      </c>
      <c r="DB95" s="98" t="str">
        <f t="shared" si="141"/>
        <v xml:space="preserve"> </v>
      </c>
      <c r="DC95" s="163">
        <f t="shared" si="142"/>
        <v>0</v>
      </c>
      <c r="DD95" s="162" t="str">
        <f t="shared" si="146"/>
        <v/>
      </c>
      <c r="DE95" s="98" t="str">
        <f t="shared" si="147"/>
        <v xml:space="preserve"> </v>
      </c>
      <c r="DF95" s="98" t="str">
        <f t="shared" si="148"/>
        <v xml:space="preserve"> </v>
      </c>
      <c r="DG95" s="98" t="str">
        <f t="shared" si="149"/>
        <v xml:space="preserve"> </v>
      </c>
      <c r="DH95" s="163">
        <f t="shared" si="143"/>
        <v>0</v>
      </c>
    </row>
    <row r="96" spans="1:112">
      <c r="A96" s="179" t="s">
        <v>479</v>
      </c>
      <c r="B96" s="180" t="s">
        <v>480</v>
      </c>
      <c r="C96" s="157">
        <f>IFERROR(VLOOKUP($A96,'A0 BS 1240在建'!$1:$1048576,5,0),0)</f>
        <v>0</v>
      </c>
      <c r="D96" s="157">
        <f>IFERROR(VLOOKUP($A96,'B0 2264預收'!$1:$1048576,5,0),0)</f>
        <v>0</v>
      </c>
      <c r="E96" s="157">
        <f t="shared" si="152"/>
        <v>0</v>
      </c>
      <c r="F96" s="157">
        <f>IFERROR(VLOOKUP($A96,'B0 2264預收'!$1:$1048576,6,0),0)</f>
        <v>0</v>
      </c>
      <c r="G96" s="157">
        <f t="shared" si="153"/>
        <v>0</v>
      </c>
      <c r="H96" s="158">
        <f>IFERROR(VLOOKUP($A96,'A0 BS 1240在建'!$1:$1048576,13,0),0)</f>
        <v>0</v>
      </c>
      <c r="I96" s="158">
        <f>IFERROR(VLOOKUP($A96,'B0 2264預收'!$1:$1048576,13,0),0)</f>
        <v>0</v>
      </c>
      <c r="J96" s="158">
        <f t="shared" si="154"/>
        <v>0</v>
      </c>
      <c r="K96" s="158">
        <f>IFERROR(VLOOKUP($A96,'B0 2264預收'!$1:$1048576,14,0),0)</f>
        <v>0</v>
      </c>
      <c r="L96" s="158">
        <f t="shared" si="155"/>
        <v>0</v>
      </c>
      <c r="M96" s="157">
        <f>H96+IFERROR(VLOOKUP($A96,'A0 BS 1240在建'!$1:$1048576,17,0),0)</f>
        <v>0</v>
      </c>
      <c r="N96" s="157">
        <f>I96+IFERROR(VLOOKUP($A96,'B0 2264預收'!$1:$1048576,17,0),0)</f>
        <v>0</v>
      </c>
      <c r="O96" s="157">
        <f t="shared" si="156"/>
        <v>0</v>
      </c>
      <c r="P96" s="157">
        <f>K96+IFERROR(+VLOOKUP($A96,'B0 2264預收'!$1:$1048576,18,0),0)</f>
        <v>0</v>
      </c>
      <c r="Q96" s="157">
        <f t="shared" si="157"/>
        <v>0</v>
      </c>
      <c r="R96" s="158">
        <f>M96+IFERROR(VLOOKUP($A96,'A0 BS 1240在建'!$1:$1048576,21,0),0)</f>
        <v>0</v>
      </c>
      <c r="S96" s="158">
        <f>+N96+IFERROR(VLOOKUP($A96,'B0 2264預收'!$1:$1048576,21,0),0)</f>
        <v>0</v>
      </c>
      <c r="T96" s="158">
        <f t="shared" si="158"/>
        <v>0</v>
      </c>
      <c r="U96" s="158">
        <f>+P96+IFERROR(+VLOOKUP($A96,'B0 2264預收'!$1:$1048576,22,0),0)</f>
        <v>0</v>
      </c>
      <c r="V96" s="158">
        <f t="shared" si="159"/>
        <v>0</v>
      </c>
      <c r="W96" s="157">
        <f>+R96+IFERROR(VLOOKUP($A96,'A0 BS 1240在建'!$1:$1048576,25,0),0)</f>
        <v>0</v>
      </c>
      <c r="X96" s="157">
        <f>+S96+IFERROR(VLOOKUP($A96,'B0 2264預收'!$1:$1048576,25,0),0)</f>
        <v>0</v>
      </c>
      <c r="Y96" s="157">
        <f t="shared" si="160"/>
        <v>0</v>
      </c>
      <c r="Z96" s="157">
        <f>+U96+IFERROR(+VLOOKUP($A96,'B0 2264預收'!$1:$1048576,26,0),0)</f>
        <v>0</v>
      </c>
      <c r="AA96" s="157">
        <f t="shared" si="161"/>
        <v>0</v>
      </c>
      <c r="AB96" s="158">
        <f>+W96+IFERROR(VLOOKUP($A96,'A0 BS 1240在建'!$1:$1048576,29,0),0)</f>
        <v>0</v>
      </c>
      <c r="AC96" s="158">
        <f>+X96+IFERROR(VLOOKUP($A96,'B0 2264預收'!$1:$1048576,29,0),0)</f>
        <v>0</v>
      </c>
      <c r="AD96" s="158">
        <f t="shared" si="162"/>
        <v>0</v>
      </c>
      <c r="AE96" s="158">
        <f>+Z96+IFERROR(+VLOOKUP($A96,'B0 2264預收'!$1:$1048576,30,0),0)</f>
        <v>0</v>
      </c>
      <c r="AF96" s="158">
        <f t="shared" si="163"/>
        <v>0</v>
      </c>
      <c r="AG96" s="157">
        <f>+AB96+IFERROR(VLOOKUP($A96,'A0 BS 1240在建'!$1:$1048576,33,0),0)</f>
        <v>0</v>
      </c>
      <c r="AH96" s="157">
        <f>+AC96+IFERROR(VLOOKUP($A96,'B0 2264預收'!$1:$1048576,33,0),0)</f>
        <v>0</v>
      </c>
      <c r="AI96" s="157">
        <f t="shared" si="164"/>
        <v>0</v>
      </c>
      <c r="AJ96" s="157">
        <f>+AE96+IFERROR(+VLOOKUP($A96,'B0 2264預收'!$1:$1048576,34,0),0)</f>
        <v>0</v>
      </c>
      <c r="AK96" s="157">
        <f t="shared" si="165"/>
        <v>0</v>
      </c>
      <c r="AL96" s="158">
        <f>+AG96+IFERROR(VLOOKUP($A96,'A0 BS 1240在建'!$1:$1048576,37,0),0)</f>
        <v>0</v>
      </c>
      <c r="AM96" s="158">
        <f>+AH96+IFERROR(VLOOKUP($A96,'B0 2264預收'!$1:$1048576,37,0),0)</f>
        <v>0</v>
      </c>
      <c r="AN96" s="158">
        <f t="shared" si="166"/>
        <v>0</v>
      </c>
      <c r="AO96" s="158">
        <f>+AJ96+IFERROR(+VLOOKUP($A96,'B0 2264預收'!$1:$1048576,38,0),0)</f>
        <v>0</v>
      </c>
      <c r="AP96" s="158">
        <f t="shared" si="167"/>
        <v>0</v>
      </c>
      <c r="AQ96" s="157">
        <f>+AL96+IFERROR(VLOOKUP($A96,'A0 BS 1240在建'!$1:$1048576,41,0),0)</f>
        <v>0</v>
      </c>
      <c r="AR96" s="157">
        <f>+AM96+IFERROR(VLOOKUP($A96,'B0 2264預收'!$1:$1048576,41,0),0)</f>
        <v>0</v>
      </c>
      <c r="AS96" s="157">
        <f t="shared" si="168"/>
        <v>0</v>
      </c>
      <c r="AT96" s="157">
        <f>+AO96+IFERROR(+VLOOKUP($A96,'B0 2264預收'!$1:$1048576,42,0),0)</f>
        <v>0</v>
      </c>
      <c r="AU96" s="157">
        <f t="shared" si="169"/>
        <v>0</v>
      </c>
      <c r="AV96" s="158">
        <f>+AQ96+IFERROR(VLOOKUP($A96,'A0 BS 1240在建'!$1:$1048576,45,0),0)</f>
        <v>0</v>
      </c>
      <c r="AW96" s="158">
        <f>+AR96+IFERROR(VLOOKUP($A96,'B0 2264預收'!$1:$1048576,45,0),0)</f>
        <v>0</v>
      </c>
      <c r="AX96" s="158">
        <f t="shared" si="170"/>
        <v>0</v>
      </c>
      <c r="AY96" s="158">
        <f>+AT96+IFERROR(+VLOOKUP($A96,'B0 2264預收'!$1:$1048576,46,0),0)</f>
        <v>0</v>
      </c>
      <c r="AZ96" s="158">
        <f t="shared" si="171"/>
        <v>0</v>
      </c>
      <c r="BA96" s="157">
        <f>+AV96+IFERROR(VLOOKUP($A96,'A0 BS 1240在建'!$1:$1048576,49,0),0)</f>
        <v>0</v>
      </c>
      <c r="BB96" s="157">
        <f>+AW96+IFERROR(VLOOKUP($A96,'B0 2264預收'!$1:$1048576,49,0),0)</f>
        <v>0</v>
      </c>
      <c r="BC96" s="157">
        <f t="shared" si="172"/>
        <v>0</v>
      </c>
      <c r="BD96" s="157">
        <f>+AY96+IFERROR(+VLOOKUP($A96,'B0 2264預收'!$1:$1048576,50,0),0)</f>
        <v>0</v>
      </c>
      <c r="BE96" s="157">
        <f t="shared" si="173"/>
        <v>0</v>
      </c>
      <c r="BF96" s="158">
        <f>+BA96+IFERROR(VLOOKUP($A96,'A0 BS 1240在建'!$1:$1048576,53,0),0)</f>
        <v>0</v>
      </c>
      <c r="BG96" s="158">
        <f>+BB96+IFERROR(VLOOKUP($A96,'B0 2264預收'!$1:$1048576,53,0),0)</f>
        <v>0</v>
      </c>
      <c r="BH96" s="158">
        <f t="shared" si="174"/>
        <v>0</v>
      </c>
      <c r="BI96" s="158">
        <f>+BD96+IFERROR(+VLOOKUP($A96,'B0 2264預收'!$1:$1048576,54,0),0)</f>
        <v>0</v>
      </c>
      <c r="BJ96" s="158">
        <f t="shared" si="175"/>
        <v>0</v>
      </c>
      <c r="BK96" s="157">
        <f>+BF96+IFERROR(VLOOKUP($A96,'A0 BS 1240在建'!$1:$1048576,57,0),0)</f>
        <v>0</v>
      </c>
      <c r="BL96" s="157">
        <f>+BG96+IFERROR(VLOOKUP($A96,'B0 2264預收'!$1:$1048576,57,0),0)</f>
        <v>0</v>
      </c>
      <c r="BM96" s="157">
        <f t="shared" si="176"/>
        <v>0</v>
      </c>
      <c r="BN96" s="157">
        <f>+BI96+IFERROR(+VLOOKUP($A96,'B0 2264預收'!$1:$1048576,58,0),0)</f>
        <v>0</v>
      </c>
      <c r="BO96" s="157">
        <f t="shared" si="177"/>
        <v>0</v>
      </c>
      <c r="BP96" s="158">
        <f>+BK96+IFERROR(VLOOKUP($A96,'A0 BS 1240在建'!$1:$1048576,61,0),0)</f>
        <v>0</v>
      </c>
      <c r="BQ96" s="158">
        <f>+BL96+IFERROR(VLOOKUP($A96,'B0 2264預收'!$1:$1048576,61,0),0)</f>
        <v>0</v>
      </c>
      <c r="BR96" s="159">
        <f t="shared" si="178"/>
        <v>0</v>
      </c>
      <c r="BS96" s="158">
        <f>+BN96+IFERROR(+VLOOKUP($A96,'B0 2264預收'!$1:$1048576,62,0),0)</f>
        <v>0</v>
      </c>
      <c r="BT96" s="158">
        <f t="shared" si="179"/>
        <v>0</v>
      </c>
      <c r="BU96" s="157">
        <f>+IFERROR(VLOOKUP($A96,'A0 BS 1240在建'!$1:$1048576,77,0),0)</f>
        <v>0</v>
      </c>
      <c r="BV96" s="157">
        <f>+IFERROR(VLOOKUP($A96,'B0 2264預收'!$1:$1048576,77,0),0)</f>
        <v>0</v>
      </c>
      <c r="BW96" s="157">
        <f t="shared" si="180"/>
        <v>0</v>
      </c>
      <c r="BX96" s="157">
        <f>+IFERROR(+VLOOKUP($A96,'B0 2264預收'!$1:$1048576,78,0),0)</f>
        <v>0</v>
      </c>
      <c r="BY96" s="157">
        <f t="shared" si="181"/>
        <v>0</v>
      </c>
      <c r="BZ96" s="158">
        <f>IFERROR(+VLOOKUP($A96,'A0 BS 1240在建'!$1:$1048576,85,0),0)</f>
        <v>0</v>
      </c>
      <c r="CA96" s="158">
        <f>IFERROR(+VLOOKUP($A96,'B0 2264預收'!$1:$1048576,85,0),0)</f>
        <v>0</v>
      </c>
      <c r="CB96" s="158">
        <f t="shared" si="182"/>
        <v>0</v>
      </c>
      <c r="CC96" s="158">
        <f>+IFERROR(+VLOOKUP($A96,'B0 2264預收'!$1:$1048576,86,0),0)</f>
        <v>0</v>
      </c>
      <c r="CD96" s="158">
        <f t="shared" si="183"/>
        <v>0</v>
      </c>
      <c r="CE96" s="157">
        <f>+IFERROR(VLOOKUP($A96,'A0 BS 1240在建'!$1:$1048576,93,0),0)</f>
        <v>0</v>
      </c>
      <c r="CF96" s="157">
        <f>+IFERROR(VLOOKUP($A96,'B0 2264預收'!$1:$1048576,93,0),0)</f>
        <v>0</v>
      </c>
      <c r="CG96" s="157">
        <f t="shared" si="184"/>
        <v>0</v>
      </c>
      <c r="CH96" s="157">
        <f>+IFERROR(+VLOOKUP($A96,'B0 2264預收'!$1:$1048576,94,0),0)</f>
        <v>0</v>
      </c>
      <c r="CI96" s="157">
        <f t="shared" si="185"/>
        <v>0</v>
      </c>
      <c r="CJ96" s="158">
        <f>IFERROR(+VLOOKUP($A96,'A0 BS 1240在建'!$1:$1048576,101,0),0)</f>
        <v>0</v>
      </c>
      <c r="CK96" s="158">
        <f>IFERROR(+VLOOKUP($A96,'B0 2264預收'!$1:$1048576,101,0),0)</f>
        <v>0</v>
      </c>
      <c r="CL96" s="158">
        <f t="shared" si="186"/>
        <v>0</v>
      </c>
      <c r="CM96" s="158">
        <f>+IFERROR(+VLOOKUP($A96,'B0 2264預收'!$1:$1048576,102,0),0)</f>
        <v>0</v>
      </c>
      <c r="CN96" s="158">
        <f t="shared" si="187"/>
        <v>0</v>
      </c>
      <c r="CP96" s="166">
        <f t="shared" si="188"/>
        <v>0</v>
      </c>
      <c r="CQ96" s="98">
        <f>+CP96</f>
        <v>0</v>
      </c>
      <c r="CU96" s="166">
        <f t="shared" si="189"/>
        <v>0</v>
      </c>
      <c r="CV96" s="98">
        <f>+CU96</f>
        <v>0</v>
      </c>
      <c r="CY96" s="162" t="str">
        <f t="shared" si="138"/>
        <v/>
      </c>
      <c r="CZ96" s="98" t="str">
        <f t="shared" si="139"/>
        <v xml:space="preserve"> </v>
      </c>
      <c r="DA96" s="98" t="str">
        <f t="shared" si="140"/>
        <v xml:space="preserve"> </v>
      </c>
      <c r="DB96" s="98" t="str">
        <f t="shared" si="141"/>
        <v xml:space="preserve"> </v>
      </c>
      <c r="DC96" s="163">
        <f t="shared" si="142"/>
        <v>0</v>
      </c>
      <c r="DD96" s="162" t="str">
        <f t="shared" si="146"/>
        <v/>
      </c>
      <c r="DE96" s="98" t="str">
        <f t="shared" si="147"/>
        <v xml:space="preserve"> </v>
      </c>
      <c r="DF96" s="98" t="str">
        <f t="shared" si="148"/>
        <v xml:space="preserve"> </v>
      </c>
      <c r="DG96" s="98" t="str">
        <f t="shared" si="149"/>
        <v xml:space="preserve"> </v>
      </c>
      <c r="DH96" s="163">
        <f t="shared" si="143"/>
        <v>0</v>
      </c>
    </row>
    <row r="97" spans="1:112">
      <c r="A97" s="179" t="s">
        <v>481</v>
      </c>
      <c r="B97" s="172" t="s">
        <v>482</v>
      </c>
      <c r="C97" s="157">
        <f>IFERROR(VLOOKUP($A97,'A0 BS 1240在建'!$1:$1048576,5,0),0)</f>
        <v>0</v>
      </c>
      <c r="D97" s="157">
        <f>IFERROR(VLOOKUP($A97,'B0 2264預收'!$1:$1048576,5,0),0)</f>
        <v>0</v>
      </c>
      <c r="E97" s="157">
        <f t="shared" si="152"/>
        <v>0</v>
      </c>
      <c r="F97" s="157">
        <f>IFERROR(VLOOKUP($A97,'B0 2264預收'!$1:$1048576,6,0),0)</f>
        <v>0</v>
      </c>
      <c r="G97" s="157">
        <f t="shared" si="153"/>
        <v>0</v>
      </c>
      <c r="H97" s="158">
        <f>IFERROR(VLOOKUP($A97,'A0 BS 1240在建'!$1:$1048576,13,0),0)</f>
        <v>0</v>
      </c>
      <c r="I97" s="158">
        <f>IFERROR(VLOOKUP($A97,'B0 2264預收'!$1:$1048576,13,0),0)</f>
        <v>0</v>
      </c>
      <c r="J97" s="158">
        <f t="shared" si="154"/>
        <v>0</v>
      </c>
      <c r="K97" s="158">
        <f>IFERROR(VLOOKUP($A97,'B0 2264預收'!$1:$1048576,14,0),0)</f>
        <v>0</v>
      </c>
      <c r="L97" s="158">
        <f t="shared" si="155"/>
        <v>0</v>
      </c>
      <c r="M97" s="157">
        <f>H97+IFERROR(VLOOKUP($A97,'A0 BS 1240在建'!$1:$1048576,17,0),0)</f>
        <v>0</v>
      </c>
      <c r="N97" s="157">
        <f>I97+IFERROR(VLOOKUP($A97,'B0 2264預收'!$1:$1048576,17,0),0)</f>
        <v>0</v>
      </c>
      <c r="O97" s="157">
        <f t="shared" si="156"/>
        <v>0</v>
      </c>
      <c r="P97" s="157">
        <f>K97+IFERROR(+VLOOKUP($A97,'B0 2264預收'!$1:$1048576,18,0),0)</f>
        <v>0</v>
      </c>
      <c r="Q97" s="157">
        <f t="shared" si="157"/>
        <v>0</v>
      </c>
      <c r="R97" s="158">
        <f>M97+IFERROR(VLOOKUP($A97,'A0 BS 1240在建'!$1:$1048576,21,0),0)</f>
        <v>0</v>
      </c>
      <c r="S97" s="158">
        <f>+N97+IFERROR(VLOOKUP($A97,'B0 2264預收'!$1:$1048576,21,0),0)</f>
        <v>0</v>
      </c>
      <c r="T97" s="158">
        <f t="shared" si="158"/>
        <v>0</v>
      </c>
      <c r="U97" s="158">
        <f>+P97+IFERROR(+VLOOKUP($A97,'B0 2264預收'!$1:$1048576,22,0),0)</f>
        <v>0</v>
      </c>
      <c r="V97" s="158">
        <f t="shared" si="159"/>
        <v>0</v>
      </c>
      <c r="W97" s="157">
        <f>+R97+IFERROR(VLOOKUP($A97,'A0 BS 1240在建'!$1:$1048576,25,0),0)</f>
        <v>0</v>
      </c>
      <c r="X97" s="157">
        <f>+S97+IFERROR(VLOOKUP($A97,'B0 2264預收'!$1:$1048576,25,0),0)</f>
        <v>0</v>
      </c>
      <c r="Y97" s="157">
        <f t="shared" si="160"/>
        <v>0</v>
      </c>
      <c r="Z97" s="157">
        <f>+U97+IFERROR(+VLOOKUP($A97,'B0 2264預收'!$1:$1048576,26,0),0)</f>
        <v>0</v>
      </c>
      <c r="AA97" s="157">
        <f t="shared" si="161"/>
        <v>0</v>
      </c>
      <c r="AB97" s="158">
        <f>+W97+IFERROR(VLOOKUP($A97,'A0 BS 1240在建'!$1:$1048576,29,0),0)</f>
        <v>0</v>
      </c>
      <c r="AC97" s="158">
        <f>+X97+IFERROR(VLOOKUP($A97,'B0 2264預收'!$1:$1048576,29,0),0)</f>
        <v>0</v>
      </c>
      <c r="AD97" s="158">
        <f t="shared" si="162"/>
        <v>0</v>
      </c>
      <c r="AE97" s="158">
        <f>+Z97+IFERROR(+VLOOKUP($A97,'B0 2264預收'!$1:$1048576,30,0),0)</f>
        <v>0</v>
      </c>
      <c r="AF97" s="158">
        <f t="shared" si="163"/>
        <v>0</v>
      </c>
      <c r="AG97" s="157">
        <f>+AB97+IFERROR(VLOOKUP($A97,'A0 BS 1240在建'!$1:$1048576,33,0),0)</f>
        <v>0</v>
      </c>
      <c r="AH97" s="157">
        <f>+AC97+IFERROR(VLOOKUP($A97,'B0 2264預收'!$1:$1048576,33,0),0)</f>
        <v>0</v>
      </c>
      <c r="AI97" s="157">
        <f t="shared" si="164"/>
        <v>0</v>
      </c>
      <c r="AJ97" s="157">
        <f>+AE97+IFERROR(+VLOOKUP($A97,'B0 2264預收'!$1:$1048576,34,0),0)</f>
        <v>0</v>
      </c>
      <c r="AK97" s="157">
        <f t="shared" si="165"/>
        <v>0</v>
      </c>
      <c r="AL97" s="158">
        <f>+AG97+IFERROR(VLOOKUP($A97,'A0 BS 1240在建'!$1:$1048576,37,0),0)</f>
        <v>0</v>
      </c>
      <c r="AM97" s="158">
        <f>+AH97+IFERROR(VLOOKUP($A97,'B0 2264預收'!$1:$1048576,37,0),0)</f>
        <v>0</v>
      </c>
      <c r="AN97" s="158">
        <f t="shared" si="166"/>
        <v>0</v>
      </c>
      <c r="AO97" s="158">
        <f>+AJ97+IFERROR(+VLOOKUP($A97,'B0 2264預收'!$1:$1048576,38,0),0)</f>
        <v>0</v>
      </c>
      <c r="AP97" s="158">
        <f t="shared" si="167"/>
        <v>0</v>
      </c>
      <c r="AQ97" s="157">
        <f>+AL97+IFERROR(VLOOKUP($A97,'A0 BS 1240在建'!$1:$1048576,41,0),0)</f>
        <v>0</v>
      </c>
      <c r="AR97" s="157">
        <f>+AM97+IFERROR(VLOOKUP($A97,'B0 2264預收'!$1:$1048576,41,0),0)</f>
        <v>0</v>
      </c>
      <c r="AS97" s="157">
        <f t="shared" si="168"/>
        <v>0</v>
      </c>
      <c r="AT97" s="157">
        <f>+AO97+IFERROR(+VLOOKUP($A97,'B0 2264預收'!$1:$1048576,42,0),0)</f>
        <v>0</v>
      </c>
      <c r="AU97" s="157">
        <f t="shared" si="169"/>
        <v>0</v>
      </c>
      <c r="AV97" s="158">
        <f>+AQ97+IFERROR(VLOOKUP($A97,'A0 BS 1240在建'!$1:$1048576,45,0),0)</f>
        <v>0</v>
      </c>
      <c r="AW97" s="158">
        <f>+AR97+IFERROR(VLOOKUP($A97,'B0 2264預收'!$1:$1048576,45,0),0)</f>
        <v>0</v>
      </c>
      <c r="AX97" s="158">
        <f t="shared" si="170"/>
        <v>0</v>
      </c>
      <c r="AY97" s="158">
        <f>+AT97+IFERROR(+VLOOKUP($A97,'B0 2264預收'!$1:$1048576,46,0),0)</f>
        <v>0</v>
      </c>
      <c r="AZ97" s="158">
        <f t="shared" si="171"/>
        <v>0</v>
      </c>
      <c r="BA97" s="157">
        <f>+AV97+IFERROR(VLOOKUP($A97,'A0 BS 1240在建'!$1:$1048576,49,0),0)</f>
        <v>0</v>
      </c>
      <c r="BB97" s="157">
        <f>+AW97+IFERROR(VLOOKUP($A97,'B0 2264預收'!$1:$1048576,49,0),0)</f>
        <v>0</v>
      </c>
      <c r="BC97" s="157">
        <f t="shared" si="172"/>
        <v>0</v>
      </c>
      <c r="BD97" s="157">
        <f>+AY97+IFERROR(+VLOOKUP($A97,'B0 2264預收'!$1:$1048576,50,0),0)</f>
        <v>0</v>
      </c>
      <c r="BE97" s="157">
        <f t="shared" si="173"/>
        <v>0</v>
      </c>
      <c r="BF97" s="158">
        <f>+BA97+IFERROR(VLOOKUP($A97,'A0 BS 1240在建'!$1:$1048576,53,0),0)</f>
        <v>0</v>
      </c>
      <c r="BG97" s="158">
        <f>+BB97+IFERROR(VLOOKUP($A97,'B0 2264預收'!$1:$1048576,53,0),0)</f>
        <v>0</v>
      </c>
      <c r="BH97" s="158">
        <f t="shared" si="174"/>
        <v>0</v>
      </c>
      <c r="BI97" s="158">
        <f>+BD97+IFERROR(+VLOOKUP($A97,'B0 2264預收'!$1:$1048576,54,0),0)</f>
        <v>0</v>
      </c>
      <c r="BJ97" s="158">
        <f t="shared" si="175"/>
        <v>0</v>
      </c>
      <c r="BK97" s="157">
        <f>+BF97+IFERROR(VLOOKUP($A97,'A0 BS 1240在建'!$1:$1048576,57,0),0)</f>
        <v>0</v>
      </c>
      <c r="BL97" s="157">
        <f>+BG97+IFERROR(VLOOKUP($A97,'B0 2264預收'!$1:$1048576,57,0),0)</f>
        <v>0</v>
      </c>
      <c r="BM97" s="157">
        <f t="shared" si="176"/>
        <v>0</v>
      </c>
      <c r="BN97" s="157">
        <f>+BI97+IFERROR(+VLOOKUP($A97,'B0 2264預收'!$1:$1048576,58,0),0)</f>
        <v>0</v>
      </c>
      <c r="BO97" s="157">
        <f t="shared" si="177"/>
        <v>0</v>
      </c>
      <c r="BP97" s="158">
        <f>+BK97+IFERROR(VLOOKUP($A97,'A0 BS 1240在建'!$1:$1048576,61,0),0)</f>
        <v>0</v>
      </c>
      <c r="BQ97" s="158">
        <f>+BL97+IFERROR(VLOOKUP($A97,'B0 2264預收'!$1:$1048576,61,0),0)</f>
        <v>0</v>
      </c>
      <c r="BR97" s="159">
        <f t="shared" si="178"/>
        <v>0</v>
      </c>
      <c r="BS97" s="158">
        <f>+BN97+IFERROR(+VLOOKUP($A97,'B0 2264預收'!$1:$1048576,62,0),0)</f>
        <v>0</v>
      </c>
      <c r="BT97" s="158">
        <f t="shared" si="179"/>
        <v>0</v>
      </c>
      <c r="BU97" s="157">
        <f>+IFERROR(VLOOKUP($A97,'A0 BS 1240在建'!$1:$1048576,77,0),0)</f>
        <v>0</v>
      </c>
      <c r="BV97" s="157">
        <f>+IFERROR(VLOOKUP($A97,'B0 2264預收'!$1:$1048576,77,0),0)</f>
        <v>0</v>
      </c>
      <c r="BW97" s="157">
        <f t="shared" si="180"/>
        <v>0</v>
      </c>
      <c r="BX97" s="157">
        <f>+IFERROR(+VLOOKUP($A97,'B0 2264預收'!$1:$1048576,78,0),0)</f>
        <v>0</v>
      </c>
      <c r="BY97" s="157">
        <f t="shared" si="181"/>
        <v>0</v>
      </c>
      <c r="BZ97" s="158">
        <f>IFERROR(+VLOOKUP($A97,'A0 BS 1240在建'!$1:$1048576,85,0),0)</f>
        <v>0</v>
      </c>
      <c r="CA97" s="158">
        <f>IFERROR(+VLOOKUP($A97,'B0 2264預收'!$1:$1048576,85,0),0)</f>
        <v>0</v>
      </c>
      <c r="CB97" s="158">
        <f t="shared" si="182"/>
        <v>0</v>
      </c>
      <c r="CC97" s="158">
        <f>+IFERROR(+VLOOKUP($A97,'B0 2264預收'!$1:$1048576,86,0),0)</f>
        <v>0</v>
      </c>
      <c r="CD97" s="158">
        <f t="shared" si="183"/>
        <v>0</v>
      </c>
      <c r="CE97" s="157">
        <f>+IFERROR(VLOOKUP($A97,'A0 BS 1240在建'!$1:$1048576,93,0),0)</f>
        <v>0</v>
      </c>
      <c r="CF97" s="157">
        <f>+IFERROR(VLOOKUP($A97,'B0 2264預收'!$1:$1048576,93,0),0)</f>
        <v>0</v>
      </c>
      <c r="CG97" s="157">
        <f t="shared" si="184"/>
        <v>0</v>
      </c>
      <c r="CH97" s="157">
        <f>+IFERROR(+VLOOKUP($A97,'B0 2264預收'!$1:$1048576,94,0),0)</f>
        <v>0</v>
      </c>
      <c r="CI97" s="157">
        <f t="shared" si="185"/>
        <v>0</v>
      </c>
      <c r="CJ97" s="158">
        <f>IFERROR(+VLOOKUP($A97,'A0 BS 1240在建'!$1:$1048576,101,0),0)</f>
        <v>0</v>
      </c>
      <c r="CK97" s="158">
        <f>IFERROR(+VLOOKUP($A97,'B0 2264預收'!$1:$1048576,101,0),0)</f>
        <v>0</v>
      </c>
      <c r="CL97" s="158">
        <f t="shared" si="186"/>
        <v>0</v>
      </c>
      <c r="CM97" s="158">
        <f>+IFERROR(+VLOOKUP($A97,'B0 2264預收'!$1:$1048576,102,0),0)</f>
        <v>0</v>
      </c>
      <c r="CN97" s="158">
        <f t="shared" si="187"/>
        <v>0</v>
      </c>
      <c r="CP97" s="166">
        <f t="shared" si="188"/>
        <v>0</v>
      </c>
      <c r="CQ97" s="98">
        <f>+CP97</f>
        <v>0</v>
      </c>
      <c r="CU97" s="166">
        <f t="shared" si="189"/>
        <v>0</v>
      </c>
      <c r="CV97" s="98">
        <f>+CU97</f>
        <v>0</v>
      </c>
      <c r="CY97" s="162" t="str">
        <f t="shared" si="138"/>
        <v/>
      </c>
      <c r="CZ97" s="98" t="str">
        <f t="shared" si="139"/>
        <v xml:space="preserve"> </v>
      </c>
      <c r="DA97" s="98" t="str">
        <f t="shared" si="140"/>
        <v xml:space="preserve"> </v>
      </c>
      <c r="DB97" s="98" t="str">
        <f t="shared" si="141"/>
        <v xml:space="preserve"> </v>
      </c>
      <c r="DC97" s="163">
        <f t="shared" si="142"/>
        <v>0</v>
      </c>
      <c r="DD97" s="162" t="str">
        <f t="shared" si="146"/>
        <v/>
      </c>
      <c r="DE97" s="98" t="str">
        <f t="shared" si="147"/>
        <v xml:space="preserve"> </v>
      </c>
      <c r="DF97" s="98" t="str">
        <f t="shared" si="148"/>
        <v xml:space="preserve"> </v>
      </c>
      <c r="DG97" s="98" t="str">
        <f t="shared" si="149"/>
        <v xml:space="preserve"> </v>
      </c>
      <c r="DH97" s="163">
        <f t="shared" si="143"/>
        <v>0</v>
      </c>
    </row>
    <row r="98" spans="1:112">
      <c r="A98" s="179" t="s">
        <v>483</v>
      </c>
      <c r="B98" s="172" t="s">
        <v>484</v>
      </c>
      <c r="C98" s="157">
        <f>IFERROR(VLOOKUP($A98,'A0 BS 1240在建'!$1:$1048576,5,0),0)</f>
        <v>0</v>
      </c>
      <c r="D98" s="157">
        <f>IFERROR(VLOOKUP($A98,'B0 2264預收'!$1:$1048576,5,0),0)</f>
        <v>0</v>
      </c>
      <c r="E98" s="157">
        <f t="shared" si="152"/>
        <v>0</v>
      </c>
      <c r="F98" s="157">
        <f>IFERROR(VLOOKUP($A98,'B0 2264預收'!$1:$1048576,6,0),0)</f>
        <v>0</v>
      </c>
      <c r="G98" s="157">
        <f t="shared" si="153"/>
        <v>0</v>
      </c>
      <c r="H98" s="158">
        <f>IFERROR(VLOOKUP($A98,'A0 BS 1240在建'!$1:$1048576,13,0),0)</f>
        <v>0</v>
      </c>
      <c r="I98" s="158">
        <f>IFERROR(VLOOKUP($A98,'B0 2264預收'!$1:$1048576,13,0),0)</f>
        <v>0</v>
      </c>
      <c r="J98" s="158">
        <f t="shared" si="154"/>
        <v>0</v>
      </c>
      <c r="K98" s="158">
        <f>IFERROR(VLOOKUP($A98,'B0 2264預收'!$1:$1048576,14,0),0)</f>
        <v>0</v>
      </c>
      <c r="L98" s="158">
        <f t="shared" si="155"/>
        <v>0</v>
      </c>
      <c r="M98" s="157">
        <f>H98+IFERROR(VLOOKUP($A98,'A0 BS 1240在建'!$1:$1048576,17,0),0)</f>
        <v>0</v>
      </c>
      <c r="N98" s="157">
        <f>I98+IFERROR(VLOOKUP($A98,'B0 2264預收'!$1:$1048576,17,0),0)</f>
        <v>0</v>
      </c>
      <c r="O98" s="157">
        <f t="shared" si="156"/>
        <v>0</v>
      </c>
      <c r="P98" s="157">
        <f>K98+IFERROR(+VLOOKUP($A98,'B0 2264預收'!$1:$1048576,18,0),0)</f>
        <v>0</v>
      </c>
      <c r="Q98" s="157">
        <f t="shared" si="157"/>
        <v>0</v>
      </c>
      <c r="R98" s="158">
        <f>M98+IFERROR(VLOOKUP($A98,'A0 BS 1240在建'!$1:$1048576,21,0),0)</f>
        <v>0</v>
      </c>
      <c r="S98" s="158">
        <f>+N98+IFERROR(VLOOKUP($A98,'B0 2264預收'!$1:$1048576,21,0),0)</f>
        <v>0</v>
      </c>
      <c r="T98" s="158">
        <f t="shared" si="158"/>
        <v>0</v>
      </c>
      <c r="U98" s="158">
        <f>+P98+IFERROR(+VLOOKUP($A98,'B0 2264預收'!$1:$1048576,22,0),0)</f>
        <v>0</v>
      </c>
      <c r="V98" s="158">
        <f t="shared" si="159"/>
        <v>0</v>
      </c>
      <c r="W98" s="157">
        <f>+R98+IFERROR(VLOOKUP($A98,'A0 BS 1240在建'!$1:$1048576,25,0),0)</f>
        <v>0</v>
      </c>
      <c r="X98" s="157">
        <f>+S98+IFERROR(VLOOKUP($A98,'B0 2264預收'!$1:$1048576,25,0),0)</f>
        <v>0</v>
      </c>
      <c r="Y98" s="157">
        <f t="shared" si="160"/>
        <v>0</v>
      </c>
      <c r="Z98" s="157">
        <f>+U98+IFERROR(+VLOOKUP($A98,'B0 2264預收'!$1:$1048576,26,0),0)</f>
        <v>0</v>
      </c>
      <c r="AA98" s="157">
        <f t="shared" si="161"/>
        <v>0</v>
      </c>
      <c r="AB98" s="158">
        <f>+W98+IFERROR(VLOOKUP($A98,'A0 BS 1240在建'!$1:$1048576,29,0),0)</f>
        <v>0</v>
      </c>
      <c r="AC98" s="158">
        <f>+X98+IFERROR(VLOOKUP($A98,'B0 2264預收'!$1:$1048576,29,0),0)</f>
        <v>0</v>
      </c>
      <c r="AD98" s="158">
        <f t="shared" si="162"/>
        <v>0</v>
      </c>
      <c r="AE98" s="158">
        <f>+Z98+IFERROR(+VLOOKUP($A98,'B0 2264預收'!$1:$1048576,30,0),0)</f>
        <v>0</v>
      </c>
      <c r="AF98" s="158">
        <f t="shared" si="163"/>
        <v>0</v>
      </c>
      <c r="AG98" s="157">
        <f>+AB98+IFERROR(VLOOKUP($A98,'A0 BS 1240在建'!$1:$1048576,33,0),0)</f>
        <v>0</v>
      </c>
      <c r="AH98" s="157">
        <f>+AC98+IFERROR(VLOOKUP($A98,'B0 2264預收'!$1:$1048576,33,0),0)</f>
        <v>0</v>
      </c>
      <c r="AI98" s="157">
        <f t="shared" si="164"/>
        <v>0</v>
      </c>
      <c r="AJ98" s="157">
        <f>+AE98+IFERROR(+VLOOKUP($A98,'B0 2264預收'!$1:$1048576,34,0),0)</f>
        <v>0</v>
      </c>
      <c r="AK98" s="157">
        <f t="shared" si="165"/>
        <v>0</v>
      </c>
      <c r="AL98" s="158">
        <f>+AG98+IFERROR(VLOOKUP($A98,'A0 BS 1240在建'!$1:$1048576,37,0),0)</f>
        <v>0</v>
      </c>
      <c r="AM98" s="158">
        <f>+AH98+IFERROR(VLOOKUP($A98,'B0 2264預收'!$1:$1048576,37,0),0)</f>
        <v>0</v>
      </c>
      <c r="AN98" s="158">
        <f t="shared" si="166"/>
        <v>0</v>
      </c>
      <c r="AO98" s="158">
        <f>+AJ98+IFERROR(+VLOOKUP($A98,'B0 2264預收'!$1:$1048576,38,0),0)</f>
        <v>0</v>
      </c>
      <c r="AP98" s="158">
        <f t="shared" si="167"/>
        <v>0</v>
      </c>
      <c r="AQ98" s="157">
        <f>+AL98+IFERROR(VLOOKUP($A98,'A0 BS 1240在建'!$1:$1048576,41,0),0)</f>
        <v>0</v>
      </c>
      <c r="AR98" s="157">
        <f>+AM98+IFERROR(VLOOKUP($A98,'B0 2264預收'!$1:$1048576,41,0),0)</f>
        <v>0</v>
      </c>
      <c r="AS98" s="157">
        <f t="shared" si="168"/>
        <v>0</v>
      </c>
      <c r="AT98" s="157">
        <f>+AO98+IFERROR(+VLOOKUP($A98,'B0 2264預收'!$1:$1048576,42,0),0)</f>
        <v>0</v>
      </c>
      <c r="AU98" s="157">
        <f t="shared" si="169"/>
        <v>0</v>
      </c>
      <c r="AV98" s="158">
        <f>+AQ98+IFERROR(VLOOKUP($A98,'A0 BS 1240在建'!$1:$1048576,45,0),0)</f>
        <v>0</v>
      </c>
      <c r="AW98" s="158">
        <f>+AR98+IFERROR(VLOOKUP($A98,'B0 2264預收'!$1:$1048576,45,0),0)</f>
        <v>0</v>
      </c>
      <c r="AX98" s="158">
        <f t="shared" si="170"/>
        <v>0</v>
      </c>
      <c r="AY98" s="158">
        <f>+AT98+IFERROR(+VLOOKUP($A98,'B0 2264預收'!$1:$1048576,46,0),0)</f>
        <v>0</v>
      </c>
      <c r="AZ98" s="158">
        <f t="shared" si="171"/>
        <v>0</v>
      </c>
      <c r="BA98" s="157">
        <f>+AV98+IFERROR(VLOOKUP($A98,'A0 BS 1240在建'!$1:$1048576,49,0),0)</f>
        <v>0</v>
      </c>
      <c r="BB98" s="157">
        <f>+AW98+IFERROR(VLOOKUP($A98,'B0 2264預收'!$1:$1048576,49,0),0)</f>
        <v>0</v>
      </c>
      <c r="BC98" s="157">
        <f t="shared" si="172"/>
        <v>0</v>
      </c>
      <c r="BD98" s="157">
        <f>+AY98+IFERROR(+VLOOKUP($A98,'B0 2264預收'!$1:$1048576,50,0),0)</f>
        <v>0</v>
      </c>
      <c r="BE98" s="157">
        <f t="shared" si="173"/>
        <v>0</v>
      </c>
      <c r="BF98" s="158">
        <f>+BA98+IFERROR(VLOOKUP($A98,'A0 BS 1240在建'!$1:$1048576,53,0),0)</f>
        <v>0</v>
      </c>
      <c r="BG98" s="158">
        <f>+BB98+IFERROR(VLOOKUP($A98,'B0 2264預收'!$1:$1048576,53,0),0)</f>
        <v>0</v>
      </c>
      <c r="BH98" s="158">
        <f t="shared" si="174"/>
        <v>0</v>
      </c>
      <c r="BI98" s="158">
        <f>+BD98+IFERROR(+VLOOKUP($A98,'B0 2264預收'!$1:$1048576,54,0),0)</f>
        <v>0</v>
      </c>
      <c r="BJ98" s="158">
        <f t="shared" si="175"/>
        <v>0</v>
      </c>
      <c r="BK98" s="157">
        <f>+BF98+IFERROR(VLOOKUP($A98,'A0 BS 1240在建'!$1:$1048576,57,0),0)</f>
        <v>0</v>
      </c>
      <c r="BL98" s="157">
        <f>+BG98+IFERROR(VLOOKUP($A98,'B0 2264預收'!$1:$1048576,57,0),0)</f>
        <v>0</v>
      </c>
      <c r="BM98" s="157">
        <f t="shared" si="176"/>
        <v>0</v>
      </c>
      <c r="BN98" s="157">
        <f>+BI98+IFERROR(+VLOOKUP($A98,'B0 2264預收'!$1:$1048576,58,0),0)</f>
        <v>0</v>
      </c>
      <c r="BO98" s="157">
        <f t="shared" si="177"/>
        <v>0</v>
      </c>
      <c r="BP98" s="158">
        <f>+BK98+IFERROR(VLOOKUP($A98,'A0 BS 1240在建'!$1:$1048576,61,0),0)</f>
        <v>0</v>
      </c>
      <c r="BQ98" s="158">
        <f>+BL98+IFERROR(VLOOKUP($A98,'B0 2264預收'!$1:$1048576,61,0),0)</f>
        <v>0</v>
      </c>
      <c r="BR98" s="159">
        <f t="shared" si="178"/>
        <v>0</v>
      </c>
      <c r="BS98" s="158">
        <f>+BN98+IFERROR(+VLOOKUP($A98,'B0 2264預收'!$1:$1048576,62,0),0)</f>
        <v>0</v>
      </c>
      <c r="BT98" s="158">
        <f t="shared" si="179"/>
        <v>0</v>
      </c>
      <c r="BU98" s="157">
        <f>+IFERROR(VLOOKUP($A98,'A0 BS 1240在建'!$1:$1048576,77,0),0)</f>
        <v>0</v>
      </c>
      <c r="BV98" s="157">
        <f>+IFERROR(VLOOKUP($A98,'B0 2264預收'!$1:$1048576,77,0),0)</f>
        <v>0</v>
      </c>
      <c r="BW98" s="157">
        <f t="shared" si="180"/>
        <v>0</v>
      </c>
      <c r="BX98" s="157">
        <f>+IFERROR(+VLOOKUP($A98,'B0 2264預收'!$1:$1048576,78,0),0)</f>
        <v>0</v>
      </c>
      <c r="BY98" s="157">
        <f t="shared" si="181"/>
        <v>0</v>
      </c>
      <c r="BZ98" s="158">
        <f>IFERROR(+VLOOKUP($A98,'A0 BS 1240在建'!$1:$1048576,85,0),0)</f>
        <v>0</v>
      </c>
      <c r="CA98" s="158">
        <f>IFERROR(+VLOOKUP($A98,'B0 2264預收'!$1:$1048576,85,0),0)</f>
        <v>0</v>
      </c>
      <c r="CB98" s="158">
        <f t="shared" si="182"/>
        <v>0</v>
      </c>
      <c r="CC98" s="158">
        <f>+IFERROR(+VLOOKUP($A98,'B0 2264預收'!$1:$1048576,86,0),0)</f>
        <v>0</v>
      </c>
      <c r="CD98" s="158">
        <f t="shared" si="183"/>
        <v>0</v>
      </c>
      <c r="CE98" s="157">
        <f>+IFERROR(VLOOKUP($A98,'A0 BS 1240在建'!$1:$1048576,93,0),0)</f>
        <v>0</v>
      </c>
      <c r="CF98" s="157">
        <f>+IFERROR(VLOOKUP($A98,'B0 2264預收'!$1:$1048576,93,0),0)</f>
        <v>0</v>
      </c>
      <c r="CG98" s="157">
        <f t="shared" si="184"/>
        <v>0</v>
      </c>
      <c r="CH98" s="157">
        <f>+IFERROR(+VLOOKUP($A98,'B0 2264預收'!$1:$1048576,94,0),0)</f>
        <v>0</v>
      </c>
      <c r="CI98" s="157">
        <f t="shared" si="185"/>
        <v>0</v>
      </c>
      <c r="CJ98" s="158">
        <f>IFERROR(+VLOOKUP($A98,'A0 BS 1240在建'!$1:$1048576,101,0),0)</f>
        <v>0</v>
      </c>
      <c r="CK98" s="158">
        <f>IFERROR(+VLOOKUP($A98,'B0 2264預收'!$1:$1048576,101,0),0)</f>
        <v>0</v>
      </c>
      <c r="CL98" s="158">
        <f t="shared" si="186"/>
        <v>0</v>
      </c>
      <c r="CM98" s="158">
        <f>+IFERROR(+VLOOKUP($A98,'B0 2264預收'!$1:$1048576,102,0),0)</f>
        <v>0</v>
      </c>
      <c r="CN98" s="158">
        <f t="shared" si="187"/>
        <v>0</v>
      </c>
      <c r="CP98" s="166">
        <f t="shared" si="188"/>
        <v>0</v>
      </c>
      <c r="CQ98" s="98">
        <f>+CP98</f>
        <v>0</v>
      </c>
      <c r="CU98" s="166">
        <f t="shared" si="189"/>
        <v>0</v>
      </c>
      <c r="CV98" s="98">
        <f>+CU98</f>
        <v>0</v>
      </c>
      <c r="CY98" s="162" t="str">
        <f t="shared" si="138"/>
        <v/>
      </c>
      <c r="CZ98" s="98" t="str">
        <f t="shared" si="139"/>
        <v xml:space="preserve"> </v>
      </c>
      <c r="DA98" s="98" t="str">
        <f t="shared" si="140"/>
        <v xml:space="preserve"> </v>
      </c>
      <c r="DB98" s="98" t="str">
        <f t="shared" si="141"/>
        <v xml:space="preserve"> </v>
      </c>
      <c r="DC98" s="163">
        <f t="shared" si="142"/>
        <v>0</v>
      </c>
      <c r="DD98" s="162" t="str">
        <f t="shared" si="146"/>
        <v/>
      </c>
      <c r="DE98" s="98" t="str">
        <f t="shared" si="147"/>
        <v xml:space="preserve"> </v>
      </c>
      <c r="DF98" s="98" t="str">
        <f t="shared" si="148"/>
        <v xml:space="preserve"> </v>
      </c>
      <c r="DG98" s="98" t="str">
        <f t="shared" si="149"/>
        <v xml:space="preserve"> </v>
      </c>
      <c r="DH98" s="163">
        <f t="shared" si="143"/>
        <v>0</v>
      </c>
    </row>
    <row r="99" spans="1:112">
      <c r="A99" s="179" t="s">
        <v>485</v>
      </c>
      <c r="B99" s="172" t="s">
        <v>486</v>
      </c>
      <c r="C99" s="157">
        <f>IFERROR(VLOOKUP($A99,'A0 BS 1240在建'!$1:$1048576,5,0),0)</f>
        <v>0</v>
      </c>
      <c r="D99" s="157">
        <f>IFERROR(VLOOKUP($A99,'B0 2264預收'!$1:$1048576,5,0),0)</f>
        <v>0</v>
      </c>
      <c r="E99" s="157">
        <f t="shared" si="152"/>
        <v>0</v>
      </c>
      <c r="F99" s="157">
        <f>IFERROR(VLOOKUP($A99,'B0 2264預收'!$1:$1048576,6,0),0)</f>
        <v>0</v>
      </c>
      <c r="G99" s="157">
        <f t="shared" si="153"/>
        <v>0</v>
      </c>
      <c r="H99" s="158">
        <f>IFERROR(VLOOKUP($A99,'A0 BS 1240在建'!$1:$1048576,13,0),0)</f>
        <v>0</v>
      </c>
      <c r="I99" s="158">
        <f>IFERROR(VLOOKUP($A99,'B0 2264預收'!$1:$1048576,13,0),0)</f>
        <v>0</v>
      </c>
      <c r="J99" s="158">
        <f t="shared" si="154"/>
        <v>0</v>
      </c>
      <c r="K99" s="158">
        <f>IFERROR(VLOOKUP($A99,'B0 2264預收'!$1:$1048576,14,0),0)</f>
        <v>0</v>
      </c>
      <c r="L99" s="158">
        <f t="shared" si="155"/>
        <v>0</v>
      </c>
      <c r="M99" s="157">
        <f>H99+IFERROR(VLOOKUP($A99,'A0 BS 1240在建'!$1:$1048576,17,0),0)</f>
        <v>0</v>
      </c>
      <c r="N99" s="157">
        <f>I99+IFERROR(VLOOKUP($A99,'B0 2264預收'!$1:$1048576,17,0),0)</f>
        <v>0</v>
      </c>
      <c r="O99" s="157">
        <f t="shared" si="156"/>
        <v>0</v>
      </c>
      <c r="P99" s="157">
        <f>K99+IFERROR(+VLOOKUP($A99,'B0 2264預收'!$1:$1048576,18,0),0)</f>
        <v>0</v>
      </c>
      <c r="Q99" s="157">
        <f t="shared" si="157"/>
        <v>0</v>
      </c>
      <c r="R99" s="158">
        <f>M99+IFERROR(VLOOKUP($A99,'A0 BS 1240在建'!$1:$1048576,21,0),0)</f>
        <v>0</v>
      </c>
      <c r="S99" s="158">
        <f>+N99+IFERROR(VLOOKUP($A99,'B0 2264預收'!$1:$1048576,21,0),0)</f>
        <v>0</v>
      </c>
      <c r="T99" s="158">
        <f t="shared" si="158"/>
        <v>0</v>
      </c>
      <c r="U99" s="158">
        <f>+P99+IFERROR(+VLOOKUP($A99,'B0 2264預收'!$1:$1048576,22,0),0)</f>
        <v>0</v>
      </c>
      <c r="V99" s="158">
        <f t="shared" si="159"/>
        <v>0</v>
      </c>
      <c r="W99" s="157">
        <f>+R99+IFERROR(VLOOKUP($A99,'A0 BS 1240在建'!$1:$1048576,25,0),0)</f>
        <v>0</v>
      </c>
      <c r="X99" s="157">
        <f>+S99+IFERROR(VLOOKUP($A99,'B0 2264預收'!$1:$1048576,25,0),0)</f>
        <v>0</v>
      </c>
      <c r="Y99" s="157">
        <f t="shared" si="160"/>
        <v>0</v>
      </c>
      <c r="Z99" s="157">
        <f>+U99+IFERROR(+VLOOKUP($A99,'B0 2264預收'!$1:$1048576,26,0),0)</f>
        <v>0</v>
      </c>
      <c r="AA99" s="157">
        <f t="shared" si="161"/>
        <v>0</v>
      </c>
      <c r="AB99" s="158">
        <f>+W99+IFERROR(VLOOKUP($A99,'A0 BS 1240在建'!$1:$1048576,29,0),0)</f>
        <v>0</v>
      </c>
      <c r="AC99" s="158">
        <f>+X99+IFERROR(VLOOKUP($A99,'B0 2264預收'!$1:$1048576,29,0),0)</f>
        <v>0</v>
      </c>
      <c r="AD99" s="158">
        <f t="shared" si="162"/>
        <v>0</v>
      </c>
      <c r="AE99" s="158">
        <f>+Z99+IFERROR(+VLOOKUP($A99,'B0 2264預收'!$1:$1048576,30,0),0)</f>
        <v>0</v>
      </c>
      <c r="AF99" s="158">
        <f t="shared" si="163"/>
        <v>0</v>
      </c>
      <c r="AG99" s="157">
        <f>+AB99+IFERROR(VLOOKUP($A99,'A0 BS 1240在建'!$1:$1048576,33,0),0)</f>
        <v>0</v>
      </c>
      <c r="AH99" s="157">
        <f>+AC99+IFERROR(VLOOKUP($A99,'B0 2264預收'!$1:$1048576,33,0),0)</f>
        <v>0</v>
      </c>
      <c r="AI99" s="157">
        <f t="shared" si="164"/>
        <v>0</v>
      </c>
      <c r="AJ99" s="157">
        <f>+AE99+IFERROR(+VLOOKUP($A99,'B0 2264預收'!$1:$1048576,34,0),0)</f>
        <v>0</v>
      </c>
      <c r="AK99" s="157">
        <f t="shared" si="165"/>
        <v>0</v>
      </c>
      <c r="AL99" s="158">
        <f>+AG99+IFERROR(VLOOKUP($A99,'A0 BS 1240在建'!$1:$1048576,37,0),0)</f>
        <v>0</v>
      </c>
      <c r="AM99" s="158">
        <f>+AH99+IFERROR(VLOOKUP($A99,'B0 2264預收'!$1:$1048576,37,0),0)</f>
        <v>0</v>
      </c>
      <c r="AN99" s="158">
        <f t="shared" si="166"/>
        <v>0</v>
      </c>
      <c r="AO99" s="158">
        <f>+AJ99+IFERROR(+VLOOKUP($A99,'B0 2264預收'!$1:$1048576,38,0),0)</f>
        <v>0</v>
      </c>
      <c r="AP99" s="158">
        <f t="shared" si="167"/>
        <v>0</v>
      </c>
      <c r="AQ99" s="157">
        <f>+AL99+IFERROR(VLOOKUP($A99,'A0 BS 1240在建'!$1:$1048576,41,0),0)</f>
        <v>0</v>
      </c>
      <c r="AR99" s="157">
        <f>+AM99+IFERROR(VLOOKUP($A99,'B0 2264預收'!$1:$1048576,41,0),0)</f>
        <v>0</v>
      </c>
      <c r="AS99" s="157">
        <f t="shared" si="168"/>
        <v>0</v>
      </c>
      <c r="AT99" s="157">
        <f>+AO99+IFERROR(+VLOOKUP($A99,'B0 2264預收'!$1:$1048576,42,0),0)</f>
        <v>0</v>
      </c>
      <c r="AU99" s="157">
        <f t="shared" si="169"/>
        <v>0</v>
      </c>
      <c r="AV99" s="158">
        <f>+AQ99+IFERROR(VLOOKUP($A99,'A0 BS 1240在建'!$1:$1048576,45,0),0)</f>
        <v>0</v>
      </c>
      <c r="AW99" s="158">
        <f>+AR99+IFERROR(VLOOKUP($A99,'B0 2264預收'!$1:$1048576,45,0),0)</f>
        <v>0</v>
      </c>
      <c r="AX99" s="158">
        <f t="shared" si="170"/>
        <v>0</v>
      </c>
      <c r="AY99" s="158">
        <f>+AT99+IFERROR(+VLOOKUP($A99,'B0 2264預收'!$1:$1048576,46,0),0)</f>
        <v>0</v>
      </c>
      <c r="AZ99" s="158">
        <f t="shared" si="171"/>
        <v>0</v>
      </c>
      <c r="BA99" s="157">
        <f>+AV99+IFERROR(VLOOKUP($A99,'A0 BS 1240在建'!$1:$1048576,49,0),0)</f>
        <v>0</v>
      </c>
      <c r="BB99" s="157">
        <f>+AW99+IFERROR(VLOOKUP($A99,'B0 2264預收'!$1:$1048576,49,0),0)</f>
        <v>0</v>
      </c>
      <c r="BC99" s="157">
        <f t="shared" si="172"/>
        <v>0</v>
      </c>
      <c r="BD99" s="157">
        <f>+AY99+IFERROR(+VLOOKUP($A99,'B0 2264預收'!$1:$1048576,50,0),0)</f>
        <v>0</v>
      </c>
      <c r="BE99" s="157">
        <f t="shared" si="173"/>
        <v>0</v>
      </c>
      <c r="BF99" s="158">
        <f>+BA99+IFERROR(VLOOKUP($A99,'A0 BS 1240在建'!$1:$1048576,53,0),0)</f>
        <v>0</v>
      </c>
      <c r="BG99" s="158">
        <f>+BB99+IFERROR(VLOOKUP($A99,'B0 2264預收'!$1:$1048576,53,0),0)</f>
        <v>0</v>
      </c>
      <c r="BH99" s="158">
        <f t="shared" si="174"/>
        <v>0</v>
      </c>
      <c r="BI99" s="158">
        <f>+BD99+IFERROR(+VLOOKUP($A99,'B0 2264預收'!$1:$1048576,54,0),0)</f>
        <v>0</v>
      </c>
      <c r="BJ99" s="158">
        <f t="shared" si="175"/>
        <v>0</v>
      </c>
      <c r="BK99" s="157">
        <f>+BF99+IFERROR(VLOOKUP($A99,'A0 BS 1240在建'!$1:$1048576,57,0),0)</f>
        <v>0</v>
      </c>
      <c r="BL99" s="157">
        <f>+BG99+IFERROR(VLOOKUP($A99,'B0 2264預收'!$1:$1048576,57,0),0)</f>
        <v>0</v>
      </c>
      <c r="BM99" s="157">
        <f t="shared" si="176"/>
        <v>0</v>
      </c>
      <c r="BN99" s="157">
        <f>+BI99+IFERROR(+VLOOKUP($A99,'B0 2264預收'!$1:$1048576,58,0),0)</f>
        <v>0</v>
      </c>
      <c r="BO99" s="157">
        <f t="shared" si="177"/>
        <v>0</v>
      </c>
      <c r="BP99" s="158">
        <f>+BK99+IFERROR(VLOOKUP($A99,'A0 BS 1240在建'!$1:$1048576,61,0),0)</f>
        <v>0</v>
      </c>
      <c r="BQ99" s="158">
        <f>+BL99+IFERROR(VLOOKUP($A99,'B0 2264預收'!$1:$1048576,61,0),0)</f>
        <v>0</v>
      </c>
      <c r="BR99" s="159">
        <f t="shared" si="178"/>
        <v>0</v>
      </c>
      <c r="BS99" s="158">
        <f>+BN99+IFERROR(+VLOOKUP($A99,'B0 2264預收'!$1:$1048576,62,0),0)</f>
        <v>0</v>
      </c>
      <c r="BT99" s="158">
        <f t="shared" si="179"/>
        <v>0</v>
      </c>
      <c r="BU99" s="157">
        <f>+IFERROR(VLOOKUP($A99,'A0 BS 1240在建'!$1:$1048576,77,0),0)</f>
        <v>0</v>
      </c>
      <c r="BV99" s="157">
        <f>+IFERROR(VLOOKUP($A99,'B0 2264預收'!$1:$1048576,77,0),0)</f>
        <v>0</v>
      </c>
      <c r="BW99" s="157">
        <f t="shared" si="180"/>
        <v>0</v>
      </c>
      <c r="BX99" s="157">
        <f>+IFERROR(+VLOOKUP($A99,'B0 2264預收'!$1:$1048576,78,0),0)</f>
        <v>0</v>
      </c>
      <c r="BY99" s="157">
        <f t="shared" si="181"/>
        <v>0</v>
      </c>
      <c r="BZ99" s="158">
        <f>IFERROR(+VLOOKUP($A99,'A0 BS 1240在建'!$1:$1048576,85,0),0)</f>
        <v>0</v>
      </c>
      <c r="CA99" s="158">
        <f>IFERROR(+VLOOKUP($A99,'B0 2264預收'!$1:$1048576,85,0),0)</f>
        <v>0</v>
      </c>
      <c r="CB99" s="158">
        <f t="shared" si="182"/>
        <v>0</v>
      </c>
      <c r="CC99" s="158">
        <f>+IFERROR(+VLOOKUP($A99,'B0 2264預收'!$1:$1048576,86,0),0)</f>
        <v>0</v>
      </c>
      <c r="CD99" s="158">
        <f t="shared" si="183"/>
        <v>0</v>
      </c>
      <c r="CE99" s="157">
        <f>+IFERROR(VLOOKUP($A99,'A0 BS 1240在建'!$1:$1048576,93,0),0)</f>
        <v>0</v>
      </c>
      <c r="CF99" s="157">
        <f>+IFERROR(VLOOKUP($A99,'B0 2264預收'!$1:$1048576,93,0),0)</f>
        <v>0</v>
      </c>
      <c r="CG99" s="157">
        <f t="shared" si="184"/>
        <v>0</v>
      </c>
      <c r="CH99" s="157">
        <f>+IFERROR(+VLOOKUP($A99,'B0 2264預收'!$1:$1048576,94,0),0)</f>
        <v>0</v>
      </c>
      <c r="CI99" s="157">
        <f t="shared" si="185"/>
        <v>0</v>
      </c>
      <c r="CJ99" s="158">
        <f>IFERROR(+VLOOKUP($A99,'A0 BS 1240在建'!$1:$1048576,101,0),0)</f>
        <v>0</v>
      </c>
      <c r="CK99" s="158">
        <f>IFERROR(+VLOOKUP($A99,'B0 2264預收'!$1:$1048576,101,0),0)</f>
        <v>0</v>
      </c>
      <c r="CL99" s="158">
        <f t="shared" si="186"/>
        <v>0</v>
      </c>
      <c r="CM99" s="158">
        <f>+IFERROR(+VLOOKUP($A99,'B0 2264預收'!$1:$1048576,102,0),0)</f>
        <v>0</v>
      </c>
      <c r="CN99" s="158">
        <f t="shared" si="187"/>
        <v>0</v>
      </c>
      <c r="CP99" s="166">
        <f t="shared" si="188"/>
        <v>0</v>
      </c>
      <c r="CQ99" s="98">
        <f>+CP99</f>
        <v>0</v>
      </c>
      <c r="CU99" s="166">
        <f t="shared" si="189"/>
        <v>0</v>
      </c>
      <c r="CV99" s="98">
        <f>+CU99</f>
        <v>0</v>
      </c>
      <c r="CY99" s="162" t="str">
        <f t="shared" si="138"/>
        <v/>
      </c>
      <c r="CZ99" s="98" t="str">
        <f t="shared" si="139"/>
        <v xml:space="preserve"> </v>
      </c>
      <c r="DA99" s="98" t="str">
        <f t="shared" si="140"/>
        <v xml:space="preserve"> </v>
      </c>
      <c r="DB99" s="98" t="str">
        <f t="shared" si="141"/>
        <v xml:space="preserve"> </v>
      </c>
      <c r="DC99" s="163">
        <f t="shared" si="142"/>
        <v>0</v>
      </c>
      <c r="DD99" s="162" t="str">
        <f t="shared" si="146"/>
        <v/>
      </c>
      <c r="DE99" s="98" t="str">
        <f t="shared" si="147"/>
        <v xml:space="preserve"> </v>
      </c>
      <c r="DF99" s="98" t="str">
        <f t="shared" si="148"/>
        <v xml:space="preserve"> </v>
      </c>
      <c r="DG99" s="98" t="str">
        <f t="shared" si="149"/>
        <v xml:space="preserve"> </v>
      </c>
      <c r="DH99" s="163">
        <f t="shared" si="143"/>
        <v>0</v>
      </c>
    </row>
    <row r="100" spans="1:112">
      <c r="A100" s="179" t="s">
        <v>487</v>
      </c>
      <c r="B100" s="180" t="s">
        <v>488</v>
      </c>
      <c r="C100" s="157">
        <f>IFERROR(VLOOKUP($A100,'A0 BS 1240在建'!$1:$1048576,5,0),0)</f>
        <v>0</v>
      </c>
      <c r="D100" s="157">
        <f>IFERROR(VLOOKUP($A100,'B0 2264預收'!$1:$1048576,5,0),0)</f>
        <v>0</v>
      </c>
      <c r="E100" s="157">
        <f t="shared" si="152"/>
        <v>0</v>
      </c>
      <c r="F100" s="157">
        <f>IFERROR(VLOOKUP($A100,'B0 2264預收'!$1:$1048576,6,0),0)</f>
        <v>0</v>
      </c>
      <c r="G100" s="157">
        <f t="shared" si="153"/>
        <v>0</v>
      </c>
      <c r="H100" s="158">
        <f>IFERROR(VLOOKUP($A100,'A0 BS 1240在建'!$1:$1048576,13,0),0)</f>
        <v>0</v>
      </c>
      <c r="I100" s="158">
        <f>IFERROR(VLOOKUP($A100,'B0 2264預收'!$1:$1048576,13,0),0)</f>
        <v>0</v>
      </c>
      <c r="J100" s="158">
        <f t="shared" si="154"/>
        <v>0</v>
      </c>
      <c r="K100" s="158">
        <f>IFERROR(VLOOKUP($A100,'B0 2264預收'!$1:$1048576,14,0),0)</f>
        <v>0</v>
      </c>
      <c r="L100" s="158">
        <f t="shared" si="155"/>
        <v>0</v>
      </c>
      <c r="M100" s="157">
        <f>H100+IFERROR(VLOOKUP($A100,'A0 BS 1240在建'!$1:$1048576,17,0),0)</f>
        <v>0</v>
      </c>
      <c r="N100" s="157">
        <f>I100+IFERROR(VLOOKUP($A100,'B0 2264預收'!$1:$1048576,17,0),0)</f>
        <v>0</v>
      </c>
      <c r="O100" s="157">
        <f t="shared" si="156"/>
        <v>0</v>
      </c>
      <c r="P100" s="157">
        <f>K100+IFERROR(+VLOOKUP($A100,'B0 2264預收'!$1:$1048576,18,0),0)</f>
        <v>0</v>
      </c>
      <c r="Q100" s="157">
        <f t="shared" si="157"/>
        <v>0</v>
      </c>
      <c r="R100" s="158">
        <f>M100+IFERROR(VLOOKUP($A100,'A0 BS 1240在建'!$1:$1048576,21,0),0)</f>
        <v>0</v>
      </c>
      <c r="S100" s="158">
        <f>+N100+IFERROR(VLOOKUP($A100,'B0 2264預收'!$1:$1048576,21,0),0)</f>
        <v>0</v>
      </c>
      <c r="T100" s="158">
        <f t="shared" si="158"/>
        <v>0</v>
      </c>
      <c r="U100" s="158">
        <f>+P100+IFERROR(+VLOOKUP($A100,'B0 2264預收'!$1:$1048576,22,0),0)</f>
        <v>0</v>
      </c>
      <c r="V100" s="158">
        <f t="shared" si="159"/>
        <v>0</v>
      </c>
      <c r="W100" s="157">
        <f>+R100+IFERROR(VLOOKUP($A100,'A0 BS 1240在建'!$1:$1048576,25,0),0)</f>
        <v>0</v>
      </c>
      <c r="X100" s="157">
        <f>+S100+IFERROR(VLOOKUP($A100,'B0 2264預收'!$1:$1048576,25,0),0)</f>
        <v>0</v>
      </c>
      <c r="Y100" s="157">
        <f t="shared" si="160"/>
        <v>0</v>
      </c>
      <c r="Z100" s="157">
        <f>+U100+IFERROR(+VLOOKUP($A100,'B0 2264預收'!$1:$1048576,26,0),0)</f>
        <v>0</v>
      </c>
      <c r="AA100" s="157">
        <f t="shared" si="161"/>
        <v>0</v>
      </c>
      <c r="AB100" s="158">
        <f>+W100+IFERROR(VLOOKUP($A100,'A0 BS 1240在建'!$1:$1048576,29,0),0)</f>
        <v>0</v>
      </c>
      <c r="AC100" s="158">
        <f>+X100+IFERROR(VLOOKUP($A100,'B0 2264預收'!$1:$1048576,29,0),0)</f>
        <v>0</v>
      </c>
      <c r="AD100" s="158">
        <f t="shared" si="162"/>
        <v>0</v>
      </c>
      <c r="AE100" s="158">
        <f>+Z100+IFERROR(+VLOOKUP($A100,'B0 2264預收'!$1:$1048576,30,0),0)</f>
        <v>0</v>
      </c>
      <c r="AF100" s="158">
        <f t="shared" si="163"/>
        <v>0</v>
      </c>
      <c r="AG100" s="157">
        <f>+AB100+IFERROR(VLOOKUP($A100,'A0 BS 1240在建'!$1:$1048576,33,0),0)</f>
        <v>0</v>
      </c>
      <c r="AH100" s="157">
        <f>+AC100+IFERROR(VLOOKUP($A100,'B0 2264預收'!$1:$1048576,33,0),0)</f>
        <v>0</v>
      </c>
      <c r="AI100" s="157">
        <f t="shared" si="164"/>
        <v>0</v>
      </c>
      <c r="AJ100" s="157">
        <f>+AE100+IFERROR(+VLOOKUP($A100,'B0 2264預收'!$1:$1048576,34,0),0)</f>
        <v>0</v>
      </c>
      <c r="AK100" s="157">
        <f t="shared" si="165"/>
        <v>0</v>
      </c>
      <c r="AL100" s="158">
        <f>+AG100+IFERROR(VLOOKUP($A100,'A0 BS 1240在建'!$1:$1048576,37,0),0)</f>
        <v>0</v>
      </c>
      <c r="AM100" s="158">
        <f>+AH100+IFERROR(VLOOKUP($A100,'B0 2264預收'!$1:$1048576,37,0),0)</f>
        <v>0</v>
      </c>
      <c r="AN100" s="158">
        <f t="shared" si="166"/>
        <v>0</v>
      </c>
      <c r="AO100" s="158">
        <f>+AJ100+IFERROR(+VLOOKUP($A100,'B0 2264預收'!$1:$1048576,38,0),0)</f>
        <v>0</v>
      </c>
      <c r="AP100" s="158">
        <f t="shared" si="167"/>
        <v>0</v>
      </c>
      <c r="AQ100" s="157">
        <f>+AL100+IFERROR(VLOOKUP($A100,'A0 BS 1240在建'!$1:$1048576,41,0),0)</f>
        <v>0</v>
      </c>
      <c r="AR100" s="157">
        <f>+AM100+IFERROR(VLOOKUP($A100,'B0 2264預收'!$1:$1048576,41,0),0)</f>
        <v>0</v>
      </c>
      <c r="AS100" s="157">
        <f t="shared" si="168"/>
        <v>0</v>
      </c>
      <c r="AT100" s="157">
        <f>+AO100+IFERROR(+VLOOKUP($A100,'B0 2264預收'!$1:$1048576,42,0),0)</f>
        <v>0</v>
      </c>
      <c r="AU100" s="157">
        <f t="shared" si="169"/>
        <v>0</v>
      </c>
      <c r="AV100" s="158">
        <f>+AQ100+IFERROR(VLOOKUP($A100,'A0 BS 1240在建'!$1:$1048576,45,0),0)</f>
        <v>0</v>
      </c>
      <c r="AW100" s="158">
        <f>+AR100+IFERROR(VLOOKUP($A100,'B0 2264預收'!$1:$1048576,45,0),0)</f>
        <v>0</v>
      </c>
      <c r="AX100" s="158">
        <f t="shared" si="170"/>
        <v>0</v>
      </c>
      <c r="AY100" s="158">
        <f>+AT100+IFERROR(+VLOOKUP($A100,'B0 2264預收'!$1:$1048576,46,0),0)</f>
        <v>0</v>
      </c>
      <c r="AZ100" s="158">
        <f t="shared" si="171"/>
        <v>0</v>
      </c>
      <c r="BA100" s="157">
        <f>+AV100+IFERROR(VLOOKUP($A100,'A0 BS 1240在建'!$1:$1048576,49,0),0)</f>
        <v>0</v>
      </c>
      <c r="BB100" s="157">
        <f>+AW100+IFERROR(VLOOKUP($A100,'B0 2264預收'!$1:$1048576,49,0),0)</f>
        <v>0</v>
      </c>
      <c r="BC100" s="157">
        <f t="shared" si="172"/>
        <v>0</v>
      </c>
      <c r="BD100" s="157">
        <f>+AY100+IFERROR(+VLOOKUP($A100,'B0 2264預收'!$1:$1048576,50,0),0)</f>
        <v>0</v>
      </c>
      <c r="BE100" s="157">
        <f t="shared" si="173"/>
        <v>0</v>
      </c>
      <c r="BF100" s="158">
        <f>+BA100+IFERROR(VLOOKUP($A100,'A0 BS 1240在建'!$1:$1048576,53,0),0)</f>
        <v>0</v>
      </c>
      <c r="BG100" s="158">
        <f>+BB100+IFERROR(VLOOKUP($A100,'B0 2264預收'!$1:$1048576,53,0),0)</f>
        <v>0</v>
      </c>
      <c r="BH100" s="158">
        <f t="shared" si="174"/>
        <v>0</v>
      </c>
      <c r="BI100" s="158">
        <f>+BD100+IFERROR(+VLOOKUP($A100,'B0 2264預收'!$1:$1048576,54,0),0)</f>
        <v>0</v>
      </c>
      <c r="BJ100" s="158">
        <f t="shared" si="175"/>
        <v>0</v>
      </c>
      <c r="BK100" s="157">
        <f>+BF100+IFERROR(VLOOKUP($A100,'A0 BS 1240在建'!$1:$1048576,57,0),0)</f>
        <v>0</v>
      </c>
      <c r="BL100" s="157">
        <f>+BG100+IFERROR(VLOOKUP($A100,'B0 2264預收'!$1:$1048576,57,0),0)</f>
        <v>0</v>
      </c>
      <c r="BM100" s="157">
        <f t="shared" si="176"/>
        <v>0</v>
      </c>
      <c r="BN100" s="157">
        <f>+BI100+IFERROR(+VLOOKUP($A100,'B0 2264預收'!$1:$1048576,58,0),0)</f>
        <v>0</v>
      </c>
      <c r="BO100" s="157">
        <f t="shared" si="177"/>
        <v>0</v>
      </c>
      <c r="BP100" s="158">
        <f>+BK100+IFERROR(VLOOKUP($A100,'A0 BS 1240在建'!$1:$1048576,61,0),0)</f>
        <v>0</v>
      </c>
      <c r="BQ100" s="158">
        <f>+BL100+IFERROR(VLOOKUP($A100,'B0 2264預收'!$1:$1048576,61,0),0)</f>
        <v>0</v>
      </c>
      <c r="BR100" s="159">
        <f t="shared" si="178"/>
        <v>0</v>
      </c>
      <c r="BS100" s="158">
        <f>+BN100+IFERROR(+VLOOKUP($A100,'B0 2264預收'!$1:$1048576,62,0),0)</f>
        <v>0</v>
      </c>
      <c r="BT100" s="158">
        <f t="shared" si="179"/>
        <v>0</v>
      </c>
      <c r="BU100" s="157">
        <f>+IFERROR(VLOOKUP($A100,'A0 BS 1240在建'!$1:$1048576,77,0),0)</f>
        <v>0</v>
      </c>
      <c r="BV100" s="157">
        <f>+IFERROR(VLOOKUP($A100,'B0 2264預收'!$1:$1048576,77,0),0)</f>
        <v>0</v>
      </c>
      <c r="BW100" s="157">
        <f t="shared" si="180"/>
        <v>0</v>
      </c>
      <c r="BX100" s="157">
        <f>+IFERROR(+VLOOKUP($A100,'B0 2264預收'!$1:$1048576,78,0),0)</f>
        <v>0</v>
      </c>
      <c r="BY100" s="157">
        <f t="shared" si="181"/>
        <v>0</v>
      </c>
      <c r="BZ100" s="158">
        <f>IFERROR(+VLOOKUP($A100,'A0 BS 1240在建'!$1:$1048576,85,0),0)</f>
        <v>0</v>
      </c>
      <c r="CA100" s="158">
        <f>IFERROR(+VLOOKUP($A100,'B0 2264預收'!$1:$1048576,85,0),0)</f>
        <v>0</v>
      </c>
      <c r="CB100" s="158">
        <f t="shared" si="182"/>
        <v>0</v>
      </c>
      <c r="CC100" s="158">
        <f>+IFERROR(+VLOOKUP($A100,'B0 2264預收'!$1:$1048576,86,0),0)</f>
        <v>0</v>
      </c>
      <c r="CD100" s="158">
        <f t="shared" si="183"/>
        <v>0</v>
      </c>
      <c r="CE100" s="157">
        <f>+IFERROR(VLOOKUP($A100,'A0 BS 1240在建'!$1:$1048576,93,0),0)</f>
        <v>0</v>
      </c>
      <c r="CF100" s="157">
        <f>+IFERROR(VLOOKUP($A100,'B0 2264預收'!$1:$1048576,93,0),0)</f>
        <v>0</v>
      </c>
      <c r="CG100" s="157">
        <f t="shared" si="184"/>
        <v>0</v>
      </c>
      <c r="CH100" s="157">
        <f>+IFERROR(+VLOOKUP($A100,'B0 2264預收'!$1:$1048576,94,0),0)</f>
        <v>0</v>
      </c>
      <c r="CI100" s="157">
        <f t="shared" si="185"/>
        <v>0</v>
      </c>
      <c r="CJ100" s="158">
        <f>IFERROR(+VLOOKUP($A100,'A0 BS 1240在建'!$1:$1048576,101,0),0)</f>
        <v>0</v>
      </c>
      <c r="CK100" s="158">
        <f>IFERROR(+VLOOKUP($A100,'B0 2264預收'!$1:$1048576,101,0),0)</f>
        <v>0</v>
      </c>
      <c r="CL100" s="158">
        <f t="shared" si="186"/>
        <v>0</v>
      </c>
      <c r="CM100" s="158">
        <f>+IFERROR(+VLOOKUP($A100,'B0 2264預收'!$1:$1048576,102,0),0)</f>
        <v>0</v>
      </c>
      <c r="CN100" s="158">
        <f t="shared" si="187"/>
        <v>0</v>
      </c>
      <c r="CP100" s="166">
        <f t="shared" si="188"/>
        <v>0</v>
      </c>
      <c r="CQ100" s="98">
        <f>+CP100</f>
        <v>0</v>
      </c>
      <c r="CU100" s="166">
        <f t="shared" si="189"/>
        <v>0</v>
      </c>
      <c r="CV100" s="98">
        <f>+CU100</f>
        <v>0</v>
      </c>
      <c r="CY100" s="162" t="str">
        <f t="shared" si="138"/>
        <v/>
      </c>
      <c r="CZ100" s="98" t="str">
        <f t="shared" si="139"/>
        <v xml:space="preserve"> </v>
      </c>
      <c r="DA100" s="98" t="str">
        <f t="shared" si="140"/>
        <v xml:space="preserve"> </v>
      </c>
      <c r="DB100" s="98" t="str">
        <f t="shared" si="141"/>
        <v xml:space="preserve"> </v>
      </c>
      <c r="DC100" s="163">
        <f t="shared" si="142"/>
        <v>0</v>
      </c>
      <c r="DD100" s="162" t="str">
        <f t="shared" si="146"/>
        <v/>
      </c>
      <c r="DE100" s="98" t="str">
        <f t="shared" si="147"/>
        <v xml:space="preserve"> </v>
      </c>
      <c r="DF100" s="98" t="str">
        <f t="shared" si="148"/>
        <v xml:space="preserve"> </v>
      </c>
      <c r="DG100" s="98" t="str">
        <f t="shared" si="149"/>
        <v xml:space="preserve"> </v>
      </c>
      <c r="DH100" s="163">
        <f t="shared" si="143"/>
        <v>0</v>
      </c>
    </row>
    <row r="101" spans="1:112">
      <c r="A101" s="179" t="s">
        <v>489</v>
      </c>
      <c r="B101" s="172" t="s">
        <v>490</v>
      </c>
      <c r="C101" s="157">
        <f>IFERROR(VLOOKUP($A101,'A0 BS 1240在建'!$1:$1048576,5,0),0)</f>
        <v>0</v>
      </c>
      <c r="D101" s="157">
        <f>IFERROR(VLOOKUP($A101,'B0 2264預收'!$1:$1048576,5,0),0)</f>
        <v>0</v>
      </c>
      <c r="E101" s="157">
        <f t="shared" si="152"/>
        <v>0</v>
      </c>
      <c r="F101" s="157">
        <f>IFERROR(VLOOKUP($A101,'B0 2264預收'!$1:$1048576,6,0),0)</f>
        <v>0</v>
      </c>
      <c r="G101" s="157">
        <f t="shared" si="153"/>
        <v>0</v>
      </c>
      <c r="H101" s="158">
        <f>IFERROR(VLOOKUP($A101,'A0 BS 1240在建'!$1:$1048576,13,0),0)</f>
        <v>0</v>
      </c>
      <c r="I101" s="158">
        <f>IFERROR(VLOOKUP($A101,'B0 2264預收'!$1:$1048576,13,0),0)</f>
        <v>0</v>
      </c>
      <c r="J101" s="158">
        <f t="shared" si="154"/>
        <v>0</v>
      </c>
      <c r="K101" s="158">
        <f>IFERROR(VLOOKUP($A101,'B0 2264預收'!$1:$1048576,14,0),0)</f>
        <v>0</v>
      </c>
      <c r="L101" s="158">
        <f t="shared" si="155"/>
        <v>0</v>
      </c>
      <c r="M101" s="157">
        <f>H101+IFERROR(VLOOKUP($A101,'A0 BS 1240在建'!$1:$1048576,17,0),0)</f>
        <v>0</v>
      </c>
      <c r="N101" s="157">
        <f>I101+IFERROR(VLOOKUP($A101,'B0 2264預收'!$1:$1048576,17,0),0)</f>
        <v>0</v>
      </c>
      <c r="O101" s="157">
        <f t="shared" si="156"/>
        <v>0</v>
      </c>
      <c r="P101" s="157">
        <f>K101+IFERROR(+VLOOKUP($A101,'B0 2264預收'!$1:$1048576,18,0),0)</f>
        <v>0</v>
      </c>
      <c r="Q101" s="157">
        <f t="shared" si="157"/>
        <v>0</v>
      </c>
      <c r="R101" s="158">
        <f>M101+IFERROR(VLOOKUP($A101,'A0 BS 1240在建'!$1:$1048576,21,0),0)</f>
        <v>0</v>
      </c>
      <c r="S101" s="158">
        <f>+N101+IFERROR(VLOOKUP($A101,'B0 2264預收'!$1:$1048576,21,0),0)</f>
        <v>0</v>
      </c>
      <c r="T101" s="158">
        <f t="shared" si="158"/>
        <v>0</v>
      </c>
      <c r="U101" s="158">
        <f>+P101+IFERROR(+VLOOKUP($A101,'B0 2264預收'!$1:$1048576,22,0),0)</f>
        <v>0</v>
      </c>
      <c r="V101" s="158">
        <f t="shared" si="159"/>
        <v>0</v>
      </c>
      <c r="W101" s="157">
        <f>+R101+IFERROR(VLOOKUP($A101,'A0 BS 1240在建'!$1:$1048576,25,0),0)</f>
        <v>0</v>
      </c>
      <c r="X101" s="157">
        <f>+S101+IFERROR(VLOOKUP($A101,'B0 2264預收'!$1:$1048576,25,0),0)</f>
        <v>0</v>
      </c>
      <c r="Y101" s="157">
        <f t="shared" si="160"/>
        <v>0</v>
      </c>
      <c r="Z101" s="157">
        <f>+U101+IFERROR(+VLOOKUP($A101,'B0 2264預收'!$1:$1048576,26,0),0)</f>
        <v>0</v>
      </c>
      <c r="AA101" s="157">
        <f t="shared" si="161"/>
        <v>0</v>
      </c>
      <c r="AB101" s="158">
        <f>+W101+IFERROR(VLOOKUP($A101,'A0 BS 1240在建'!$1:$1048576,29,0),0)</f>
        <v>0</v>
      </c>
      <c r="AC101" s="158">
        <f>+X101+IFERROR(VLOOKUP($A101,'B0 2264預收'!$1:$1048576,29,0),0)</f>
        <v>0</v>
      </c>
      <c r="AD101" s="158">
        <f t="shared" si="162"/>
        <v>0</v>
      </c>
      <c r="AE101" s="158">
        <f>+Z101+IFERROR(+VLOOKUP($A101,'B0 2264預收'!$1:$1048576,30,0),0)</f>
        <v>0</v>
      </c>
      <c r="AF101" s="158">
        <f t="shared" si="163"/>
        <v>0</v>
      </c>
      <c r="AG101" s="157">
        <f>+AB101+IFERROR(VLOOKUP($A101,'A0 BS 1240在建'!$1:$1048576,33,0),0)</f>
        <v>0</v>
      </c>
      <c r="AH101" s="157">
        <f>+AC101+IFERROR(VLOOKUP($A101,'B0 2264預收'!$1:$1048576,33,0),0)</f>
        <v>0</v>
      </c>
      <c r="AI101" s="157">
        <f t="shared" si="164"/>
        <v>0</v>
      </c>
      <c r="AJ101" s="157">
        <f>+AE101+IFERROR(+VLOOKUP($A101,'B0 2264預收'!$1:$1048576,34,0),0)</f>
        <v>0</v>
      </c>
      <c r="AK101" s="157">
        <f t="shared" si="165"/>
        <v>0</v>
      </c>
      <c r="AL101" s="158">
        <f>+AG101+IFERROR(VLOOKUP($A101,'A0 BS 1240在建'!$1:$1048576,37,0),0)</f>
        <v>0</v>
      </c>
      <c r="AM101" s="158">
        <f>+AH101+IFERROR(VLOOKUP($A101,'B0 2264預收'!$1:$1048576,37,0),0)</f>
        <v>0</v>
      </c>
      <c r="AN101" s="158">
        <f t="shared" si="166"/>
        <v>0</v>
      </c>
      <c r="AO101" s="158">
        <f>+AJ101+IFERROR(+VLOOKUP($A101,'B0 2264預收'!$1:$1048576,38,0),0)</f>
        <v>0</v>
      </c>
      <c r="AP101" s="158">
        <f t="shared" si="167"/>
        <v>0</v>
      </c>
      <c r="AQ101" s="157">
        <f>+AL101+IFERROR(VLOOKUP($A101,'A0 BS 1240在建'!$1:$1048576,41,0),0)</f>
        <v>0</v>
      </c>
      <c r="AR101" s="157">
        <f>+AM101+IFERROR(VLOOKUP($A101,'B0 2264預收'!$1:$1048576,41,0),0)</f>
        <v>0</v>
      </c>
      <c r="AS101" s="157">
        <f t="shared" si="168"/>
        <v>0</v>
      </c>
      <c r="AT101" s="157">
        <f>+AO101+IFERROR(+VLOOKUP($A101,'B0 2264預收'!$1:$1048576,42,0),0)</f>
        <v>0</v>
      </c>
      <c r="AU101" s="157">
        <f t="shared" si="169"/>
        <v>0</v>
      </c>
      <c r="AV101" s="158">
        <f>+AQ101+IFERROR(VLOOKUP($A101,'A0 BS 1240在建'!$1:$1048576,45,0),0)</f>
        <v>0</v>
      </c>
      <c r="AW101" s="158">
        <f>+AR101+IFERROR(VLOOKUP($A101,'B0 2264預收'!$1:$1048576,45,0),0)</f>
        <v>0</v>
      </c>
      <c r="AX101" s="158">
        <f t="shared" si="170"/>
        <v>0</v>
      </c>
      <c r="AY101" s="158">
        <f>+AT101+IFERROR(+VLOOKUP($A101,'B0 2264預收'!$1:$1048576,46,0),0)</f>
        <v>0</v>
      </c>
      <c r="AZ101" s="158">
        <f t="shared" si="171"/>
        <v>0</v>
      </c>
      <c r="BA101" s="157">
        <f>+AV101+IFERROR(VLOOKUP($A101,'A0 BS 1240在建'!$1:$1048576,49,0),0)</f>
        <v>0</v>
      </c>
      <c r="BB101" s="157">
        <f>+AW101+IFERROR(VLOOKUP($A101,'B0 2264預收'!$1:$1048576,49,0),0)</f>
        <v>0</v>
      </c>
      <c r="BC101" s="157">
        <f t="shared" si="172"/>
        <v>0</v>
      </c>
      <c r="BD101" s="157">
        <f>+AY101+IFERROR(+VLOOKUP($A101,'B0 2264預收'!$1:$1048576,50,0),0)</f>
        <v>0</v>
      </c>
      <c r="BE101" s="157">
        <f t="shared" si="173"/>
        <v>0</v>
      </c>
      <c r="BF101" s="158">
        <f>+BA101+IFERROR(VLOOKUP($A101,'A0 BS 1240在建'!$1:$1048576,53,0),0)</f>
        <v>0</v>
      </c>
      <c r="BG101" s="158">
        <f>+BB101+IFERROR(VLOOKUP($A101,'B0 2264預收'!$1:$1048576,53,0),0)</f>
        <v>0</v>
      </c>
      <c r="BH101" s="158">
        <f t="shared" si="174"/>
        <v>0</v>
      </c>
      <c r="BI101" s="158">
        <f>+BD101+IFERROR(+VLOOKUP($A101,'B0 2264預收'!$1:$1048576,54,0),0)</f>
        <v>0</v>
      </c>
      <c r="BJ101" s="158">
        <f t="shared" si="175"/>
        <v>0</v>
      </c>
      <c r="BK101" s="157">
        <f>+BF101+IFERROR(VLOOKUP($A101,'A0 BS 1240在建'!$1:$1048576,57,0),0)</f>
        <v>0</v>
      </c>
      <c r="BL101" s="157">
        <f>+BG101+IFERROR(VLOOKUP($A101,'B0 2264預收'!$1:$1048576,57,0),0)</f>
        <v>0</v>
      </c>
      <c r="BM101" s="157">
        <f t="shared" si="176"/>
        <v>0</v>
      </c>
      <c r="BN101" s="157">
        <f>+BI101+IFERROR(+VLOOKUP($A101,'B0 2264預收'!$1:$1048576,58,0),0)</f>
        <v>0</v>
      </c>
      <c r="BO101" s="157">
        <f t="shared" si="177"/>
        <v>0</v>
      </c>
      <c r="BP101" s="158">
        <f>+BK101+IFERROR(VLOOKUP($A101,'A0 BS 1240在建'!$1:$1048576,61,0),0)</f>
        <v>0</v>
      </c>
      <c r="BQ101" s="158">
        <f>+BL101+IFERROR(VLOOKUP($A101,'B0 2264預收'!$1:$1048576,61,0),0)</f>
        <v>0</v>
      </c>
      <c r="BR101" s="159">
        <f t="shared" si="178"/>
        <v>0</v>
      </c>
      <c r="BS101" s="158">
        <f>+BN101+IFERROR(+VLOOKUP($A101,'B0 2264預收'!$1:$1048576,62,0),0)</f>
        <v>0</v>
      </c>
      <c r="BT101" s="158">
        <f t="shared" si="179"/>
        <v>0</v>
      </c>
      <c r="BU101" s="157">
        <f>+IFERROR(VLOOKUP($A101,'A0 BS 1240在建'!$1:$1048576,77,0),0)</f>
        <v>0</v>
      </c>
      <c r="BV101" s="157">
        <f>+IFERROR(VLOOKUP($A101,'B0 2264預收'!$1:$1048576,77,0),0)</f>
        <v>0</v>
      </c>
      <c r="BW101" s="157">
        <f t="shared" si="180"/>
        <v>0</v>
      </c>
      <c r="BX101" s="157">
        <f>+IFERROR(+VLOOKUP($A101,'B0 2264預收'!$1:$1048576,78,0),0)</f>
        <v>0</v>
      </c>
      <c r="BY101" s="157">
        <f t="shared" si="181"/>
        <v>0</v>
      </c>
      <c r="BZ101" s="158">
        <f>IFERROR(+VLOOKUP($A101,'A0 BS 1240在建'!$1:$1048576,85,0),0)</f>
        <v>0</v>
      </c>
      <c r="CA101" s="158">
        <f>IFERROR(+VLOOKUP($A101,'B0 2264預收'!$1:$1048576,85,0),0)</f>
        <v>0</v>
      </c>
      <c r="CB101" s="158">
        <f t="shared" si="182"/>
        <v>0</v>
      </c>
      <c r="CC101" s="158">
        <f>+IFERROR(+VLOOKUP($A101,'B0 2264預收'!$1:$1048576,86,0),0)</f>
        <v>0</v>
      </c>
      <c r="CD101" s="158">
        <f t="shared" si="183"/>
        <v>0</v>
      </c>
      <c r="CE101" s="157">
        <f>+IFERROR(VLOOKUP($A101,'A0 BS 1240在建'!$1:$1048576,93,0),0)</f>
        <v>0</v>
      </c>
      <c r="CF101" s="157">
        <f>+IFERROR(VLOOKUP($A101,'B0 2264預收'!$1:$1048576,93,0),0)</f>
        <v>0</v>
      </c>
      <c r="CG101" s="157">
        <f t="shared" si="184"/>
        <v>0</v>
      </c>
      <c r="CH101" s="157">
        <f>+IFERROR(+VLOOKUP($A101,'B0 2264預收'!$1:$1048576,94,0),0)</f>
        <v>0</v>
      </c>
      <c r="CI101" s="157">
        <f t="shared" si="185"/>
        <v>0</v>
      </c>
      <c r="CJ101" s="158">
        <f>IFERROR(+VLOOKUP($A101,'A0 BS 1240在建'!$1:$1048576,101,0),0)</f>
        <v>0</v>
      </c>
      <c r="CK101" s="158">
        <f>IFERROR(+VLOOKUP($A101,'B0 2264預收'!$1:$1048576,101,0),0)</f>
        <v>0</v>
      </c>
      <c r="CL101" s="158">
        <f t="shared" si="186"/>
        <v>0</v>
      </c>
      <c r="CM101" s="158">
        <f>+IFERROR(+VLOOKUP($A101,'B0 2264預收'!$1:$1048576,102,0),0)</f>
        <v>0</v>
      </c>
      <c r="CN101" s="158">
        <f t="shared" si="187"/>
        <v>0</v>
      </c>
      <c r="CP101" s="166"/>
      <c r="CU101" s="166"/>
      <c r="CY101" s="162" t="str">
        <f t="shared" ref="CY101:CY118" si="190">IF(AND(BR101&gt;0, J101&gt;0), BR101-J101, "")</f>
        <v/>
      </c>
      <c r="CZ101" s="98" t="str">
        <f t="shared" ref="CZ101:CZ118" si="191">IF(AND(BR101&lt;0,J101&gt;0),-J101," ")</f>
        <v xml:space="preserve"> </v>
      </c>
      <c r="DA101" s="98" t="str">
        <f t="shared" ref="DA101:DA118" si="192">IF(AND(BR101&gt;0,J101&lt;0),BR101," ")</f>
        <v xml:space="preserve"> </v>
      </c>
      <c r="DB101" s="98" t="str">
        <f t="shared" ref="DB101:DB118" si="193">IF(AND(L101=0,BR101&lt;0),-BR101," ")</f>
        <v xml:space="preserve"> </v>
      </c>
      <c r="DC101" s="163">
        <f t="shared" ref="DC101:DC118" si="194">SUM(CY101:DB101)</f>
        <v>0</v>
      </c>
      <c r="DD101" s="162" t="str">
        <f t="shared" si="146"/>
        <v/>
      </c>
      <c r="DE101" s="98" t="str">
        <f t="shared" si="147"/>
        <v xml:space="preserve"> </v>
      </c>
      <c r="DF101" s="98" t="str">
        <f t="shared" si="148"/>
        <v xml:space="preserve"> </v>
      </c>
      <c r="DG101" s="98" t="str">
        <f t="shared" si="149"/>
        <v xml:space="preserve"> </v>
      </c>
      <c r="DH101" s="163">
        <f t="shared" ref="DH101:DH118" si="195">SUM(DD101:DG101)</f>
        <v>0</v>
      </c>
    </row>
    <row r="102" spans="1:112">
      <c r="A102" s="179" t="s">
        <v>491</v>
      </c>
      <c r="B102" s="172" t="s">
        <v>342</v>
      </c>
      <c r="C102" s="157">
        <f>IFERROR(VLOOKUP($A102,'A0 BS 1240在建'!$1:$1048576,5,0),0)</f>
        <v>0</v>
      </c>
      <c r="D102" s="157">
        <f>IFERROR(VLOOKUP($A102,'B0 2264預收'!$1:$1048576,5,0),0)</f>
        <v>0</v>
      </c>
      <c r="E102" s="157">
        <f t="shared" si="152"/>
        <v>0</v>
      </c>
      <c r="F102" s="157">
        <f>IFERROR(VLOOKUP($A102,'B0 2264預收'!$1:$1048576,6,0),0)</f>
        <v>0</v>
      </c>
      <c r="G102" s="157">
        <f t="shared" si="153"/>
        <v>0</v>
      </c>
      <c r="H102" s="158">
        <f>IFERROR(VLOOKUP($A102,'A0 BS 1240在建'!$1:$1048576,13,0),0)</f>
        <v>0</v>
      </c>
      <c r="I102" s="158">
        <f>IFERROR(VLOOKUP($A102,'B0 2264預收'!$1:$1048576,13,0),0)</f>
        <v>0</v>
      </c>
      <c r="J102" s="158">
        <f t="shared" si="154"/>
        <v>0</v>
      </c>
      <c r="K102" s="158">
        <f>IFERROR(VLOOKUP($A102,'B0 2264預收'!$1:$1048576,14,0),0)</f>
        <v>0</v>
      </c>
      <c r="L102" s="158">
        <f t="shared" si="155"/>
        <v>0</v>
      </c>
      <c r="M102" s="157">
        <f>H102+IFERROR(VLOOKUP($A102,'A0 BS 1240在建'!$1:$1048576,17,0),0)</f>
        <v>0</v>
      </c>
      <c r="N102" s="157">
        <f>I102+IFERROR(VLOOKUP($A102,'B0 2264預收'!$1:$1048576,17,0),0)</f>
        <v>0</v>
      </c>
      <c r="O102" s="157">
        <f t="shared" si="156"/>
        <v>0</v>
      </c>
      <c r="P102" s="157">
        <f>K102+IFERROR(+VLOOKUP($A102,'B0 2264預收'!$1:$1048576,18,0),0)</f>
        <v>0</v>
      </c>
      <c r="Q102" s="157">
        <f t="shared" si="157"/>
        <v>0</v>
      </c>
      <c r="R102" s="158">
        <f>M102+IFERROR(VLOOKUP($A102,'A0 BS 1240在建'!$1:$1048576,21,0),0)</f>
        <v>0</v>
      </c>
      <c r="S102" s="158">
        <f>+N102+IFERROR(VLOOKUP($A102,'B0 2264預收'!$1:$1048576,21,0),0)</f>
        <v>0</v>
      </c>
      <c r="T102" s="158">
        <f t="shared" si="158"/>
        <v>0</v>
      </c>
      <c r="U102" s="158">
        <f>+P102+IFERROR(+VLOOKUP($A102,'B0 2264預收'!$1:$1048576,22,0),0)</f>
        <v>0</v>
      </c>
      <c r="V102" s="158">
        <f t="shared" si="159"/>
        <v>0</v>
      </c>
      <c r="W102" s="157">
        <f>+R102+IFERROR(VLOOKUP($A102,'A0 BS 1240在建'!$1:$1048576,25,0),0)</f>
        <v>0</v>
      </c>
      <c r="X102" s="157">
        <f>+S102+IFERROR(VLOOKUP($A102,'B0 2264預收'!$1:$1048576,25,0),0)</f>
        <v>0</v>
      </c>
      <c r="Y102" s="157">
        <f t="shared" si="160"/>
        <v>0</v>
      </c>
      <c r="Z102" s="157">
        <f>+U102+IFERROR(+VLOOKUP($A102,'B0 2264預收'!$1:$1048576,26,0),0)</f>
        <v>0</v>
      </c>
      <c r="AA102" s="157">
        <f t="shared" si="161"/>
        <v>0</v>
      </c>
      <c r="AB102" s="158">
        <f>+W102+IFERROR(VLOOKUP($A102,'A0 BS 1240在建'!$1:$1048576,29,0),0)</f>
        <v>0</v>
      </c>
      <c r="AC102" s="158">
        <f>+X102+IFERROR(VLOOKUP($A102,'B0 2264預收'!$1:$1048576,29,0),0)</f>
        <v>0</v>
      </c>
      <c r="AD102" s="158">
        <f t="shared" si="162"/>
        <v>0</v>
      </c>
      <c r="AE102" s="158">
        <f>+Z102+IFERROR(+VLOOKUP($A102,'B0 2264預收'!$1:$1048576,30,0),0)</f>
        <v>0</v>
      </c>
      <c r="AF102" s="158">
        <f t="shared" si="163"/>
        <v>0</v>
      </c>
      <c r="AG102" s="157">
        <f>+AB102+IFERROR(VLOOKUP($A102,'A0 BS 1240在建'!$1:$1048576,33,0),0)</f>
        <v>0</v>
      </c>
      <c r="AH102" s="157">
        <f>+AC102+IFERROR(VLOOKUP($A102,'B0 2264預收'!$1:$1048576,33,0),0)</f>
        <v>0</v>
      </c>
      <c r="AI102" s="157">
        <f t="shared" si="164"/>
        <v>0</v>
      </c>
      <c r="AJ102" s="157">
        <f>+AE102+IFERROR(+VLOOKUP($A102,'B0 2264預收'!$1:$1048576,34,0),0)</f>
        <v>0</v>
      </c>
      <c r="AK102" s="157">
        <f t="shared" si="165"/>
        <v>0</v>
      </c>
      <c r="AL102" s="158">
        <f>+AG102+IFERROR(VLOOKUP($A102,'A0 BS 1240在建'!$1:$1048576,37,0),0)</f>
        <v>0</v>
      </c>
      <c r="AM102" s="158">
        <f>+AH102+IFERROR(VLOOKUP($A102,'B0 2264預收'!$1:$1048576,37,0),0)</f>
        <v>0</v>
      </c>
      <c r="AN102" s="158">
        <f t="shared" si="166"/>
        <v>0</v>
      </c>
      <c r="AO102" s="158">
        <f>+AJ102+IFERROR(+VLOOKUP($A102,'B0 2264預收'!$1:$1048576,38,0),0)</f>
        <v>0</v>
      </c>
      <c r="AP102" s="158">
        <f t="shared" si="167"/>
        <v>0</v>
      </c>
      <c r="AQ102" s="157">
        <f>+AL102+IFERROR(VLOOKUP($A102,'A0 BS 1240在建'!$1:$1048576,41,0),0)</f>
        <v>0</v>
      </c>
      <c r="AR102" s="157">
        <f>+AM102+IFERROR(VLOOKUP($A102,'B0 2264預收'!$1:$1048576,41,0),0)</f>
        <v>0</v>
      </c>
      <c r="AS102" s="157">
        <f t="shared" si="168"/>
        <v>0</v>
      </c>
      <c r="AT102" s="157">
        <f>+AO102+IFERROR(+VLOOKUP($A102,'B0 2264預收'!$1:$1048576,42,0),0)</f>
        <v>0</v>
      </c>
      <c r="AU102" s="157">
        <f t="shared" si="169"/>
        <v>0</v>
      </c>
      <c r="AV102" s="158">
        <f>+AQ102+IFERROR(VLOOKUP($A102,'A0 BS 1240在建'!$1:$1048576,45,0),0)</f>
        <v>0</v>
      </c>
      <c r="AW102" s="158">
        <f>+AR102+IFERROR(VLOOKUP($A102,'B0 2264預收'!$1:$1048576,45,0),0)</f>
        <v>0</v>
      </c>
      <c r="AX102" s="158">
        <f t="shared" si="170"/>
        <v>0</v>
      </c>
      <c r="AY102" s="158">
        <f>+AT102+IFERROR(+VLOOKUP($A102,'B0 2264預收'!$1:$1048576,46,0),0)</f>
        <v>0</v>
      </c>
      <c r="AZ102" s="158">
        <f t="shared" si="171"/>
        <v>0</v>
      </c>
      <c r="BA102" s="157">
        <f>+AV102+IFERROR(VLOOKUP($A102,'A0 BS 1240在建'!$1:$1048576,49,0),0)</f>
        <v>0</v>
      </c>
      <c r="BB102" s="157">
        <f>+AW102+IFERROR(VLOOKUP($A102,'B0 2264預收'!$1:$1048576,49,0),0)</f>
        <v>0</v>
      </c>
      <c r="BC102" s="157">
        <f t="shared" si="172"/>
        <v>0</v>
      </c>
      <c r="BD102" s="157">
        <f>+AY102+IFERROR(+VLOOKUP($A102,'B0 2264預收'!$1:$1048576,50,0),0)</f>
        <v>0</v>
      </c>
      <c r="BE102" s="157">
        <f t="shared" si="173"/>
        <v>0</v>
      </c>
      <c r="BF102" s="158">
        <f>+BA102+IFERROR(VLOOKUP($A102,'A0 BS 1240在建'!$1:$1048576,53,0),0)</f>
        <v>0</v>
      </c>
      <c r="BG102" s="158">
        <f>+BB102+IFERROR(VLOOKUP($A102,'B0 2264預收'!$1:$1048576,53,0),0)</f>
        <v>0</v>
      </c>
      <c r="BH102" s="158">
        <f t="shared" si="174"/>
        <v>0</v>
      </c>
      <c r="BI102" s="158">
        <f>+BD102+IFERROR(+VLOOKUP($A102,'B0 2264預收'!$1:$1048576,54,0),0)</f>
        <v>0</v>
      </c>
      <c r="BJ102" s="158">
        <f t="shared" si="175"/>
        <v>0</v>
      </c>
      <c r="BK102" s="157">
        <f>+BF102+IFERROR(VLOOKUP($A102,'A0 BS 1240在建'!$1:$1048576,57,0),0)</f>
        <v>0</v>
      </c>
      <c r="BL102" s="157">
        <f>+BG102+IFERROR(VLOOKUP($A102,'B0 2264預收'!$1:$1048576,57,0),0)</f>
        <v>0</v>
      </c>
      <c r="BM102" s="157">
        <f t="shared" si="176"/>
        <v>0</v>
      </c>
      <c r="BN102" s="157">
        <f>+BI102+IFERROR(+VLOOKUP($A102,'B0 2264預收'!$1:$1048576,58,0),0)</f>
        <v>0</v>
      </c>
      <c r="BO102" s="157">
        <f t="shared" si="177"/>
        <v>0</v>
      </c>
      <c r="BP102" s="158">
        <f>+BK102+IFERROR(VLOOKUP($A102,'A0 BS 1240在建'!$1:$1048576,61,0),0)</f>
        <v>0</v>
      </c>
      <c r="BQ102" s="170">
        <f>+BL102+IFERROR(VLOOKUP($A102,'B0 2264預收'!$1:$1048576,61,0),0)</f>
        <v>0</v>
      </c>
      <c r="BR102" s="159">
        <f t="shared" si="178"/>
        <v>0</v>
      </c>
      <c r="BS102" s="158">
        <f>+BN102+IFERROR(+VLOOKUP($A102,'B0 2264預收'!$1:$1048576,62,0),0)</f>
        <v>0</v>
      </c>
      <c r="BT102" s="158">
        <f t="shared" si="179"/>
        <v>0</v>
      </c>
      <c r="BU102" s="157">
        <f>+IFERROR(VLOOKUP($A102,'A0 BS 1240在建'!$1:$1048576,77,0),0)</f>
        <v>0</v>
      </c>
      <c r="BV102" s="157">
        <f>+IFERROR(VLOOKUP($A102,'B0 2264預收'!$1:$1048576,77,0),0)</f>
        <v>0</v>
      </c>
      <c r="BW102" s="157">
        <f t="shared" si="180"/>
        <v>0</v>
      </c>
      <c r="BX102" s="157">
        <f>+IFERROR(+VLOOKUP($A102,'B0 2264預收'!$1:$1048576,78,0),0)</f>
        <v>0</v>
      </c>
      <c r="BY102" s="157">
        <f t="shared" si="181"/>
        <v>0</v>
      </c>
      <c r="BZ102" s="158">
        <f>IFERROR(+VLOOKUP($A102,'A0 BS 1240在建'!$1:$1048576,85,0),0)</f>
        <v>0</v>
      </c>
      <c r="CA102" s="158">
        <f>IFERROR(+VLOOKUP($A102,'B0 2264預收'!$1:$1048576,85,0),0)</f>
        <v>0</v>
      </c>
      <c r="CB102" s="158">
        <f t="shared" si="182"/>
        <v>0</v>
      </c>
      <c r="CC102" s="158">
        <f>+IFERROR(+VLOOKUP($A102,'B0 2264預收'!$1:$1048576,86,0),0)</f>
        <v>0</v>
      </c>
      <c r="CD102" s="158">
        <f t="shared" si="183"/>
        <v>0</v>
      </c>
      <c r="CE102" s="157">
        <f>+IFERROR(VLOOKUP($A102,'A0 BS 1240在建'!$1:$1048576,93,0),0)</f>
        <v>0</v>
      </c>
      <c r="CF102" s="157">
        <f>+IFERROR(VLOOKUP($A102,'B0 2264預收'!$1:$1048576,93,0),0)</f>
        <v>0</v>
      </c>
      <c r="CG102" s="157">
        <f t="shared" si="184"/>
        <v>0</v>
      </c>
      <c r="CH102" s="157">
        <f>+IFERROR(+VLOOKUP($A102,'B0 2264預收'!$1:$1048576,94,0),0)</f>
        <v>0</v>
      </c>
      <c r="CI102" s="157">
        <f t="shared" si="185"/>
        <v>0</v>
      </c>
      <c r="CJ102" s="158">
        <f>IFERROR(+VLOOKUP($A102,'A0 BS 1240在建'!$1:$1048576,101,0),0)</f>
        <v>0</v>
      </c>
      <c r="CK102" s="158">
        <f>IFERROR(+VLOOKUP($A102,'B0 2264預收'!$1:$1048576,101,0),0)</f>
        <v>0</v>
      </c>
      <c r="CL102" s="158">
        <f t="shared" si="186"/>
        <v>0</v>
      </c>
      <c r="CM102" s="158">
        <f>+IFERROR(+VLOOKUP($A102,'B0 2264預收'!$1:$1048576,102,0),0)</f>
        <v>0</v>
      </c>
      <c r="CN102" s="158">
        <f t="shared" si="187"/>
        <v>0</v>
      </c>
      <c r="CP102" s="98">
        <f t="shared" ref="CP102:CP114" si="196">+J102-E102</f>
        <v>0</v>
      </c>
      <c r="CQ102" s="98">
        <f>+CP102</f>
        <v>0</v>
      </c>
      <c r="CU102" s="98">
        <f t="shared" ref="CU102:CU114" si="197">+BR102-J102</f>
        <v>0</v>
      </c>
      <c r="CV102" s="98">
        <f>+CU102</f>
        <v>0</v>
      </c>
      <c r="CY102" s="162" t="str">
        <f t="shared" si="190"/>
        <v/>
      </c>
      <c r="CZ102" s="98" t="str">
        <f t="shared" si="191"/>
        <v xml:space="preserve"> </v>
      </c>
      <c r="DA102" s="98" t="str">
        <f t="shared" si="192"/>
        <v xml:space="preserve"> </v>
      </c>
      <c r="DB102" s="98" t="str">
        <f t="shared" si="193"/>
        <v xml:space="preserve"> </v>
      </c>
      <c r="DC102" s="163">
        <f t="shared" si="194"/>
        <v>0</v>
      </c>
      <c r="DD102" s="162" t="str">
        <f t="shared" ref="DD102:DD118" si="198">IF(AND(BR102&lt;0, J102&lt;0), (BR102-J102)*-1, "")</f>
        <v/>
      </c>
      <c r="DE102" s="98" t="str">
        <f t="shared" ref="DE102:DE118" si="199">IF(AND(BR102&lt;0,J102&gt;0),-BR102," ")</f>
        <v xml:space="preserve"> </v>
      </c>
      <c r="DF102" s="98" t="str">
        <f t="shared" ref="DF102:DF118" si="200">IF(AND(BR102&gt;0,J102&lt;0),-J102*-1," ")</f>
        <v xml:space="preserve"> </v>
      </c>
      <c r="DG102" s="98" t="str">
        <f t="shared" ref="DG102:DG118" si="201">IF(AND(L102&lt;0,BR102=0),-L102*-1," ")</f>
        <v xml:space="preserve"> </v>
      </c>
      <c r="DH102" s="163">
        <f t="shared" si="195"/>
        <v>0</v>
      </c>
    </row>
    <row r="103" spans="1:112">
      <c r="A103" s="179" t="s">
        <v>492</v>
      </c>
      <c r="B103" s="172" t="s">
        <v>344</v>
      </c>
      <c r="C103" s="157">
        <f>IFERROR(VLOOKUP($A103,'A0 BS 1240在建'!$1:$1048576,5,0),0)</f>
        <v>0</v>
      </c>
      <c r="D103" s="157">
        <f>IFERROR(VLOOKUP($A103,'B0 2264預收'!$1:$1048576,5,0),0)</f>
        <v>0</v>
      </c>
      <c r="E103" s="157">
        <f t="shared" si="152"/>
        <v>0</v>
      </c>
      <c r="F103" s="157">
        <f>IFERROR(VLOOKUP($A103,'B0 2264預收'!$1:$1048576,6,0),0)</f>
        <v>0</v>
      </c>
      <c r="G103" s="157">
        <f t="shared" si="153"/>
        <v>0</v>
      </c>
      <c r="H103" s="158">
        <f>IFERROR(VLOOKUP($A103,'A0 BS 1240在建'!$1:$1048576,13,0),0)</f>
        <v>0</v>
      </c>
      <c r="I103" s="158">
        <f>IFERROR(VLOOKUP($A103,'B0 2264預收'!$1:$1048576,13,0),0)</f>
        <v>0</v>
      </c>
      <c r="J103" s="158">
        <f t="shared" si="154"/>
        <v>0</v>
      </c>
      <c r="K103" s="158">
        <f>IFERROR(VLOOKUP($A103,'B0 2264預收'!$1:$1048576,14,0),0)</f>
        <v>0</v>
      </c>
      <c r="L103" s="158">
        <f t="shared" si="155"/>
        <v>0</v>
      </c>
      <c r="M103" s="157">
        <f>H103+IFERROR(VLOOKUP($A103,'A0 BS 1240在建'!$1:$1048576,17,0),0)</f>
        <v>0</v>
      </c>
      <c r="N103" s="157">
        <f>I103+IFERROR(VLOOKUP($A103,'B0 2264預收'!$1:$1048576,17,0),0)</f>
        <v>0</v>
      </c>
      <c r="O103" s="157">
        <f t="shared" si="156"/>
        <v>0</v>
      </c>
      <c r="P103" s="157">
        <f>K103+IFERROR(+VLOOKUP($A103,'B0 2264預收'!$1:$1048576,18,0),0)</f>
        <v>0</v>
      </c>
      <c r="Q103" s="157">
        <f t="shared" si="157"/>
        <v>0</v>
      </c>
      <c r="R103" s="158">
        <f>M103+IFERROR(VLOOKUP($A103,'A0 BS 1240在建'!$1:$1048576,21,0),0)</f>
        <v>0</v>
      </c>
      <c r="S103" s="158">
        <f>+N103+IFERROR(VLOOKUP($A103,'B0 2264預收'!$1:$1048576,21,0),0)</f>
        <v>0</v>
      </c>
      <c r="T103" s="158">
        <f t="shared" si="158"/>
        <v>0</v>
      </c>
      <c r="U103" s="158">
        <f>+P103+IFERROR(+VLOOKUP($A103,'B0 2264預收'!$1:$1048576,22,0),0)</f>
        <v>0</v>
      </c>
      <c r="V103" s="158">
        <f t="shared" si="159"/>
        <v>0</v>
      </c>
      <c r="W103" s="157">
        <f>+R103+IFERROR(VLOOKUP($A103,'A0 BS 1240在建'!$1:$1048576,25,0),0)</f>
        <v>0</v>
      </c>
      <c r="X103" s="157">
        <f>+S103+IFERROR(VLOOKUP($A103,'B0 2264預收'!$1:$1048576,25,0),0)</f>
        <v>0</v>
      </c>
      <c r="Y103" s="157">
        <f t="shared" si="160"/>
        <v>0</v>
      </c>
      <c r="Z103" s="157">
        <f>+U103+IFERROR(+VLOOKUP($A103,'B0 2264預收'!$1:$1048576,26,0),0)</f>
        <v>0</v>
      </c>
      <c r="AA103" s="157">
        <f t="shared" si="161"/>
        <v>0</v>
      </c>
      <c r="AB103" s="158">
        <f>+W103+IFERROR(VLOOKUP($A103,'A0 BS 1240在建'!$1:$1048576,29,0),0)</f>
        <v>0</v>
      </c>
      <c r="AC103" s="158">
        <f>+X103+IFERROR(VLOOKUP($A103,'B0 2264預收'!$1:$1048576,29,0),0)</f>
        <v>0</v>
      </c>
      <c r="AD103" s="158">
        <f t="shared" si="162"/>
        <v>0</v>
      </c>
      <c r="AE103" s="158">
        <f>+Z103+IFERROR(+VLOOKUP($A103,'B0 2264預收'!$1:$1048576,30,0),0)</f>
        <v>0</v>
      </c>
      <c r="AF103" s="158">
        <f t="shared" si="163"/>
        <v>0</v>
      </c>
      <c r="AG103" s="157">
        <f>+AB103+IFERROR(VLOOKUP($A103,'A0 BS 1240在建'!$1:$1048576,33,0),0)</f>
        <v>0</v>
      </c>
      <c r="AH103" s="157">
        <f>+AC103+IFERROR(VLOOKUP($A103,'B0 2264預收'!$1:$1048576,33,0),0)</f>
        <v>0</v>
      </c>
      <c r="AI103" s="157">
        <f t="shared" si="164"/>
        <v>0</v>
      </c>
      <c r="AJ103" s="157">
        <f>+AE103+IFERROR(+VLOOKUP($A103,'B0 2264預收'!$1:$1048576,34,0),0)</f>
        <v>0</v>
      </c>
      <c r="AK103" s="157">
        <f t="shared" si="165"/>
        <v>0</v>
      </c>
      <c r="AL103" s="158">
        <f>+AG103+IFERROR(VLOOKUP($A103,'A0 BS 1240在建'!$1:$1048576,37,0),0)</f>
        <v>0</v>
      </c>
      <c r="AM103" s="158">
        <f>+AH103+IFERROR(VLOOKUP($A103,'B0 2264預收'!$1:$1048576,37,0),0)</f>
        <v>0</v>
      </c>
      <c r="AN103" s="158">
        <f t="shared" si="166"/>
        <v>0</v>
      </c>
      <c r="AO103" s="158">
        <f>+AJ103+IFERROR(+VLOOKUP($A103,'B0 2264預收'!$1:$1048576,38,0),0)</f>
        <v>0</v>
      </c>
      <c r="AP103" s="158">
        <f t="shared" si="167"/>
        <v>0</v>
      </c>
      <c r="AQ103" s="157">
        <f>+AL103+IFERROR(VLOOKUP($A103,'A0 BS 1240在建'!$1:$1048576,41,0),0)</f>
        <v>0</v>
      </c>
      <c r="AR103" s="157">
        <f>+AM103+IFERROR(VLOOKUP($A103,'B0 2264預收'!$1:$1048576,41,0),0)</f>
        <v>0</v>
      </c>
      <c r="AS103" s="157">
        <f t="shared" si="168"/>
        <v>0</v>
      </c>
      <c r="AT103" s="157">
        <f>+AO103+IFERROR(+VLOOKUP($A103,'B0 2264預收'!$1:$1048576,42,0),0)</f>
        <v>0</v>
      </c>
      <c r="AU103" s="157">
        <f t="shared" si="169"/>
        <v>0</v>
      </c>
      <c r="AV103" s="158">
        <f>+AQ103+IFERROR(VLOOKUP($A103,'A0 BS 1240在建'!$1:$1048576,45,0),0)</f>
        <v>0</v>
      </c>
      <c r="AW103" s="158">
        <f>+AR103+IFERROR(VLOOKUP($A103,'B0 2264預收'!$1:$1048576,45,0),0)</f>
        <v>0</v>
      </c>
      <c r="AX103" s="158">
        <f t="shared" si="170"/>
        <v>0</v>
      </c>
      <c r="AY103" s="158">
        <f>+AT103+IFERROR(+VLOOKUP($A103,'B0 2264預收'!$1:$1048576,46,0),0)</f>
        <v>0</v>
      </c>
      <c r="AZ103" s="158">
        <f t="shared" si="171"/>
        <v>0</v>
      </c>
      <c r="BA103" s="157">
        <f>+AV103+IFERROR(VLOOKUP($A103,'A0 BS 1240在建'!$1:$1048576,49,0),0)</f>
        <v>0</v>
      </c>
      <c r="BB103" s="157">
        <f>+AW103+IFERROR(VLOOKUP($A103,'B0 2264預收'!$1:$1048576,49,0),0)</f>
        <v>0</v>
      </c>
      <c r="BC103" s="157">
        <f t="shared" si="172"/>
        <v>0</v>
      </c>
      <c r="BD103" s="157">
        <f>+AY103+IFERROR(+VLOOKUP($A103,'B0 2264預收'!$1:$1048576,50,0),0)</f>
        <v>0</v>
      </c>
      <c r="BE103" s="157">
        <f t="shared" si="173"/>
        <v>0</v>
      </c>
      <c r="BF103" s="158">
        <f>+BA103+IFERROR(VLOOKUP($A103,'A0 BS 1240在建'!$1:$1048576,53,0),0)</f>
        <v>0</v>
      </c>
      <c r="BG103" s="158">
        <f>+BB103+IFERROR(VLOOKUP($A103,'B0 2264預收'!$1:$1048576,53,0),0)</f>
        <v>0</v>
      </c>
      <c r="BH103" s="158">
        <f t="shared" si="174"/>
        <v>0</v>
      </c>
      <c r="BI103" s="158">
        <f>+BD103+IFERROR(+VLOOKUP($A103,'B0 2264預收'!$1:$1048576,54,0),0)</f>
        <v>0</v>
      </c>
      <c r="BJ103" s="158">
        <f t="shared" si="175"/>
        <v>0</v>
      </c>
      <c r="BK103" s="157">
        <f>+BF103+IFERROR(VLOOKUP($A103,'A0 BS 1240在建'!$1:$1048576,57,0),0)</f>
        <v>0</v>
      </c>
      <c r="BL103" s="157">
        <f>+BG103+IFERROR(VLOOKUP($A103,'B0 2264預收'!$1:$1048576,57,0),0)</f>
        <v>0</v>
      </c>
      <c r="BM103" s="157">
        <f t="shared" si="176"/>
        <v>0</v>
      </c>
      <c r="BN103" s="157">
        <f>+BI103+IFERROR(+VLOOKUP($A103,'B0 2264預收'!$1:$1048576,58,0),0)</f>
        <v>0</v>
      </c>
      <c r="BO103" s="157">
        <f t="shared" si="177"/>
        <v>0</v>
      </c>
      <c r="BP103" s="158">
        <f>+BK103+IFERROR(VLOOKUP($A103,'A0 BS 1240在建'!$1:$1048576,61,0),0)</f>
        <v>0</v>
      </c>
      <c r="BQ103" s="158">
        <f>+BL103+IFERROR(VLOOKUP($A103,'B0 2264預收'!$1:$1048576,61,0),0)</f>
        <v>0</v>
      </c>
      <c r="BR103" s="159">
        <f t="shared" si="178"/>
        <v>0</v>
      </c>
      <c r="BS103" s="158">
        <f>+BN103+IFERROR(+VLOOKUP($A103,'B0 2264預收'!$1:$1048576,62,0),0)</f>
        <v>0</v>
      </c>
      <c r="BT103" s="158">
        <f t="shared" si="179"/>
        <v>0</v>
      </c>
      <c r="BU103" s="157">
        <f>+IFERROR(VLOOKUP($A103,'A0 BS 1240在建'!$1:$1048576,77,0),0)</f>
        <v>0</v>
      </c>
      <c r="BV103" s="157">
        <f>+IFERROR(VLOOKUP($A103,'B0 2264預收'!$1:$1048576,77,0),0)</f>
        <v>0</v>
      </c>
      <c r="BW103" s="157">
        <f t="shared" si="180"/>
        <v>0</v>
      </c>
      <c r="BX103" s="157">
        <f>+IFERROR(+VLOOKUP($A103,'B0 2264預收'!$1:$1048576,78,0),0)</f>
        <v>0</v>
      </c>
      <c r="BY103" s="157">
        <f t="shared" si="181"/>
        <v>0</v>
      </c>
      <c r="BZ103" s="158">
        <f>IFERROR(+VLOOKUP($A103,'A0 BS 1240在建'!$1:$1048576,85,0),0)</f>
        <v>0</v>
      </c>
      <c r="CA103" s="158">
        <f>IFERROR(+VLOOKUP($A103,'B0 2264預收'!$1:$1048576,85,0),0)</f>
        <v>0</v>
      </c>
      <c r="CB103" s="158">
        <f t="shared" si="182"/>
        <v>0</v>
      </c>
      <c r="CC103" s="158">
        <f>+IFERROR(+VLOOKUP($A103,'B0 2264預收'!$1:$1048576,86,0),0)</f>
        <v>0</v>
      </c>
      <c r="CD103" s="158">
        <f t="shared" si="183"/>
        <v>0</v>
      </c>
      <c r="CE103" s="157">
        <f>+IFERROR(VLOOKUP($A103,'A0 BS 1240在建'!$1:$1048576,93,0),0)</f>
        <v>0</v>
      </c>
      <c r="CF103" s="157">
        <f>+IFERROR(VLOOKUP($A103,'B0 2264預收'!$1:$1048576,93,0),0)</f>
        <v>0</v>
      </c>
      <c r="CG103" s="157">
        <f t="shared" si="184"/>
        <v>0</v>
      </c>
      <c r="CH103" s="157">
        <f>+IFERROR(+VLOOKUP($A103,'B0 2264預收'!$1:$1048576,94,0),0)</f>
        <v>0</v>
      </c>
      <c r="CI103" s="157">
        <f t="shared" si="185"/>
        <v>0</v>
      </c>
      <c r="CJ103" s="158">
        <f>IFERROR(+VLOOKUP($A103,'A0 BS 1240在建'!$1:$1048576,101,0),0)</f>
        <v>0</v>
      </c>
      <c r="CK103" s="158">
        <f>IFERROR(+VLOOKUP($A103,'B0 2264預收'!$1:$1048576,101,0),0)</f>
        <v>0</v>
      </c>
      <c r="CL103" s="158">
        <f t="shared" si="186"/>
        <v>0</v>
      </c>
      <c r="CM103" s="158">
        <f>+IFERROR(+VLOOKUP($A103,'B0 2264預收'!$1:$1048576,102,0),0)</f>
        <v>0</v>
      </c>
      <c r="CN103" s="158">
        <f t="shared" si="187"/>
        <v>0</v>
      </c>
      <c r="CP103" s="98">
        <f t="shared" si="196"/>
        <v>0</v>
      </c>
      <c r="CU103" s="98">
        <f t="shared" si="197"/>
        <v>0</v>
      </c>
      <c r="CV103" s="98">
        <f>+CU103</f>
        <v>0</v>
      </c>
      <c r="CY103" s="162" t="str">
        <f t="shared" si="190"/>
        <v/>
      </c>
      <c r="CZ103" s="98" t="str">
        <f t="shared" si="191"/>
        <v xml:space="preserve"> </v>
      </c>
      <c r="DA103" s="98" t="str">
        <f t="shared" si="192"/>
        <v xml:space="preserve"> </v>
      </c>
      <c r="DB103" s="98" t="str">
        <f t="shared" si="193"/>
        <v xml:space="preserve"> </v>
      </c>
      <c r="DC103" s="163">
        <f t="shared" si="194"/>
        <v>0</v>
      </c>
      <c r="DD103" s="162" t="str">
        <f t="shared" si="198"/>
        <v/>
      </c>
      <c r="DE103" s="98" t="str">
        <f t="shared" si="199"/>
        <v xml:space="preserve"> </v>
      </c>
      <c r="DF103" s="98" t="str">
        <f t="shared" si="200"/>
        <v xml:space="preserve"> </v>
      </c>
      <c r="DG103" s="98" t="str">
        <f t="shared" si="201"/>
        <v xml:space="preserve"> </v>
      </c>
      <c r="DH103" s="163">
        <f t="shared" si="195"/>
        <v>0</v>
      </c>
    </row>
    <row r="104" spans="1:112">
      <c r="A104" s="179" t="s">
        <v>493</v>
      </c>
      <c r="B104" s="172" t="s">
        <v>346</v>
      </c>
      <c r="C104" s="157">
        <f>IFERROR(VLOOKUP($A104,'A0 BS 1240在建'!$1:$1048576,5,0),0)</f>
        <v>0</v>
      </c>
      <c r="D104" s="157">
        <f>IFERROR(VLOOKUP($A104,'B0 2264預收'!$1:$1048576,5,0),0)</f>
        <v>0</v>
      </c>
      <c r="E104" s="157">
        <f t="shared" si="152"/>
        <v>0</v>
      </c>
      <c r="F104" s="157">
        <f>IFERROR(VLOOKUP($A104,'B0 2264預收'!$1:$1048576,6,0),0)</f>
        <v>0</v>
      </c>
      <c r="G104" s="157">
        <f t="shared" si="153"/>
        <v>0</v>
      </c>
      <c r="H104" s="158">
        <f>IFERROR(VLOOKUP($A104,'A0 BS 1240在建'!$1:$1048576,13,0),0)</f>
        <v>0</v>
      </c>
      <c r="I104" s="158">
        <f>IFERROR(VLOOKUP($A104,'B0 2264預收'!$1:$1048576,13,0),0)</f>
        <v>0</v>
      </c>
      <c r="J104" s="158">
        <f t="shared" si="154"/>
        <v>0</v>
      </c>
      <c r="K104" s="158">
        <f>IFERROR(VLOOKUP($A104,'B0 2264預收'!$1:$1048576,14,0),0)</f>
        <v>0</v>
      </c>
      <c r="L104" s="158">
        <f t="shared" si="155"/>
        <v>0</v>
      </c>
      <c r="M104" s="157">
        <f>H104+IFERROR(VLOOKUP($A104,'A0 BS 1240在建'!$1:$1048576,17,0),0)</f>
        <v>0</v>
      </c>
      <c r="N104" s="157">
        <f>I104+IFERROR(VLOOKUP($A104,'B0 2264預收'!$1:$1048576,17,0),0)</f>
        <v>0</v>
      </c>
      <c r="O104" s="157">
        <f t="shared" si="156"/>
        <v>0</v>
      </c>
      <c r="P104" s="157">
        <f>K104+IFERROR(+VLOOKUP($A104,'B0 2264預收'!$1:$1048576,18,0),0)</f>
        <v>0</v>
      </c>
      <c r="Q104" s="157">
        <f t="shared" si="157"/>
        <v>0</v>
      </c>
      <c r="R104" s="158">
        <f>M104+IFERROR(VLOOKUP($A104,'A0 BS 1240在建'!$1:$1048576,21,0),0)</f>
        <v>0</v>
      </c>
      <c r="S104" s="158">
        <f>+N104+IFERROR(VLOOKUP($A104,'B0 2264預收'!$1:$1048576,21,0),0)</f>
        <v>0</v>
      </c>
      <c r="T104" s="158">
        <f t="shared" si="158"/>
        <v>0</v>
      </c>
      <c r="U104" s="158">
        <f>+P104+IFERROR(+VLOOKUP($A104,'B0 2264預收'!$1:$1048576,22,0),0)</f>
        <v>0</v>
      </c>
      <c r="V104" s="158">
        <f t="shared" si="159"/>
        <v>0</v>
      </c>
      <c r="W104" s="157">
        <f>+R104+IFERROR(VLOOKUP($A104,'A0 BS 1240在建'!$1:$1048576,25,0),0)</f>
        <v>0</v>
      </c>
      <c r="X104" s="157">
        <f>+S104+IFERROR(VLOOKUP($A104,'B0 2264預收'!$1:$1048576,25,0),0)</f>
        <v>0</v>
      </c>
      <c r="Y104" s="157">
        <f t="shared" si="160"/>
        <v>0</v>
      </c>
      <c r="Z104" s="157">
        <f>+U104+IFERROR(+VLOOKUP($A104,'B0 2264預收'!$1:$1048576,26,0),0)</f>
        <v>0</v>
      </c>
      <c r="AA104" s="157">
        <f t="shared" si="161"/>
        <v>0</v>
      </c>
      <c r="AB104" s="158">
        <f>+W104+IFERROR(VLOOKUP($A104,'A0 BS 1240在建'!$1:$1048576,29,0),0)</f>
        <v>0</v>
      </c>
      <c r="AC104" s="158">
        <f>+X104+IFERROR(VLOOKUP($A104,'B0 2264預收'!$1:$1048576,29,0),0)</f>
        <v>0</v>
      </c>
      <c r="AD104" s="158">
        <f t="shared" si="162"/>
        <v>0</v>
      </c>
      <c r="AE104" s="158">
        <f>+Z104+IFERROR(+VLOOKUP($A104,'B0 2264預收'!$1:$1048576,30,0),0)</f>
        <v>0</v>
      </c>
      <c r="AF104" s="158">
        <f t="shared" si="163"/>
        <v>0</v>
      </c>
      <c r="AG104" s="157">
        <f>+AB104+IFERROR(VLOOKUP($A104,'A0 BS 1240在建'!$1:$1048576,33,0),0)</f>
        <v>0</v>
      </c>
      <c r="AH104" s="157">
        <f>+AC104+IFERROR(VLOOKUP($A104,'B0 2264預收'!$1:$1048576,33,0),0)</f>
        <v>0</v>
      </c>
      <c r="AI104" s="157">
        <f t="shared" si="164"/>
        <v>0</v>
      </c>
      <c r="AJ104" s="157">
        <f>+AE104+IFERROR(+VLOOKUP($A104,'B0 2264預收'!$1:$1048576,34,0),0)</f>
        <v>0</v>
      </c>
      <c r="AK104" s="157">
        <f t="shared" si="165"/>
        <v>0</v>
      </c>
      <c r="AL104" s="158">
        <f>+AG104+IFERROR(VLOOKUP($A104,'A0 BS 1240在建'!$1:$1048576,37,0),0)</f>
        <v>0</v>
      </c>
      <c r="AM104" s="158">
        <f>+AH104+IFERROR(VLOOKUP($A104,'B0 2264預收'!$1:$1048576,37,0),0)</f>
        <v>0</v>
      </c>
      <c r="AN104" s="158">
        <f t="shared" si="166"/>
        <v>0</v>
      </c>
      <c r="AO104" s="158">
        <f>+AJ104+IFERROR(+VLOOKUP($A104,'B0 2264預收'!$1:$1048576,38,0),0)</f>
        <v>0</v>
      </c>
      <c r="AP104" s="158">
        <f t="shared" si="167"/>
        <v>0</v>
      </c>
      <c r="AQ104" s="157">
        <f>+AL104+IFERROR(VLOOKUP($A104,'A0 BS 1240在建'!$1:$1048576,41,0),0)</f>
        <v>0</v>
      </c>
      <c r="AR104" s="157">
        <f>+AM104+IFERROR(VLOOKUP($A104,'B0 2264預收'!$1:$1048576,41,0),0)</f>
        <v>0</v>
      </c>
      <c r="AS104" s="157">
        <f t="shared" si="168"/>
        <v>0</v>
      </c>
      <c r="AT104" s="157">
        <f>+AO104+IFERROR(+VLOOKUP($A104,'B0 2264預收'!$1:$1048576,42,0),0)</f>
        <v>0</v>
      </c>
      <c r="AU104" s="157">
        <f t="shared" si="169"/>
        <v>0</v>
      </c>
      <c r="AV104" s="158">
        <f>+AQ104+IFERROR(VLOOKUP($A104,'A0 BS 1240在建'!$1:$1048576,45,0),0)</f>
        <v>0</v>
      </c>
      <c r="AW104" s="158">
        <f>+AR104+IFERROR(VLOOKUP($A104,'B0 2264預收'!$1:$1048576,45,0),0)</f>
        <v>0</v>
      </c>
      <c r="AX104" s="158">
        <f t="shared" si="170"/>
        <v>0</v>
      </c>
      <c r="AY104" s="158">
        <f>+AT104+IFERROR(+VLOOKUP($A104,'B0 2264預收'!$1:$1048576,46,0),0)</f>
        <v>0</v>
      </c>
      <c r="AZ104" s="158">
        <f t="shared" si="171"/>
        <v>0</v>
      </c>
      <c r="BA104" s="157">
        <f>+AV104+IFERROR(VLOOKUP($A104,'A0 BS 1240在建'!$1:$1048576,49,0),0)</f>
        <v>0</v>
      </c>
      <c r="BB104" s="157">
        <f>+AW104+IFERROR(VLOOKUP($A104,'B0 2264預收'!$1:$1048576,49,0),0)</f>
        <v>0</v>
      </c>
      <c r="BC104" s="157">
        <f t="shared" si="172"/>
        <v>0</v>
      </c>
      <c r="BD104" s="157">
        <f>+AY104+IFERROR(+VLOOKUP($A104,'B0 2264預收'!$1:$1048576,50,0),0)</f>
        <v>0</v>
      </c>
      <c r="BE104" s="157">
        <f t="shared" si="173"/>
        <v>0</v>
      </c>
      <c r="BF104" s="158">
        <f>+BA104+IFERROR(VLOOKUP($A104,'A0 BS 1240在建'!$1:$1048576,53,0),0)</f>
        <v>0</v>
      </c>
      <c r="BG104" s="158">
        <f>+BB104+IFERROR(VLOOKUP($A104,'B0 2264預收'!$1:$1048576,53,0),0)</f>
        <v>0</v>
      </c>
      <c r="BH104" s="158">
        <f t="shared" si="174"/>
        <v>0</v>
      </c>
      <c r="BI104" s="158">
        <f>+BD104+IFERROR(+VLOOKUP($A104,'B0 2264預收'!$1:$1048576,54,0),0)</f>
        <v>0</v>
      </c>
      <c r="BJ104" s="158">
        <f t="shared" si="175"/>
        <v>0</v>
      </c>
      <c r="BK104" s="157">
        <f>+BF104+IFERROR(VLOOKUP($A104,'A0 BS 1240在建'!$1:$1048576,57,0),0)</f>
        <v>0</v>
      </c>
      <c r="BL104" s="157">
        <f>+BG104+IFERROR(VLOOKUP($A104,'B0 2264預收'!$1:$1048576,57,0),0)</f>
        <v>0</v>
      </c>
      <c r="BM104" s="157">
        <f t="shared" si="176"/>
        <v>0</v>
      </c>
      <c r="BN104" s="157">
        <f>+BI104+IFERROR(+VLOOKUP($A104,'B0 2264預收'!$1:$1048576,58,0),0)</f>
        <v>0</v>
      </c>
      <c r="BO104" s="157">
        <f t="shared" si="177"/>
        <v>0</v>
      </c>
      <c r="BP104" s="158">
        <f>+BK104+IFERROR(VLOOKUP($A104,'A0 BS 1240在建'!$1:$1048576,61,0),0)</f>
        <v>0</v>
      </c>
      <c r="BQ104" s="158">
        <f>+BL104+IFERROR(VLOOKUP($A104,'B0 2264預收'!$1:$1048576,61,0),0)</f>
        <v>0</v>
      </c>
      <c r="BR104" s="159">
        <f t="shared" si="178"/>
        <v>0</v>
      </c>
      <c r="BS104" s="158">
        <f>+BN104+IFERROR(+VLOOKUP($A104,'B0 2264預收'!$1:$1048576,62,0),0)</f>
        <v>0</v>
      </c>
      <c r="BT104" s="158">
        <f t="shared" si="179"/>
        <v>0</v>
      </c>
      <c r="BU104" s="157">
        <f>+IFERROR(VLOOKUP($A104,'A0 BS 1240在建'!$1:$1048576,77,0),0)</f>
        <v>0</v>
      </c>
      <c r="BV104" s="157">
        <f>+IFERROR(VLOOKUP($A104,'B0 2264預收'!$1:$1048576,77,0),0)</f>
        <v>0</v>
      </c>
      <c r="BW104" s="157">
        <f t="shared" si="180"/>
        <v>0</v>
      </c>
      <c r="BX104" s="157">
        <f>+IFERROR(+VLOOKUP($A104,'B0 2264預收'!$1:$1048576,78,0),0)</f>
        <v>0</v>
      </c>
      <c r="BY104" s="157">
        <f t="shared" si="181"/>
        <v>0</v>
      </c>
      <c r="BZ104" s="158">
        <f>IFERROR(+VLOOKUP($A104,'A0 BS 1240在建'!$1:$1048576,85,0),0)</f>
        <v>0</v>
      </c>
      <c r="CA104" s="158">
        <f>IFERROR(+VLOOKUP($A104,'B0 2264預收'!$1:$1048576,85,0),0)</f>
        <v>0</v>
      </c>
      <c r="CB104" s="158">
        <f t="shared" si="182"/>
        <v>0</v>
      </c>
      <c r="CC104" s="158">
        <f>+IFERROR(+VLOOKUP($A104,'B0 2264預收'!$1:$1048576,86,0),0)</f>
        <v>0</v>
      </c>
      <c r="CD104" s="158">
        <f t="shared" si="183"/>
        <v>0</v>
      </c>
      <c r="CE104" s="157">
        <f>+IFERROR(VLOOKUP($A104,'A0 BS 1240在建'!$1:$1048576,93,0),0)</f>
        <v>0</v>
      </c>
      <c r="CF104" s="157">
        <f>+IFERROR(VLOOKUP($A104,'B0 2264預收'!$1:$1048576,93,0),0)</f>
        <v>0</v>
      </c>
      <c r="CG104" s="157">
        <f t="shared" si="184"/>
        <v>0</v>
      </c>
      <c r="CH104" s="157">
        <f>+IFERROR(+VLOOKUP($A104,'B0 2264預收'!$1:$1048576,94,0),0)</f>
        <v>0</v>
      </c>
      <c r="CI104" s="157">
        <f t="shared" si="185"/>
        <v>0</v>
      </c>
      <c r="CJ104" s="158">
        <f>IFERROR(+VLOOKUP($A104,'A0 BS 1240在建'!$1:$1048576,101,0),0)</f>
        <v>0</v>
      </c>
      <c r="CK104" s="158">
        <f>IFERROR(+VLOOKUP($A104,'B0 2264預收'!$1:$1048576,101,0),0)</f>
        <v>0</v>
      </c>
      <c r="CL104" s="158">
        <f t="shared" si="186"/>
        <v>0</v>
      </c>
      <c r="CM104" s="158">
        <f>+IFERROR(+VLOOKUP($A104,'B0 2264預收'!$1:$1048576,102,0),0)</f>
        <v>0</v>
      </c>
      <c r="CN104" s="158">
        <f t="shared" si="187"/>
        <v>0</v>
      </c>
      <c r="CP104" s="98">
        <f t="shared" si="196"/>
        <v>0</v>
      </c>
      <c r="CU104" s="98">
        <f t="shared" si="197"/>
        <v>0</v>
      </c>
      <c r="CY104" s="162" t="str">
        <f t="shared" si="190"/>
        <v/>
      </c>
      <c r="CZ104" s="98" t="str">
        <f t="shared" si="191"/>
        <v xml:space="preserve"> </v>
      </c>
      <c r="DA104" s="98" t="str">
        <f t="shared" si="192"/>
        <v xml:space="preserve"> </v>
      </c>
      <c r="DB104" s="98" t="str">
        <f t="shared" si="193"/>
        <v xml:space="preserve"> </v>
      </c>
      <c r="DC104" s="163">
        <f t="shared" si="194"/>
        <v>0</v>
      </c>
      <c r="DD104" s="162" t="str">
        <f t="shared" si="198"/>
        <v/>
      </c>
      <c r="DE104" s="98" t="str">
        <f t="shared" si="199"/>
        <v xml:space="preserve"> </v>
      </c>
      <c r="DF104" s="98" t="str">
        <f t="shared" si="200"/>
        <v xml:space="preserve"> </v>
      </c>
      <c r="DG104" s="98" t="str">
        <f t="shared" si="201"/>
        <v xml:space="preserve"> </v>
      </c>
      <c r="DH104" s="163">
        <f t="shared" si="195"/>
        <v>0</v>
      </c>
    </row>
    <row r="105" spans="1:112">
      <c r="A105" s="179" t="s">
        <v>494</v>
      </c>
      <c r="B105" s="172" t="s">
        <v>348</v>
      </c>
      <c r="C105" s="157">
        <f>IFERROR(VLOOKUP($A105,'A0 BS 1240在建'!$1:$1048576,5,0),0)</f>
        <v>0</v>
      </c>
      <c r="D105" s="157">
        <f>IFERROR(VLOOKUP($A105,'B0 2264預收'!$1:$1048576,5,0),0)</f>
        <v>0</v>
      </c>
      <c r="E105" s="157">
        <f t="shared" si="152"/>
        <v>0</v>
      </c>
      <c r="F105" s="157">
        <f>IFERROR(VLOOKUP($A105,'B0 2264預收'!$1:$1048576,6,0),0)</f>
        <v>0</v>
      </c>
      <c r="G105" s="157">
        <f t="shared" si="153"/>
        <v>0</v>
      </c>
      <c r="H105" s="158">
        <f>IFERROR(VLOOKUP($A105,'A0 BS 1240在建'!$1:$1048576,13,0),0)</f>
        <v>0</v>
      </c>
      <c r="I105" s="158">
        <f>IFERROR(VLOOKUP($A105,'B0 2264預收'!$1:$1048576,13,0),0)</f>
        <v>0</v>
      </c>
      <c r="J105" s="158">
        <f t="shared" si="154"/>
        <v>0</v>
      </c>
      <c r="K105" s="158">
        <f>IFERROR(VLOOKUP($A105,'B0 2264預收'!$1:$1048576,14,0),0)</f>
        <v>0</v>
      </c>
      <c r="L105" s="158">
        <f t="shared" si="155"/>
        <v>0</v>
      </c>
      <c r="M105" s="157">
        <f>H105+IFERROR(VLOOKUP($A105,'A0 BS 1240在建'!$1:$1048576,17,0),0)</f>
        <v>0</v>
      </c>
      <c r="N105" s="157">
        <f>I105+IFERROR(VLOOKUP($A105,'B0 2264預收'!$1:$1048576,17,0),0)</f>
        <v>0</v>
      </c>
      <c r="O105" s="157">
        <f t="shared" si="156"/>
        <v>0</v>
      </c>
      <c r="P105" s="157">
        <f>K105+IFERROR(+VLOOKUP($A105,'B0 2264預收'!$1:$1048576,18,0),0)</f>
        <v>0</v>
      </c>
      <c r="Q105" s="157">
        <f t="shared" si="157"/>
        <v>0</v>
      </c>
      <c r="R105" s="158">
        <f>M105+IFERROR(VLOOKUP($A105,'A0 BS 1240在建'!$1:$1048576,21,0),0)</f>
        <v>0</v>
      </c>
      <c r="S105" s="158">
        <f>+N105+IFERROR(VLOOKUP($A105,'B0 2264預收'!$1:$1048576,21,0),0)</f>
        <v>0</v>
      </c>
      <c r="T105" s="158">
        <f t="shared" si="158"/>
        <v>0</v>
      </c>
      <c r="U105" s="158">
        <f>+P105+IFERROR(+VLOOKUP($A105,'B0 2264預收'!$1:$1048576,22,0),0)</f>
        <v>0</v>
      </c>
      <c r="V105" s="158">
        <f t="shared" si="159"/>
        <v>0</v>
      </c>
      <c r="W105" s="157">
        <f>+R105+IFERROR(VLOOKUP($A105,'A0 BS 1240在建'!$1:$1048576,25,0),0)</f>
        <v>0</v>
      </c>
      <c r="X105" s="157">
        <f>+S105+IFERROR(VLOOKUP($A105,'B0 2264預收'!$1:$1048576,25,0),0)</f>
        <v>0</v>
      </c>
      <c r="Y105" s="157">
        <f t="shared" si="160"/>
        <v>0</v>
      </c>
      <c r="Z105" s="157">
        <f>+U105+IFERROR(+VLOOKUP($A105,'B0 2264預收'!$1:$1048576,26,0),0)</f>
        <v>0</v>
      </c>
      <c r="AA105" s="157">
        <f t="shared" si="161"/>
        <v>0</v>
      </c>
      <c r="AB105" s="158">
        <f>+W105+IFERROR(VLOOKUP($A105,'A0 BS 1240在建'!$1:$1048576,29,0),0)</f>
        <v>0</v>
      </c>
      <c r="AC105" s="158">
        <f>+X105+IFERROR(VLOOKUP($A105,'B0 2264預收'!$1:$1048576,29,0),0)</f>
        <v>0</v>
      </c>
      <c r="AD105" s="158">
        <f t="shared" si="162"/>
        <v>0</v>
      </c>
      <c r="AE105" s="158">
        <f>+Z105+IFERROR(+VLOOKUP($A105,'B0 2264預收'!$1:$1048576,30,0),0)</f>
        <v>0</v>
      </c>
      <c r="AF105" s="158">
        <f t="shared" si="163"/>
        <v>0</v>
      </c>
      <c r="AG105" s="157">
        <f>+AB105+IFERROR(VLOOKUP($A105,'A0 BS 1240在建'!$1:$1048576,33,0),0)</f>
        <v>0</v>
      </c>
      <c r="AH105" s="157">
        <f>+AC105+IFERROR(VLOOKUP($A105,'B0 2264預收'!$1:$1048576,33,0),0)</f>
        <v>0</v>
      </c>
      <c r="AI105" s="157">
        <f t="shared" si="164"/>
        <v>0</v>
      </c>
      <c r="AJ105" s="157">
        <f>+AE105+IFERROR(+VLOOKUP($A105,'B0 2264預收'!$1:$1048576,34,0),0)</f>
        <v>0</v>
      </c>
      <c r="AK105" s="157">
        <f t="shared" si="165"/>
        <v>0</v>
      </c>
      <c r="AL105" s="158">
        <f>+AG105+IFERROR(VLOOKUP($A105,'A0 BS 1240在建'!$1:$1048576,37,0),0)</f>
        <v>0</v>
      </c>
      <c r="AM105" s="158">
        <f>+AH105+IFERROR(VLOOKUP($A105,'B0 2264預收'!$1:$1048576,37,0),0)</f>
        <v>0</v>
      </c>
      <c r="AN105" s="158">
        <f t="shared" si="166"/>
        <v>0</v>
      </c>
      <c r="AO105" s="158">
        <f>+AJ105+IFERROR(+VLOOKUP($A105,'B0 2264預收'!$1:$1048576,38,0),0)</f>
        <v>0</v>
      </c>
      <c r="AP105" s="158">
        <f t="shared" si="167"/>
        <v>0</v>
      </c>
      <c r="AQ105" s="157">
        <f>+AL105+IFERROR(VLOOKUP($A105,'A0 BS 1240在建'!$1:$1048576,41,0),0)</f>
        <v>0</v>
      </c>
      <c r="AR105" s="157">
        <f>+AM105+IFERROR(VLOOKUP($A105,'B0 2264預收'!$1:$1048576,41,0),0)</f>
        <v>0</v>
      </c>
      <c r="AS105" s="157">
        <f t="shared" si="168"/>
        <v>0</v>
      </c>
      <c r="AT105" s="157">
        <f>+AO105+IFERROR(+VLOOKUP($A105,'B0 2264預收'!$1:$1048576,42,0),0)</f>
        <v>0</v>
      </c>
      <c r="AU105" s="157">
        <f t="shared" si="169"/>
        <v>0</v>
      </c>
      <c r="AV105" s="158">
        <f>+AQ105+IFERROR(VLOOKUP($A105,'A0 BS 1240在建'!$1:$1048576,45,0),0)</f>
        <v>0</v>
      </c>
      <c r="AW105" s="158">
        <f>+AR105+IFERROR(VLOOKUP($A105,'B0 2264預收'!$1:$1048576,45,0),0)</f>
        <v>0</v>
      </c>
      <c r="AX105" s="158">
        <f t="shared" si="170"/>
        <v>0</v>
      </c>
      <c r="AY105" s="158">
        <f>+AT105+IFERROR(+VLOOKUP($A105,'B0 2264預收'!$1:$1048576,46,0),0)</f>
        <v>0</v>
      </c>
      <c r="AZ105" s="158">
        <f t="shared" si="171"/>
        <v>0</v>
      </c>
      <c r="BA105" s="157">
        <f>+AV105+IFERROR(VLOOKUP($A105,'A0 BS 1240在建'!$1:$1048576,49,0),0)</f>
        <v>0</v>
      </c>
      <c r="BB105" s="157">
        <f>+AW105+IFERROR(VLOOKUP($A105,'B0 2264預收'!$1:$1048576,49,0),0)</f>
        <v>0</v>
      </c>
      <c r="BC105" s="157">
        <f t="shared" si="172"/>
        <v>0</v>
      </c>
      <c r="BD105" s="157">
        <f>+AY105+IFERROR(+VLOOKUP($A105,'B0 2264預收'!$1:$1048576,50,0),0)</f>
        <v>0</v>
      </c>
      <c r="BE105" s="157">
        <f t="shared" si="173"/>
        <v>0</v>
      </c>
      <c r="BF105" s="158">
        <f>+BA105+IFERROR(VLOOKUP($A105,'A0 BS 1240在建'!$1:$1048576,53,0),0)</f>
        <v>0</v>
      </c>
      <c r="BG105" s="158">
        <f>+BB105+IFERROR(VLOOKUP($A105,'B0 2264預收'!$1:$1048576,53,0),0)</f>
        <v>0</v>
      </c>
      <c r="BH105" s="158">
        <f t="shared" si="174"/>
        <v>0</v>
      </c>
      <c r="BI105" s="158">
        <f>+BD105+IFERROR(+VLOOKUP($A105,'B0 2264預收'!$1:$1048576,54,0),0)</f>
        <v>0</v>
      </c>
      <c r="BJ105" s="158">
        <f t="shared" si="175"/>
        <v>0</v>
      </c>
      <c r="BK105" s="157">
        <f>+BF105+IFERROR(VLOOKUP($A105,'A0 BS 1240在建'!$1:$1048576,57,0),0)</f>
        <v>0</v>
      </c>
      <c r="BL105" s="157">
        <f>+BG105+IFERROR(VLOOKUP($A105,'B0 2264預收'!$1:$1048576,57,0),0)</f>
        <v>0</v>
      </c>
      <c r="BM105" s="157">
        <f t="shared" si="176"/>
        <v>0</v>
      </c>
      <c r="BN105" s="157">
        <f>+BI105+IFERROR(+VLOOKUP($A105,'B0 2264預收'!$1:$1048576,58,0),0)</f>
        <v>0</v>
      </c>
      <c r="BO105" s="157">
        <f t="shared" si="177"/>
        <v>0</v>
      </c>
      <c r="BP105" s="158">
        <f>+BK105+IFERROR(VLOOKUP($A105,'A0 BS 1240在建'!$1:$1048576,61,0),0)</f>
        <v>0</v>
      </c>
      <c r="BQ105" s="158">
        <f>+BL105+IFERROR(VLOOKUP($A105,'B0 2264預收'!$1:$1048576,61,0),0)</f>
        <v>0</v>
      </c>
      <c r="BR105" s="159">
        <f t="shared" si="178"/>
        <v>0</v>
      </c>
      <c r="BS105" s="158">
        <f>+BN105+IFERROR(+VLOOKUP($A105,'B0 2264預收'!$1:$1048576,62,0),0)</f>
        <v>0</v>
      </c>
      <c r="BT105" s="158">
        <f t="shared" si="179"/>
        <v>0</v>
      </c>
      <c r="BU105" s="157">
        <f>+IFERROR(VLOOKUP($A105,'A0 BS 1240在建'!$1:$1048576,77,0),0)</f>
        <v>0</v>
      </c>
      <c r="BV105" s="157">
        <f>+IFERROR(VLOOKUP($A105,'B0 2264預收'!$1:$1048576,77,0),0)</f>
        <v>0</v>
      </c>
      <c r="BW105" s="157">
        <f t="shared" si="180"/>
        <v>0</v>
      </c>
      <c r="BX105" s="157">
        <f>+IFERROR(+VLOOKUP($A105,'B0 2264預收'!$1:$1048576,78,0),0)</f>
        <v>0</v>
      </c>
      <c r="BY105" s="157">
        <f t="shared" si="181"/>
        <v>0</v>
      </c>
      <c r="BZ105" s="158">
        <f>IFERROR(+VLOOKUP($A105,'A0 BS 1240在建'!$1:$1048576,85,0),0)</f>
        <v>0</v>
      </c>
      <c r="CA105" s="158">
        <f>IFERROR(+VLOOKUP($A105,'B0 2264預收'!$1:$1048576,85,0),0)</f>
        <v>0</v>
      </c>
      <c r="CB105" s="158">
        <f t="shared" si="182"/>
        <v>0</v>
      </c>
      <c r="CC105" s="158">
        <f>+IFERROR(+VLOOKUP($A105,'B0 2264預收'!$1:$1048576,86,0),0)</f>
        <v>0</v>
      </c>
      <c r="CD105" s="158">
        <f t="shared" si="183"/>
        <v>0</v>
      </c>
      <c r="CE105" s="157">
        <f>+IFERROR(VLOOKUP($A105,'A0 BS 1240在建'!$1:$1048576,93,0),0)</f>
        <v>0</v>
      </c>
      <c r="CF105" s="157">
        <f>+IFERROR(VLOOKUP($A105,'B0 2264預收'!$1:$1048576,93,0),0)</f>
        <v>0</v>
      </c>
      <c r="CG105" s="157">
        <f t="shared" si="184"/>
        <v>0</v>
      </c>
      <c r="CH105" s="157">
        <f>+IFERROR(+VLOOKUP($A105,'B0 2264預收'!$1:$1048576,94,0),0)</f>
        <v>0</v>
      </c>
      <c r="CI105" s="157">
        <f t="shared" si="185"/>
        <v>0</v>
      </c>
      <c r="CJ105" s="158">
        <f>IFERROR(+VLOOKUP($A105,'A0 BS 1240在建'!$1:$1048576,101,0),0)</f>
        <v>0</v>
      </c>
      <c r="CK105" s="158">
        <f>IFERROR(+VLOOKUP($A105,'B0 2264預收'!$1:$1048576,101,0),0)</f>
        <v>0</v>
      </c>
      <c r="CL105" s="158">
        <f t="shared" si="186"/>
        <v>0</v>
      </c>
      <c r="CM105" s="158">
        <f>+IFERROR(+VLOOKUP($A105,'B0 2264預收'!$1:$1048576,102,0),0)</f>
        <v>0</v>
      </c>
      <c r="CN105" s="158">
        <f t="shared" si="187"/>
        <v>0</v>
      </c>
      <c r="CP105" s="98">
        <f t="shared" si="196"/>
        <v>0</v>
      </c>
      <c r="CU105" s="98">
        <f t="shared" si="197"/>
        <v>0</v>
      </c>
      <c r="CY105" s="162" t="str">
        <f t="shared" si="190"/>
        <v/>
      </c>
      <c r="CZ105" s="98" t="str">
        <f t="shared" si="191"/>
        <v xml:space="preserve"> </v>
      </c>
      <c r="DA105" s="98" t="str">
        <f t="shared" si="192"/>
        <v xml:space="preserve"> </v>
      </c>
      <c r="DB105" s="98" t="str">
        <f t="shared" si="193"/>
        <v xml:space="preserve"> </v>
      </c>
      <c r="DC105" s="163">
        <f t="shared" si="194"/>
        <v>0</v>
      </c>
      <c r="DD105" s="162" t="str">
        <f t="shared" si="198"/>
        <v/>
      </c>
      <c r="DE105" s="98" t="str">
        <f t="shared" si="199"/>
        <v xml:space="preserve"> </v>
      </c>
      <c r="DF105" s="98" t="str">
        <f t="shared" si="200"/>
        <v xml:space="preserve"> </v>
      </c>
      <c r="DG105" s="98" t="str">
        <f t="shared" si="201"/>
        <v xml:space="preserve"> </v>
      </c>
      <c r="DH105" s="163">
        <f t="shared" si="195"/>
        <v>0</v>
      </c>
    </row>
    <row r="106" spans="1:112">
      <c r="A106" s="179" t="s">
        <v>495</v>
      </c>
      <c r="B106" s="172" t="s">
        <v>350</v>
      </c>
      <c r="C106" s="157">
        <f>IFERROR(VLOOKUP($A106,'A0 BS 1240在建'!$1:$1048576,5,0),0)</f>
        <v>0</v>
      </c>
      <c r="D106" s="157">
        <f>IFERROR(VLOOKUP($A106,'B0 2264預收'!$1:$1048576,5,0),0)</f>
        <v>0</v>
      </c>
      <c r="E106" s="157">
        <f t="shared" si="152"/>
        <v>0</v>
      </c>
      <c r="F106" s="157">
        <f>IFERROR(VLOOKUP($A106,'B0 2264預收'!$1:$1048576,6,0),0)</f>
        <v>0</v>
      </c>
      <c r="G106" s="157">
        <f t="shared" si="153"/>
        <v>0</v>
      </c>
      <c r="H106" s="158">
        <f>IFERROR(VLOOKUP($A106,'A0 BS 1240在建'!$1:$1048576,13,0),0)</f>
        <v>0</v>
      </c>
      <c r="I106" s="158">
        <f>IFERROR(VLOOKUP($A106,'B0 2264預收'!$1:$1048576,13,0),0)</f>
        <v>0</v>
      </c>
      <c r="J106" s="158">
        <f t="shared" si="154"/>
        <v>0</v>
      </c>
      <c r="K106" s="158">
        <f>IFERROR(VLOOKUP($A106,'B0 2264預收'!$1:$1048576,14,0),0)</f>
        <v>0</v>
      </c>
      <c r="L106" s="158">
        <f t="shared" si="155"/>
        <v>0</v>
      </c>
      <c r="M106" s="157">
        <f>H106+IFERROR(VLOOKUP($A106,'A0 BS 1240在建'!$1:$1048576,17,0),0)</f>
        <v>0</v>
      </c>
      <c r="N106" s="157">
        <f>I106+IFERROR(VLOOKUP($A106,'B0 2264預收'!$1:$1048576,17,0),0)</f>
        <v>0</v>
      </c>
      <c r="O106" s="157">
        <f t="shared" si="156"/>
        <v>0</v>
      </c>
      <c r="P106" s="157">
        <f>K106+IFERROR(+VLOOKUP($A106,'B0 2264預收'!$1:$1048576,18,0),0)</f>
        <v>0</v>
      </c>
      <c r="Q106" s="157">
        <f t="shared" si="157"/>
        <v>0</v>
      </c>
      <c r="R106" s="158">
        <f>M106+IFERROR(VLOOKUP($A106,'A0 BS 1240在建'!$1:$1048576,21,0),0)</f>
        <v>0</v>
      </c>
      <c r="S106" s="158">
        <f>+N106+IFERROR(VLOOKUP($A106,'B0 2264預收'!$1:$1048576,21,0),0)</f>
        <v>0</v>
      </c>
      <c r="T106" s="158">
        <f t="shared" si="158"/>
        <v>0</v>
      </c>
      <c r="U106" s="158">
        <f>+P106+IFERROR(+VLOOKUP($A106,'B0 2264預收'!$1:$1048576,22,0),0)</f>
        <v>0</v>
      </c>
      <c r="V106" s="158">
        <f t="shared" si="159"/>
        <v>0</v>
      </c>
      <c r="W106" s="157">
        <f>+R106+IFERROR(VLOOKUP($A106,'A0 BS 1240在建'!$1:$1048576,25,0),0)</f>
        <v>0</v>
      </c>
      <c r="X106" s="157">
        <f>+S106+IFERROR(VLOOKUP($A106,'B0 2264預收'!$1:$1048576,25,0),0)</f>
        <v>0</v>
      </c>
      <c r="Y106" s="157">
        <f t="shared" si="160"/>
        <v>0</v>
      </c>
      <c r="Z106" s="157">
        <f>+U106+IFERROR(+VLOOKUP($A106,'B0 2264預收'!$1:$1048576,26,0),0)</f>
        <v>0</v>
      </c>
      <c r="AA106" s="157">
        <f t="shared" si="161"/>
        <v>0</v>
      </c>
      <c r="AB106" s="158">
        <f>+W106+IFERROR(VLOOKUP($A106,'A0 BS 1240在建'!$1:$1048576,29,0),0)</f>
        <v>0</v>
      </c>
      <c r="AC106" s="158">
        <f>+X106+IFERROR(VLOOKUP($A106,'B0 2264預收'!$1:$1048576,29,0),0)</f>
        <v>0</v>
      </c>
      <c r="AD106" s="158">
        <f t="shared" si="162"/>
        <v>0</v>
      </c>
      <c r="AE106" s="158">
        <f>+Z106+IFERROR(+VLOOKUP($A106,'B0 2264預收'!$1:$1048576,30,0),0)</f>
        <v>0</v>
      </c>
      <c r="AF106" s="158">
        <f t="shared" si="163"/>
        <v>0</v>
      </c>
      <c r="AG106" s="157">
        <f>+AB106+IFERROR(VLOOKUP($A106,'A0 BS 1240在建'!$1:$1048576,33,0),0)</f>
        <v>0</v>
      </c>
      <c r="AH106" s="157">
        <f>+AC106+IFERROR(VLOOKUP($A106,'B0 2264預收'!$1:$1048576,33,0),0)</f>
        <v>0</v>
      </c>
      <c r="AI106" s="157">
        <f t="shared" si="164"/>
        <v>0</v>
      </c>
      <c r="AJ106" s="157">
        <f>+AE106+IFERROR(+VLOOKUP($A106,'B0 2264預收'!$1:$1048576,34,0),0)</f>
        <v>0</v>
      </c>
      <c r="AK106" s="157">
        <f t="shared" si="165"/>
        <v>0</v>
      </c>
      <c r="AL106" s="158">
        <f>+AG106+IFERROR(VLOOKUP($A106,'A0 BS 1240在建'!$1:$1048576,37,0),0)</f>
        <v>0</v>
      </c>
      <c r="AM106" s="158">
        <f>+AH106+IFERROR(VLOOKUP($A106,'B0 2264預收'!$1:$1048576,37,0),0)</f>
        <v>0</v>
      </c>
      <c r="AN106" s="158">
        <f t="shared" si="166"/>
        <v>0</v>
      </c>
      <c r="AO106" s="158">
        <f>+AJ106+IFERROR(+VLOOKUP($A106,'B0 2264預收'!$1:$1048576,38,0),0)</f>
        <v>0</v>
      </c>
      <c r="AP106" s="158">
        <f t="shared" si="167"/>
        <v>0</v>
      </c>
      <c r="AQ106" s="157">
        <f>+AL106+IFERROR(VLOOKUP($A106,'A0 BS 1240在建'!$1:$1048576,41,0),0)</f>
        <v>0</v>
      </c>
      <c r="AR106" s="157">
        <f>+AM106+IFERROR(VLOOKUP($A106,'B0 2264預收'!$1:$1048576,41,0),0)</f>
        <v>0</v>
      </c>
      <c r="AS106" s="157">
        <f t="shared" si="168"/>
        <v>0</v>
      </c>
      <c r="AT106" s="157">
        <f>+AO106+IFERROR(+VLOOKUP($A106,'B0 2264預收'!$1:$1048576,42,0),0)</f>
        <v>0</v>
      </c>
      <c r="AU106" s="157">
        <f t="shared" si="169"/>
        <v>0</v>
      </c>
      <c r="AV106" s="158">
        <f>+AQ106+IFERROR(VLOOKUP($A106,'A0 BS 1240在建'!$1:$1048576,45,0),0)</f>
        <v>0</v>
      </c>
      <c r="AW106" s="158">
        <f>+AR106+IFERROR(VLOOKUP($A106,'B0 2264預收'!$1:$1048576,45,0),0)</f>
        <v>0</v>
      </c>
      <c r="AX106" s="158">
        <f t="shared" si="170"/>
        <v>0</v>
      </c>
      <c r="AY106" s="158">
        <f>+AT106+IFERROR(+VLOOKUP($A106,'B0 2264預收'!$1:$1048576,46,0),0)</f>
        <v>0</v>
      </c>
      <c r="AZ106" s="158">
        <f t="shared" si="171"/>
        <v>0</v>
      </c>
      <c r="BA106" s="157">
        <f>+AV106+IFERROR(VLOOKUP($A106,'A0 BS 1240在建'!$1:$1048576,49,0),0)</f>
        <v>0</v>
      </c>
      <c r="BB106" s="157">
        <f>+AW106+IFERROR(VLOOKUP($A106,'B0 2264預收'!$1:$1048576,49,0),0)</f>
        <v>0</v>
      </c>
      <c r="BC106" s="157">
        <f t="shared" si="172"/>
        <v>0</v>
      </c>
      <c r="BD106" s="157">
        <f>+AY106+IFERROR(+VLOOKUP($A106,'B0 2264預收'!$1:$1048576,50,0),0)</f>
        <v>0</v>
      </c>
      <c r="BE106" s="157">
        <f t="shared" si="173"/>
        <v>0</v>
      </c>
      <c r="BF106" s="158">
        <f>+BA106+IFERROR(VLOOKUP($A106,'A0 BS 1240在建'!$1:$1048576,53,0),0)</f>
        <v>0</v>
      </c>
      <c r="BG106" s="158">
        <f>+BB106+IFERROR(VLOOKUP($A106,'B0 2264預收'!$1:$1048576,53,0),0)</f>
        <v>0</v>
      </c>
      <c r="BH106" s="158">
        <f t="shared" si="174"/>
        <v>0</v>
      </c>
      <c r="BI106" s="158">
        <f>+BD106+IFERROR(+VLOOKUP($A106,'B0 2264預收'!$1:$1048576,54,0),0)</f>
        <v>0</v>
      </c>
      <c r="BJ106" s="158">
        <f t="shared" si="175"/>
        <v>0</v>
      </c>
      <c r="BK106" s="157">
        <f>+BF106+IFERROR(VLOOKUP($A106,'A0 BS 1240在建'!$1:$1048576,57,0),0)</f>
        <v>0</v>
      </c>
      <c r="BL106" s="157">
        <f>+BG106+IFERROR(VLOOKUP($A106,'B0 2264預收'!$1:$1048576,57,0),0)</f>
        <v>0</v>
      </c>
      <c r="BM106" s="157">
        <f t="shared" si="176"/>
        <v>0</v>
      </c>
      <c r="BN106" s="157">
        <f>+BI106+IFERROR(+VLOOKUP($A106,'B0 2264預收'!$1:$1048576,58,0),0)</f>
        <v>0</v>
      </c>
      <c r="BO106" s="157">
        <f t="shared" si="177"/>
        <v>0</v>
      </c>
      <c r="BP106" s="158">
        <f>+BK106+IFERROR(VLOOKUP($A106,'A0 BS 1240在建'!$1:$1048576,61,0),0)</f>
        <v>0</v>
      </c>
      <c r="BQ106" s="158">
        <f>+BL106+IFERROR(VLOOKUP($A106,'B0 2264預收'!$1:$1048576,61,0),0)</f>
        <v>0</v>
      </c>
      <c r="BR106" s="159">
        <f t="shared" si="178"/>
        <v>0</v>
      </c>
      <c r="BS106" s="158">
        <f>+BN106+IFERROR(+VLOOKUP($A106,'B0 2264預收'!$1:$1048576,62,0),0)</f>
        <v>0</v>
      </c>
      <c r="BT106" s="158">
        <f t="shared" si="179"/>
        <v>0</v>
      </c>
      <c r="BU106" s="157">
        <f>+IFERROR(VLOOKUP($A106,'A0 BS 1240在建'!$1:$1048576,77,0),0)</f>
        <v>0</v>
      </c>
      <c r="BV106" s="157">
        <f>+IFERROR(VLOOKUP($A106,'B0 2264預收'!$1:$1048576,77,0),0)</f>
        <v>0</v>
      </c>
      <c r="BW106" s="157">
        <f t="shared" si="180"/>
        <v>0</v>
      </c>
      <c r="BX106" s="157">
        <f>+IFERROR(+VLOOKUP($A106,'B0 2264預收'!$1:$1048576,78,0),0)</f>
        <v>0</v>
      </c>
      <c r="BY106" s="157">
        <f t="shared" si="181"/>
        <v>0</v>
      </c>
      <c r="BZ106" s="158">
        <f>IFERROR(+VLOOKUP($A106,'A0 BS 1240在建'!$1:$1048576,85,0),0)</f>
        <v>0</v>
      </c>
      <c r="CA106" s="158">
        <f>IFERROR(+VLOOKUP($A106,'B0 2264預收'!$1:$1048576,85,0),0)</f>
        <v>0</v>
      </c>
      <c r="CB106" s="158">
        <f t="shared" si="182"/>
        <v>0</v>
      </c>
      <c r="CC106" s="158">
        <f>+IFERROR(+VLOOKUP($A106,'B0 2264預收'!$1:$1048576,86,0),0)</f>
        <v>0</v>
      </c>
      <c r="CD106" s="158">
        <f t="shared" si="183"/>
        <v>0</v>
      </c>
      <c r="CE106" s="157">
        <f>+IFERROR(VLOOKUP($A106,'A0 BS 1240在建'!$1:$1048576,93,0),0)</f>
        <v>0</v>
      </c>
      <c r="CF106" s="157">
        <f>+IFERROR(VLOOKUP($A106,'B0 2264預收'!$1:$1048576,93,0),0)</f>
        <v>0</v>
      </c>
      <c r="CG106" s="157">
        <f t="shared" si="184"/>
        <v>0</v>
      </c>
      <c r="CH106" s="157">
        <f>+IFERROR(+VLOOKUP($A106,'B0 2264預收'!$1:$1048576,94,0),0)</f>
        <v>0</v>
      </c>
      <c r="CI106" s="157">
        <f t="shared" si="185"/>
        <v>0</v>
      </c>
      <c r="CJ106" s="158">
        <f>IFERROR(+VLOOKUP($A106,'A0 BS 1240在建'!$1:$1048576,101,0),0)</f>
        <v>0</v>
      </c>
      <c r="CK106" s="158">
        <f>IFERROR(+VLOOKUP($A106,'B0 2264預收'!$1:$1048576,101,0),0)</f>
        <v>0</v>
      </c>
      <c r="CL106" s="158">
        <f t="shared" si="186"/>
        <v>0</v>
      </c>
      <c r="CM106" s="158">
        <f>+IFERROR(+VLOOKUP($A106,'B0 2264預收'!$1:$1048576,102,0),0)</f>
        <v>0</v>
      </c>
      <c r="CN106" s="158">
        <f t="shared" si="187"/>
        <v>0</v>
      </c>
      <c r="CP106" s="98">
        <f t="shared" si="196"/>
        <v>0</v>
      </c>
      <c r="CU106" s="98">
        <f t="shared" si="197"/>
        <v>0</v>
      </c>
      <c r="CY106" s="162" t="str">
        <f t="shared" si="190"/>
        <v/>
      </c>
      <c r="CZ106" s="98" t="str">
        <f t="shared" si="191"/>
        <v xml:space="preserve"> </v>
      </c>
      <c r="DA106" s="98" t="str">
        <f t="shared" si="192"/>
        <v xml:space="preserve"> </v>
      </c>
      <c r="DB106" s="98" t="str">
        <f t="shared" si="193"/>
        <v xml:space="preserve"> </v>
      </c>
      <c r="DC106" s="163">
        <f t="shared" si="194"/>
        <v>0</v>
      </c>
      <c r="DD106" s="162" t="str">
        <f t="shared" si="198"/>
        <v/>
      </c>
      <c r="DE106" s="98" t="str">
        <f t="shared" si="199"/>
        <v xml:space="preserve"> </v>
      </c>
      <c r="DF106" s="98" t="str">
        <f t="shared" si="200"/>
        <v xml:space="preserve"> </v>
      </c>
      <c r="DG106" s="98" t="str">
        <f t="shared" si="201"/>
        <v xml:space="preserve"> </v>
      </c>
      <c r="DH106" s="163">
        <f t="shared" si="195"/>
        <v>0</v>
      </c>
    </row>
    <row r="107" spans="1:112">
      <c r="A107" s="179" t="s">
        <v>496</v>
      </c>
      <c r="B107" s="172" t="s">
        <v>352</v>
      </c>
      <c r="C107" s="157">
        <f>IFERROR(VLOOKUP($A107,'A0 BS 1240在建'!$1:$1048576,5,0),0)</f>
        <v>0</v>
      </c>
      <c r="D107" s="157">
        <f>IFERROR(VLOOKUP($A107,'B0 2264預收'!$1:$1048576,5,0),0)</f>
        <v>0</v>
      </c>
      <c r="E107" s="157">
        <f t="shared" si="152"/>
        <v>0</v>
      </c>
      <c r="F107" s="157">
        <f>IFERROR(VLOOKUP($A107,'B0 2264預收'!$1:$1048576,6,0),0)</f>
        <v>0</v>
      </c>
      <c r="G107" s="157">
        <f t="shared" si="153"/>
        <v>0</v>
      </c>
      <c r="H107" s="158">
        <f>IFERROR(VLOOKUP($A107,'A0 BS 1240在建'!$1:$1048576,13,0),0)</f>
        <v>0</v>
      </c>
      <c r="I107" s="158">
        <f>IFERROR(VLOOKUP($A107,'B0 2264預收'!$1:$1048576,13,0),0)</f>
        <v>0</v>
      </c>
      <c r="J107" s="158">
        <f t="shared" si="154"/>
        <v>0</v>
      </c>
      <c r="K107" s="158">
        <f>IFERROR(VLOOKUP($A107,'B0 2264預收'!$1:$1048576,14,0),0)</f>
        <v>0</v>
      </c>
      <c r="L107" s="158">
        <f t="shared" si="155"/>
        <v>0</v>
      </c>
      <c r="M107" s="157">
        <f>H107+IFERROR(VLOOKUP($A107,'A0 BS 1240在建'!$1:$1048576,17,0),0)</f>
        <v>0</v>
      </c>
      <c r="N107" s="157">
        <f>I107+IFERROR(VLOOKUP($A107,'B0 2264預收'!$1:$1048576,17,0),0)</f>
        <v>0</v>
      </c>
      <c r="O107" s="157">
        <f t="shared" si="156"/>
        <v>0</v>
      </c>
      <c r="P107" s="157">
        <f>K107+IFERROR(+VLOOKUP($A107,'B0 2264預收'!$1:$1048576,18,0),0)</f>
        <v>0</v>
      </c>
      <c r="Q107" s="157">
        <f t="shared" si="157"/>
        <v>0</v>
      </c>
      <c r="R107" s="158">
        <f>M107+IFERROR(VLOOKUP($A107,'A0 BS 1240在建'!$1:$1048576,21,0),0)</f>
        <v>0</v>
      </c>
      <c r="S107" s="158">
        <f>+N107+IFERROR(VLOOKUP($A107,'B0 2264預收'!$1:$1048576,21,0),0)</f>
        <v>0</v>
      </c>
      <c r="T107" s="158">
        <f t="shared" si="158"/>
        <v>0</v>
      </c>
      <c r="U107" s="158">
        <f>+P107+IFERROR(+VLOOKUP($A107,'B0 2264預收'!$1:$1048576,22,0),0)</f>
        <v>0</v>
      </c>
      <c r="V107" s="158">
        <f t="shared" si="159"/>
        <v>0</v>
      </c>
      <c r="W107" s="157">
        <f>+R107+IFERROR(VLOOKUP($A107,'A0 BS 1240在建'!$1:$1048576,25,0),0)</f>
        <v>0</v>
      </c>
      <c r="X107" s="157">
        <f>+S107+IFERROR(VLOOKUP($A107,'B0 2264預收'!$1:$1048576,25,0),0)</f>
        <v>0</v>
      </c>
      <c r="Y107" s="157">
        <f t="shared" si="160"/>
        <v>0</v>
      </c>
      <c r="Z107" s="157">
        <f>+U107+IFERROR(+VLOOKUP($A107,'B0 2264預收'!$1:$1048576,26,0),0)</f>
        <v>0</v>
      </c>
      <c r="AA107" s="157">
        <f t="shared" si="161"/>
        <v>0</v>
      </c>
      <c r="AB107" s="158">
        <f>+W107+IFERROR(VLOOKUP($A107,'A0 BS 1240在建'!$1:$1048576,29,0),0)</f>
        <v>0</v>
      </c>
      <c r="AC107" s="158">
        <f>+X107+IFERROR(VLOOKUP($A107,'B0 2264預收'!$1:$1048576,29,0),0)</f>
        <v>0</v>
      </c>
      <c r="AD107" s="158">
        <f t="shared" si="162"/>
        <v>0</v>
      </c>
      <c r="AE107" s="158">
        <f>+Z107+IFERROR(+VLOOKUP($A107,'B0 2264預收'!$1:$1048576,30,0),0)</f>
        <v>0</v>
      </c>
      <c r="AF107" s="158">
        <f t="shared" si="163"/>
        <v>0</v>
      </c>
      <c r="AG107" s="157">
        <f>+AB107+IFERROR(VLOOKUP($A107,'A0 BS 1240在建'!$1:$1048576,33,0),0)</f>
        <v>0</v>
      </c>
      <c r="AH107" s="157">
        <f>+AC107+IFERROR(VLOOKUP($A107,'B0 2264預收'!$1:$1048576,33,0),0)</f>
        <v>0</v>
      </c>
      <c r="AI107" s="157">
        <f t="shared" si="164"/>
        <v>0</v>
      </c>
      <c r="AJ107" s="157">
        <f>+AE107+IFERROR(+VLOOKUP($A107,'B0 2264預收'!$1:$1048576,34,0),0)</f>
        <v>0</v>
      </c>
      <c r="AK107" s="157">
        <f t="shared" si="165"/>
        <v>0</v>
      </c>
      <c r="AL107" s="158">
        <f>+AG107+IFERROR(VLOOKUP($A107,'A0 BS 1240在建'!$1:$1048576,37,0),0)</f>
        <v>0</v>
      </c>
      <c r="AM107" s="158">
        <f>+AH107+IFERROR(VLOOKUP($A107,'B0 2264預收'!$1:$1048576,37,0),0)</f>
        <v>0</v>
      </c>
      <c r="AN107" s="158">
        <f t="shared" si="166"/>
        <v>0</v>
      </c>
      <c r="AO107" s="158">
        <f>+AJ107+IFERROR(+VLOOKUP($A107,'B0 2264預收'!$1:$1048576,38,0),0)</f>
        <v>0</v>
      </c>
      <c r="AP107" s="158">
        <f t="shared" si="167"/>
        <v>0</v>
      </c>
      <c r="AQ107" s="157">
        <f>+AL107+IFERROR(VLOOKUP($A107,'A0 BS 1240在建'!$1:$1048576,41,0),0)</f>
        <v>0</v>
      </c>
      <c r="AR107" s="157">
        <f>+AM107+IFERROR(VLOOKUP($A107,'B0 2264預收'!$1:$1048576,41,0),0)</f>
        <v>0</v>
      </c>
      <c r="AS107" s="157">
        <f t="shared" si="168"/>
        <v>0</v>
      </c>
      <c r="AT107" s="157">
        <f>+AO107+IFERROR(+VLOOKUP($A107,'B0 2264預收'!$1:$1048576,42,0),0)</f>
        <v>0</v>
      </c>
      <c r="AU107" s="157">
        <f t="shared" si="169"/>
        <v>0</v>
      </c>
      <c r="AV107" s="158">
        <f>+AQ107+IFERROR(VLOOKUP($A107,'A0 BS 1240在建'!$1:$1048576,45,0),0)</f>
        <v>0</v>
      </c>
      <c r="AW107" s="158">
        <f>+AR107+IFERROR(VLOOKUP($A107,'B0 2264預收'!$1:$1048576,45,0),0)</f>
        <v>0</v>
      </c>
      <c r="AX107" s="158">
        <f t="shared" si="170"/>
        <v>0</v>
      </c>
      <c r="AY107" s="158">
        <f>+AT107+IFERROR(+VLOOKUP($A107,'B0 2264預收'!$1:$1048576,46,0),0)</f>
        <v>0</v>
      </c>
      <c r="AZ107" s="158">
        <f t="shared" si="171"/>
        <v>0</v>
      </c>
      <c r="BA107" s="157">
        <f>+AV107+IFERROR(VLOOKUP($A107,'A0 BS 1240在建'!$1:$1048576,49,0),0)</f>
        <v>0</v>
      </c>
      <c r="BB107" s="157">
        <f>+AW107+IFERROR(VLOOKUP($A107,'B0 2264預收'!$1:$1048576,49,0),0)</f>
        <v>0</v>
      </c>
      <c r="BC107" s="157">
        <f t="shared" si="172"/>
        <v>0</v>
      </c>
      <c r="BD107" s="157">
        <f>+AY107+IFERROR(+VLOOKUP($A107,'B0 2264預收'!$1:$1048576,50,0),0)</f>
        <v>0</v>
      </c>
      <c r="BE107" s="157">
        <f t="shared" si="173"/>
        <v>0</v>
      </c>
      <c r="BF107" s="158">
        <f>+BA107+IFERROR(VLOOKUP($A107,'A0 BS 1240在建'!$1:$1048576,53,0),0)</f>
        <v>0</v>
      </c>
      <c r="BG107" s="158">
        <f>+BB107+IFERROR(VLOOKUP($A107,'B0 2264預收'!$1:$1048576,53,0),0)</f>
        <v>0</v>
      </c>
      <c r="BH107" s="158">
        <f t="shared" si="174"/>
        <v>0</v>
      </c>
      <c r="BI107" s="158">
        <f>+BD107+IFERROR(+VLOOKUP($A107,'B0 2264預收'!$1:$1048576,54,0),0)</f>
        <v>0</v>
      </c>
      <c r="BJ107" s="158">
        <f t="shared" si="175"/>
        <v>0</v>
      </c>
      <c r="BK107" s="157">
        <f>+BF107+IFERROR(VLOOKUP($A107,'A0 BS 1240在建'!$1:$1048576,57,0),0)</f>
        <v>0</v>
      </c>
      <c r="BL107" s="157">
        <f>+BG107+IFERROR(VLOOKUP($A107,'B0 2264預收'!$1:$1048576,57,0),0)</f>
        <v>0</v>
      </c>
      <c r="BM107" s="157">
        <f t="shared" si="176"/>
        <v>0</v>
      </c>
      <c r="BN107" s="157">
        <f>+BI107+IFERROR(+VLOOKUP($A107,'B0 2264預收'!$1:$1048576,58,0),0)</f>
        <v>0</v>
      </c>
      <c r="BO107" s="157">
        <f t="shared" si="177"/>
        <v>0</v>
      </c>
      <c r="BP107" s="158">
        <f>+BK107+IFERROR(VLOOKUP($A107,'A0 BS 1240在建'!$1:$1048576,61,0),0)</f>
        <v>0</v>
      </c>
      <c r="BQ107" s="158">
        <f>+BL107+IFERROR(VLOOKUP($A107,'B0 2264預收'!$1:$1048576,61,0),0)</f>
        <v>0</v>
      </c>
      <c r="BR107" s="159">
        <f t="shared" si="178"/>
        <v>0</v>
      </c>
      <c r="BS107" s="158">
        <f>+BN107+IFERROR(+VLOOKUP($A107,'B0 2264預收'!$1:$1048576,62,0),0)</f>
        <v>0</v>
      </c>
      <c r="BT107" s="158">
        <f t="shared" si="179"/>
        <v>0</v>
      </c>
      <c r="BU107" s="157">
        <f>+IFERROR(VLOOKUP($A107,'A0 BS 1240在建'!$1:$1048576,77,0),0)</f>
        <v>0</v>
      </c>
      <c r="BV107" s="157">
        <f>+IFERROR(VLOOKUP($A107,'B0 2264預收'!$1:$1048576,77,0),0)</f>
        <v>0</v>
      </c>
      <c r="BW107" s="157">
        <f t="shared" si="180"/>
        <v>0</v>
      </c>
      <c r="BX107" s="157">
        <f>+IFERROR(+VLOOKUP($A107,'B0 2264預收'!$1:$1048576,78,0),0)</f>
        <v>0</v>
      </c>
      <c r="BY107" s="157">
        <f t="shared" si="181"/>
        <v>0</v>
      </c>
      <c r="BZ107" s="158">
        <f>IFERROR(+VLOOKUP($A107,'A0 BS 1240在建'!$1:$1048576,85,0),0)</f>
        <v>0</v>
      </c>
      <c r="CA107" s="158">
        <f>IFERROR(+VLOOKUP($A107,'B0 2264預收'!$1:$1048576,85,0),0)</f>
        <v>0</v>
      </c>
      <c r="CB107" s="158">
        <f t="shared" si="182"/>
        <v>0</v>
      </c>
      <c r="CC107" s="158">
        <f>+IFERROR(+VLOOKUP($A107,'B0 2264預收'!$1:$1048576,86,0),0)</f>
        <v>0</v>
      </c>
      <c r="CD107" s="158">
        <f t="shared" si="183"/>
        <v>0</v>
      </c>
      <c r="CE107" s="157">
        <f>+IFERROR(VLOOKUP($A107,'A0 BS 1240在建'!$1:$1048576,93,0),0)</f>
        <v>0</v>
      </c>
      <c r="CF107" s="157">
        <f>+IFERROR(VLOOKUP($A107,'B0 2264預收'!$1:$1048576,93,0),0)</f>
        <v>0</v>
      </c>
      <c r="CG107" s="157">
        <f t="shared" si="184"/>
        <v>0</v>
      </c>
      <c r="CH107" s="157">
        <f>+IFERROR(+VLOOKUP($A107,'B0 2264預收'!$1:$1048576,94,0),0)</f>
        <v>0</v>
      </c>
      <c r="CI107" s="157">
        <f t="shared" si="185"/>
        <v>0</v>
      </c>
      <c r="CJ107" s="158">
        <f>IFERROR(+VLOOKUP($A107,'A0 BS 1240在建'!$1:$1048576,101,0),0)</f>
        <v>0</v>
      </c>
      <c r="CK107" s="158">
        <f>IFERROR(+VLOOKUP($A107,'B0 2264預收'!$1:$1048576,101,0),0)</f>
        <v>0</v>
      </c>
      <c r="CL107" s="158">
        <f t="shared" si="186"/>
        <v>0</v>
      </c>
      <c r="CM107" s="158">
        <f>+IFERROR(+VLOOKUP($A107,'B0 2264預收'!$1:$1048576,102,0),0)</f>
        <v>0</v>
      </c>
      <c r="CN107" s="158">
        <f t="shared" si="187"/>
        <v>0</v>
      </c>
      <c r="CP107" s="98">
        <f t="shared" si="196"/>
        <v>0</v>
      </c>
      <c r="CU107" s="98">
        <f t="shared" si="197"/>
        <v>0</v>
      </c>
      <c r="CY107" s="162" t="str">
        <f t="shared" si="190"/>
        <v/>
      </c>
      <c r="CZ107" s="98" t="str">
        <f t="shared" si="191"/>
        <v xml:space="preserve"> </v>
      </c>
      <c r="DA107" s="98" t="str">
        <f t="shared" si="192"/>
        <v xml:space="preserve"> </v>
      </c>
      <c r="DB107" s="98" t="str">
        <f t="shared" si="193"/>
        <v xml:space="preserve"> </v>
      </c>
      <c r="DC107" s="163">
        <f t="shared" si="194"/>
        <v>0</v>
      </c>
      <c r="DD107" s="162" t="str">
        <f t="shared" si="198"/>
        <v/>
      </c>
      <c r="DE107" s="98" t="str">
        <f t="shared" si="199"/>
        <v xml:space="preserve"> </v>
      </c>
      <c r="DF107" s="98" t="str">
        <f t="shared" si="200"/>
        <v xml:space="preserve"> </v>
      </c>
      <c r="DG107" s="98" t="str">
        <f t="shared" si="201"/>
        <v xml:space="preserve"> </v>
      </c>
      <c r="DH107" s="163">
        <f t="shared" si="195"/>
        <v>0</v>
      </c>
    </row>
    <row r="108" spans="1:112">
      <c r="A108" s="175" t="s">
        <v>497</v>
      </c>
      <c r="B108" s="175" t="s">
        <v>498</v>
      </c>
      <c r="C108" s="157">
        <f>IFERROR(VLOOKUP($A108,'A0 BS 1240在建'!$1:$1048576,5,0),0)</f>
        <v>0</v>
      </c>
      <c r="D108" s="157">
        <f>IFERROR(VLOOKUP($A108,'B0 2264預收'!$1:$1048576,5,0),0)</f>
        <v>0</v>
      </c>
      <c r="E108" s="157">
        <f t="shared" si="152"/>
        <v>0</v>
      </c>
      <c r="F108" s="157">
        <f>IFERROR(VLOOKUP($A108,'B0 2264預收'!$1:$1048576,6,0),0)</f>
        <v>0</v>
      </c>
      <c r="G108" s="157">
        <f t="shared" si="153"/>
        <v>0</v>
      </c>
      <c r="H108" s="158">
        <f>IFERROR(VLOOKUP($A108,'A0 BS 1240在建'!$1:$1048576,13,0),0)</f>
        <v>0</v>
      </c>
      <c r="I108" s="158">
        <f>IFERROR(VLOOKUP($A108,'B0 2264預收'!$1:$1048576,13,0),0)</f>
        <v>0</v>
      </c>
      <c r="J108" s="158">
        <f t="shared" si="154"/>
        <v>0</v>
      </c>
      <c r="K108" s="158">
        <f>IFERROR(VLOOKUP($A108,'B0 2264預收'!$1:$1048576,14,0),0)</f>
        <v>0</v>
      </c>
      <c r="L108" s="158">
        <f t="shared" si="155"/>
        <v>0</v>
      </c>
      <c r="M108" s="157">
        <f>H108+IFERROR(VLOOKUP($A108,'A0 BS 1240在建'!$1:$1048576,17,0),0)</f>
        <v>0</v>
      </c>
      <c r="N108" s="157">
        <f>I108+IFERROR(VLOOKUP($A108,'B0 2264預收'!$1:$1048576,17,0),0)</f>
        <v>0</v>
      </c>
      <c r="O108" s="157">
        <f t="shared" si="156"/>
        <v>0</v>
      </c>
      <c r="P108" s="157">
        <f>K108+IFERROR(+VLOOKUP($A108,'B0 2264預收'!$1:$1048576,18,0),0)</f>
        <v>0</v>
      </c>
      <c r="Q108" s="157">
        <f t="shared" si="157"/>
        <v>0</v>
      </c>
      <c r="R108" s="158">
        <f>M108+IFERROR(VLOOKUP($A108,'A0 BS 1240在建'!$1:$1048576,21,0),0)</f>
        <v>0</v>
      </c>
      <c r="S108" s="158">
        <f>+N108+IFERROR(VLOOKUP($A108,'B0 2264預收'!$1:$1048576,21,0),0)</f>
        <v>0</v>
      </c>
      <c r="T108" s="158">
        <f t="shared" si="158"/>
        <v>0</v>
      </c>
      <c r="U108" s="158">
        <f>+P108+IFERROR(+VLOOKUP($A108,'B0 2264預收'!$1:$1048576,22,0),0)</f>
        <v>0</v>
      </c>
      <c r="V108" s="158">
        <f t="shared" si="159"/>
        <v>0</v>
      </c>
      <c r="W108" s="157">
        <f>+R108+IFERROR(VLOOKUP($A108,'A0 BS 1240在建'!$1:$1048576,25,0),0)</f>
        <v>0</v>
      </c>
      <c r="X108" s="157">
        <f>+S108+IFERROR(VLOOKUP($A108,'B0 2264預收'!$1:$1048576,25,0),0)</f>
        <v>0</v>
      </c>
      <c r="Y108" s="157">
        <f t="shared" si="160"/>
        <v>0</v>
      </c>
      <c r="Z108" s="157">
        <f>+U108+IFERROR(+VLOOKUP($A108,'B0 2264預收'!$1:$1048576,26,0),0)</f>
        <v>0</v>
      </c>
      <c r="AA108" s="157">
        <f t="shared" si="161"/>
        <v>0</v>
      </c>
      <c r="AB108" s="158">
        <f>+W108+IFERROR(VLOOKUP($A108,'A0 BS 1240在建'!$1:$1048576,29,0),0)</f>
        <v>0</v>
      </c>
      <c r="AC108" s="158">
        <f>+X108+IFERROR(VLOOKUP($A108,'B0 2264預收'!$1:$1048576,29,0),0)</f>
        <v>0</v>
      </c>
      <c r="AD108" s="158">
        <f t="shared" si="162"/>
        <v>0</v>
      </c>
      <c r="AE108" s="158">
        <f>+Z108+IFERROR(+VLOOKUP($A108,'B0 2264預收'!$1:$1048576,30,0),0)</f>
        <v>0</v>
      </c>
      <c r="AF108" s="158">
        <f t="shared" si="163"/>
        <v>0</v>
      </c>
      <c r="AG108" s="157">
        <f>+AB108+IFERROR(VLOOKUP($A108,'A0 BS 1240在建'!$1:$1048576,33,0),0)</f>
        <v>0</v>
      </c>
      <c r="AH108" s="157">
        <f>+AC108+IFERROR(VLOOKUP($A108,'B0 2264預收'!$1:$1048576,33,0),0)</f>
        <v>0</v>
      </c>
      <c r="AI108" s="157">
        <f t="shared" si="164"/>
        <v>0</v>
      </c>
      <c r="AJ108" s="157">
        <f>+AE108+IFERROR(+VLOOKUP($A108,'B0 2264預收'!$1:$1048576,34,0),0)</f>
        <v>0</v>
      </c>
      <c r="AK108" s="157">
        <f t="shared" si="165"/>
        <v>0</v>
      </c>
      <c r="AL108" s="158">
        <f>+AG108+IFERROR(VLOOKUP($A108,'A0 BS 1240在建'!$1:$1048576,37,0),0)</f>
        <v>0</v>
      </c>
      <c r="AM108" s="158">
        <f>+AH108+IFERROR(VLOOKUP($A108,'B0 2264預收'!$1:$1048576,37,0),0)</f>
        <v>0</v>
      </c>
      <c r="AN108" s="158">
        <f t="shared" si="166"/>
        <v>0</v>
      </c>
      <c r="AO108" s="158">
        <f>+AJ108+IFERROR(+VLOOKUP($A108,'B0 2264預收'!$1:$1048576,38,0),0)</f>
        <v>0</v>
      </c>
      <c r="AP108" s="158">
        <f t="shared" si="167"/>
        <v>0</v>
      </c>
      <c r="AQ108" s="157">
        <f>+AL108+IFERROR(VLOOKUP($A108,'A0 BS 1240在建'!$1:$1048576,41,0),0)</f>
        <v>0</v>
      </c>
      <c r="AR108" s="157">
        <f>+AM108+IFERROR(VLOOKUP($A108,'B0 2264預收'!$1:$1048576,41,0),0)</f>
        <v>0</v>
      </c>
      <c r="AS108" s="157">
        <f t="shared" si="168"/>
        <v>0</v>
      </c>
      <c r="AT108" s="157">
        <f>+AO108+IFERROR(+VLOOKUP($A108,'B0 2264預收'!$1:$1048576,42,0),0)</f>
        <v>0</v>
      </c>
      <c r="AU108" s="157">
        <f t="shared" si="169"/>
        <v>0</v>
      </c>
      <c r="AV108" s="158">
        <f>+AQ108+IFERROR(VLOOKUP($A108,'A0 BS 1240在建'!$1:$1048576,45,0),0)</f>
        <v>0</v>
      </c>
      <c r="AW108" s="158">
        <f>+AR108+IFERROR(VLOOKUP($A108,'B0 2264預收'!$1:$1048576,45,0),0)</f>
        <v>0</v>
      </c>
      <c r="AX108" s="158">
        <f t="shared" si="170"/>
        <v>0</v>
      </c>
      <c r="AY108" s="158">
        <f>+AT108+IFERROR(+VLOOKUP($A108,'B0 2264預收'!$1:$1048576,46,0),0)</f>
        <v>0</v>
      </c>
      <c r="AZ108" s="158">
        <f t="shared" si="171"/>
        <v>0</v>
      </c>
      <c r="BA108" s="157">
        <f>+AV108+IFERROR(VLOOKUP($A108,'A0 BS 1240在建'!$1:$1048576,49,0),0)</f>
        <v>0</v>
      </c>
      <c r="BB108" s="157">
        <f>+AW108+IFERROR(VLOOKUP($A108,'B0 2264預收'!$1:$1048576,49,0),0)</f>
        <v>0</v>
      </c>
      <c r="BC108" s="157">
        <f t="shared" si="172"/>
        <v>0</v>
      </c>
      <c r="BD108" s="157">
        <f>+AY108+IFERROR(+VLOOKUP($A108,'B0 2264預收'!$1:$1048576,50,0),0)</f>
        <v>0</v>
      </c>
      <c r="BE108" s="157">
        <f t="shared" si="173"/>
        <v>0</v>
      </c>
      <c r="BF108" s="158">
        <f>+BA108+IFERROR(VLOOKUP($A108,'A0 BS 1240在建'!$1:$1048576,53,0),0)</f>
        <v>0</v>
      </c>
      <c r="BG108" s="158">
        <f>+BB108+IFERROR(VLOOKUP($A108,'B0 2264預收'!$1:$1048576,53,0),0)</f>
        <v>0</v>
      </c>
      <c r="BH108" s="158">
        <f t="shared" si="174"/>
        <v>0</v>
      </c>
      <c r="BI108" s="158">
        <f>+BD108+IFERROR(+VLOOKUP($A108,'B0 2264預收'!$1:$1048576,54,0),0)</f>
        <v>0</v>
      </c>
      <c r="BJ108" s="158">
        <f t="shared" si="175"/>
        <v>0</v>
      </c>
      <c r="BK108" s="157">
        <f>+BF108+IFERROR(VLOOKUP($A108,'A0 BS 1240在建'!$1:$1048576,57,0),0)</f>
        <v>0</v>
      </c>
      <c r="BL108" s="157">
        <f>+BG108+IFERROR(VLOOKUP($A108,'B0 2264預收'!$1:$1048576,57,0),0)</f>
        <v>0</v>
      </c>
      <c r="BM108" s="157">
        <f t="shared" si="176"/>
        <v>0</v>
      </c>
      <c r="BN108" s="157">
        <f>+BI108+IFERROR(+VLOOKUP($A108,'B0 2264預收'!$1:$1048576,58,0),0)</f>
        <v>0</v>
      </c>
      <c r="BO108" s="157">
        <f t="shared" si="177"/>
        <v>0</v>
      </c>
      <c r="BP108" s="158">
        <f>+BK108+IFERROR(VLOOKUP($A108,'A0 BS 1240在建'!$1:$1048576,61,0),0)</f>
        <v>0</v>
      </c>
      <c r="BQ108" s="158">
        <f>+BL108+IFERROR(VLOOKUP($A108,'B0 2264預收'!$1:$1048576,61,0),0)</f>
        <v>0</v>
      </c>
      <c r="BR108" s="159">
        <f t="shared" si="178"/>
        <v>0</v>
      </c>
      <c r="BS108" s="158">
        <f>+BN108+IFERROR(+VLOOKUP($A108,'B0 2264預收'!$1:$1048576,62,0),0)</f>
        <v>0</v>
      </c>
      <c r="BT108" s="158">
        <f t="shared" si="179"/>
        <v>0</v>
      </c>
      <c r="BU108" s="157">
        <f>+IFERROR(VLOOKUP($A108,'A0 BS 1240在建'!$1:$1048576,77,0),0)</f>
        <v>0</v>
      </c>
      <c r="BV108" s="157">
        <f>+IFERROR(VLOOKUP($A108,'B0 2264預收'!$1:$1048576,77,0),0)</f>
        <v>0</v>
      </c>
      <c r="BW108" s="157">
        <f t="shared" si="180"/>
        <v>0</v>
      </c>
      <c r="BX108" s="157">
        <f>+IFERROR(+VLOOKUP($A108,'B0 2264預收'!$1:$1048576,78,0),0)</f>
        <v>0</v>
      </c>
      <c r="BY108" s="157">
        <f t="shared" si="181"/>
        <v>0</v>
      </c>
      <c r="BZ108" s="158">
        <f>IFERROR(+VLOOKUP($A108,'A0 BS 1240在建'!$1:$1048576,85,0),0)</f>
        <v>0</v>
      </c>
      <c r="CA108" s="158">
        <f>IFERROR(+VLOOKUP($A108,'B0 2264預收'!$1:$1048576,85,0),0)</f>
        <v>0</v>
      </c>
      <c r="CB108" s="158">
        <f t="shared" si="182"/>
        <v>0</v>
      </c>
      <c r="CC108" s="158">
        <f>+IFERROR(+VLOOKUP($A108,'B0 2264預收'!$1:$1048576,86,0),0)</f>
        <v>0</v>
      </c>
      <c r="CD108" s="158">
        <f t="shared" si="183"/>
        <v>0</v>
      </c>
      <c r="CE108" s="157">
        <f>+IFERROR(VLOOKUP($A108,'A0 BS 1240在建'!$1:$1048576,93,0),0)</f>
        <v>0</v>
      </c>
      <c r="CF108" s="157">
        <f>+IFERROR(VLOOKUP($A108,'B0 2264預收'!$1:$1048576,93,0),0)</f>
        <v>0</v>
      </c>
      <c r="CG108" s="157">
        <f t="shared" si="184"/>
        <v>0</v>
      </c>
      <c r="CH108" s="157">
        <f>+IFERROR(+VLOOKUP($A108,'B0 2264預收'!$1:$1048576,94,0),0)</f>
        <v>0</v>
      </c>
      <c r="CI108" s="157">
        <f t="shared" si="185"/>
        <v>0</v>
      </c>
      <c r="CJ108" s="158">
        <f>IFERROR(+VLOOKUP($A108,'A0 BS 1240在建'!$1:$1048576,101,0),0)</f>
        <v>0</v>
      </c>
      <c r="CK108" s="158">
        <f>IFERROR(+VLOOKUP($A108,'B0 2264預收'!$1:$1048576,101,0),0)</f>
        <v>0</v>
      </c>
      <c r="CL108" s="158">
        <f t="shared" si="186"/>
        <v>0</v>
      </c>
      <c r="CM108" s="158">
        <f>+IFERROR(+VLOOKUP($A108,'B0 2264預收'!$1:$1048576,102,0),0)</f>
        <v>0</v>
      </c>
      <c r="CN108" s="158">
        <f t="shared" si="187"/>
        <v>0</v>
      </c>
      <c r="CP108" s="98">
        <f t="shared" si="196"/>
        <v>0</v>
      </c>
      <c r="CU108" s="98">
        <f t="shared" si="197"/>
        <v>0</v>
      </c>
      <c r="CY108" s="162" t="str">
        <f t="shared" si="190"/>
        <v/>
      </c>
      <c r="CZ108" s="98" t="str">
        <f t="shared" si="191"/>
        <v xml:space="preserve"> </v>
      </c>
      <c r="DA108" s="98" t="str">
        <f t="shared" si="192"/>
        <v xml:space="preserve"> </v>
      </c>
      <c r="DB108" s="98" t="str">
        <f t="shared" si="193"/>
        <v xml:space="preserve"> </v>
      </c>
      <c r="DC108" s="163">
        <f t="shared" si="194"/>
        <v>0</v>
      </c>
      <c r="DD108" s="162" t="str">
        <f t="shared" si="198"/>
        <v/>
      </c>
      <c r="DE108" s="98" t="str">
        <f t="shared" si="199"/>
        <v xml:space="preserve"> </v>
      </c>
      <c r="DF108" s="98" t="str">
        <f t="shared" si="200"/>
        <v xml:space="preserve"> </v>
      </c>
      <c r="DG108" s="98" t="str">
        <f t="shared" si="201"/>
        <v xml:space="preserve"> </v>
      </c>
      <c r="DH108" s="163">
        <f t="shared" si="195"/>
        <v>0</v>
      </c>
    </row>
    <row r="109" spans="1:112">
      <c r="A109" s="175" t="s">
        <v>499</v>
      </c>
      <c r="B109" s="175" t="s">
        <v>500</v>
      </c>
      <c r="C109" s="157">
        <f>IFERROR(VLOOKUP($A109,'A0 BS 1240在建'!$1:$1048576,5,0),0)</f>
        <v>0</v>
      </c>
      <c r="D109" s="157">
        <f>IFERROR(VLOOKUP($A109,'B0 2264預收'!$1:$1048576,5,0),0)</f>
        <v>0</v>
      </c>
      <c r="E109" s="157">
        <f t="shared" si="152"/>
        <v>0</v>
      </c>
      <c r="F109" s="157">
        <f>IFERROR(VLOOKUP($A109,'B0 2264預收'!$1:$1048576,6,0),0)</f>
        <v>0</v>
      </c>
      <c r="G109" s="157">
        <f t="shared" si="153"/>
        <v>0</v>
      </c>
      <c r="H109" s="158">
        <f>IFERROR(VLOOKUP($A109,'A0 BS 1240在建'!$1:$1048576,13,0),0)</f>
        <v>0</v>
      </c>
      <c r="I109" s="158">
        <f>IFERROR(VLOOKUP($A109,'B0 2264預收'!$1:$1048576,13,0),0)</f>
        <v>0</v>
      </c>
      <c r="J109" s="158">
        <f t="shared" si="154"/>
        <v>0</v>
      </c>
      <c r="K109" s="158">
        <f>IFERROR(VLOOKUP($A109,'B0 2264預收'!$1:$1048576,14,0),0)</f>
        <v>0</v>
      </c>
      <c r="L109" s="158">
        <f t="shared" si="155"/>
        <v>0</v>
      </c>
      <c r="M109" s="157">
        <f>H109+IFERROR(VLOOKUP($A109,'A0 BS 1240在建'!$1:$1048576,17,0),0)</f>
        <v>0</v>
      </c>
      <c r="N109" s="157">
        <f>I109+IFERROR(VLOOKUP($A109,'B0 2264預收'!$1:$1048576,17,0),0)</f>
        <v>0</v>
      </c>
      <c r="O109" s="157">
        <f t="shared" si="156"/>
        <v>0</v>
      </c>
      <c r="P109" s="157">
        <f>K109+IFERROR(+VLOOKUP($A109,'B0 2264預收'!$1:$1048576,18,0),0)</f>
        <v>0</v>
      </c>
      <c r="Q109" s="157">
        <f t="shared" si="157"/>
        <v>0</v>
      </c>
      <c r="R109" s="158">
        <f>M109+IFERROR(VLOOKUP($A109,'A0 BS 1240在建'!$1:$1048576,21,0),0)</f>
        <v>0</v>
      </c>
      <c r="S109" s="158">
        <f>+N109+IFERROR(VLOOKUP($A109,'B0 2264預收'!$1:$1048576,21,0),0)</f>
        <v>0</v>
      </c>
      <c r="T109" s="158">
        <f t="shared" si="158"/>
        <v>0</v>
      </c>
      <c r="U109" s="158">
        <f>+P109+IFERROR(+VLOOKUP($A109,'B0 2264預收'!$1:$1048576,22,0),0)</f>
        <v>0</v>
      </c>
      <c r="V109" s="158">
        <f t="shared" si="159"/>
        <v>0</v>
      </c>
      <c r="W109" s="157">
        <f>+R109+IFERROR(VLOOKUP($A109,'A0 BS 1240在建'!$1:$1048576,25,0),0)</f>
        <v>0</v>
      </c>
      <c r="X109" s="157">
        <f>+S109+IFERROR(VLOOKUP($A109,'B0 2264預收'!$1:$1048576,25,0),0)</f>
        <v>0</v>
      </c>
      <c r="Y109" s="157">
        <f t="shared" si="160"/>
        <v>0</v>
      </c>
      <c r="Z109" s="157">
        <f>+U109+IFERROR(+VLOOKUP($A109,'B0 2264預收'!$1:$1048576,26,0),0)</f>
        <v>0</v>
      </c>
      <c r="AA109" s="157">
        <f t="shared" si="161"/>
        <v>0</v>
      </c>
      <c r="AB109" s="158">
        <f>+W109+IFERROR(VLOOKUP($A109,'A0 BS 1240在建'!$1:$1048576,29,0),0)</f>
        <v>0</v>
      </c>
      <c r="AC109" s="158">
        <f>+X109+IFERROR(VLOOKUP($A109,'B0 2264預收'!$1:$1048576,29,0),0)</f>
        <v>0</v>
      </c>
      <c r="AD109" s="158">
        <f t="shared" si="162"/>
        <v>0</v>
      </c>
      <c r="AE109" s="158">
        <f>+Z109+IFERROR(+VLOOKUP($A109,'B0 2264預收'!$1:$1048576,30,0),0)</f>
        <v>0</v>
      </c>
      <c r="AF109" s="158">
        <f t="shared" si="163"/>
        <v>0</v>
      </c>
      <c r="AG109" s="157">
        <f>+AB109+IFERROR(VLOOKUP($A109,'A0 BS 1240在建'!$1:$1048576,33,0),0)</f>
        <v>0</v>
      </c>
      <c r="AH109" s="157">
        <f>+AC109+IFERROR(VLOOKUP($A109,'B0 2264預收'!$1:$1048576,33,0),0)</f>
        <v>0</v>
      </c>
      <c r="AI109" s="157">
        <f t="shared" si="164"/>
        <v>0</v>
      </c>
      <c r="AJ109" s="157">
        <f>+AE109+IFERROR(+VLOOKUP($A109,'B0 2264預收'!$1:$1048576,34,0),0)</f>
        <v>0</v>
      </c>
      <c r="AK109" s="157">
        <f t="shared" si="165"/>
        <v>0</v>
      </c>
      <c r="AL109" s="158">
        <f>+AG109+IFERROR(VLOOKUP($A109,'A0 BS 1240在建'!$1:$1048576,37,0),0)</f>
        <v>0</v>
      </c>
      <c r="AM109" s="158">
        <f>+AH109+IFERROR(VLOOKUP($A109,'B0 2264預收'!$1:$1048576,37,0),0)</f>
        <v>0</v>
      </c>
      <c r="AN109" s="158">
        <f t="shared" si="166"/>
        <v>0</v>
      </c>
      <c r="AO109" s="158">
        <f>+AJ109+IFERROR(+VLOOKUP($A109,'B0 2264預收'!$1:$1048576,38,0),0)</f>
        <v>0</v>
      </c>
      <c r="AP109" s="158">
        <f t="shared" si="167"/>
        <v>0</v>
      </c>
      <c r="AQ109" s="157">
        <f>+AL109+IFERROR(VLOOKUP($A109,'A0 BS 1240在建'!$1:$1048576,41,0),0)</f>
        <v>0</v>
      </c>
      <c r="AR109" s="157">
        <f>+AM109+IFERROR(VLOOKUP($A109,'B0 2264預收'!$1:$1048576,41,0),0)</f>
        <v>0</v>
      </c>
      <c r="AS109" s="157">
        <f t="shared" si="168"/>
        <v>0</v>
      </c>
      <c r="AT109" s="157">
        <f>+AO109+IFERROR(+VLOOKUP($A109,'B0 2264預收'!$1:$1048576,42,0),0)</f>
        <v>0</v>
      </c>
      <c r="AU109" s="157">
        <f t="shared" si="169"/>
        <v>0</v>
      </c>
      <c r="AV109" s="158">
        <f>+AQ109+IFERROR(VLOOKUP($A109,'A0 BS 1240在建'!$1:$1048576,45,0),0)</f>
        <v>0</v>
      </c>
      <c r="AW109" s="158">
        <f>+AR109+IFERROR(VLOOKUP($A109,'B0 2264預收'!$1:$1048576,45,0),0)</f>
        <v>0</v>
      </c>
      <c r="AX109" s="158">
        <f t="shared" si="170"/>
        <v>0</v>
      </c>
      <c r="AY109" s="158">
        <f>+AT109+IFERROR(+VLOOKUP($A109,'B0 2264預收'!$1:$1048576,46,0),0)</f>
        <v>0</v>
      </c>
      <c r="AZ109" s="158">
        <f t="shared" si="171"/>
        <v>0</v>
      </c>
      <c r="BA109" s="157">
        <f>+AV109+IFERROR(VLOOKUP($A109,'A0 BS 1240在建'!$1:$1048576,49,0),0)</f>
        <v>0</v>
      </c>
      <c r="BB109" s="157">
        <f>+AW109+IFERROR(VLOOKUP($A109,'B0 2264預收'!$1:$1048576,49,0),0)</f>
        <v>0</v>
      </c>
      <c r="BC109" s="157">
        <f t="shared" si="172"/>
        <v>0</v>
      </c>
      <c r="BD109" s="157">
        <f>+AY109+IFERROR(+VLOOKUP($A109,'B0 2264預收'!$1:$1048576,50,0),0)</f>
        <v>0</v>
      </c>
      <c r="BE109" s="157">
        <f t="shared" si="173"/>
        <v>0</v>
      </c>
      <c r="BF109" s="158">
        <f>+BA109+IFERROR(VLOOKUP($A109,'A0 BS 1240在建'!$1:$1048576,53,0),0)</f>
        <v>0</v>
      </c>
      <c r="BG109" s="158">
        <f>+BB109+IFERROR(VLOOKUP($A109,'B0 2264預收'!$1:$1048576,53,0),0)</f>
        <v>0</v>
      </c>
      <c r="BH109" s="158">
        <f t="shared" si="174"/>
        <v>0</v>
      </c>
      <c r="BI109" s="158">
        <f>+BD109+IFERROR(+VLOOKUP($A109,'B0 2264預收'!$1:$1048576,54,0),0)</f>
        <v>0</v>
      </c>
      <c r="BJ109" s="158">
        <f t="shared" si="175"/>
        <v>0</v>
      </c>
      <c r="BK109" s="157">
        <f>+BF109+IFERROR(VLOOKUP($A109,'A0 BS 1240在建'!$1:$1048576,57,0),0)</f>
        <v>0</v>
      </c>
      <c r="BL109" s="157">
        <f>+BG109+IFERROR(VLOOKUP($A109,'B0 2264預收'!$1:$1048576,57,0),0)</f>
        <v>0</v>
      </c>
      <c r="BM109" s="157">
        <f t="shared" si="176"/>
        <v>0</v>
      </c>
      <c r="BN109" s="157">
        <f>+BI109+IFERROR(+VLOOKUP($A109,'B0 2264預收'!$1:$1048576,58,0),0)</f>
        <v>0</v>
      </c>
      <c r="BO109" s="157">
        <f t="shared" si="177"/>
        <v>0</v>
      </c>
      <c r="BP109" s="158">
        <f>+BK109+IFERROR(VLOOKUP($A109,'A0 BS 1240在建'!$1:$1048576,61,0),0)</f>
        <v>0</v>
      </c>
      <c r="BQ109" s="158">
        <f>+BL109+IFERROR(VLOOKUP($A109,'B0 2264預收'!$1:$1048576,61,0),0)</f>
        <v>0</v>
      </c>
      <c r="BR109" s="159">
        <f t="shared" si="178"/>
        <v>0</v>
      </c>
      <c r="BS109" s="158">
        <f>+BN109+IFERROR(+VLOOKUP($A109,'B0 2264預收'!$1:$1048576,62,0),0)</f>
        <v>0</v>
      </c>
      <c r="BT109" s="158">
        <f t="shared" si="179"/>
        <v>0</v>
      </c>
      <c r="BU109" s="157">
        <f>+IFERROR(VLOOKUP($A109,'A0 BS 1240在建'!$1:$1048576,77,0),0)</f>
        <v>0</v>
      </c>
      <c r="BV109" s="157">
        <f>+IFERROR(VLOOKUP($A109,'B0 2264預收'!$1:$1048576,77,0),0)</f>
        <v>0</v>
      </c>
      <c r="BW109" s="157">
        <f t="shared" si="180"/>
        <v>0</v>
      </c>
      <c r="BX109" s="157">
        <f>+IFERROR(+VLOOKUP($A109,'B0 2264預收'!$1:$1048576,78,0),0)</f>
        <v>0</v>
      </c>
      <c r="BY109" s="157">
        <f t="shared" si="181"/>
        <v>0</v>
      </c>
      <c r="BZ109" s="158">
        <f>IFERROR(+VLOOKUP($A109,'A0 BS 1240在建'!$1:$1048576,85,0),0)</f>
        <v>0</v>
      </c>
      <c r="CA109" s="158">
        <f>IFERROR(+VLOOKUP($A109,'B0 2264預收'!$1:$1048576,85,0),0)</f>
        <v>0</v>
      </c>
      <c r="CB109" s="158">
        <f t="shared" si="182"/>
        <v>0</v>
      </c>
      <c r="CC109" s="158">
        <f>+IFERROR(+VLOOKUP($A109,'B0 2264預收'!$1:$1048576,86,0),0)</f>
        <v>0</v>
      </c>
      <c r="CD109" s="158">
        <f t="shared" si="183"/>
        <v>0</v>
      </c>
      <c r="CE109" s="157">
        <f>+IFERROR(VLOOKUP($A109,'A0 BS 1240在建'!$1:$1048576,93,0),0)</f>
        <v>0</v>
      </c>
      <c r="CF109" s="157">
        <f>+IFERROR(VLOOKUP($A109,'B0 2264預收'!$1:$1048576,93,0),0)</f>
        <v>0</v>
      </c>
      <c r="CG109" s="157">
        <f t="shared" si="184"/>
        <v>0</v>
      </c>
      <c r="CH109" s="157">
        <f>+IFERROR(+VLOOKUP($A109,'B0 2264預收'!$1:$1048576,94,0),0)</f>
        <v>0</v>
      </c>
      <c r="CI109" s="157">
        <f t="shared" si="185"/>
        <v>0</v>
      </c>
      <c r="CJ109" s="158">
        <f>IFERROR(+VLOOKUP($A109,'A0 BS 1240在建'!$1:$1048576,101,0),0)</f>
        <v>0</v>
      </c>
      <c r="CK109" s="158">
        <f>IFERROR(+VLOOKUP($A109,'B0 2264預收'!$1:$1048576,101,0),0)</f>
        <v>0</v>
      </c>
      <c r="CL109" s="158">
        <f t="shared" si="186"/>
        <v>0</v>
      </c>
      <c r="CM109" s="158">
        <f>+IFERROR(+VLOOKUP($A109,'B0 2264預收'!$1:$1048576,102,0),0)</f>
        <v>0</v>
      </c>
      <c r="CN109" s="158">
        <f t="shared" si="187"/>
        <v>0</v>
      </c>
      <c r="CP109" s="166">
        <f t="shared" si="196"/>
        <v>0</v>
      </c>
      <c r="CQ109" s="98">
        <f>+CP109</f>
        <v>0</v>
      </c>
      <c r="CU109" s="166">
        <f t="shared" si="197"/>
        <v>0</v>
      </c>
      <c r="CV109" s="98">
        <f t="shared" ref="CV109:CV114" si="202">+CU109</f>
        <v>0</v>
      </c>
      <c r="CY109" s="162" t="str">
        <f t="shared" si="190"/>
        <v/>
      </c>
      <c r="CZ109" s="98" t="str">
        <f t="shared" si="191"/>
        <v xml:space="preserve"> </v>
      </c>
      <c r="DA109" s="98" t="str">
        <f t="shared" si="192"/>
        <v xml:space="preserve"> </v>
      </c>
      <c r="DB109" s="98" t="str">
        <f t="shared" si="193"/>
        <v xml:space="preserve"> </v>
      </c>
      <c r="DC109" s="163">
        <f t="shared" si="194"/>
        <v>0</v>
      </c>
      <c r="DD109" s="162" t="str">
        <f t="shared" si="198"/>
        <v/>
      </c>
      <c r="DE109" s="98" t="str">
        <f t="shared" si="199"/>
        <v xml:space="preserve"> </v>
      </c>
      <c r="DF109" s="98" t="str">
        <f t="shared" si="200"/>
        <v xml:space="preserve"> </v>
      </c>
      <c r="DG109" s="98" t="str">
        <f t="shared" si="201"/>
        <v xml:space="preserve"> </v>
      </c>
      <c r="DH109" s="163">
        <f t="shared" si="195"/>
        <v>0</v>
      </c>
    </row>
    <row r="110" spans="1:112">
      <c r="A110" s="175" t="s">
        <v>501</v>
      </c>
      <c r="B110" s="181" t="s">
        <v>502</v>
      </c>
      <c r="C110" s="157">
        <f>IFERROR(VLOOKUP($A110,'A0 BS 1240在建'!$1:$1048576,5,0),0)</f>
        <v>0</v>
      </c>
      <c r="D110" s="157">
        <f>IFERROR(VLOOKUP($A110,'B0 2264預收'!$1:$1048576,5,0),0)</f>
        <v>0</v>
      </c>
      <c r="E110" s="157">
        <f t="shared" si="152"/>
        <v>0</v>
      </c>
      <c r="F110" s="157">
        <f>IFERROR(VLOOKUP($A110,'B0 2264預收'!$1:$1048576,6,0),0)</f>
        <v>0</v>
      </c>
      <c r="G110" s="157">
        <f t="shared" si="153"/>
        <v>0</v>
      </c>
      <c r="H110" s="158">
        <f>IFERROR(VLOOKUP($A110,'A0 BS 1240在建'!$1:$1048576,13,0),0)</f>
        <v>0</v>
      </c>
      <c r="I110" s="158">
        <f>IFERROR(VLOOKUP($A110,'B0 2264預收'!$1:$1048576,13,0),0)</f>
        <v>0</v>
      </c>
      <c r="J110" s="158">
        <f t="shared" si="154"/>
        <v>0</v>
      </c>
      <c r="K110" s="158">
        <f>IFERROR(VLOOKUP($A110,'B0 2264預收'!$1:$1048576,14,0),0)</f>
        <v>0</v>
      </c>
      <c r="L110" s="158">
        <f t="shared" si="155"/>
        <v>0</v>
      </c>
      <c r="M110" s="157">
        <f>H110+IFERROR(VLOOKUP($A110,'A0 BS 1240在建'!$1:$1048576,17,0),0)</f>
        <v>0</v>
      </c>
      <c r="N110" s="157">
        <f>I110+IFERROR(VLOOKUP($A110,'B0 2264預收'!$1:$1048576,17,0),0)</f>
        <v>0</v>
      </c>
      <c r="O110" s="157">
        <f t="shared" si="156"/>
        <v>0</v>
      </c>
      <c r="P110" s="157">
        <f>K110+IFERROR(+VLOOKUP($A110,'B0 2264預收'!$1:$1048576,18,0),0)</f>
        <v>0</v>
      </c>
      <c r="Q110" s="157">
        <f t="shared" si="157"/>
        <v>0</v>
      </c>
      <c r="R110" s="158">
        <f>M110+IFERROR(VLOOKUP($A110,'A0 BS 1240在建'!$1:$1048576,21,0),0)</f>
        <v>0</v>
      </c>
      <c r="S110" s="158">
        <f>+N110+IFERROR(VLOOKUP($A110,'B0 2264預收'!$1:$1048576,21,0),0)</f>
        <v>0</v>
      </c>
      <c r="T110" s="158">
        <f t="shared" si="158"/>
        <v>0</v>
      </c>
      <c r="U110" s="158">
        <f>+P110+IFERROR(+VLOOKUP($A110,'B0 2264預收'!$1:$1048576,22,0),0)</f>
        <v>0</v>
      </c>
      <c r="V110" s="158">
        <f t="shared" si="159"/>
        <v>0</v>
      </c>
      <c r="W110" s="157">
        <f>+R110+IFERROR(VLOOKUP($A110,'A0 BS 1240在建'!$1:$1048576,25,0),0)</f>
        <v>0</v>
      </c>
      <c r="X110" s="157">
        <f>+S110+IFERROR(VLOOKUP($A110,'B0 2264預收'!$1:$1048576,25,0),0)</f>
        <v>0</v>
      </c>
      <c r="Y110" s="157">
        <f t="shared" si="160"/>
        <v>0</v>
      </c>
      <c r="Z110" s="157">
        <f>+U110+IFERROR(+VLOOKUP($A110,'B0 2264預收'!$1:$1048576,26,0),0)</f>
        <v>0</v>
      </c>
      <c r="AA110" s="157">
        <f t="shared" si="161"/>
        <v>0</v>
      </c>
      <c r="AB110" s="158">
        <f>+W110+IFERROR(VLOOKUP($A110,'A0 BS 1240在建'!$1:$1048576,29,0),0)</f>
        <v>0</v>
      </c>
      <c r="AC110" s="158">
        <f>+X110+IFERROR(VLOOKUP($A110,'B0 2264預收'!$1:$1048576,29,0),0)</f>
        <v>0</v>
      </c>
      <c r="AD110" s="158">
        <f t="shared" si="162"/>
        <v>0</v>
      </c>
      <c r="AE110" s="158">
        <f>+Z110+IFERROR(+VLOOKUP($A110,'B0 2264預收'!$1:$1048576,30,0),0)</f>
        <v>0</v>
      </c>
      <c r="AF110" s="158">
        <f t="shared" si="163"/>
        <v>0</v>
      </c>
      <c r="AG110" s="157">
        <f>+AB110+IFERROR(VLOOKUP($A110,'A0 BS 1240在建'!$1:$1048576,33,0),0)</f>
        <v>0</v>
      </c>
      <c r="AH110" s="157">
        <f>+AC110+IFERROR(VLOOKUP($A110,'B0 2264預收'!$1:$1048576,33,0),0)</f>
        <v>0</v>
      </c>
      <c r="AI110" s="157">
        <f t="shared" si="164"/>
        <v>0</v>
      </c>
      <c r="AJ110" s="157">
        <f>+AE110+IFERROR(+VLOOKUP($A110,'B0 2264預收'!$1:$1048576,34,0),0)</f>
        <v>0</v>
      </c>
      <c r="AK110" s="157">
        <f t="shared" si="165"/>
        <v>0</v>
      </c>
      <c r="AL110" s="158">
        <f>+AG110+IFERROR(VLOOKUP($A110,'A0 BS 1240在建'!$1:$1048576,37,0),0)</f>
        <v>0</v>
      </c>
      <c r="AM110" s="158">
        <f>+AH110+IFERROR(VLOOKUP($A110,'B0 2264預收'!$1:$1048576,37,0),0)</f>
        <v>0</v>
      </c>
      <c r="AN110" s="158">
        <f t="shared" si="166"/>
        <v>0</v>
      </c>
      <c r="AO110" s="158">
        <f>+AJ110+IFERROR(+VLOOKUP($A110,'B0 2264預收'!$1:$1048576,38,0),0)</f>
        <v>0</v>
      </c>
      <c r="AP110" s="158">
        <f t="shared" si="167"/>
        <v>0</v>
      </c>
      <c r="AQ110" s="157">
        <f>+AL110+IFERROR(VLOOKUP($A110,'A0 BS 1240在建'!$1:$1048576,41,0),0)</f>
        <v>0</v>
      </c>
      <c r="AR110" s="157">
        <f>+AM110+IFERROR(VLOOKUP($A110,'B0 2264預收'!$1:$1048576,41,0),0)</f>
        <v>0</v>
      </c>
      <c r="AS110" s="157">
        <f t="shared" si="168"/>
        <v>0</v>
      </c>
      <c r="AT110" s="157">
        <f>+AO110+IFERROR(+VLOOKUP($A110,'B0 2264預收'!$1:$1048576,42,0),0)</f>
        <v>0</v>
      </c>
      <c r="AU110" s="157">
        <f t="shared" si="169"/>
        <v>0</v>
      </c>
      <c r="AV110" s="158">
        <f>+AQ110+IFERROR(VLOOKUP($A110,'A0 BS 1240在建'!$1:$1048576,45,0),0)</f>
        <v>0</v>
      </c>
      <c r="AW110" s="158">
        <f>+AR110+IFERROR(VLOOKUP($A110,'B0 2264預收'!$1:$1048576,45,0),0)</f>
        <v>0</v>
      </c>
      <c r="AX110" s="158">
        <f t="shared" si="170"/>
        <v>0</v>
      </c>
      <c r="AY110" s="158">
        <f>+AT110+IFERROR(+VLOOKUP($A110,'B0 2264預收'!$1:$1048576,46,0),0)</f>
        <v>0</v>
      </c>
      <c r="AZ110" s="158">
        <f t="shared" si="171"/>
        <v>0</v>
      </c>
      <c r="BA110" s="157">
        <f>+AV110+IFERROR(VLOOKUP($A110,'A0 BS 1240在建'!$1:$1048576,49,0),0)</f>
        <v>0</v>
      </c>
      <c r="BB110" s="157">
        <f>+AW110+IFERROR(VLOOKUP($A110,'B0 2264預收'!$1:$1048576,49,0),0)</f>
        <v>0</v>
      </c>
      <c r="BC110" s="157">
        <f t="shared" si="172"/>
        <v>0</v>
      </c>
      <c r="BD110" s="157">
        <f>+AY110+IFERROR(+VLOOKUP($A110,'B0 2264預收'!$1:$1048576,50,0),0)</f>
        <v>0</v>
      </c>
      <c r="BE110" s="157">
        <f t="shared" si="173"/>
        <v>0</v>
      </c>
      <c r="BF110" s="158">
        <f>+BA110+IFERROR(VLOOKUP($A110,'A0 BS 1240在建'!$1:$1048576,53,0),0)</f>
        <v>0</v>
      </c>
      <c r="BG110" s="158">
        <f>+BB110+IFERROR(VLOOKUP($A110,'B0 2264預收'!$1:$1048576,53,0),0)</f>
        <v>0</v>
      </c>
      <c r="BH110" s="158">
        <f t="shared" si="174"/>
        <v>0</v>
      </c>
      <c r="BI110" s="158">
        <f>+BD110+IFERROR(+VLOOKUP($A110,'B0 2264預收'!$1:$1048576,54,0),0)</f>
        <v>0</v>
      </c>
      <c r="BJ110" s="158">
        <f t="shared" si="175"/>
        <v>0</v>
      </c>
      <c r="BK110" s="157">
        <f>+BF110+IFERROR(VLOOKUP($A110,'A0 BS 1240在建'!$1:$1048576,57,0),0)</f>
        <v>0</v>
      </c>
      <c r="BL110" s="157">
        <f>+BG110+IFERROR(VLOOKUP($A110,'B0 2264預收'!$1:$1048576,57,0),0)</f>
        <v>0</v>
      </c>
      <c r="BM110" s="157">
        <f t="shared" si="176"/>
        <v>0</v>
      </c>
      <c r="BN110" s="157">
        <f>+BI110+IFERROR(+VLOOKUP($A110,'B0 2264預收'!$1:$1048576,58,0),0)</f>
        <v>0</v>
      </c>
      <c r="BO110" s="157">
        <f t="shared" si="177"/>
        <v>0</v>
      </c>
      <c r="BP110" s="158">
        <f>+BK110+IFERROR(VLOOKUP($A110,'A0 BS 1240在建'!$1:$1048576,61,0),0)</f>
        <v>0</v>
      </c>
      <c r="BQ110" s="158">
        <f>+BL110+IFERROR(VLOOKUP($A110,'B0 2264預收'!$1:$1048576,61,0),0)</f>
        <v>0</v>
      </c>
      <c r="BR110" s="159">
        <f t="shared" si="178"/>
        <v>0</v>
      </c>
      <c r="BS110" s="158">
        <f>+BN110+IFERROR(+VLOOKUP($A110,'B0 2264預收'!$1:$1048576,62,0),0)</f>
        <v>0</v>
      </c>
      <c r="BT110" s="158">
        <f t="shared" si="179"/>
        <v>0</v>
      </c>
      <c r="BU110" s="157">
        <f>+IFERROR(VLOOKUP($A110,'A0 BS 1240在建'!$1:$1048576,77,0),0)</f>
        <v>0</v>
      </c>
      <c r="BV110" s="157">
        <f>+IFERROR(VLOOKUP($A110,'B0 2264預收'!$1:$1048576,77,0),0)</f>
        <v>0</v>
      </c>
      <c r="BW110" s="157">
        <f t="shared" si="180"/>
        <v>0</v>
      </c>
      <c r="BX110" s="157">
        <f>+IFERROR(+VLOOKUP($A110,'B0 2264預收'!$1:$1048576,78,0),0)</f>
        <v>0</v>
      </c>
      <c r="BY110" s="157">
        <f t="shared" si="181"/>
        <v>0</v>
      </c>
      <c r="BZ110" s="158">
        <f>IFERROR(+VLOOKUP($A110,'A0 BS 1240在建'!$1:$1048576,85,0),0)</f>
        <v>0</v>
      </c>
      <c r="CA110" s="158">
        <f>IFERROR(+VLOOKUP($A110,'B0 2264預收'!$1:$1048576,85,0),0)</f>
        <v>0</v>
      </c>
      <c r="CB110" s="158">
        <f t="shared" si="182"/>
        <v>0</v>
      </c>
      <c r="CC110" s="158">
        <f>+IFERROR(+VLOOKUP($A110,'B0 2264預收'!$1:$1048576,86,0),0)</f>
        <v>0</v>
      </c>
      <c r="CD110" s="158">
        <f t="shared" si="183"/>
        <v>0</v>
      </c>
      <c r="CE110" s="157">
        <f>+IFERROR(VLOOKUP($A110,'A0 BS 1240在建'!$1:$1048576,93,0),0)</f>
        <v>0</v>
      </c>
      <c r="CF110" s="157">
        <f>+IFERROR(VLOOKUP($A110,'B0 2264預收'!$1:$1048576,93,0),0)</f>
        <v>0</v>
      </c>
      <c r="CG110" s="157">
        <f t="shared" si="184"/>
        <v>0</v>
      </c>
      <c r="CH110" s="157">
        <f>+IFERROR(+VLOOKUP($A110,'B0 2264預收'!$1:$1048576,94,0),0)</f>
        <v>0</v>
      </c>
      <c r="CI110" s="157">
        <f t="shared" si="185"/>
        <v>0</v>
      </c>
      <c r="CJ110" s="158">
        <f>IFERROR(+VLOOKUP($A110,'A0 BS 1240在建'!$1:$1048576,101,0),0)</f>
        <v>0</v>
      </c>
      <c r="CK110" s="158">
        <f>IFERROR(+VLOOKUP($A110,'B0 2264預收'!$1:$1048576,101,0),0)</f>
        <v>0</v>
      </c>
      <c r="CL110" s="158">
        <f t="shared" si="186"/>
        <v>0</v>
      </c>
      <c r="CM110" s="158">
        <f>+IFERROR(+VLOOKUP($A110,'B0 2264預收'!$1:$1048576,102,0),0)</f>
        <v>0</v>
      </c>
      <c r="CN110" s="158">
        <f t="shared" si="187"/>
        <v>0</v>
      </c>
      <c r="CP110" s="166">
        <f t="shared" si="196"/>
        <v>0</v>
      </c>
      <c r="CQ110" s="98">
        <f>+CP110</f>
        <v>0</v>
      </c>
      <c r="CU110" s="166">
        <f t="shared" si="197"/>
        <v>0</v>
      </c>
      <c r="CV110" s="98">
        <f t="shared" si="202"/>
        <v>0</v>
      </c>
      <c r="CY110" s="162" t="str">
        <f t="shared" si="190"/>
        <v/>
      </c>
      <c r="CZ110" s="98" t="str">
        <f t="shared" si="191"/>
        <v xml:space="preserve"> </v>
      </c>
      <c r="DA110" s="98" t="str">
        <f t="shared" si="192"/>
        <v xml:space="preserve"> </v>
      </c>
      <c r="DB110" s="98" t="str">
        <f t="shared" si="193"/>
        <v xml:space="preserve"> </v>
      </c>
      <c r="DC110" s="163">
        <f t="shared" si="194"/>
        <v>0</v>
      </c>
      <c r="DD110" s="162" t="str">
        <f t="shared" si="198"/>
        <v/>
      </c>
      <c r="DE110" s="98" t="str">
        <f t="shared" si="199"/>
        <v xml:space="preserve"> </v>
      </c>
      <c r="DF110" s="98" t="str">
        <f t="shared" si="200"/>
        <v xml:space="preserve"> </v>
      </c>
      <c r="DG110" s="98" t="str">
        <f t="shared" si="201"/>
        <v xml:space="preserve"> </v>
      </c>
      <c r="DH110" s="163">
        <f t="shared" si="195"/>
        <v>0</v>
      </c>
    </row>
    <row r="111" spans="1:112">
      <c r="A111" s="175" t="s">
        <v>503</v>
      </c>
      <c r="B111" s="181" t="s">
        <v>504</v>
      </c>
      <c r="C111" s="157">
        <f>IFERROR(VLOOKUP($A111,'A0 BS 1240在建'!$1:$1048576,5,0),0)</f>
        <v>0</v>
      </c>
      <c r="D111" s="157">
        <f>IFERROR(VLOOKUP($A111,'B0 2264預收'!$1:$1048576,5,0),0)</f>
        <v>0</v>
      </c>
      <c r="E111" s="157">
        <f t="shared" si="152"/>
        <v>0</v>
      </c>
      <c r="F111" s="157">
        <f>IFERROR(VLOOKUP($A111,'B0 2264預收'!$1:$1048576,6,0),0)</f>
        <v>0</v>
      </c>
      <c r="G111" s="157">
        <f t="shared" si="153"/>
        <v>0</v>
      </c>
      <c r="H111" s="158">
        <f>IFERROR(VLOOKUP($A111,'A0 BS 1240在建'!$1:$1048576,13,0),0)</f>
        <v>0</v>
      </c>
      <c r="I111" s="158">
        <f>IFERROR(VLOOKUP($A111,'B0 2264預收'!$1:$1048576,13,0),0)</f>
        <v>0</v>
      </c>
      <c r="J111" s="158">
        <f t="shared" si="154"/>
        <v>0</v>
      </c>
      <c r="K111" s="158">
        <f>IFERROR(VLOOKUP($A111,'B0 2264預收'!$1:$1048576,14,0),0)</f>
        <v>0</v>
      </c>
      <c r="L111" s="158">
        <f t="shared" si="155"/>
        <v>0</v>
      </c>
      <c r="M111" s="157">
        <f>H111+IFERROR(VLOOKUP($A111,'A0 BS 1240在建'!$1:$1048576,17,0),0)</f>
        <v>0</v>
      </c>
      <c r="N111" s="157">
        <f>I111+IFERROR(VLOOKUP($A111,'B0 2264預收'!$1:$1048576,17,0),0)</f>
        <v>0</v>
      </c>
      <c r="O111" s="157">
        <f t="shared" si="156"/>
        <v>0</v>
      </c>
      <c r="P111" s="157">
        <f>K111+IFERROR(+VLOOKUP($A111,'B0 2264預收'!$1:$1048576,18,0),0)</f>
        <v>0</v>
      </c>
      <c r="Q111" s="157">
        <f t="shared" si="157"/>
        <v>0</v>
      </c>
      <c r="R111" s="158">
        <f>M111+IFERROR(VLOOKUP($A111,'A0 BS 1240在建'!$1:$1048576,21,0),0)</f>
        <v>0</v>
      </c>
      <c r="S111" s="158">
        <f>+N111+IFERROR(VLOOKUP($A111,'B0 2264預收'!$1:$1048576,21,0),0)</f>
        <v>0</v>
      </c>
      <c r="T111" s="158">
        <f t="shared" si="158"/>
        <v>0</v>
      </c>
      <c r="U111" s="158">
        <f>+P111+IFERROR(+VLOOKUP($A111,'B0 2264預收'!$1:$1048576,22,0),0)</f>
        <v>0</v>
      </c>
      <c r="V111" s="158">
        <f t="shared" si="159"/>
        <v>0</v>
      </c>
      <c r="W111" s="157">
        <f>+R111+IFERROR(VLOOKUP($A111,'A0 BS 1240在建'!$1:$1048576,25,0),0)</f>
        <v>0</v>
      </c>
      <c r="X111" s="157">
        <f>+S111+IFERROR(VLOOKUP($A111,'B0 2264預收'!$1:$1048576,25,0),0)</f>
        <v>0</v>
      </c>
      <c r="Y111" s="157">
        <f t="shared" si="160"/>
        <v>0</v>
      </c>
      <c r="Z111" s="157">
        <f>+U111+IFERROR(+VLOOKUP($A111,'B0 2264預收'!$1:$1048576,26,0),0)</f>
        <v>0</v>
      </c>
      <c r="AA111" s="157">
        <f t="shared" si="161"/>
        <v>0</v>
      </c>
      <c r="AB111" s="158">
        <f>+W111+IFERROR(VLOOKUP($A111,'A0 BS 1240在建'!$1:$1048576,29,0),0)</f>
        <v>0</v>
      </c>
      <c r="AC111" s="158">
        <f>+X111+IFERROR(VLOOKUP($A111,'B0 2264預收'!$1:$1048576,29,0),0)</f>
        <v>0</v>
      </c>
      <c r="AD111" s="158">
        <f t="shared" si="162"/>
        <v>0</v>
      </c>
      <c r="AE111" s="158">
        <f>+Z111+IFERROR(+VLOOKUP($A111,'B0 2264預收'!$1:$1048576,30,0),0)</f>
        <v>0</v>
      </c>
      <c r="AF111" s="158">
        <f t="shared" si="163"/>
        <v>0</v>
      </c>
      <c r="AG111" s="157">
        <f>+AB111+IFERROR(VLOOKUP($A111,'A0 BS 1240在建'!$1:$1048576,33,0),0)</f>
        <v>0</v>
      </c>
      <c r="AH111" s="157">
        <f>+AC111+IFERROR(VLOOKUP($A111,'B0 2264預收'!$1:$1048576,33,0),0)</f>
        <v>0</v>
      </c>
      <c r="AI111" s="157">
        <f t="shared" si="164"/>
        <v>0</v>
      </c>
      <c r="AJ111" s="157">
        <f>+AE111+IFERROR(+VLOOKUP($A111,'B0 2264預收'!$1:$1048576,34,0),0)</f>
        <v>0</v>
      </c>
      <c r="AK111" s="157">
        <f t="shared" si="165"/>
        <v>0</v>
      </c>
      <c r="AL111" s="158">
        <f>+AG111+IFERROR(VLOOKUP($A111,'A0 BS 1240在建'!$1:$1048576,37,0),0)</f>
        <v>0</v>
      </c>
      <c r="AM111" s="158">
        <f>+AH111+IFERROR(VLOOKUP($A111,'B0 2264預收'!$1:$1048576,37,0),0)</f>
        <v>0</v>
      </c>
      <c r="AN111" s="158">
        <f t="shared" si="166"/>
        <v>0</v>
      </c>
      <c r="AO111" s="158">
        <f>+AJ111+IFERROR(+VLOOKUP($A111,'B0 2264預收'!$1:$1048576,38,0),0)</f>
        <v>0</v>
      </c>
      <c r="AP111" s="158">
        <f t="shared" si="167"/>
        <v>0</v>
      </c>
      <c r="AQ111" s="157">
        <f>+AL111+IFERROR(VLOOKUP($A111,'A0 BS 1240在建'!$1:$1048576,41,0),0)</f>
        <v>0</v>
      </c>
      <c r="AR111" s="157">
        <f>+AM111+IFERROR(VLOOKUP($A111,'B0 2264預收'!$1:$1048576,41,0),0)</f>
        <v>0</v>
      </c>
      <c r="AS111" s="157">
        <f t="shared" si="168"/>
        <v>0</v>
      </c>
      <c r="AT111" s="157">
        <f>+AO111+IFERROR(+VLOOKUP($A111,'B0 2264預收'!$1:$1048576,42,0),0)</f>
        <v>0</v>
      </c>
      <c r="AU111" s="157">
        <f t="shared" si="169"/>
        <v>0</v>
      </c>
      <c r="AV111" s="158">
        <f>+AQ111+IFERROR(VLOOKUP($A111,'A0 BS 1240在建'!$1:$1048576,45,0),0)</f>
        <v>0</v>
      </c>
      <c r="AW111" s="158">
        <f>+AR111+IFERROR(VLOOKUP($A111,'B0 2264預收'!$1:$1048576,45,0),0)</f>
        <v>0</v>
      </c>
      <c r="AX111" s="158">
        <f t="shared" si="170"/>
        <v>0</v>
      </c>
      <c r="AY111" s="158">
        <f>+AT111+IFERROR(+VLOOKUP($A111,'B0 2264預收'!$1:$1048576,46,0),0)</f>
        <v>0</v>
      </c>
      <c r="AZ111" s="158">
        <f t="shared" si="171"/>
        <v>0</v>
      </c>
      <c r="BA111" s="157">
        <f>+AV111+IFERROR(VLOOKUP($A111,'A0 BS 1240在建'!$1:$1048576,49,0),0)</f>
        <v>0</v>
      </c>
      <c r="BB111" s="157">
        <f>+AW111+IFERROR(VLOOKUP($A111,'B0 2264預收'!$1:$1048576,49,0),0)</f>
        <v>0</v>
      </c>
      <c r="BC111" s="157">
        <f t="shared" si="172"/>
        <v>0</v>
      </c>
      <c r="BD111" s="157">
        <f>+AY111+IFERROR(+VLOOKUP($A111,'B0 2264預收'!$1:$1048576,50,0),0)</f>
        <v>0</v>
      </c>
      <c r="BE111" s="157">
        <f t="shared" si="173"/>
        <v>0</v>
      </c>
      <c r="BF111" s="158">
        <f>+BA111+IFERROR(VLOOKUP($A111,'A0 BS 1240在建'!$1:$1048576,53,0),0)</f>
        <v>0</v>
      </c>
      <c r="BG111" s="158">
        <f>+BB111+IFERROR(VLOOKUP($A111,'B0 2264預收'!$1:$1048576,53,0),0)</f>
        <v>0</v>
      </c>
      <c r="BH111" s="158">
        <f t="shared" si="174"/>
        <v>0</v>
      </c>
      <c r="BI111" s="158">
        <f>+BD111+IFERROR(+VLOOKUP($A111,'B0 2264預收'!$1:$1048576,54,0),0)</f>
        <v>0</v>
      </c>
      <c r="BJ111" s="158">
        <f t="shared" si="175"/>
        <v>0</v>
      </c>
      <c r="BK111" s="157">
        <f>+BF111+IFERROR(VLOOKUP($A111,'A0 BS 1240在建'!$1:$1048576,57,0),0)</f>
        <v>0</v>
      </c>
      <c r="BL111" s="157">
        <f>+BG111+IFERROR(VLOOKUP($A111,'B0 2264預收'!$1:$1048576,57,0),0)</f>
        <v>0</v>
      </c>
      <c r="BM111" s="157">
        <f t="shared" si="176"/>
        <v>0</v>
      </c>
      <c r="BN111" s="157">
        <f>+BI111+IFERROR(+VLOOKUP($A111,'B0 2264預收'!$1:$1048576,58,0),0)</f>
        <v>0</v>
      </c>
      <c r="BO111" s="157">
        <f t="shared" si="177"/>
        <v>0</v>
      </c>
      <c r="BP111" s="158">
        <f>+BK111+IFERROR(VLOOKUP($A111,'A0 BS 1240在建'!$1:$1048576,61,0),0)</f>
        <v>0</v>
      </c>
      <c r="BQ111" s="158">
        <f>+BL111+IFERROR(VLOOKUP($A111,'B0 2264預收'!$1:$1048576,61,0),0)</f>
        <v>0</v>
      </c>
      <c r="BR111" s="159">
        <f t="shared" si="178"/>
        <v>0</v>
      </c>
      <c r="BS111" s="158">
        <f>+BN111+IFERROR(+VLOOKUP($A111,'B0 2264預收'!$1:$1048576,62,0),0)</f>
        <v>0</v>
      </c>
      <c r="BT111" s="158">
        <f t="shared" si="179"/>
        <v>0</v>
      </c>
      <c r="BU111" s="157">
        <f>+IFERROR(VLOOKUP($A111,'A0 BS 1240在建'!$1:$1048576,77,0),0)</f>
        <v>0</v>
      </c>
      <c r="BV111" s="157">
        <f>+IFERROR(VLOOKUP($A111,'B0 2264預收'!$1:$1048576,77,0),0)</f>
        <v>0</v>
      </c>
      <c r="BW111" s="157">
        <f t="shared" si="180"/>
        <v>0</v>
      </c>
      <c r="BX111" s="157">
        <f>+IFERROR(+VLOOKUP($A111,'B0 2264預收'!$1:$1048576,78,0),0)</f>
        <v>0</v>
      </c>
      <c r="BY111" s="157">
        <f t="shared" si="181"/>
        <v>0</v>
      </c>
      <c r="BZ111" s="158">
        <f>IFERROR(+VLOOKUP($A111,'A0 BS 1240在建'!$1:$1048576,85,0),0)</f>
        <v>0</v>
      </c>
      <c r="CA111" s="158">
        <f>IFERROR(+VLOOKUP($A111,'B0 2264預收'!$1:$1048576,85,0),0)</f>
        <v>0</v>
      </c>
      <c r="CB111" s="158">
        <f t="shared" si="182"/>
        <v>0</v>
      </c>
      <c r="CC111" s="158">
        <f>+IFERROR(+VLOOKUP($A111,'B0 2264預收'!$1:$1048576,86,0),0)</f>
        <v>0</v>
      </c>
      <c r="CD111" s="158">
        <f t="shared" si="183"/>
        <v>0</v>
      </c>
      <c r="CE111" s="157">
        <f>+IFERROR(VLOOKUP($A111,'A0 BS 1240在建'!$1:$1048576,93,0),0)</f>
        <v>0</v>
      </c>
      <c r="CF111" s="157">
        <f>+IFERROR(VLOOKUP($A111,'B0 2264預收'!$1:$1048576,93,0),0)</f>
        <v>0</v>
      </c>
      <c r="CG111" s="157">
        <f t="shared" si="184"/>
        <v>0</v>
      </c>
      <c r="CH111" s="157">
        <f>+IFERROR(+VLOOKUP($A111,'B0 2264預收'!$1:$1048576,94,0),0)</f>
        <v>0</v>
      </c>
      <c r="CI111" s="157">
        <f t="shared" si="185"/>
        <v>0</v>
      </c>
      <c r="CJ111" s="158">
        <f>IFERROR(+VLOOKUP($A111,'A0 BS 1240在建'!$1:$1048576,101,0),0)</f>
        <v>0</v>
      </c>
      <c r="CK111" s="158">
        <f>IFERROR(+VLOOKUP($A111,'B0 2264預收'!$1:$1048576,101,0),0)</f>
        <v>0</v>
      </c>
      <c r="CL111" s="158">
        <f t="shared" si="186"/>
        <v>0</v>
      </c>
      <c r="CM111" s="158">
        <f>+IFERROR(+VLOOKUP($A111,'B0 2264預收'!$1:$1048576,102,0),0)</f>
        <v>0</v>
      </c>
      <c r="CN111" s="158">
        <f t="shared" si="187"/>
        <v>0</v>
      </c>
      <c r="CP111" s="165">
        <f t="shared" si="196"/>
        <v>0</v>
      </c>
      <c r="CR111" s="98">
        <f>+CP111</f>
        <v>0</v>
      </c>
      <c r="CU111" s="165">
        <f t="shared" si="197"/>
        <v>0</v>
      </c>
      <c r="CV111" s="98">
        <f t="shared" si="202"/>
        <v>0</v>
      </c>
      <c r="CW111" s="98">
        <f>+CU111</f>
        <v>0</v>
      </c>
      <c r="CY111" s="162" t="str">
        <f t="shared" si="190"/>
        <v/>
      </c>
      <c r="CZ111" s="98" t="str">
        <f t="shared" si="191"/>
        <v xml:space="preserve"> </v>
      </c>
      <c r="DA111" s="98" t="str">
        <f t="shared" si="192"/>
        <v xml:space="preserve"> </v>
      </c>
      <c r="DB111" s="98" t="str">
        <f t="shared" si="193"/>
        <v xml:space="preserve"> </v>
      </c>
      <c r="DC111" s="163">
        <f t="shared" si="194"/>
        <v>0</v>
      </c>
      <c r="DD111" s="162" t="str">
        <f t="shared" si="198"/>
        <v/>
      </c>
      <c r="DE111" s="98" t="str">
        <f t="shared" si="199"/>
        <v xml:space="preserve"> </v>
      </c>
      <c r="DF111" s="98" t="str">
        <f t="shared" si="200"/>
        <v xml:space="preserve"> </v>
      </c>
      <c r="DG111" s="98" t="str">
        <f t="shared" si="201"/>
        <v xml:space="preserve"> </v>
      </c>
      <c r="DH111" s="163">
        <f t="shared" si="195"/>
        <v>0</v>
      </c>
    </row>
    <row r="112" spans="1:112">
      <c r="A112" s="175" t="s">
        <v>505</v>
      </c>
      <c r="B112" s="175" t="s">
        <v>480</v>
      </c>
      <c r="C112" s="157">
        <f>IFERROR(VLOOKUP($A112,'A0 BS 1240在建'!$1:$1048576,5,0),0)</f>
        <v>0</v>
      </c>
      <c r="D112" s="157">
        <f>IFERROR(VLOOKUP($A112,'B0 2264預收'!$1:$1048576,5,0),0)</f>
        <v>0</v>
      </c>
      <c r="E112" s="157">
        <f t="shared" si="152"/>
        <v>0</v>
      </c>
      <c r="F112" s="157">
        <f>IFERROR(VLOOKUP($A112,'B0 2264預收'!$1:$1048576,6,0),0)</f>
        <v>0</v>
      </c>
      <c r="G112" s="157">
        <f t="shared" si="153"/>
        <v>0</v>
      </c>
      <c r="H112" s="158">
        <f>IFERROR(VLOOKUP($A112,'A0 BS 1240在建'!$1:$1048576,13,0),0)</f>
        <v>0</v>
      </c>
      <c r="I112" s="158">
        <f>IFERROR(VLOOKUP($A112,'B0 2264預收'!$1:$1048576,13,0),0)</f>
        <v>0</v>
      </c>
      <c r="J112" s="158">
        <f t="shared" si="154"/>
        <v>0</v>
      </c>
      <c r="K112" s="158">
        <f>IFERROR(VLOOKUP($A112,'B0 2264預收'!$1:$1048576,14,0),0)</f>
        <v>0</v>
      </c>
      <c r="L112" s="158">
        <f t="shared" si="155"/>
        <v>0</v>
      </c>
      <c r="M112" s="157">
        <f>H112+IFERROR(VLOOKUP($A112,'A0 BS 1240在建'!$1:$1048576,17,0),0)</f>
        <v>0</v>
      </c>
      <c r="N112" s="157">
        <f>I112+IFERROR(VLOOKUP($A112,'B0 2264預收'!$1:$1048576,17,0),0)</f>
        <v>0</v>
      </c>
      <c r="O112" s="157">
        <f t="shared" si="156"/>
        <v>0</v>
      </c>
      <c r="P112" s="157">
        <f>K112+IFERROR(+VLOOKUP($A112,'B0 2264預收'!$1:$1048576,18,0),0)</f>
        <v>0</v>
      </c>
      <c r="Q112" s="157">
        <f t="shared" si="157"/>
        <v>0</v>
      </c>
      <c r="R112" s="158">
        <f>M112+IFERROR(VLOOKUP($A112,'A0 BS 1240在建'!$1:$1048576,21,0),0)</f>
        <v>0</v>
      </c>
      <c r="S112" s="158">
        <f>+N112+IFERROR(VLOOKUP($A112,'B0 2264預收'!$1:$1048576,21,0),0)</f>
        <v>0</v>
      </c>
      <c r="T112" s="158">
        <f t="shared" si="158"/>
        <v>0</v>
      </c>
      <c r="U112" s="158">
        <f>+P112+IFERROR(+VLOOKUP($A112,'B0 2264預收'!$1:$1048576,22,0),0)</f>
        <v>0</v>
      </c>
      <c r="V112" s="158">
        <f t="shared" si="159"/>
        <v>0</v>
      </c>
      <c r="W112" s="157">
        <f>+R112+IFERROR(VLOOKUP($A112,'A0 BS 1240在建'!$1:$1048576,25,0),0)</f>
        <v>0</v>
      </c>
      <c r="X112" s="157">
        <f>+S112+IFERROR(VLOOKUP($A112,'B0 2264預收'!$1:$1048576,25,0),0)</f>
        <v>0</v>
      </c>
      <c r="Y112" s="157">
        <f t="shared" si="160"/>
        <v>0</v>
      </c>
      <c r="Z112" s="157">
        <f>+U112+IFERROR(+VLOOKUP($A112,'B0 2264預收'!$1:$1048576,26,0),0)</f>
        <v>0</v>
      </c>
      <c r="AA112" s="157">
        <f t="shared" si="161"/>
        <v>0</v>
      </c>
      <c r="AB112" s="158">
        <f>+W112+IFERROR(VLOOKUP($A112,'A0 BS 1240在建'!$1:$1048576,29,0),0)</f>
        <v>0</v>
      </c>
      <c r="AC112" s="158">
        <f>+X112+IFERROR(VLOOKUP($A112,'B0 2264預收'!$1:$1048576,29,0),0)</f>
        <v>0</v>
      </c>
      <c r="AD112" s="158">
        <f t="shared" si="162"/>
        <v>0</v>
      </c>
      <c r="AE112" s="158">
        <f>+Z112+IFERROR(+VLOOKUP($A112,'B0 2264預收'!$1:$1048576,30,0),0)</f>
        <v>0</v>
      </c>
      <c r="AF112" s="158">
        <f t="shared" si="163"/>
        <v>0</v>
      </c>
      <c r="AG112" s="157">
        <f>+AB112+IFERROR(VLOOKUP($A112,'A0 BS 1240在建'!$1:$1048576,33,0),0)</f>
        <v>0</v>
      </c>
      <c r="AH112" s="157">
        <f>+AC112+IFERROR(VLOOKUP($A112,'B0 2264預收'!$1:$1048576,33,0),0)</f>
        <v>0</v>
      </c>
      <c r="AI112" s="157">
        <f t="shared" si="164"/>
        <v>0</v>
      </c>
      <c r="AJ112" s="157">
        <f>+AE112+IFERROR(+VLOOKUP($A112,'B0 2264預收'!$1:$1048576,34,0),0)</f>
        <v>0</v>
      </c>
      <c r="AK112" s="157">
        <f t="shared" si="165"/>
        <v>0</v>
      </c>
      <c r="AL112" s="158">
        <f>+AG112+IFERROR(VLOOKUP($A112,'A0 BS 1240在建'!$1:$1048576,37,0),0)</f>
        <v>0</v>
      </c>
      <c r="AM112" s="158">
        <f>+AH112+IFERROR(VLOOKUP($A112,'B0 2264預收'!$1:$1048576,37,0),0)</f>
        <v>0</v>
      </c>
      <c r="AN112" s="158">
        <f t="shared" si="166"/>
        <v>0</v>
      </c>
      <c r="AO112" s="158">
        <f>+AJ112+IFERROR(+VLOOKUP($A112,'B0 2264預收'!$1:$1048576,38,0),0)</f>
        <v>0</v>
      </c>
      <c r="AP112" s="158">
        <f t="shared" si="167"/>
        <v>0</v>
      </c>
      <c r="AQ112" s="157">
        <f>+AL112+IFERROR(VLOOKUP($A112,'A0 BS 1240在建'!$1:$1048576,41,0),0)</f>
        <v>0</v>
      </c>
      <c r="AR112" s="157">
        <f>+AM112+IFERROR(VLOOKUP($A112,'B0 2264預收'!$1:$1048576,41,0),0)</f>
        <v>0</v>
      </c>
      <c r="AS112" s="157">
        <f t="shared" si="168"/>
        <v>0</v>
      </c>
      <c r="AT112" s="157">
        <f>+AO112+IFERROR(+VLOOKUP($A112,'B0 2264預收'!$1:$1048576,42,0),0)</f>
        <v>0</v>
      </c>
      <c r="AU112" s="157">
        <f t="shared" si="169"/>
        <v>0</v>
      </c>
      <c r="AV112" s="158">
        <f>+AQ112+IFERROR(VLOOKUP($A112,'A0 BS 1240在建'!$1:$1048576,45,0),0)</f>
        <v>0</v>
      </c>
      <c r="AW112" s="158">
        <f>+AR112+IFERROR(VLOOKUP($A112,'B0 2264預收'!$1:$1048576,45,0),0)</f>
        <v>0</v>
      </c>
      <c r="AX112" s="158">
        <f t="shared" si="170"/>
        <v>0</v>
      </c>
      <c r="AY112" s="158">
        <f>+AT112+IFERROR(+VLOOKUP($A112,'B0 2264預收'!$1:$1048576,46,0),0)</f>
        <v>0</v>
      </c>
      <c r="AZ112" s="158">
        <f t="shared" si="171"/>
        <v>0</v>
      </c>
      <c r="BA112" s="157">
        <f>+AV112+IFERROR(VLOOKUP($A112,'A0 BS 1240在建'!$1:$1048576,49,0),0)</f>
        <v>0</v>
      </c>
      <c r="BB112" s="157">
        <f>+AW112+IFERROR(VLOOKUP($A112,'B0 2264預收'!$1:$1048576,49,0),0)</f>
        <v>0</v>
      </c>
      <c r="BC112" s="157">
        <f t="shared" si="172"/>
        <v>0</v>
      </c>
      <c r="BD112" s="157">
        <f>+AY112+IFERROR(+VLOOKUP($A112,'B0 2264預收'!$1:$1048576,50,0),0)</f>
        <v>0</v>
      </c>
      <c r="BE112" s="157">
        <f t="shared" si="173"/>
        <v>0</v>
      </c>
      <c r="BF112" s="158">
        <f>+BA112+IFERROR(VLOOKUP($A112,'A0 BS 1240在建'!$1:$1048576,53,0),0)</f>
        <v>0</v>
      </c>
      <c r="BG112" s="158">
        <f>+BB112+IFERROR(VLOOKUP($A112,'B0 2264預收'!$1:$1048576,53,0),0)</f>
        <v>0</v>
      </c>
      <c r="BH112" s="158">
        <f t="shared" si="174"/>
        <v>0</v>
      </c>
      <c r="BI112" s="158">
        <f>+BD112+IFERROR(+VLOOKUP($A112,'B0 2264預收'!$1:$1048576,54,0),0)</f>
        <v>0</v>
      </c>
      <c r="BJ112" s="158">
        <f t="shared" si="175"/>
        <v>0</v>
      </c>
      <c r="BK112" s="157">
        <f>+BF112+IFERROR(VLOOKUP($A112,'A0 BS 1240在建'!$1:$1048576,57,0),0)</f>
        <v>0</v>
      </c>
      <c r="BL112" s="157">
        <f>+BG112+IFERROR(VLOOKUP($A112,'B0 2264預收'!$1:$1048576,57,0),0)</f>
        <v>0</v>
      </c>
      <c r="BM112" s="157">
        <f t="shared" si="176"/>
        <v>0</v>
      </c>
      <c r="BN112" s="157">
        <f>+BI112+IFERROR(+VLOOKUP($A112,'B0 2264預收'!$1:$1048576,58,0),0)</f>
        <v>0</v>
      </c>
      <c r="BO112" s="157">
        <f t="shared" si="177"/>
        <v>0</v>
      </c>
      <c r="BP112" s="158">
        <f>+BK112+IFERROR(VLOOKUP($A112,'A0 BS 1240在建'!$1:$1048576,61,0),0)</f>
        <v>0</v>
      </c>
      <c r="BQ112" s="158">
        <f>+BL112+IFERROR(VLOOKUP($A112,'B0 2264預收'!$1:$1048576,61,0),0)</f>
        <v>0</v>
      </c>
      <c r="BR112" s="159">
        <f t="shared" si="178"/>
        <v>0</v>
      </c>
      <c r="BS112" s="158">
        <f>+BN112+IFERROR(+VLOOKUP($A112,'B0 2264預收'!$1:$1048576,62,0),0)</f>
        <v>0</v>
      </c>
      <c r="BT112" s="158">
        <f t="shared" si="179"/>
        <v>0</v>
      </c>
      <c r="BU112" s="157">
        <f>+IFERROR(VLOOKUP($A112,'A0 BS 1240在建'!$1:$1048576,77,0),0)</f>
        <v>0</v>
      </c>
      <c r="BV112" s="157">
        <f>+IFERROR(VLOOKUP($A112,'B0 2264預收'!$1:$1048576,77,0),0)</f>
        <v>0</v>
      </c>
      <c r="BW112" s="157">
        <f t="shared" si="180"/>
        <v>0</v>
      </c>
      <c r="BX112" s="157">
        <f>+IFERROR(+VLOOKUP($A112,'B0 2264預收'!$1:$1048576,78,0),0)</f>
        <v>0</v>
      </c>
      <c r="BY112" s="157">
        <f t="shared" si="181"/>
        <v>0</v>
      </c>
      <c r="BZ112" s="158">
        <f>IFERROR(+VLOOKUP($A112,'A0 BS 1240在建'!$1:$1048576,85,0),0)</f>
        <v>0</v>
      </c>
      <c r="CA112" s="158">
        <f>IFERROR(+VLOOKUP($A112,'B0 2264預收'!$1:$1048576,85,0),0)</f>
        <v>0</v>
      </c>
      <c r="CB112" s="158">
        <f t="shared" si="182"/>
        <v>0</v>
      </c>
      <c r="CC112" s="158">
        <f>+IFERROR(+VLOOKUP($A112,'B0 2264預收'!$1:$1048576,86,0),0)</f>
        <v>0</v>
      </c>
      <c r="CD112" s="158">
        <f t="shared" si="183"/>
        <v>0</v>
      </c>
      <c r="CE112" s="157">
        <f>+IFERROR(VLOOKUP($A112,'A0 BS 1240在建'!$1:$1048576,93,0),0)</f>
        <v>0</v>
      </c>
      <c r="CF112" s="157">
        <f>+IFERROR(VLOOKUP($A112,'B0 2264預收'!$1:$1048576,93,0),0)</f>
        <v>0</v>
      </c>
      <c r="CG112" s="157">
        <f t="shared" si="184"/>
        <v>0</v>
      </c>
      <c r="CH112" s="157">
        <f>+IFERROR(+VLOOKUP($A112,'B0 2264預收'!$1:$1048576,94,0),0)</f>
        <v>0</v>
      </c>
      <c r="CI112" s="157">
        <f t="shared" si="185"/>
        <v>0</v>
      </c>
      <c r="CJ112" s="158">
        <f>IFERROR(+VLOOKUP($A112,'A0 BS 1240在建'!$1:$1048576,101,0),0)</f>
        <v>0</v>
      </c>
      <c r="CK112" s="158">
        <f>IFERROR(+VLOOKUP($A112,'B0 2264預收'!$1:$1048576,101,0),0)</f>
        <v>0</v>
      </c>
      <c r="CL112" s="158">
        <f t="shared" si="186"/>
        <v>0</v>
      </c>
      <c r="CM112" s="158">
        <f>+IFERROR(+VLOOKUP($A112,'B0 2264預收'!$1:$1048576,102,0),0)</f>
        <v>0</v>
      </c>
      <c r="CN112" s="158">
        <f t="shared" si="187"/>
        <v>0</v>
      </c>
      <c r="CP112" s="166">
        <f t="shared" si="196"/>
        <v>0</v>
      </c>
      <c r="CQ112" s="98">
        <f>+CP112</f>
        <v>0</v>
      </c>
      <c r="CU112" s="166">
        <f t="shared" si="197"/>
        <v>0</v>
      </c>
      <c r="CV112" s="98">
        <f t="shared" si="202"/>
        <v>0</v>
      </c>
      <c r="CY112" s="162" t="str">
        <f t="shared" si="190"/>
        <v/>
      </c>
      <c r="CZ112" s="98" t="str">
        <f t="shared" si="191"/>
        <v xml:space="preserve"> </v>
      </c>
      <c r="DA112" s="98" t="str">
        <f t="shared" si="192"/>
        <v xml:space="preserve"> </v>
      </c>
      <c r="DB112" s="98" t="str">
        <f t="shared" si="193"/>
        <v xml:space="preserve"> </v>
      </c>
      <c r="DC112" s="163">
        <f t="shared" si="194"/>
        <v>0</v>
      </c>
      <c r="DD112" s="162" t="str">
        <f t="shared" si="198"/>
        <v/>
      </c>
      <c r="DE112" s="98" t="str">
        <f t="shared" si="199"/>
        <v xml:space="preserve"> </v>
      </c>
      <c r="DF112" s="98" t="str">
        <f t="shared" si="200"/>
        <v xml:space="preserve"> </v>
      </c>
      <c r="DG112" s="98" t="str">
        <f t="shared" si="201"/>
        <v xml:space="preserve"> </v>
      </c>
      <c r="DH112" s="163">
        <f t="shared" si="195"/>
        <v>0</v>
      </c>
    </row>
    <row r="113" spans="1:112">
      <c r="A113" s="175" t="s">
        <v>506</v>
      </c>
      <c r="B113" s="181" t="s">
        <v>507</v>
      </c>
      <c r="C113" s="157">
        <f>IFERROR(VLOOKUP($A113,'A0 BS 1240在建'!$1:$1048576,5,0),0)</f>
        <v>0</v>
      </c>
      <c r="D113" s="157">
        <f>IFERROR(VLOOKUP($A113,'B0 2264預收'!$1:$1048576,5,0),0)</f>
        <v>0</v>
      </c>
      <c r="E113" s="157">
        <f t="shared" si="152"/>
        <v>0</v>
      </c>
      <c r="F113" s="157">
        <f>IFERROR(VLOOKUP($A113,'B0 2264預收'!$1:$1048576,6,0),0)</f>
        <v>0</v>
      </c>
      <c r="G113" s="157">
        <f t="shared" si="153"/>
        <v>0</v>
      </c>
      <c r="H113" s="158">
        <f>IFERROR(VLOOKUP($A113,'A0 BS 1240在建'!$1:$1048576,13,0),0)</f>
        <v>0</v>
      </c>
      <c r="I113" s="158">
        <f>IFERROR(VLOOKUP($A113,'B0 2264預收'!$1:$1048576,13,0),0)</f>
        <v>0</v>
      </c>
      <c r="J113" s="158">
        <f t="shared" si="154"/>
        <v>0</v>
      </c>
      <c r="K113" s="158">
        <f>IFERROR(VLOOKUP($A113,'B0 2264預收'!$1:$1048576,14,0),0)</f>
        <v>0</v>
      </c>
      <c r="L113" s="158">
        <f t="shared" si="155"/>
        <v>0</v>
      </c>
      <c r="M113" s="157">
        <f>H113+IFERROR(VLOOKUP($A113,'A0 BS 1240在建'!$1:$1048576,17,0),0)</f>
        <v>0</v>
      </c>
      <c r="N113" s="157">
        <f>I113+IFERROR(VLOOKUP($A113,'B0 2264預收'!$1:$1048576,17,0),0)</f>
        <v>0</v>
      </c>
      <c r="O113" s="157">
        <f t="shared" si="156"/>
        <v>0</v>
      </c>
      <c r="P113" s="157">
        <f>K113+IFERROR(+VLOOKUP($A113,'B0 2264預收'!$1:$1048576,18,0),0)</f>
        <v>0</v>
      </c>
      <c r="Q113" s="157">
        <f t="shared" si="157"/>
        <v>0</v>
      </c>
      <c r="R113" s="158">
        <f>M113+IFERROR(VLOOKUP($A113,'A0 BS 1240在建'!$1:$1048576,21,0),0)</f>
        <v>0</v>
      </c>
      <c r="S113" s="158">
        <f>+N113+IFERROR(VLOOKUP($A113,'B0 2264預收'!$1:$1048576,21,0),0)</f>
        <v>0</v>
      </c>
      <c r="T113" s="158">
        <f t="shared" si="158"/>
        <v>0</v>
      </c>
      <c r="U113" s="158">
        <f>+P113+IFERROR(+VLOOKUP($A113,'B0 2264預收'!$1:$1048576,22,0),0)</f>
        <v>0</v>
      </c>
      <c r="V113" s="158">
        <f t="shared" si="159"/>
        <v>0</v>
      </c>
      <c r="W113" s="157">
        <f>+R113+IFERROR(VLOOKUP($A113,'A0 BS 1240在建'!$1:$1048576,25,0),0)</f>
        <v>0</v>
      </c>
      <c r="X113" s="157">
        <f>+S113+IFERROR(VLOOKUP($A113,'B0 2264預收'!$1:$1048576,25,0),0)</f>
        <v>0</v>
      </c>
      <c r="Y113" s="157">
        <f t="shared" si="160"/>
        <v>0</v>
      </c>
      <c r="Z113" s="157">
        <f>+U113+IFERROR(+VLOOKUP($A113,'B0 2264預收'!$1:$1048576,26,0),0)</f>
        <v>0</v>
      </c>
      <c r="AA113" s="157">
        <f t="shared" si="161"/>
        <v>0</v>
      </c>
      <c r="AB113" s="158">
        <f>+W113+IFERROR(VLOOKUP($A113,'A0 BS 1240在建'!$1:$1048576,29,0),0)</f>
        <v>0</v>
      </c>
      <c r="AC113" s="158">
        <f>+X113+IFERROR(VLOOKUP($A113,'B0 2264預收'!$1:$1048576,29,0),0)</f>
        <v>0</v>
      </c>
      <c r="AD113" s="158">
        <f t="shared" si="162"/>
        <v>0</v>
      </c>
      <c r="AE113" s="158">
        <f>+Z113+IFERROR(+VLOOKUP($A113,'B0 2264預收'!$1:$1048576,30,0),0)</f>
        <v>0</v>
      </c>
      <c r="AF113" s="158">
        <f t="shared" si="163"/>
        <v>0</v>
      </c>
      <c r="AG113" s="157">
        <f>+AB113+IFERROR(VLOOKUP($A113,'A0 BS 1240在建'!$1:$1048576,33,0),0)</f>
        <v>0</v>
      </c>
      <c r="AH113" s="157">
        <f>+AC113+IFERROR(VLOOKUP($A113,'B0 2264預收'!$1:$1048576,33,0),0)</f>
        <v>0</v>
      </c>
      <c r="AI113" s="157">
        <f t="shared" si="164"/>
        <v>0</v>
      </c>
      <c r="AJ113" s="157">
        <f>+AE113+IFERROR(+VLOOKUP($A113,'B0 2264預收'!$1:$1048576,34,0),0)</f>
        <v>0</v>
      </c>
      <c r="AK113" s="157">
        <f t="shared" si="165"/>
        <v>0</v>
      </c>
      <c r="AL113" s="158">
        <f>+AG113+IFERROR(VLOOKUP($A113,'A0 BS 1240在建'!$1:$1048576,37,0),0)</f>
        <v>0</v>
      </c>
      <c r="AM113" s="158">
        <f>+AH113+IFERROR(VLOOKUP($A113,'B0 2264預收'!$1:$1048576,37,0),0)</f>
        <v>0</v>
      </c>
      <c r="AN113" s="158">
        <f t="shared" si="166"/>
        <v>0</v>
      </c>
      <c r="AO113" s="158">
        <f>+AJ113+IFERROR(+VLOOKUP($A113,'B0 2264預收'!$1:$1048576,38,0),0)</f>
        <v>0</v>
      </c>
      <c r="AP113" s="158">
        <f t="shared" si="167"/>
        <v>0</v>
      </c>
      <c r="AQ113" s="157">
        <f>+AL113+IFERROR(VLOOKUP($A113,'A0 BS 1240在建'!$1:$1048576,41,0),0)</f>
        <v>0</v>
      </c>
      <c r="AR113" s="157">
        <f>+AM113+IFERROR(VLOOKUP($A113,'B0 2264預收'!$1:$1048576,41,0),0)</f>
        <v>0</v>
      </c>
      <c r="AS113" s="157">
        <f t="shared" si="168"/>
        <v>0</v>
      </c>
      <c r="AT113" s="157">
        <f>+AO113+IFERROR(+VLOOKUP($A113,'B0 2264預收'!$1:$1048576,42,0),0)</f>
        <v>0</v>
      </c>
      <c r="AU113" s="157">
        <f t="shared" si="169"/>
        <v>0</v>
      </c>
      <c r="AV113" s="158">
        <f>+AQ113+IFERROR(VLOOKUP($A113,'A0 BS 1240在建'!$1:$1048576,45,0),0)</f>
        <v>0</v>
      </c>
      <c r="AW113" s="158">
        <f>+AR113+IFERROR(VLOOKUP($A113,'B0 2264預收'!$1:$1048576,45,0),0)</f>
        <v>0</v>
      </c>
      <c r="AX113" s="158">
        <f t="shared" si="170"/>
        <v>0</v>
      </c>
      <c r="AY113" s="158">
        <f>+AT113+IFERROR(+VLOOKUP($A113,'B0 2264預收'!$1:$1048576,46,0),0)</f>
        <v>0</v>
      </c>
      <c r="AZ113" s="158">
        <f t="shared" si="171"/>
        <v>0</v>
      </c>
      <c r="BA113" s="157">
        <f>+AV113+IFERROR(VLOOKUP($A113,'A0 BS 1240在建'!$1:$1048576,49,0),0)</f>
        <v>0</v>
      </c>
      <c r="BB113" s="157">
        <f>+AW113+IFERROR(VLOOKUP($A113,'B0 2264預收'!$1:$1048576,49,0),0)</f>
        <v>0</v>
      </c>
      <c r="BC113" s="157">
        <f t="shared" si="172"/>
        <v>0</v>
      </c>
      <c r="BD113" s="157">
        <f>+AY113+IFERROR(+VLOOKUP($A113,'B0 2264預收'!$1:$1048576,50,0),0)</f>
        <v>0</v>
      </c>
      <c r="BE113" s="157">
        <f t="shared" si="173"/>
        <v>0</v>
      </c>
      <c r="BF113" s="158">
        <f>+BA113+IFERROR(VLOOKUP($A113,'A0 BS 1240在建'!$1:$1048576,53,0),0)</f>
        <v>0</v>
      </c>
      <c r="BG113" s="158">
        <f>+BB113+IFERROR(VLOOKUP($A113,'B0 2264預收'!$1:$1048576,53,0),0)</f>
        <v>0</v>
      </c>
      <c r="BH113" s="158">
        <f t="shared" si="174"/>
        <v>0</v>
      </c>
      <c r="BI113" s="158">
        <f>+BD113+IFERROR(+VLOOKUP($A113,'B0 2264預收'!$1:$1048576,54,0),0)</f>
        <v>0</v>
      </c>
      <c r="BJ113" s="158">
        <f t="shared" si="175"/>
        <v>0</v>
      </c>
      <c r="BK113" s="157">
        <f>+BF113+IFERROR(VLOOKUP($A113,'A0 BS 1240在建'!$1:$1048576,57,0),0)</f>
        <v>0</v>
      </c>
      <c r="BL113" s="157">
        <f>+BG113+IFERROR(VLOOKUP($A113,'B0 2264預收'!$1:$1048576,57,0),0)</f>
        <v>0</v>
      </c>
      <c r="BM113" s="157">
        <f t="shared" si="176"/>
        <v>0</v>
      </c>
      <c r="BN113" s="157">
        <f>+BI113+IFERROR(+VLOOKUP($A113,'B0 2264預收'!$1:$1048576,58,0),0)</f>
        <v>0</v>
      </c>
      <c r="BO113" s="157">
        <f t="shared" si="177"/>
        <v>0</v>
      </c>
      <c r="BP113" s="158">
        <f>+BK113+IFERROR(VLOOKUP($A113,'A0 BS 1240在建'!$1:$1048576,61,0),0)</f>
        <v>0</v>
      </c>
      <c r="BQ113" s="158">
        <f>+BL113+IFERROR(VLOOKUP($A113,'B0 2264預收'!$1:$1048576,61,0),0)</f>
        <v>0</v>
      </c>
      <c r="BR113" s="159">
        <f t="shared" si="178"/>
        <v>0</v>
      </c>
      <c r="BS113" s="158">
        <f>+BN113+IFERROR(+VLOOKUP($A113,'B0 2264預收'!$1:$1048576,62,0),0)</f>
        <v>0</v>
      </c>
      <c r="BT113" s="158">
        <f t="shared" si="179"/>
        <v>0</v>
      </c>
      <c r="BU113" s="157">
        <f>+IFERROR(VLOOKUP($A113,'A0 BS 1240在建'!$1:$1048576,77,0),0)</f>
        <v>0</v>
      </c>
      <c r="BV113" s="157">
        <f>+IFERROR(VLOOKUP($A113,'B0 2264預收'!$1:$1048576,77,0),0)</f>
        <v>0</v>
      </c>
      <c r="BW113" s="157">
        <f t="shared" si="180"/>
        <v>0</v>
      </c>
      <c r="BX113" s="157">
        <f>+IFERROR(+VLOOKUP($A113,'B0 2264預收'!$1:$1048576,78,0),0)</f>
        <v>0</v>
      </c>
      <c r="BY113" s="157">
        <f t="shared" si="181"/>
        <v>0</v>
      </c>
      <c r="BZ113" s="158">
        <f>IFERROR(+VLOOKUP($A113,'A0 BS 1240在建'!$1:$1048576,85,0),0)</f>
        <v>0</v>
      </c>
      <c r="CA113" s="158">
        <f>IFERROR(+VLOOKUP($A113,'B0 2264預收'!$1:$1048576,85,0),0)</f>
        <v>0</v>
      </c>
      <c r="CB113" s="158">
        <f t="shared" si="182"/>
        <v>0</v>
      </c>
      <c r="CC113" s="158">
        <f>+IFERROR(+VLOOKUP($A113,'B0 2264預收'!$1:$1048576,86,0),0)</f>
        <v>0</v>
      </c>
      <c r="CD113" s="158">
        <f t="shared" si="183"/>
        <v>0</v>
      </c>
      <c r="CE113" s="157">
        <f>+IFERROR(VLOOKUP($A113,'A0 BS 1240在建'!$1:$1048576,93,0),0)</f>
        <v>0</v>
      </c>
      <c r="CF113" s="157">
        <f>+IFERROR(VLOOKUP($A113,'B0 2264預收'!$1:$1048576,93,0),0)</f>
        <v>0</v>
      </c>
      <c r="CG113" s="157">
        <f t="shared" si="184"/>
        <v>0</v>
      </c>
      <c r="CH113" s="157">
        <f>+IFERROR(+VLOOKUP($A113,'B0 2264預收'!$1:$1048576,94,0),0)</f>
        <v>0</v>
      </c>
      <c r="CI113" s="157">
        <f t="shared" si="185"/>
        <v>0</v>
      </c>
      <c r="CJ113" s="158">
        <f>IFERROR(+VLOOKUP($A113,'A0 BS 1240在建'!$1:$1048576,101,0),0)</f>
        <v>0</v>
      </c>
      <c r="CK113" s="158">
        <f>IFERROR(+VLOOKUP($A113,'B0 2264預收'!$1:$1048576,101,0),0)</f>
        <v>0</v>
      </c>
      <c r="CL113" s="158">
        <f t="shared" si="186"/>
        <v>0</v>
      </c>
      <c r="CM113" s="158">
        <f>+IFERROR(+VLOOKUP($A113,'B0 2264預收'!$1:$1048576,102,0),0)</f>
        <v>0</v>
      </c>
      <c r="CN113" s="158">
        <f t="shared" si="187"/>
        <v>0</v>
      </c>
      <c r="CP113" s="166">
        <f t="shared" si="196"/>
        <v>0</v>
      </c>
      <c r="CQ113" s="98">
        <f>+CP113</f>
        <v>0</v>
      </c>
      <c r="CU113" s="166">
        <f t="shared" si="197"/>
        <v>0</v>
      </c>
      <c r="CV113" s="98">
        <f t="shared" si="202"/>
        <v>0</v>
      </c>
      <c r="CY113" s="162" t="str">
        <f t="shared" si="190"/>
        <v/>
      </c>
      <c r="CZ113" s="98" t="str">
        <f t="shared" si="191"/>
        <v xml:space="preserve"> </v>
      </c>
      <c r="DA113" s="98" t="str">
        <f t="shared" si="192"/>
        <v xml:space="preserve"> </v>
      </c>
      <c r="DB113" s="98" t="str">
        <f t="shared" si="193"/>
        <v xml:space="preserve"> </v>
      </c>
      <c r="DC113" s="163">
        <f t="shared" si="194"/>
        <v>0</v>
      </c>
      <c r="DD113" s="162" t="str">
        <f t="shared" si="198"/>
        <v/>
      </c>
      <c r="DE113" s="98" t="str">
        <f t="shared" si="199"/>
        <v xml:space="preserve"> </v>
      </c>
      <c r="DF113" s="98" t="str">
        <f t="shared" si="200"/>
        <v xml:space="preserve"> </v>
      </c>
      <c r="DG113" s="98" t="str">
        <f t="shared" si="201"/>
        <v xml:space="preserve"> </v>
      </c>
      <c r="DH113" s="163">
        <f t="shared" si="195"/>
        <v>0</v>
      </c>
    </row>
    <row r="114" spans="1:112">
      <c r="A114" s="175" t="s">
        <v>508</v>
      </c>
      <c r="B114" s="175" t="s">
        <v>509</v>
      </c>
      <c r="C114" s="157">
        <f>IFERROR(VLOOKUP($A114,'A0 BS 1240在建'!$1:$1048576,5,0),0)</f>
        <v>0</v>
      </c>
      <c r="D114" s="157">
        <f>IFERROR(VLOOKUP($A114,'B0 2264預收'!$1:$1048576,5,0),0)</f>
        <v>0</v>
      </c>
      <c r="E114" s="157">
        <f t="shared" si="152"/>
        <v>0</v>
      </c>
      <c r="F114" s="157">
        <f>IFERROR(VLOOKUP($A114,'B0 2264預收'!$1:$1048576,6,0),0)</f>
        <v>0</v>
      </c>
      <c r="G114" s="157">
        <f t="shared" si="153"/>
        <v>0</v>
      </c>
      <c r="H114" s="158">
        <f>IFERROR(VLOOKUP($A114,'A0 BS 1240在建'!$1:$1048576,13,0),0)</f>
        <v>0</v>
      </c>
      <c r="I114" s="158">
        <f>IFERROR(VLOOKUP($A114,'B0 2264預收'!$1:$1048576,13,0),0)</f>
        <v>0</v>
      </c>
      <c r="J114" s="158">
        <f t="shared" si="154"/>
        <v>0</v>
      </c>
      <c r="K114" s="158">
        <f>IFERROR(VLOOKUP($A114,'B0 2264預收'!$1:$1048576,14,0),0)</f>
        <v>0</v>
      </c>
      <c r="L114" s="158">
        <f t="shared" si="155"/>
        <v>0</v>
      </c>
      <c r="M114" s="157">
        <f>H114+IFERROR(VLOOKUP($A114,'A0 BS 1240在建'!$1:$1048576,17,0),0)</f>
        <v>0</v>
      </c>
      <c r="N114" s="157">
        <f>I114+IFERROR(VLOOKUP($A114,'B0 2264預收'!$1:$1048576,17,0),0)</f>
        <v>0</v>
      </c>
      <c r="O114" s="157">
        <f t="shared" si="156"/>
        <v>0</v>
      </c>
      <c r="P114" s="157">
        <f>K114+IFERROR(+VLOOKUP($A114,'B0 2264預收'!$1:$1048576,18,0),0)</f>
        <v>0</v>
      </c>
      <c r="Q114" s="157">
        <f t="shared" si="157"/>
        <v>0</v>
      </c>
      <c r="R114" s="158">
        <f>M114+IFERROR(VLOOKUP($A114,'A0 BS 1240在建'!$1:$1048576,21,0),0)</f>
        <v>0</v>
      </c>
      <c r="S114" s="158">
        <f>+N114+IFERROR(VLOOKUP($A114,'B0 2264預收'!$1:$1048576,21,0),0)</f>
        <v>0</v>
      </c>
      <c r="T114" s="158">
        <f t="shared" si="158"/>
        <v>0</v>
      </c>
      <c r="U114" s="158">
        <f>+P114+IFERROR(+VLOOKUP($A114,'B0 2264預收'!$1:$1048576,22,0),0)</f>
        <v>0</v>
      </c>
      <c r="V114" s="158">
        <f t="shared" si="159"/>
        <v>0</v>
      </c>
      <c r="W114" s="157">
        <f>+R114+IFERROR(VLOOKUP($A114,'A0 BS 1240在建'!$1:$1048576,25,0),0)</f>
        <v>0</v>
      </c>
      <c r="X114" s="157">
        <f>+S114+IFERROR(VLOOKUP($A114,'B0 2264預收'!$1:$1048576,25,0),0)</f>
        <v>0</v>
      </c>
      <c r="Y114" s="157">
        <f t="shared" si="160"/>
        <v>0</v>
      </c>
      <c r="Z114" s="157">
        <f>+U114+IFERROR(+VLOOKUP($A114,'B0 2264預收'!$1:$1048576,26,0),0)</f>
        <v>0</v>
      </c>
      <c r="AA114" s="157">
        <f t="shared" si="161"/>
        <v>0</v>
      </c>
      <c r="AB114" s="158">
        <f>+W114+IFERROR(VLOOKUP($A114,'A0 BS 1240在建'!$1:$1048576,29,0),0)</f>
        <v>0</v>
      </c>
      <c r="AC114" s="158">
        <f>+X114+IFERROR(VLOOKUP($A114,'B0 2264預收'!$1:$1048576,29,0),0)</f>
        <v>0</v>
      </c>
      <c r="AD114" s="158">
        <f t="shared" si="162"/>
        <v>0</v>
      </c>
      <c r="AE114" s="158">
        <f>+Z114+IFERROR(+VLOOKUP($A114,'B0 2264預收'!$1:$1048576,30,0),0)</f>
        <v>0</v>
      </c>
      <c r="AF114" s="158">
        <f t="shared" si="163"/>
        <v>0</v>
      </c>
      <c r="AG114" s="157">
        <f>+AB114+IFERROR(VLOOKUP($A114,'A0 BS 1240在建'!$1:$1048576,33,0),0)</f>
        <v>0</v>
      </c>
      <c r="AH114" s="157">
        <f>+AC114+IFERROR(VLOOKUP($A114,'B0 2264預收'!$1:$1048576,33,0),0)</f>
        <v>0</v>
      </c>
      <c r="AI114" s="157">
        <f t="shared" si="164"/>
        <v>0</v>
      </c>
      <c r="AJ114" s="157">
        <f>+AE114+IFERROR(+VLOOKUP($A114,'B0 2264預收'!$1:$1048576,34,0),0)</f>
        <v>0</v>
      </c>
      <c r="AK114" s="157">
        <f t="shared" si="165"/>
        <v>0</v>
      </c>
      <c r="AL114" s="158">
        <f>+AG114+IFERROR(VLOOKUP($A114,'A0 BS 1240在建'!$1:$1048576,37,0),0)</f>
        <v>0</v>
      </c>
      <c r="AM114" s="158">
        <f>+AH114+IFERROR(VLOOKUP($A114,'B0 2264預收'!$1:$1048576,37,0),0)</f>
        <v>0</v>
      </c>
      <c r="AN114" s="158">
        <f t="shared" si="166"/>
        <v>0</v>
      </c>
      <c r="AO114" s="158">
        <f>+AJ114+IFERROR(+VLOOKUP($A114,'B0 2264預收'!$1:$1048576,38,0),0)</f>
        <v>0</v>
      </c>
      <c r="AP114" s="158">
        <f t="shared" si="167"/>
        <v>0</v>
      </c>
      <c r="AQ114" s="157">
        <f>+AL114+IFERROR(VLOOKUP($A114,'A0 BS 1240在建'!$1:$1048576,41,0),0)</f>
        <v>0</v>
      </c>
      <c r="AR114" s="157">
        <f>+AM114+IFERROR(VLOOKUP($A114,'B0 2264預收'!$1:$1048576,41,0),0)</f>
        <v>0</v>
      </c>
      <c r="AS114" s="157">
        <f t="shared" si="168"/>
        <v>0</v>
      </c>
      <c r="AT114" s="157">
        <f>+AO114+IFERROR(+VLOOKUP($A114,'B0 2264預收'!$1:$1048576,42,0),0)</f>
        <v>0</v>
      </c>
      <c r="AU114" s="157">
        <f t="shared" si="169"/>
        <v>0</v>
      </c>
      <c r="AV114" s="158">
        <f>+AQ114+IFERROR(VLOOKUP($A114,'A0 BS 1240在建'!$1:$1048576,45,0),0)</f>
        <v>0</v>
      </c>
      <c r="AW114" s="158">
        <f>+AR114+IFERROR(VLOOKUP($A114,'B0 2264預收'!$1:$1048576,45,0),0)</f>
        <v>0</v>
      </c>
      <c r="AX114" s="158">
        <f t="shared" si="170"/>
        <v>0</v>
      </c>
      <c r="AY114" s="158">
        <f>+AT114+IFERROR(+VLOOKUP($A114,'B0 2264預收'!$1:$1048576,46,0),0)</f>
        <v>0</v>
      </c>
      <c r="AZ114" s="158">
        <f t="shared" si="171"/>
        <v>0</v>
      </c>
      <c r="BA114" s="157">
        <f>+AV114+IFERROR(VLOOKUP($A114,'A0 BS 1240在建'!$1:$1048576,49,0),0)</f>
        <v>0</v>
      </c>
      <c r="BB114" s="157">
        <f>+AW114+IFERROR(VLOOKUP($A114,'B0 2264預收'!$1:$1048576,49,0),0)</f>
        <v>0</v>
      </c>
      <c r="BC114" s="157">
        <f t="shared" si="172"/>
        <v>0</v>
      </c>
      <c r="BD114" s="157">
        <f>+AY114+IFERROR(+VLOOKUP($A114,'B0 2264預收'!$1:$1048576,50,0),0)</f>
        <v>0</v>
      </c>
      <c r="BE114" s="157">
        <f t="shared" si="173"/>
        <v>0</v>
      </c>
      <c r="BF114" s="158">
        <f>+BA114+IFERROR(VLOOKUP($A114,'A0 BS 1240在建'!$1:$1048576,53,0),0)</f>
        <v>0</v>
      </c>
      <c r="BG114" s="158">
        <f>+BB114+IFERROR(VLOOKUP($A114,'B0 2264預收'!$1:$1048576,53,0),0)</f>
        <v>0</v>
      </c>
      <c r="BH114" s="158">
        <f t="shared" si="174"/>
        <v>0</v>
      </c>
      <c r="BI114" s="158">
        <f>+BD114+IFERROR(+VLOOKUP($A114,'B0 2264預收'!$1:$1048576,54,0),0)</f>
        <v>0</v>
      </c>
      <c r="BJ114" s="158">
        <f t="shared" si="175"/>
        <v>0</v>
      </c>
      <c r="BK114" s="157">
        <f>+BF114+IFERROR(VLOOKUP($A114,'A0 BS 1240在建'!$1:$1048576,57,0),0)</f>
        <v>0</v>
      </c>
      <c r="BL114" s="157">
        <f>+BG114+IFERROR(VLOOKUP($A114,'B0 2264預收'!$1:$1048576,57,0),0)</f>
        <v>0</v>
      </c>
      <c r="BM114" s="157">
        <f t="shared" si="176"/>
        <v>0</v>
      </c>
      <c r="BN114" s="157">
        <f>+BI114+IFERROR(+VLOOKUP($A114,'B0 2264預收'!$1:$1048576,58,0),0)</f>
        <v>0</v>
      </c>
      <c r="BO114" s="157">
        <f t="shared" si="177"/>
        <v>0</v>
      </c>
      <c r="BP114" s="158">
        <f>+BK114+IFERROR(VLOOKUP($A114,'A0 BS 1240在建'!$1:$1048576,61,0),0)</f>
        <v>0</v>
      </c>
      <c r="BQ114" s="158">
        <f>+BL114+IFERROR(VLOOKUP($A114,'B0 2264預收'!$1:$1048576,61,0),0)</f>
        <v>0</v>
      </c>
      <c r="BR114" s="159">
        <f t="shared" si="178"/>
        <v>0</v>
      </c>
      <c r="BS114" s="158">
        <f>+BN114+IFERROR(+VLOOKUP($A114,'B0 2264預收'!$1:$1048576,62,0),0)</f>
        <v>0</v>
      </c>
      <c r="BT114" s="158">
        <f t="shared" si="179"/>
        <v>0</v>
      </c>
      <c r="BU114" s="157">
        <f>+IFERROR(VLOOKUP($A114,'A0 BS 1240在建'!$1:$1048576,77,0),0)</f>
        <v>0</v>
      </c>
      <c r="BV114" s="157">
        <f>+IFERROR(VLOOKUP($A114,'B0 2264預收'!$1:$1048576,77,0),0)</f>
        <v>0</v>
      </c>
      <c r="BW114" s="157">
        <f t="shared" si="180"/>
        <v>0</v>
      </c>
      <c r="BX114" s="157">
        <f>+IFERROR(+VLOOKUP($A114,'B0 2264預收'!$1:$1048576,78,0),0)</f>
        <v>0</v>
      </c>
      <c r="BY114" s="157">
        <f t="shared" si="181"/>
        <v>0</v>
      </c>
      <c r="BZ114" s="158">
        <f>IFERROR(+VLOOKUP($A114,'A0 BS 1240在建'!$1:$1048576,85,0),0)</f>
        <v>0</v>
      </c>
      <c r="CA114" s="158">
        <f>IFERROR(+VLOOKUP($A114,'B0 2264預收'!$1:$1048576,85,0),0)</f>
        <v>0</v>
      </c>
      <c r="CB114" s="158">
        <f t="shared" si="182"/>
        <v>0</v>
      </c>
      <c r="CC114" s="158">
        <f>+IFERROR(+VLOOKUP($A114,'B0 2264預收'!$1:$1048576,86,0),0)</f>
        <v>0</v>
      </c>
      <c r="CD114" s="158">
        <f t="shared" si="183"/>
        <v>0</v>
      </c>
      <c r="CE114" s="157">
        <f>+IFERROR(VLOOKUP($A114,'A0 BS 1240在建'!$1:$1048576,93,0),0)</f>
        <v>0</v>
      </c>
      <c r="CF114" s="157">
        <f>+IFERROR(VLOOKUP($A114,'B0 2264預收'!$1:$1048576,93,0),0)</f>
        <v>0</v>
      </c>
      <c r="CG114" s="157">
        <f t="shared" si="184"/>
        <v>0</v>
      </c>
      <c r="CH114" s="157">
        <f>+IFERROR(+VLOOKUP($A114,'B0 2264預收'!$1:$1048576,94,0),0)</f>
        <v>0</v>
      </c>
      <c r="CI114" s="157">
        <f t="shared" si="185"/>
        <v>0</v>
      </c>
      <c r="CJ114" s="158">
        <f>IFERROR(+VLOOKUP($A114,'A0 BS 1240在建'!$1:$1048576,101,0),0)</f>
        <v>0</v>
      </c>
      <c r="CK114" s="158">
        <f>IFERROR(+VLOOKUP($A114,'B0 2264預收'!$1:$1048576,101,0),0)</f>
        <v>0</v>
      </c>
      <c r="CL114" s="158">
        <f t="shared" si="186"/>
        <v>0</v>
      </c>
      <c r="CM114" s="158">
        <f>+IFERROR(+VLOOKUP($A114,'B0 2264預收'!$1:$1048576,102,0),0)</f>
        <v>0</v>
      </c>
      <c r="CN114" s="158">
        <f t="shared" si="187"/>
        <v>0</v>
      </c>
      <c r="CP114" s="166">
        <f t="shared" si="196"/>
        <v>0</v>
      </c>
      <c r="CQ114" s="98">
        <f>+CP114</f>
        <v>0</v>
      </c>
      <c r="CU114" s="166">
        <f t="shared" si="197"/>
        <v>0</v>
      </c>
      <c r="CV114" s="98">
        <f t="shared" si="202"/>
        <v>0</v>
      </c>
      <c r="CY114" s="162" t="str">
        <f t="shared" si="190"/>
        <v/>
      </c>
      <c r="CZ114" s="98" t="str">
        <f t="shared" si="191"/>
        <v xml:space="preserve"> </v>
      </c>
      <c r="DA114" s="98" t="str">
        <f t="shared" si="192"/>
        <v xml:space="preserve"> </v>
      </c>
      <c r="DB114" s="98" t="str">
        <f t="shared" si="193"/>
        <v xml:space="preserve"> </v>
      </c>
      <c r="DC114" s="163">
        <f t="shared" si="194"/>
        <v>0</v>
      </c>
      <c r="DD114" s="162" t="str">
        <f t="shared" si="198"/>
        <v/>
      </c>
      <c r="DE114" s="98" t="str">
        <f t="shared" si="199"/>
        <v xml:space="preserve"> </v>
      </c>
      <c r="DF114" s="98" t="str">
        <f t="shared" si="200"/>
        <v xml:space="preserve"> </v>
      </c>
      <c r="DG114" s="98" t="str">
        <f t="shared" si="201"/>
        <v xml:space="preserve"> </v>
      </c>
      <c r="DH114" s="163">
        <f t="shared" si="195"/>
        <v>0</v>
      </c>
    </row>
    <row r="115" spans="1:112">
      <c r="A115" s="175" t="s">
        <v>510</v>
      </c>
      <c r="B115" s="181" t="s">
        <v>490</v>
      </c>
      <c r="C115" s="157">
        <f>IFERROR(VLOOKUP($A115,'A0 BS 1240在建'!$1:$1048576,5,0),0)</f>
        <v>0</v>
      </c>
      <c r="D115" s="157">
        <f>IFERROR(VLOOKUP($A115,'B0 2264預收'!$1:$1048576,5,0),0)</f>
        <v>0</v>
      </c>
      <c r="E115" s="157">
        <f t="shared" si="152"/>
        <v>0</v>
      </c>
      <c r="F115" s="157">
        <f>IFERROR(VLOOKUP($A115,'B0 2264預收'!$1:$1048576,6,0),0)</f>
        <v>0</v>
      </c>
      <c r="G115" s="157">
        <f t="shared" si="153"/>
        <v>0</v>
      </c>
      <c r="H115" s="158">
        <f>IFERROR(VLOOKUP($A115,'A0 BS 1240在建'!$1:$1048576,13,0),0)</f>
        <v>0</v>
      </c>
      <c r="I115" s="158">
        <f>IFERROR(VLOOKUP($A115,'B0 2264預收'!$1:$1048576,13,0),0)</f>
        <v>0</v>
      </c>
      <c r="J115" s="158">
        <f t="shared" si="154"/>
        <v>0</v>
      </c>
      <c r="K115" s="158">
        <f>IFERROR(VLOOKUP($A115,'B0 2264預收'!$1:$1048576,14,0),0)</f>
        <v>0</v>
      </c>
      <c r="L115" s="158">
        <f t="shared" si="155"/>
        <v>0</v>
      </c>
      <c r="M115" s="157">
        <f>H115+IFERROR(VLOOKUP($A115,'A0 BS 1240在建'!$1:$1048576,17,0),0)</f>
        <v>0</v>
      </c>
      <c r="N115" s="157">
        <f>I115+IFERROR(VLOOKUP($A115,'B0 2264預收'!$1:$1048576,17,0),0)</f>
        <v>0</v>
      </c>
      <c r="O115" s="157">
        <f t="shared" si="156"/>
        <v>0</v>
      </c>
      <c r="P115" s="157">
        <f>K115+IFERROR(+VLOOKUP($A115,'B0 2264預收'!$1:$1048576,18,0),0)</f>
        <v>0</v>
      </c>
      <c r="Q115" s="157">
        <f t="shared" si="157"/>
        <v>0</v>
      </c>
      <c r="R115" s="158">
        <f>M115+IFERROR(VLOOKUP($A115,'A0 BS 1240在建'!$1:$1048576,21,0),0)</f>
        <v>0</v>
      </c>
      <c r="S115" s="158">
        <f>+N115+IFERROR(VLOOKUP($A115,'B0 2264預收'!$1:$1048576,21,0),0)</f>
        <v>0</v>
      </c>
      <c r="T115" s="158">
        <f t="shared" si="158"/>
        <v>0</v>
      </c>
      <c r="U115" s="158">
        <f>+P115+IFERROR(+VLOOKUP($A115,'B0 2264預收'!$1:$1048576,22,0),0)</f>
        <v>0</v>
      </c>
      <c r="V115" s="158">
        <f t="shared" si="159"/>
        <v>0</v>
      </c>
      <c r="W115" s="157">
        <f>+R115+IFERROR(VLOOKUP($A115,'A0 BS 1240在建'!$1:$1048576,25,0),0)</f>
        <v>0</v>
      </c>
      <c r="X115" s="157">
        <f>+S115+IFERROR(VLOOKUP($A115,'B0 2264預收'!$1:$1048576,25,0),0)</f>
        <v>0</v>
      </c>
      <c r="Y115" s="157">
        <f t="shared" si="160"/>
        <v>0</v>
      </c>
      <c r="Z115" s="157">
        <f>+U115+IFERROR(+VLOOKUP($A115,'B0 2264預收'!$1:$1048576,26,0),0)</f>
        <v>0</v>
      </c>
      <c r="AA115" s="157">
        <f t="shared" si="161"/>
        <v>0</v>
      </c>
      <c r="AB115" s="158">
        <f>+W115+IFERROR(VLOOKUP($A115,'A0 BS 1240在建'!$1:$1048576,29,0),0)</f>
        <v>0</v>
      </c>
      <c r="AC115" s="158">
        <f>+X115+IFERROR(VLOOKUP($A115,'B0 2264預收'!$1:$1048576,29,0),0)</f>
        <v>0</v>
      </c>
      <c r="AD115" s="158">
        <f t="shared" si="162"/>
        <v>0</v>
      </c>
      <c r="AE115" s="158">
        <f>+Z115+IFERROR(+VLOOKUP($A115,'B0 2264預收'!$1:$1048576,30,0),0)</f>
        <v>0</v>
      </c>
      <c r="AF115" s="158">
        <f t="shared" si="163"/>
        <v>0</v>
      </c>
      <c r="AG115" s="157">
        <f>+AB115+IFERROR(VLOOKUP($A115,'A0 BS 1240在建'!$1:$1048576,33,0),0)</f>
        <v>0</v>
      </c>
      <c r="AH115" s="157">
        <f>+AC115+IFERROR(VLOOKUP($A115,'B0 2264預收'!$1:$1048576,33,0),0)</f>
        <v>0</v>
      </c>
      <c r="AI115" s="157">
        <f t="shared" si="164"/>
        <v>0</v>
      </c>
      <c r="AJ115" s="157">
        <f>+AE115+IFERROR(+VLOOKUP($A115,'B0 2264預收'!$1:$1048576,34,0),0)</f>
        <v>0</v>
      </c>
      <c r="AK115" s="157">
        <f t="shared" si="165"/>
        <v>0</v>
      </c>
      <c r="AL115" s="158">
        <f>+AG115+IFERROR(VLOOKUP($A115,'A0 BS 1240在建'!$1:$1048576,37,0),0)</f>
        <v>0</v>
      </c>
      <c r="AM115" s="158">
        <f>+AH115+IFERROR(VLOOKUP($A115,'B0 2264預收'!$1:$1048576,37,0),0)</f>
        <v>0</v>
      </c>
      <c r="AN115" s="158">
        <f t="shared" si="166"/>
        <v>0</v>
      </c>
      <c r="AO115" s="158">
        <f>+AJ115+IFERROR(+VLOOKUP($A115,'B0 2264預收'!$1:$1048576,38,0),0)</f>
        <v>0</v>
      </c>
      <c r="AP115" s="158">
        <f t="shared" si="167"/>
        <v>0</v>
      </c>
      <c r="AQ115" s="157">
        <f>+AL115+IFERROR(VLOOKUP($A115,'A0 BS 1240在建'!$1:$1048576,41,0),0)</f>
        <v>0</v>
      </c>
      <c r="AR115" s="157">
        <f>+AM115+IFERROR(VLOOKUP($A115,'B0 2264預收'!$1:$1048576,41,0),0)</f>
        <v>0</v>
      </c>
      <c r="AS115" s="157">
        <f t="shared" si="168"/>
        <v>0</v>
      </c>
      <c r="AT115" s="157">
        <f>+AO115+IFERROR(+VLOOKUP($A115,'B0 2264預收'!$1:$1048576,42,0),0)</f>
        <v>0</v>
      </c>
      <c r="AU115" s="157">
        <f t="shared" si="169"/>
        <v>0</v>
      </c>
      <c r="AV115" s="158">
        <f>+AQ115+IFERROR(VLOOKUP($A115,'A0 BS 1240在建'!$1:$1048576,45,0),0)</f>
        <v>0</v>
      </c>
      <c r="AW115" s="158">
        <f>+AR115+IFERROR(VLOOKUP($A115,'B0 2264預收'!$1:$1048576,45,0),0)</f>
        <v>0</v>
      </c>
      <c r="AX115" s="158">
        <f t="shared" si="170"/>
        <v>0</v>
      </c>
      <c r="AY115" s="158">
        <f>+AT115+IFERROR(+VLOOKUP($A115,'B0 2264預收'!$1:$1048576,46,0),0)</f>
        <v>0</v>
      </c>
      <c r="AZ115" s="158">
        <f t="shared" si="171"/>
        <v>0</v>
      </c>
      <c r="BA115" s="157">
        <f>+AV115+IFERROR(VLOOKUP($A115,'A0 BS 1240在建'!$1:$1048576,49,0),0)</f>
        <v>0</v>
      </c>
      <c r="BB115" s="157">
        <f>+AW115+IFERROR(VLOOKUP($A115,'B0 2264預收'!$1:$1048576,49,0),0)</f>
        <v>0</v>
      </c>
      <c r="BC115" s="157">
        <f t="shared" si="172"/>
        <v>0</v>
      </c>
      <c r="BD115" s="157">
        <f>+AY115+IFERROR(+VLOOKUP($A115,'B0 2264預收'!$1:$1048576,50,0),0)</f>
        <v>0</v>
      </c>
      <c r="BE115" s="157">
        <f t="shared" si="173"/>
        <v>0</v>
      </c>
      <c r="BF115" s="158">
        <f>+BA115+IFERROR(VLOOKUP($A115,'A0 BS 1240在建'!$1:$1048576,53,0),0)</f>
        <v>0</v>
      </c>
      <c r="BG115" s="158">
        <f>+BB115+IFERROR(VLOOKUP($A115,'B0 2264預收'!$1:$1048576,53,0),0)</f>
        <v>0</v>
      </c>
      <c r="BH115" s="158">
        <f t="shared" si="174"/>
        <v>0</v>
      </c>
      <c r="BI115" s="158">
        <f>+BD115+IFERROR(+VLOOKUP($A115,'B0 2264預收'!$1:$1048576,54,0),0)</f>
        <v>0</v>
      </c>
      <c r="BJ115" s="158">
        <f t="shared" si="175"/>
        <v>0</v>
      </c>
      <c r="BK115" s="157">
        <f>+BF115+IFERROR(VLOOKUP($A115,'A0 BS 1240在建'!$1:$1048576,57,0),0)</f>
        <v>0</v>
      </c>
      <c r="BL115" s="157">
        <f>+BG115+IFERROR(VLOOKUP($A115,'B0 2264預收'!$1:$1048576,57,0),0)</f>
        <v>0</v>
      </c>
      <c r="BM115" s="157">
        <f t="shared" si="176"/>
        <v>0</v>
      </c>
      <c r="BN115" s="157">
        <f>+BI115+IFERROR(+VLOOKUP($A115,'B0 2264預收'!$1:$1048576,58,0),0)</f>
        <v>0</v>
      </c>
      <c r="BO115" s="157">
        <f t="shared" si="177"/>
        <v>0</v>
      </c>
      <c r="BP115" s="158">
        <f>+BK115+IFERROR(VLOOKUP($A115,'A0 BS 1240在建'!$1:$1048576,61,0),0)</f>
        <v>0</v>
      </c>
      <c r="BQ115" s="158">
        <f>+BL115+IFERROR(VLOOKUP($A115,'B0 2264預收'!$1:$1048576,61,0),0)</f>
        <v>0</v>
      </c>
      <c r="BR115" s="159">
        <f t="shared" si="178"/>
        <v>0</v>
      </c>
      <c r="BS115" s="158">
        <f>+BN115+IFERROR(+VLOOKUP($A115,'B0 2264預收'!$1:$1048576,62,0),0)</f>
        <v>0</v>
      </c>
      <c r="BT115" s="158">
        <f t="shared" si="179"/>
        <v>0</v>
      </c>
      <c r="BU115" s="157">
        <f>+IFERROR(VLOOKUP($A115,'A0 BS 1240在建'!$1:$1048576,77,0),0)</f>
        <v>0</v>
      </c>
      <c r="BV115" s="157">
        <f>+IFERROR(VLOOKUP($A115,'B0 2264預收'!$1:$1048576,77,0),0)</f>
        <v>0</v>
      </c>
      <c r="BW115" s="157">
        <f t="shared" si="180"/>
        <v>0</v>
      </c>
      <c r="BX115" s="157">
        <f>+IFERROR(+VLOOKUP($A115,'B0 2264預收'!$1:$1048576,78,0),0)</f>
        <v>0</v>
      </c>
      <c r="BY115" s="157">
        <f t="shared" si="181"/>
        <v>0</v>
      </c>
      <c r="BZ115" s="158">
        <f>IFERROR(+VLOOKUP($A115,'A0 BS 1240在建'!$1:$1048576,85,0),0)</f>
        <v>0</v>
      </c>
      <c r="CA115" s="158">
        <f>IFERROR(+VLOOKUP($A115,'B0 2264預收'!$1:$1048576,85,0),0)</f>
        <v>0</v>
      </c>
      <c r="CB115" s="158">
        <f t="shared" si="182"/>
        <v>0</v>
      </c>
      <c r="CC115" s="158">
        <f>+IFERROR(+VLOOKUP($A115,'B0 2264預收'!$1:$1048576,86,0),0)</f>
        <v>0</v>
      </c>
      <c r="CD115" s="158">
        <f t="shared" si="183"/>
        <v>0</v>
      </c>
      <c r="CE115" s="157">
        <f>+IFERROR(VLOOKUP($A115,'A0 BS 1240在建'!$1:$1048576,93,0),0)</f>
        <v>0</v>
      </c>
      <c r="CF115" s="157">
        <f>+IFERROR(VLOOKUP($A115,'B0 2264預收'!$1:$1048576,93,0),0)</f>
        <v>0</v>
      </c>
      <c r="CG115" s="157">
        <f t="shared" si="184"/>
        <v>0</v>
      </c>
      <c r="CH115" s="157">
        <f>+IFERROR(+VLOOKUP($A115,'B0 2264預收'!$1:$1048576,94,0),0)</f>
        <v>0</v>
      </c>
      <c r="CI115" s="157">
        <f t="shared" si="185"/>
        <v>0</v>
      </c>
      <c r="CJ115" s="158">
        <f>IFERROR(+VLOOKUP($A115,'A0 BS 1240在建'!$1:$1048576,101,0),0)</f>
        <v>0</v>
      </c>
      <c r="CK115" s="158">
        <f>IFERROR(+VLOOKUP($A115,'B0 2264預收'!$1:$1048576,101,0),0)</f>
        <v>0</v>
      </c>
      <c r="CL115" s="158">
        <f t="shared" si="186"/>
        <v>0</v>
      </c>
      <c r="CM115" s="158">
        <f>+IFERROR(+VLOOKUP($A115,'B0 2264預收'!$1:$1048576,102,0),0)</f>
        <v>0</v>
      </c>
      <c r="CN115" s="158">
        <f t="shared" si="187"/>
        <v>0</v>
      </c>
      <c r="CP115" s="166"/>
      <c r="CU115" s="166"/>
      <c r="CY115" s="162" t="str">
        <f t="shared" si="190"/>
        <v/>
      </c>
      <c r="CZ115" s="98" t="str">
        <f t="shared" si="191"/>
        <v xml:space="preserve"> </v>
      </c>
      <c r="DA115" s="98" t="str">
        <f t="shared" si="192"/>
        <v xml:space="preserve"> </v>
      </c>
      <c r="DB115" s="98" t="str">
        <f t="shared" si="193"/>
        <v xml:space="preserve"> </v>
      </c>
      <c r="DC115" s="163">
        <f t="shared" si="194"/>
        <v>0</v>
      </c>
      <c r="DD115" s="162" t="str">
        <f t="shared" si="198"/>
        <v/>
      </c>
      <c r="DE115" s="98" t="str">
        <f t="shared" si="199"/>
        <v xml:space="preserve"> </v>
      </c>
      <c r="DF115" s="98" t="str">
        <f t="shared" si="200"/>
        <v xml:space="preserve"> </v>
      </c>
      <c r="DG115" s="98" t="str">
        <f t="shared" si="201"/>
        <v xml:space="preserve"> </v>
      </c>
      <c r="DH115" s="163">
        <f t="shared" si="195"/>
        <v>0</v>
      </c>
    </row>
    <row r="116" spans="1:112" ht="15" customHeight="1">
      <c r="A116" s="175"/>
      <c r="B116" s="175"/>
      <c r="C116" s="157">
        <f>IFERROR(VLOOKUP($A116,'A0 BS 1240在建'!$1:$1048576,5,0),0)</f>
        <v>0</v>
      </c>
      <c r="D116" s="157">
        <f>IFERROR(VLOOKUP($A116,'B0 2264預收'!$1:$1048576,5,0),0)</f>
        <v>0</v>
      </c>
      <c r="E116" s="157">
        <f t="shared" si="152"/>
        <v>0</v>
      </c>
      <c r="F116" s="157">
        <f>IFERROR(VLOOKUP($A116,'B0 2264預收'!$1:$1048576,6,0),0)</f>
        <v>0</v>
      </c>
      <c r="G116" s="157">
        <f t="shared" si="153"/>
        <v>0</v>
      </c>
      <c r="H116" s="158">
        <f>IFERROR(VLOOKUP($A116,'A0 BS 1240在建'!$1:$1048576,13,0),0)</f>
        <v>0</v>
      </c>
      <c r="I116" s="158">
        <f>IFERROR(VLOOKUP($A116,'B0 2264預收'!$1:$1048576,13,0),0)</f>
        <v>0</v>
      </c>
      <c r="J116" s="158">
        <f t="shared" si="154"/>
        <v>0</v>
      </c>
      <c r="K116" s="158">
        <f>IFERROR(VLOOKUP($A116,'B0 2264預收'!$1:$1048576,14,0),0)</f>
        <v>0</v>
      </c>
      <c r="L116" s="158">
        <f t="shared" si="155"/>
        <v>0</v>
      </c>
      <c r="M116" s="157">
        <f>H116+IFERROR(VLOOKUP($A116,'A0 BS 1240在建'!$1:$1048576,17,0),0)</f>
        <v>0</v>
      </c>
      <c r="N116" s="157">
        <f>I116+IFERROR(VLOOKUP($A116,'B0 2264預收'!$1:$1048576,17,0),0)</f>
        <v>0</v>
      </c>
      <c r="O116" s="157">
        <f t="shared" si="156"/>
        <v>0</v>
      </c>
      <c r="P116" s="157">
        <f>K116+IFERROR(+VLOOKUP($A116,'B0 2264預收'!$1:$1048576,18,0),0)</f>
        <v>0</v>
      </c>
      <c r="Q116" s="157">
        <f t="shared" si="157"/>
        <v>0</v>
      </c>
      <c r="R116" s="158">
        <f>M116+IFERROR(VLOOKUP($A116,'A0 BS 1240在建'!$1:$1048576,21,0),0)</f>
        <v>0</v>
      </c>
      <c r="S116" s="158">
        <f>+N116+IFERROR(VLOOKUP($A116,'B0 2264預收'!$1:$1048576,21,0),0)</f>
        <v>0</v>
      </c>
      <c r="T116" s="158">
        <f t="shared" si="158"/>
        <v>0</v>
      </c>
      <c r="U116" s="158">
        <f>+P116+IFERROR(+VLOOKUP($A116,'B0 2264預收'!$1:$1048576,22,0),0)</f>
        <v>0</v>
      </c>
      <c r="V116" s="158">
        <f t="shared" si="159"/>
        <v>0</v>
      </c>
      <c r="W116" s="157">
        <f>+R116+IFERROR(VLOOKUP($A116,'A0 BS 1240在建'!$1:$1048576,25,0),0)</f>
        <v>0</v>
      </c>
      <c r="X116" s="157">
        <f>+S116+IFERROR(VLOOKUP($A116,'B0 2264預收'!$1:$1048576,25,0),0)</f>
        <v>0</v>
      </c>
      <c r="Y116" s="157">
        <f t="shared" si="160"/>
        <v>0</v>
      </c>
      <c r="Z116" s="157">
        <f>+U116+IFERROR(+VLOOKUP($A116,'B0 2264預收'!$1:$1048576,26,0),0)</f>
        <v>0</v>
      </c>
      <c r="AA116" s="157">
        <f t="shared" si="161"/>
        <v>0</v>
      </c>
      <c r="AB116" s="158">
        <f>+W116+IFERROR(VLOOKUP($A116,'A0 BS 1240在建'!$1:$1048576,29,0),0)</f>
        <v>0</v>
      </c>
      <c r="AC116" s="158">
        <f>+X116+IFERROR(VLOOKUP($A116,'B0 2264預收'!$1:$1048576,29,0),0)</f>
        <v>0</v>
      </c>
      <c r="AD116" s="158">
        <f t="shared" si="162"/>
        <v>0</v>
      </c>
      <c r="AE116" s="158">
        <f>+Z116+IFERROR(+VLOOKUP($A116,'B0 2264預收'!$1:$1048576,30,0),0)</f>
        <v>0</v>
      </c>
      <c r="AF116" s="158">
        <f t="shared" si="163"/>
        <v>0</v>
      </c>
      <c r="AG116" s="157">
        <f>+AB116+IFERROR(VLOOKUP($A116,'A0 BS 1240在建'!$1:$1048576,33,0),0)</f>
        <v>0</v>
      </c>
      <c r="AH116" s="157">
        <f>+AC116+IFERROR(VLOOKUP($A116,'B0 2264預收'!$1:$1048576,33,0),0)</f>
        <v>0</v>
      </c>
      <c r="AI116" s="157">
        <f t="shared" si="164"/>
        <v>0</v>
      </c>
      <c r="AJ116" s="157">
        <f>+AE116+IFERROR(+VLOOKUP($A116,'B0 2264預收'!$1:$1048576,34,0),0)</f>
        <v>0</v>
      </c>
      <c r="AK116" s="157">
        <f t="shared" si="165"/>
        <v>0</v>
      </c>
      <c r="AL116" s="158">
        <f>+AG116+IFERROR(VLOOKUP($A116,'A0 BS 1240在建'!$1:$1048576,37,0),0)</f>
        <v>0</v>
      </c>
      <c r="AM116" s="158">
        <f>+AH116+IFERROR(VLOOKUP($A116,'B0 2264預收'!$1:$1048576,37,0),0)</f>
        <v>0</v>
      </c>
      <c r="AN116" s="158">
        <f t="shared" si="166"/>
        <v>0</v>
      </c>
      <c r="AO116" s="158">
        <f>+AJ116+IFERROR(+VLOOKUP($A116,'B0 2264預收'!$1:$1048576,38,0),0)</f>
        <v>0</v>
      </c>
      <c r="AP116" s="158">
        <f t="shared" si="167"/>
        <v>0</v>
      </c>
      <c r="AQ116" s="157">
        <f>+AL116+IFERROR(VLOOKUP($A116,'A0 BS 1240在建'!$1:$1048576,41,0),0)</f>
        <v>0</v>
      </c>
      <c r="AR116" s="157">
        <f>+AM116+IFERROR(VLOOKUP($A116,'B0 2264預收'!$1:$1048576,41,0),0)</f>
        <v>0</v>
      </c>
      <c r="AS116" s="157">
        <f t="shared" si="168"/>
        <v>0</v>
      </c>
      <c r="AT116" s="157">
        <f>+AO116+IFERROR(+VLOOKUP($A116,'B0 2264預收'!$1:$1048576,42,0),0)</f>
        <v>0</v>
      </c>
      <c r="AU116" s="157">
        <f t="shared" si="169"/>
        <v>0</v>
      </c>
      <c r="AV116" s="158">
        <f>+AQ116+IFERROR(VLOOKUP($A116,'A0 BS 1240在建'!$1:$1048576,45,0),0)</f>
        <v>0</v>
      </c>
      <c r="AW116" s="158">
        <f>+AR116+IFERROR(VLOOKUP($A116,'B0 2264預收'!$1:$1048576,45,0),0)</f>
        <v>0</v>
      </c>
      <c r="AX116" s="158">
        <f t="shared" si="170"/>
        <v>0</v>
      </c>
      <c r="AY116" s="158">
        <f>+AT116+IFERROR(+VLOOKUP($A116,'B0 2264預收'!$1:$1048576,46,0),0)</f>
        <v>0</v>
      </c>
      <c r="AZ116" s="158">
        <f t="shared" si="171"/>
        <v>0</v>
      </c>
      <c r="BA116" s="157">
        <f>+AV116+IFERROR(VLOOKUP($A116,'A0 BS 1240在建'!$1:$1048576,49,0),0)</f>
        <v>0</v>
      </c>
      <c r="BB116" s="157">
        <f>+AW116+IFERROR(VLOOKUP($A116,'B0 2264預收'!$1:$1048576,49,0),0)</f>
        <v>0</v>
      </c>
      <c r="BC116" s="157">
        <f t="shared" si="172"/>
        <v>0</v>
      </c>
      <c r="BD116" s="157">
        <f>+AY116+IFERROR(+VLOOKUP($A116,'B0 2264預收'!$1:$1048576,50,0),0)</f>
        <v>0</v>
      </c>
      <c r="BE116" s="157">
        <f t="shared" si="173"/>
        <v>0</v>
      </c>
      <c r="BF116" s="158">
        <f>+BA116+IFERROR(VLOOKUP($A116,'A0 BS 1240在建'!$1:$1048576,53,0),0)</f>
        <v>0</v>
      </c>
      <c r="BG116" s="158">
        <f>+BB116+IFERROR(VLOOKUP($A116,'B0 2264預收'!$1:$1048576,53,0),0)</f>
        <v>0</v>
      </c>
      <c r="BH116" s="158">
        <f t="shared" si="174"/>
        <v>0</v>
      </c>
      <c r="BI116" s="158">
        <f>+BD116+IFERROR(+VLOOKUP($A116,'B0 2264預收'!$1:$1048576,54,0),0)</f>
        <v>0</v>
      </c>
      <c r="BJ116" s="158">
        <f t="shared" si="175"/>
        <v>0</v>
      </c>
      <c r="BK116" s="157">
        <f>+BF116+IFERROR(VLOOKUP($A116,'A0 BS 1240在建'!$1:$1048576,57,0),0)</f>
        <v>0</v>
      </c>
      <c r="BL116" s="157">
        <f>+BG116+IFERROR(VLOOKUP($A116,'B0 2264預收'!$1:$1048576,57,0),0)</f>
        <v>0</v>
      </c>
      <c r="BM116" s="157">
        <f t="shared" si="176"/>
        <v>0</v>
      </c>
      <c r="BN116" s="157">
        <f>+BI116+IFERROR(+VLOOKUP($A116,'B0 2264預收'!$1:$1048576,58,0),0)</f>
        <v>0</v>
      </c>
      <c r="BO116" s="157">
        <f t="shared" si="177"/>
        <v>0</v>
      </c>
      <c r="BP116" s="158">
        <f>+BK116+IFERROR(VLOOKUP($A116,'A0 BS 1240在建'!$1:$1048576,61,0),0)</f>
        <v>0</v>
      </c>
      <c r="BQ116" s="158">
        <f>+BL116+IFERROR(VLOOKUP($A116,'B0 2264預收'!$1:$1048576,61,0),0)</f>
        <v>0</v>
      </c>
      <c r="BR116" s="159">
        <f t="shared" si="178"/>
        <v>0</v>
      </c>
      <c r="BS116" s="158">
        <f>+BN116+IFERROR(+VLOOKUP($A116,'B0 2264預收'!$1:$1048576,62,0),0)</f>
        <v>0</v>
      </c>
      <c r="BT116" s="158">
        <f t="shared" si="179"/>
        <v>0</v>
      </c>
      <c r="BU116" s="157">
        <f>+IFERROR(VLOOKUP($A116,'A0 BS 1240在建'!$1:$1048576,77,0),0)</f>
        <v>0</v>
      </c>
      <c r="BV116" s="157">
        <f>+IFERROR(VLOOKUP($A116,'B0 2264預收'!$1:$1048576,77,0),0)</f>
        <v>0</v>
      </c>
      <c r="BW116" s="157">
        <f t="shared" si="180"/>
        <v>0</v>
      </c>
      <c r="BX116" s="157">
        <f>+IFERROR(+VLOOKUP($A116,'B0 2264預收'!$1:$1048576,78,0),0)</f>
        <v>0</v>
      </c>
      <c r="BY116" s="157">
        <f t="shared" si="181"/>
        <v>0</v>
      </c>
      <c r="BZ116" s="158">
        <f>IFERROR(+VLOOKUP($A116,'A0 BS 1240在建'!$1:$1048576,85,0),0)</f>
        <v>0</v>
      </c>
      <c r="CA116" s="158">
        <f>IFERROR(+VLOOKUP($A116,'B0 2264預收'!$1:$1048576,85,0),0)</f>
        <v>0</v>
      </c>
      <c r="CB116" s="158">
        <f t="shared" si="182"/>
        <v>0</v>
      </c>
      <c r="CC116" s="158">
        <f>+IFERROR(+VLOOKUP($A116,'B0 2264預收'!$1:$1048576,86,0),0)</f>
        <v>0</v>
      </c>
      <c r="CD116" s="158">
        <f t="shared" si="183"/>
        <v>0</v>
      </c>
      <c r="CE116" s="157">
        <f>+IFERROR(VLOOKUP($A116,'A0 BS 1240在建'!$1:$1048576,93,0),0)</f>
        <v>0</v>
      </c>
      <c r="CF116" s="157">
        <f>+IFERROR(VLOOKUP($A116,'B0 2264預收'!$1:$1048576,93,0),0)</f>
        <v>0</v>
      </c>
      <c r="CG116" s="157">
        <f t="shared" si="184"/>
        <v>0</v>
      </c>
      <c r="CH116" s="157">
        <f>+IFERROR(+VLOOKUP($A116,'B0 2264預收'!$1:$1048576,94,0),0)</f>
        <v>0</v>
      </c>
      <c r="CI116" s="157">
        <f t="shared" si="185"/>
        <v>0</v>
      </c>
      <c r="CJ116" s="158">
        <f>IFERROR(+VLOOKUP($A116,'A0 BS 1240在建'!$1:$1048576,101,0),0)</f>
        <v>0</v>
      </c>
      <c r="CK116" s="158">
        <f>IFERROR(+VLOOKUP($A116,'B0 2264預收'!$1:$1048576,101,0),0)</f>
        <v>0</v>
      </c>
      <c r="CL116" s="158">
        <f t="shared" si="186"/>
        <v>0</v>
      </c>
      <c r="CM116" s="158">
        <f>+IFERROR(+VLOOKUP($A116,'B0 2264預收'!$1:$1048576,102,0),0)</f>
        <v>0</v>
      </c>
      <c r="CN116" s="158">
        <f t="shared" si="187"/>
        <v>0</v>
      </c>
      <c r="CY116" s="162" t="str">
        <f t="shared" si="190"/>
        <v/>
      </c>
      <c r="CZ116" s="98" t="str">
        <f t="shared" si="191"/>
        <v xml:space="preserve"> </v>
      </c>
      <c r="DA116" s="98" t="str">
        <f t="shared" si="192"/>
        <v xml:space="preserve"> </v>
      </c>
      <c r="DB116" s="98" t="str">
        <f t="shared" si="193"/>
        <v xml:space="preserve"> </v>
      </c>
      <c r="DC116" s="163">
        <f t="shared" si="194"/>
        <v>0</v>
      </c>
      <c r="DD116" s="162" t="str">
        <f t="shared" si="198"/>
        <v/>
      </c>
      <c r="DE116" s="98" t="str">
        <f t="shared" si="199"/>
        <v xml:space="preserve"> </v>
      </c>
      <c r="DF116" s="98" t="str">
        <f t="shared" si="200"/>
        <v xml:space="preserve"> </v>
      </c>
      <c r="DG116" s="98" t="str">
        <f t="shared" si="201"/>
        <v xml:space="preserve"> </v>
      </c>
      <c r="DH116" s="163">
        <f t="shared" si="195"/>
        <v>0</v>
      </c>
    </row>
    <row r="117" spans="1:112">
      <c r="A117" s="175"/>
      <c r="B117" s="175"/>
      <c r="C117" s="157">
        <f>IFERROR(VLOOKUP($A117,'A0 BS 1240在建'!$1:$1048576,5,0),0)</f>
        <v>0</v>
      </c>
      <c r="D117" s="157">
        <f>IFERROR(VLOOKUP($A117,'B0 2264預收'!$1:$1048576,5,0),0)</f>
        <v>0</v>
      </c>
      <c r="E117" s="157">
        <f t="shared" si="152"/>
        <v>0</v>
      </c>
      <c r="F117" s="157">
        <f>IFERROR(VLOOKUP($A117,'B0 2264預收'!$1:$1048576,6,0),0)</f>
        <v>0</v>
      </c>
      <c r="G117" s="157">
        <f t="shared" si="153"/>
        <v>0</v>
      </c>
      <c r="H117" s="158">
        <f>IFERROR(VLOOKUP($A117,'A0 BS 1240在建'!$1:$1048576,13,0),0)</f>
        <v>0</v>
      </c>
      <c r="I117" s="158">
        <f>IFERROR(VLOOKUP($A117,'B0 2264預收'!$1:$1048576,13,0),0)</f>
        <v>0</v>
      </c>
      <c r="J117" s="158">
        <f t="shared" si="154"/>
        <v>0</v>
      </c>
      <c r="K117" s="158">
        <f>IFERROR(VLOOKUP($A117,'B0 2264預收'!$1:$1048576,14,0),0)</f>
        <v>0</v>
      </c>
      <c r="L117" s="158">
        <f t="shared" si="155"/>
        <v>0</v>
      </c>
      <c r="M117" s="157">
        <f>H117+IFERROR(VLOOKUP($A117,'A0 BS 1240在建'!$1:$1048576,17,0),0)</f>
        <v>0</v>
      </c>
      <c r="N117" s="157">
        <f>I117+IFERROR(VLOOKUP($A117,'B0 2264預收'!$1:$1048576,17,0),0)</f>
        <v>0</v>
      </c>
      <c r="O117" s="157">
        <f t="shared" si="156"/>
        <v>0</v>
      </c>
      <c r="P117" s="157">
        <f>K117+IFERROR(+VLOOKUP($A117,'B0 2264預收'!$1:$1048576,18,0),0)</f>
        <v>0</v>
      </c>
      <c r="Q117" s="157">
        <f t="shared" si="157"/>
        <v>0</v>
      </c>
      <c r="R117" s="158">
        <f>M117+IFERROR(VLOOKUP($A117,'A0 BS 1240在建'!$1:$1048576,21,0),0)</f>
        <v>0</v>
      </c>
      <c r="S117" s="158">
        <f>+N117+IFERROR(VLOOKUP($A117,'B0 2264預收'!$1:$1048576,21,0),0)</f>
        <v>0</v>
      </c>
      <c r="T117" s="158">
        <f t="shared" si="158"/>
        <v>0</v>
      </c>
      <c r="U117" s="158">
        <f>+P117+IFERROR(+VLOOKUP($A117,'B0 2264預收'!$1:$1048576,22,0),0)</f>
        <v>0</v>
      </c>
      <c r="V117" s="158">
        <f t="shared" si="159"/>
        <v>0</v>
      </c>
      <c r="W117" s="157">
        <f>+R117+IFERROR(VLOOKUP($A117,'A0 BS 1240在建'!$1:$1048576,25,0),0)</f>
        <v>0</v>
      </c>
      <c r="X117" s="157">
        <f>+S117+IFERROR(VLOOKUP($A117,'B0 2264預收'!$1:$1048576,25,0),0)</f>
        <v>0</v>
      </c>
      <c r="Y117" s="157">
        <f t="shared" si="160"/>
        <v>0</v>
      </c>
      <c r="Z117" s="157">
        <f>+U117+IFERROR(+VLOOKUP($A117,'B0 2264預收'!$1:$1048576,26,0),0)</f>
        <v>0</v>
      </c>
      <c r="AA117" s="157">
        <f t="shared" si="161"/>
        <v>0</v>
      </c>
      <c r="AB117" s="158">
        <f>+W117+IFERROR(VLOOKUP($A117,'A0 BS 1240在建'!$1:$1048576,29,0),0)</f>
        <v>0</v>
      </c>
      <c r="AC117" s="158">
        <f>+X117+IFERROR(VLOOKUP($A117,'B0 2264預收'!$1:$1048576,29,0),0)</f>
        <v>0</v>
      </c>
      <c r="AD117" s="158">
        <f t="shared" si="162"/>
        <v>0</v>
      </c>
      <c r="AE117" s="158">
        <f>+Z117+IFERROR(+VLOOKUP($A117,'B0 2264預收'!$1:$1048576,30,0),0)</f>
        <v>0</v>
      </c>
      <c r="AF117" s="158">
        <f t="shared" si="163"/>
        <v>0</v>
      </c>
      <c r="AG117" s="157">
        <f>+AB117+IFERROR(VLOOKUP($A117,'A0 BS 1240在建'!$1:$1048576,33,0),0)</f>
        <v>0</v>
      </c>
      <c r="AH117" s="157">
        <f>+AC117+IFERROR(VLOOKUP($A117,'B0 2264預收'!$1:$1048576,33,0),0)</f>
        <v>0</v>
      </c>
      <c r="AI117" s="157">
        <f t="shared" si="164"/>
        <v>0</v>
      </c>
      <c r="AJ117" s="157">
        <f>+AE117+IFERROR(+VLOOKUP($A117,'B0 2264預收'!$1:$1048576,34,0),0)</f>
        <v>0</v>
      </c>
      <c r="AK117" s="157">
        <f t="shared" si="165"/>
        <v>0</v>
      </c>
      <c r="AL117" s="158">
        <f>+AG117+IFERROR(VLOOKUP($A117,'A0 BS 1240在建'!$1:$1048576,37,0),0)</f>
        <v>0</v>
      </c>
      <c r="AM117" s="158">
        <f>+AH117+IFERROR(VLOOKUP($A117,'B0 2264預收'!$1:$1048576,37,0),0)</f>
        <v>0</v>
      </c>
      <c r="AN117" s="158">
        <f t="shared" si="166"/>
        <v>0</v>
      </c>
      <c r="AO117" s="158">
        <f>+AJ117+IFERROR(+VLOOKUP($A117,'B0 2264預收'!$1:$1048576,38,0),0)</f>
        <v>0</v>
      </c>
      <c r="AP117" s="158">
        <f t="shared" si="167"/>
        <v>0</v>
      </c>
      <c r="AQ117" s="157">
        <f>+AL117+IFERROR(VLOOKUP($A117,'A0 BS 1240在建'!$1:$1048576,41,0),0)</f>
        <v>0</v>
      </c>
      <c r="AR117" s="157">
        <f>+AM117+IFERROR(VLOOKUP($A117,'B0 2264預收'!$1:$1048576,41,0),0)</f>
        <v>0</v>
      </c>
      <c r="AS117" s="157">
        <f t="shared" si="168"/>
        <v>0</v>
      </c>
      <c r="AT117" s="157">
        <f>+AO117+IFERROR(+VLOOKUP($A117,'B0 2264預收'!$1:$1048576,42,0),0)</f>
        <v>0</v>
      </c>
      <c r="AU117" s="157">
        <f t="shared" si="169"/>
        <v>0</v>
      </c>
      <c r="AV117" s="158">
        <f>+AQ117+IFERROR(VLOOKUP($A117,'A0 BS 1240在建'!$1:$1048576,45,0),0)</f>
        <v>0</v>
      </c>
      <c r="AW117" s="158">
        <f>+AR117+IFERROR(VLOOKUP($A117,'B0 2264預收'!$1:$1048576,45,0),0)</f>
        <v>0</v>
      </c>
      <c r="AX117" s="158">
        <f t="shared" si="170"/>
        <v>0</v>
      </c>
      <c r="AY117" s="158">
        <f>+AT117+IFERROR(+VLOOKUP($A117,'B0 2264預收'!$1:$1048576,46,0),0)</f>
        <v>0</v>
      </c>
      <c r="AZ117" s="158">
        <f t="shared" si="171"/>
        <v>0</v>
      </c>
      <c r="BA117" s="157">
        <f>+AV117+IFERROR(VLOOKUP($A117,'A0 BS 1240在建'!$1:$1048576,49,0),0)</f>
        <v>0</v>
      </c>
      <c r="BB117" s="157">
        <f>+AW117+IFERROR(VLOOKUP($A117,'B0 2264預收'!$1:$1048576,49,0),0)</f>
        <v>0</v>
      </c>
      <c r="BC117" s="157">
        <f t="shared" si="172"/>
        <v>0</v>
      </c>
      <c r="BD117" s="157">
        <f>+AY117+IFERROR(+VLOOKUP($A117,'B0 2264預收'!$1:$1048576,50,0),0)</f>
        <v>0</v>
      </c>
      <c r="BE117" s="157">
        <f t="shared" si="173"/>
        <v>0</v>
      </c>
      <c r="BF117" s="158">
        <f>+BA117+IFERROR(VLOOKUP($A117,'A0 BS 1240在建'!$1:$1048576,53,0),0)</f>
        <v>0</v>
      </c>
      <c r="BG117" s="158">
        <f>+BB117+IFERROR(VLOOKUP($A117,'B0 2264預收'!$1:$1048576,53,0),0)</f>
        <v>0</v>
      </c>
      <c r="BH117" s="158">
        <f t="shared" si="174"/>
        <v>0</v>
      </c>
      <c r="BI117" s="158">
        <f>+BD117+IFERROR(+VLOOKUP($A117,'B0 2264預收'!$1:$1048576,54,0),0)</f>
        <v>0</v>
      </c>
      <c r="BJ117" s="158">
        <f t="shared" si="175"/>
        <v>0</v>
      </c>
      <c r="BK117" s="157">
        <f>+BF117+IFERROR(VLOOKUP($A117,'A0 BS 1240在建'!$1:$1048576,57,0),0)</f>
        <v>0</v>
      </c>
      <c r="BL117" s="157">
        <f>+BG117+IFERROR(VLOOKUP($A117,'B0 2264預收'!$1:$1048576,57,0),0)</f>
        <v>0</v>
      </c>
      <c r="BM117" s="157">
        <f t="shared" si="176"/>
        <v>0</v>
      </c>
      <c r="BN117" s="157">
        <f>+BI117+IFERROR(+VLOOKUP($A117,'B0 2264預收'!$1:$1048576,58,0),0)</f>
        <v>0</v>
      </c>
      <c r="BO117" s="157">
        <f t="shared" si="177"/>
        <v>0</v>
      </c>
      <c r="BP117" s="158">
        <f>+BK117+IFERROR(VLOOKUP($A117,'A0 BS 1240在建'!$1:$1048576,61,0),0)</f>
        <v>0</v>
      </c>
      <c r="BQ117" s="158">
        <f>+BL117+IFERROR(VLOOKUP($A117,'B0 2264預收'!$1:$1048576,61,0),0)</f>
        <v>0</v>
      </c>
      <c r="BR117" s="159">
        <f t="shared" si="178"/>
        <v>0</v>
      </c>
      <c r="BS117" s="158">
        <f>+BN117+IFERROR(+VLOOKUP($A117,'B0 2264預收'!$1:$1048576,62,0),0)</f>
        <v>0</v>
      </c>
      <c r="BT117" s="158">
        <f t="shared" si="179"/>
        <v>0</v>
      </c>
      <c r="BU117" s="157">
        <f>+IFERROR(VLOOKUP($A117,'A0 BS 1240在建'!$1:$1048576,77,0),0)</f>
        <v>0</v>
      </c>
      <c r="BV117" s="157">
        <f>+IFERROR(VLOOKUP($A117,'B0 2264預收'!$1:$1048576,77,0),0)</f>
        <v>0</v>
      </c>
      <c r="BW117" s="157">
        <f t="shared" si="180"/>
        <v>0</v>
      </c>
      <c r="BX117" s="157">
        <f>+IFERROR(+VLOOKUP($A117,'B0 2264預收'!$1:$1048576,78,0),0)</f>
        <v>0</v>
      </c>
      <c r="BY117" s="157">
        <f t="shared" si="181"/>
        <v>0</v>
      </c>
      <c r="BZ117" s="158">
        <f>IFERROR(+VLOOKUP($A117,'A0 BS 1240在建'!$1:$1048576,85,0),0)</f>
        <v>0</v>
      </c>
      <c r="CA117" s="158">
        <f>IFERROR(+VLOOKUP($A117,'B0 2264預收'!$1:$1048576,85,0),0)</f>
        <v>0</v>
      </c>
      <c r="CB117" s="158">
        <f t="shared" si="182"/>
        <v>0</v>
      </c>
      <c r="CC117" s="158">
        <f>+IFERROR(+VLOOKUP($A117,'B0 2264預收'!$1:$1048576,86,0),0)</f>
        <v>0</v>
      </c>
      <c r="CD117" s="158">
        <f t="shared" si="183"/>
        <v>0</v>
      </c>
      <c r="CE117" s="157">
        <f>+IFERROR(VLOOKUP($A117,'A0 BS 1240在建'!$1:$1048576,93,0),0)</f>
        <v>0</v>
      </c>
      <c r="CF117" s="157">
        <f>+IFERROR(VLOOKUP($A117,'B0 2264預收'!$1:$1048576,93,0),0)</f>
        <v>0</v>
      </c>
      <c r="CG117" s="157">
        <f t="shared" si="184"/>
        <v>0</v>
      </c>
      <c r="CH117" s="157">
        <f>+IFERROR(+VLOOKUP($A117,'B0 2264預收'!$1:$1048576,94,0),0)</f>
        <v>0</v>
      </c>
      <c r="CI117" s="157">
        <f t="shared" si="185"/>
        <v>0</v>
      </c>
      <c r="CJ117" s="158">
        <f>IFERROR(+VLOOKUP($A117,'A0 BS 1240在建'!$1:$1048576,101,0),0)</f>
        <v>0</v>
      </c>
      <c r="CK117" s="158">
        <f>IFERROR(+VLOOKUP($A117,'B0 2264預收'!$1:$1048576,101,0),0)</f>
        <v>0</v>
      </c>
      <c r="CL117" s="158">
        <f t="shared" si="186"/>
        <v>0</v>
      </c>
      <c r="CM117" s="158">
        <f>+IFERROR(+VLOOKUP($A117,'B0 2264預收'!$1:$1048576,102,0),0)</f>
        <v>0</v>
      </c>
      <c r="CN117" s="158">
        <f t="shared" si="187"/>
        <v>0</v>
      </c>
      <c r="CY117" s="162" t="str">
        <f t="shared" si="190"/>
        <v/>
      </c>
      <c r="CZ117" s="98" t="str">
        <f t="shared" si="191"/>
        <v xml:space="preserve"> </v>
      </c>
      <c r="DA117" s="98" t="str">
        <f t="shared" si="192"/>
        <v xml:space="preserve"> </v>
      </c>
      <c r="DB117" s="98" t="str">
        <f t="shared" si="193"/>
        <v xml:space="preserve"> </v>
      </c>
      <c r="DC117" s="163">
        <f t="shared" si="194"/>
        <v>0</v>
      </c>
      <c r="DD117" s="162" t="str">
        <f t="shared" si="198"/>
        <v/>
      </c>
      <c r="DE117" s="98" t="str">
        <f t="shared" si="199"/>
        <v xml:space="preserve"> </v>
      </c>
      <c r="DF117" s="98" t="str">
        <f t="shared" si="200"/>
        <v xml:space="preserve"> </v>
      </c>
      <c r="DG117" s="98" t="str">
        <f t="shared" si="201"/>
        <v xml:space="preserve"> </v>
      </c>
      <c r="DH117" s="163">
        <f t="shared" si="195"/>
        <v>0</v>
      </c>
    </row>
    <row r="118" spans="1:112">
      <c r="A118" s="175"/>
      <c r="B118" s="175"/>
      <c r="C118" s="157">
        <f>IFERROR(VLOOKUP($A118,'A0 BS 1240在建'!$1:$1048576,5,0),0)</f>
        <v>0</v>
      </c>
      <c r="D118" s="157">
        <f>IFERROR(VLOOKUP($A118,'B0 2264預收'!$1:$1048576,5,0),0)</f>
        <v>0</v>
      </c>
      <c r="E118" s="157">
        <f t="shared" si="152"/>
        <v>0</v>
      </c>
      <c r="F118" s="157">
        <f>IFERROR(VLOOKUP($A118,'B0 2264預收'!$1:$1048576,6,0),0)</f>
        <v>0</v>
      </c>
      <c r="G118" s="157">
        <f t="shared" si="153"/>
        <v>0</v>
      </c>
      <c r="H118" s="158">
        <f>IFERROR(VLOOKUP($A118,'A0 BS 1240在建'!$1:$1048576,13,0),0)</f>
        <v>0</v>
      </c>
      <c r="I118" s="158">
        <f>IFERROR(VLOOKUP($A118,'B0 2264預收'!$1:$1048576,13,0),0)</f>
        <v>0</v>
      </c>
      <c r="J118" s="158">
        <f t="shared" si="154"/>
        <v>0</v>
      </c>
      <c r="K118" s="158">
        <f>IFERROR(VLOOKUP($A118,'B0 2264預收'!$1:$1048576,14,0),0)</f>
        <v>0</v>
      </c>
      <c r="L118" s="158">
        <f t="shared" si="155"/>
        <v>0</v>
      </c>
      <c r="M118" s="157">
        <f>H118+IFERROR(VLOOKUP($A118,'A0 BS 1240在建'!$1:$1048576,17,0),0)</f>
        <v>0</v>
      </c>
      <c r="N118" s="157">
        <f>I118+IFERROR(VLOOKUP($A118,'B0 2264預收'!$1:$1048576,17,0),0)</f>
        <v>0</v>
      </c>
      <c r="O118" s="157">
        <f t="shared" si="156"/>
        <v>0</v>
      </c>
      <c r="P118" s="157">
        <f>K118+IFERROR(+VLOOKUP($A118,'B0 2264預收'!$1:$1048576,18,0),0)</f>
        <v>0</v>
      </c>
      <c r="Q118" s="157">
        <f t="shared" si="157"/>
        <v>0</v>
      </c>
      <c r="R118" s="158">
        <f>M118+IFERROR(VLOOKUP($A118,'A0 BS 1240在建'!$1:$1048576,21,0),0)</f>
        <v>0</v>
      </c>
      <c r="S118" s="158">
        <f>+N118+IFERROR(VLOOKUP($A118,'B0 2264預收'!$1:$1048576,21,0),0)</f>
        <v>0</v>
      </c>
      <c r="T118" s="158">
        <f t="shared" si="158"/>
        <v>0</v>
      </c>
      <c r="U118" s="158">
        <f>+P118+IFERROR(+VLOOKUP($A118,'B0 2264預收'!$1:$1048576,22,0),0)</f>
        <v>0</v>
      </c>
      <c r="V118" s="158">
        <f t="shared" si="159"/>
        <v>0</v>
      </c>
      <c r="W118" s="157">
        <f>+R118+IFERROR(VLOOKUP($A118,'A0 BS 1240在建'!$1:$1048576,25,0),0)</f>
        <v>0</v>
      </c>
      <c r="X118" s="157">
        <f>+S118+IFERROR(VLOOKUP($A118,'B0 2264預收'!$1:$1048576,25,0),0)</f>
        <v>0</v>
      </c>
      <c r="Y118" s="157">
        <f t="shared" si="160"/>
        <v>0</v>
      </c>
      <c r="Z118" s="157">
        <f>+U118+IFERROR(+VLOOKUP($A118,'B0 2264預收'!$1:$1048576,26,0),0)</f>
        <v>0</v>
      </c>
      <c r="AA118" s="157">
        <f t="shared" si="161"/>
        <v>0</v>
      </c>
      <c r="AB118" s="158">
        <f>+W118+IFERROR(VLOOKUP($A118,'A0 BS 1240在建'!$1:$1048576,29,0),0)</f>
        <v>0</v>
      </c>
      <c r="AC118" s="158">
        <f>+X118+IFERROR(VLOOKUP($A118,'B0 2264預收'!$1:$1048576,29,0),0)</f>
        <v>0</v>
      </c>
      <c r="AD118" s="158">
        <f t="shared" si="162"/>
        <v>0</v>
      </c>
      <c r="AE118" s="158">
        <f>+Z118+IFERROR(+VLOOKUP($A118,'B0 2264預收'!$1:$1048576,30,0),0)</f>
        <v>0</v>
      </c>
      <c r="AF118" s="158">
        <f t="shared" si="163"/>
        <v>0</v>
      </c>
      <c r="AG118" s="157">
        <f>+AB118+IFERROR(VLOOKUP($A118,'A0 BS 1240在建'!$1:$1048576,33,0),0)</f>
        <v>0</v>
      </c>
      <c r="AH118" s="157">
        <f>+AC118+IFERROR(VLOOKUP($A118,'B0 2264預收'!$1:$1048576,33,0),0)</f>
        <v>0</v>
      </c>
      <c r="AI118" s="157">
        <f t="shared" si="164"/>
        <v>0</v>
      </c>
      <c r="AJ118" s="157">
        <f>+AE118+IFERROR(+VLOOKUP($A118,'B0 2264預收'!$1:$1048576,34,0),0)</f>
        <v>0</v>
      </c>
      <c r="AK118" s="157">
        <f t="shared" si="165"/>
        <v>0</v>
      </c>
      <c r="AL118" s="158">
        <f>+AG118+IFERROR(VLOOKUP($A118,'A0 BS 1240在建'!$1:$1048576,37,0),0)</f>
        <v>0</v>
      </c>
      <c r="AM118" s="158">
        <f>+AH118+IFERROR(VLOOKUP($A118,'B0 2264預收'!$1:$1048576,37,0),0)</f>
        <v>0</v>
      </c>
      <c r="AN118" s="158">
        <f t="shared" si="166"/>
        <v>0</v>
      </c>
      <c r="AO118" s="158">
        <f>+AJ118+IFERROR(+VLOOKUP($A118,'B0 2264預收'!$1:$1048576,38,0),0)</f>
        <v>0</v>
      </c>
      <c r="AP118" s="158">
        <f t="shared" si="167"/>
        <v>0</v>
      </c>
      <c r="AQ118" s="157">
        <f>+AL118+IFERROR(VLOOKUP($A118,'A0 BS 1240在建'!$1:$1048576,41,0),0)</f>
        <v>0</v>
      </c>
      <c r="AR118" s="157">
        <f>+AM118+IFERROR(VLOOKUP($A118,'B0 2264預收'!$1:$1048576,41,0),0)</f>
        <v>0</v>
      </c>
      <c r="AS118" s="157">
        <f t="shared" si="168"/>
        <v>0</v>
      </c>
      <c r="AT118" s="157">
        <f>+AO118+IFERROR(+VLOOKUP($A118,'B0 2264預收'!$1:$1048576,42,0),0)</f>
        <v>0</v>
      </c>
      <c r="AU118" s="157">
        <f t="shared" si="169"/>
        <v>0</v>
      </c>
      <c r="AV118" s="158">
        <f>+AQ118+IFERROR(VLOOKUP($A118,'A0 BS 1240在建'!$1:$1048576,45,0),0)</f>
        <v>0</v>
      </c>
      <c r="AW118" s="158">
        <f>+AR118+IFERROR(VLOOKUP($A118,'B0 2264預收'!$1:$1048576,45,0),0)</f>
        <v>0</v>
      </c>
      <c r="AX118" s="158">
        <f t="shared" si="170"/>
        <v>0</v>
      </c>
      <c r="AY118" s="158">
        <f>+AT118+IFERROR(+VLOOKUP($A118,'B0 2264預收'!$1:$1048576,46,0),0)</f>
        <v>0</v>
      </c>
      <c r="AZ118" s="158">
        <f t="shared" si="171"/>
        <v>0</v>
      </c>
      <c r="BA118" s="157">
        <f>+AV118+IFERROR(VLOOKUP($A118,'A0 BS 1240在建'!$1:$1048576,49,0),0)</f>
        <v>0</v>
      </c>
      <c r="BB118" s="157">
        <f>+AW118+IFERROR(VLOOKUP($A118,'B0 2264預收'!$1:$1048576,49,0),0)</f>
        <v>0</v>
      </c>
      <c r="BC118" s="157">
        <f t="shared" si="172"/>
        <v>0</v>
      </c>
      <c r="BD118" s="157">
        <f>+AY118+IFERROR(+VLOOKUP($A118,'B0 2264預收'!$1:$1048576,50,0),0)</f>
        <v>0</v>
      </c>
      <c r="BE118" s="157">
        <f t="shared" si="173"/>
        <v>0</v>
      </c>
      <c r="BF118" s="158">
        <f>+BA118+IFERROR(VLOOKUP($A118,'A0 BS 1240在建'!$1:$1048576,53,0),0)</f>
        <v>0</v>
      </c>
      <c r="BG118" s="158">
        <f>+BB118+IFERROR(VLOOKUP($A118,'B0 2264預收'!$1:$1048576,53,0),0)</f>
        <v>0</v>
      </c>
      <c r="BH118" s="158">
        <f t="shared" si="174"/>
        <v>0</v>
      </c>
      <c r="BI118" s="158">
        <f>+BD118+IFERROR(+VLOOKUP($A118,'B0 2264預收'!$1:$1048576,54,0),0)</f>
        <v>0</v>
      </c>
      <c r="BJ118" s="158">
        <f t="shared" si="175"/>
        <v>0</v>
      </c>
      <c r="BK118" s="157">
        <f>+BF118+IFERROR(VLOOKUP($A118,'A0 BS 1240在建'!$1:$1048576,57,0),0)</f>
        <v>0</v>
      </c>
      <c r="BL118" s="157">
        <f>+BG118+IFERROR(VLOOKUP($A118,'B0 2264預收'!$1:$1048576,57,0),0)</f>
        <v>0</v>
      </c>
      <c r="BM118" s="157">
        <f t="shared" si="176"/>
        <v>0</v>
      </c>
      <c r="BN118" s="157">
        <f>+BI118+IFERROR(+VLOOKUP($A118,'B0 2264預收'!$1:$1048576,58,0),0)</f>
        <v>0</v>
      </c>
      <c r="BO118" s="157">
        <f t="shared" si="177"/>
        <v>0</v>
      </c>
      <c r="BP118" s="158">
        <f>+BK118+IFERROR(VLOOKUP($A118,'A0 BS 1240在建'!$1:$1048576,61,0),0)</f>
        <v>0</v>
      </c>
      <c r="BQ118" s="158">
        <f>+BL118+IFERROR(VLOOKUP($A118,'B0 2264預收'!$1:$1048576,61,0),0)</f>
        <v>0</v>
      </c>
      <c r="BR118" s="159">
        <f t="shared" si="178"/>
        <v>0</v>
      </c>
      <c r="BS118" s="158">
        <f>+BN118+IFERROR(+VLOOKUP($A118,'B0 2264預收'!$1:$1048576,62,0),0)</f>
        <v>0</v>
      </c>
      <c r="BT118" s="158">
        <f t="shared" si="179"/>
        <v>0</v>
      </c>
      <c r="BU118" s="157">
        <f>+IFERROR(VLOOKUP($A118,'A0 BS 1240在建'!$1:$1048576,77,0),0)</f>
        <v>0</v>
      </c>
      <c r="BV118" s="157">
        <f>+IFERROR(VLOOKUP($A118,'B0 2264預收'!$1:$1048576,77,0),0)</f>
        <v>0</v>
      </c>
      <c r="BW118" s="157">
        <f t="shared" si="180"/>
        <v>0</v>
      </c>
      <c r="BX118" s="157">
        <f>+IFERROR(+VLOOKUP($A118,'B0 2264預收'!$1:$1048576,78,0),0)</f>
        <v>0</v>
      </c>
      <c r="BY118" s="157">
        <f t="shared" si="181"/>
        <v>0</v>
      </c>
      <c r="BZ118" s="158">
        <f>IFERROR(+VLOOKUP($A118,'A0 BS 1240在建'!$1:$1048576,85,0),0)</f>
        <v>0</v>
      </c>
      <c r="CA118" s="158">
        <f>IFERROR(+VLOOKUP($A118,'B0 2264預收'!$1:$1048576,85,0),0)</f>
        <v>0</v>
      </c>
      <c r="CB118" s="158">
        <f t="shared" si="182"/>
        <v>0</v>
      </c>
      <c r="CC118" s="158">
        <f>+IFERROR(+VLOOKUP($A118,'B0 2264預收'!$1:$1048576,86,0),0)</f>
        <v>0</v>
      </c>
      <c r="CD118" s="158">
        <f t="shared" si="183"/>
        <v>0</v>
      </c>
      <c r="CE118" s="157">
        <f>+IFERROR(VLOOKUP($A118,'A0 BS 1240在建'!$1:$1048576,93,0),0)</f>
        <v>0</v>
      </c>
      <c r="CF118" s="157">
        <f>+IFERROR(VLOOKUP($A118,'B0 2264預收'!$1:$1048576,93,0),0)</f>
        <v>0</v>
      </c>
      <c r="CG118" s="157">
        <f t="shared" si="184"/>
        <v>0</v>
      </c>
      <c r="CH118" s="157">
        <f>+IFERROR(+VLOOKUP($A118,'B0 2264預收'!$1:$1048576,94,0),0)</f>
        <v>0</v>
      </c>
      <c r="CI118" s="157">
        <f t="shared" si="185"/>
        <v>0</v>
      </c>
      <c r="CJ118" s="158">
        <f>IFERROR(+VLOOKUP($A118,'A0 BS 1240在建'!$1:$1048576,101,0),0)</f>
        <v>0</v>
      </c>
      <c r="CK118" s="158">
        <f>IFERROR(+VLOOKUP($A118,'B0 2264預收'!$1:$1048576,101,0),0)</f>
        <v>0</v>
      </c>
      <c r="CL118" s="158">
        <f t="shared" si="186"/>
        <v>0</v>
      </c>
      <c r="CM118" s="158">
        <f>+IFERROR(+VLOOKUP($A118,'B0 2264預收'!$1:$1048576,102,0),0)</f>
        <v>0</v>
      </c>
      <c r="CN118" s="158">
        <f t="shared" si="187"/>
        <v>0</v>
      </c>
      <c r="CY118" s="162" t="str">
        <f t="shared" si="190"/>
        <v/>
      </c>
      <c r="CZ118" s="98" t="str">
        <f t="shared" si="191"/>
        <v xml:space="preserve"> </v>
      </c>
      <c r="DA118" s="98" t="str">
        <f t="shared" si="192"/>
        <v xml:space="preserve"> </v>
      </c>
      <c r="DB118" s="98" t="str">
        <f t="shared" si="193"/>
        <v xml:space="preserve"> </v>
      </c>
      <c r="DC118" s="163">
        <f t="shared" si="194"/>
        <v>0</v>
      </c>
      <c r="DD118" s="162" t="str">
        <f t="shared" si="198"/>
        <v/>
      </c>
      <c r="DE118" s="98" t="str">
        <f t="shared" si="199"/>
        <v xml:space="preserve"> </v>
      </c>
      <c r="DF118" s="98" t="str">
        <f t="shared" si="200"/>
        <v xml:space="preserve"> </v>
      </c>
      <c r="DG118" s="98" t="str">
        <f t="shared" si="201"/>
        <v xml:space="preserve"> </v>
      </c>
      <c r="DH118" s="163">
        <f t="shared" si="195"/>
        <v>0</v>
      </c>
    </row>
    <row r="119" spans="1:112" hidden="1">
      <c r="A119" s="175"/>
      <c r="B119" s="175"/>
      <c r="C119" s="157">
        <f>IFERROR(VLOOKUP($A119,'A0 BS 1240在建'!$1:$1048576,5,0),0)</f>
        <v>0</v>
      </c>
      <c r="D119" s="157">
        <f>IFERROR(VLOOKUP($A119,'B0 2264預收'!$1:$1048576,5,0),0)</f>
        <v>0</v>
      </c>
      <c r="E119" s="157">
        <f t="shared" si="152"/>
        <v>0</v>
      </c>
      <c r="F119" s="157">
        <f>IFERROR(VLOOKUP($A119,'B0 2264預收'!$1:$1048576,6,0),0)</f>
        <v>0</v>
      </c>
      <c r="G119" s="157">
        <f t="shared" si="153"/>
        <v>0</v>
      </c>
      <c r="H119" s="158">
        <f>IFERROR(VLOOKUP($A119,'A0 BS 1240在建'!$1:$1048576,13,0),0)</f>
        <v>0</v>
      </c>
      <c r="I119" s="158">
        <f>IFERROR(VLOOKUP($A119,'B0 2264預收'!$1:$1048576,13,0),0)</f>
        <v>0</v>
      </c>
      <c r="J119" s="158">
        <f t="shared" si="154"/>
        <v>0</v>
      </c>
      <c r="K119" s="158">
        <f>IFERROR(VLOOKUP($A119,'B0 2264預收'!$1:$1048576,14,0),0)</f>
        <v>0</v>
      </c>
      <c r="L119" s="158">
        <f t="shared" si="155"/>
        <v>0</v>
      </c>
      <c r="M119" s="157">
        <f>H119+IFERROR(VLOOKUP($A119,'A0 BS 1240在建'!$1:$1048576,17,0),0)</f>
        <v>0</v>
      </c>
      <c r="N119" s="157">
        <f>I119+IFERROR(VLOOKUP($A119,'B0 2264預收'!$1:$1048576,17,0),0)</f>
        <v>0</v>
      </c>
      <c r="O119" s="157">
        <f t="shared" si="156"/>
        <v>0</v>
      </c>
      <c r="P119" s="157">
        <f>K119+IFERROR(+VLOOKUP($A119,'B0 2264預收'!$1:$1048576,18,0),0)</f>
        <v>0</v>
      </c>
      <c r="Q119" s="157">
        <f t="shared" si="157"/>
        <v>0</v>
      </c>
      <c r="R119" s="158">
        <f>M119+IFERROR(VLOOKUP($A119,'A0 BS 1240在建'!$1:$1048576,21,0),0)</f>
        <v>0</v>
      </c>
      <c r="S119" s="158">
        <f>+N119+IFERROR(VLOOKUP($A119,'B0 2264預收'!$1:$1048576,21,0),0)</f>
        <v>0</v>
      </c>
      <c r="T119" s="158">
        <f t="shared" si="158"/>
        <v>0</v>
      </c>
      <c r="U119" s="158">
        <f>+P119+IFERROR(+VLOOKUP($A119,'B0 2264預收'!$1:$1048576,22,0),0)</f>
        <v>0</v>
      </c>
      <c r="V119" s="158">
        <f t="shared" si="159"/>
        <v>0</v>
      </c>
      <c r="W119" s="157">
        <f>+R119+IFERROR(VLOOKUP($A119,'A0 BS 1240在建'!$1:$1048576,25,0),0)</f>
        <v>0</v>
      </c>
      <c r="X119" s="157">
        <f>+S119+IFERROR(VLOOKUP($A119,'B0 2264預收'!$1:$1048576,25,0),0)</f>
        <v>0</v>
      </c>
      <c r="Y119" s="157">
        <f t="shared" si="160"/>
        <v>0</v>
      </c>
      <c r="Z119" s="157">
        <f>+U119+IFERROR(+VLOOKUP($A119,'B0 2264預收'!$1:$1048576,26,0),0)</f>
        <v>0</v>
      </c>
      <c r="AA119" s="157">
        <f t="shared" si="161"/>
        <v>0</v>
      </c>
      <c r="AB119" s="158">
        <f>+W119+IFERROR(VLOOKUP($A119,'A0 BS 1240在建'!$1:$1048576,29,0),0)</f>
        <v>0</v>
      </c>
      <c r="AC119" s="158">
        <f>+X119+IFERROR(VLOOKUP($A119,'B0 2264預收'!$1:$1048576,29,0),0)</f>
        <v>0</v>
      </c>
      <c r="AD119" s="158">
        <f t="shared" si="162"/>
        <v>0</v>
      </c>
      <c r="AE119" s="158">
        <f>+Z119+IFERROR(+VLOOKUP($A119,'B0 2264預收'!$1:$1048576,30,0),0)</f>
        <v>0</v>
      </c>
      <c r="AF119" s="158">
        <f t="shared" si="163"/>
        <v>0</v>
      </c>
      <c r="AG119" s="157">
        <f>+AB119+IFERROR(VLOOKUP($A119,'A0 BS 1240在建'!$1:$1048576,33,0),0)</f>
        <v>0</v>
      </c>
      <c r="AH119" s="157">
        <f>+AC119+IFERROR(VLOOKUP($A119,'B0 2264預收'!$1:$1048576,33,0),0)</f>
        <v>0</v>
      </c>
      <c r="AI119" s="157">
        <f t="shared" si="164"/>
        <v>0</v>
      </c>
      <c r="AJ119" s="157">
        <f>+AE119+IFERROR(+VLOOKUP($A119,'B0 2264預收'!$1:$1048576,34,0),0)</f>
        <v>0</v>
      </c>
      <c r="AK119" s="157">
        <f t="shared" si="165"/>
        <v>0</v>
      </c>
      <c r="AL119" s="158">
        <f>+AG119+IFERROR(VLOOKUP($A119,'A0 BS 1240在建'!$1:$1048576,37,0),0)</f>
        <v>0</v>
      </c>
      <c r="AM119" s="158">
        <f>+AH119+IFERROR(VLOOKUP($A119,'B0 2264預收'!$1:$1048576,37,0),0)</f>
        <v>0</v>
      </c>
      <c r="AN119" s="158">
        <f t="shared" si="166"/>
        <v>0</v>
      </c>
      <c r="AO119" s="158">
        <f>+AJ119+IFERROR(+VLOOKUP($A119,'B0 2264預收'!$1:$1048576,38,0),0)</f>
        <v>0</v>
      </c>
      <c r="AP119" s="158">
        <f t="shared" si="167"/>
        <v>0</v>
      </c>
      <c r="AQ119" s="157">
        <f>+AL119+IFERROR(VLOOKUP($A119,'A0 BS 1240在建'!$1:$1048576,41,0),0)</f>
        <v>0</v>
      </c>
      <c r="AR119" s="157">
        <f>+AM119+IFERROR(VLOOKUP($A119,'B0 2264預收'!$1:$1048576,41,0),0)</f>
        <v>0</v>
      </c>
      <c r="AS119" s="157">
        <f t="shared" si="168"/>
        <v>0</v>
      </c>
      <c r="AT119" s="157">
        <f>+AO119+IFERROR(+VLOOKUP($A119,'B0 2264預收'!$1:$1048576,42,0),0)</f>
        <v>0</v>
      </c>
      <c r="AU119" s="157">
        <f t="shared" si="169"/>
        <v>0</v>
      </c>
      <c r="AV119" s="158">
        <f>+AQ119+IFERROR(VLOOKUP($A119,'A0 BS 1240在建'!$1:$1048576,45,0),0)</f>
        <v>0</v>
      </c>
      <c r="AW119" s="158">
        <f>+AR119+IFERROR(VLOOKUP($A119,'B0 2264預收'!$1:$1048576,45,0),0)</f>
        <v>0</v>
      </c>
      <c r="AX119" s="158">
        <f t="shared" si="170"/>
        <v>0</v>
      </c>
      <c r="AY119" s="158">
        <f>+AT119+IFERROR(+VLOOKUP($A119,'B0 2264預收'!$1:$1048576,46,0),0)</f>
        <v>0</v>
      </c>
      <c r="AZ119" s="158">
        <f t="shared" si="171"/>
        <v>0</v>
      </c>
      <c r="BA119" s="157">
        <f>+AV119+IFERROR(VLOOKUP($A119,'A0 BS 1240在建'!$1:$1048576,49,0),0)</f>
        <v>0</v>
      </c>
      <c r="BB119" s="157">
        <f>+AW119+IFERROR(VLOOKUP($A119,'B0 2264預收'!$1:$1048576,49,0),0)</f>
        <v>0</v>
      </c>
      <c r="BC119" s="157">
        <f t="shared" si="172"/>
        <v>0</v>
      </c>
      <c r="BD119" s="157">
        <f>+AY119+IFERROR(+VLOOKUP($A119,'B0 2264預收'!$1:$1048576,50,0),0)</f>
        <v>0</v>
      </c>
      <c r="BE119" s="157">
        <f t="shared" si="173"/>
        <v>0</v>
      </c>
      <c r="BF119" s="158">
        <f>+BA119+IFERROR(VLOOKUP($A119,'A0 BS 1240在建'!$1:$1048576,53,0),0)</f>
        <v>0</v>
      </c>
      <c r="BG119" s="158">
        <f>+BB119+IFERROR(VLOOKUP($A119,'B0 2264預收'!$1:$1048576,53,0),0)</f>
        <v>0</v>
      </c>
      <c r="BH119" s="158">
        <f t="shared" si="174"/>
        <v>0</v>
      </c>
      <c r="BI119" s="158">
        <f>+BD119+IFERROR(+VLOOKUP($A119,'B0 2264預收'!$1:$1048576,54,0),0)</f>
        <v>0</v>
      </c>
      <c r="BJ119" s="158">
        <f t="shared" si="175"/>
        <v>0</v>
      </c>
      <c r="BK119" s="157">
        <f>+BF119+IFERROR(VLOOKUP($A119,'A0 BS 1240在建'!$1:$1048576,57,0),0)</f>
        <v>0</v>
      </c>
      <c r="BL119" s="157">
        <f>+BG119+IFERROR(VLOOKUP($A119,'B0 2264預收'!$1:$1048576,57,0),0)</f>
        <v>0</v>
      </c>
      <c r="BM119" s="157">
        <f t="shared" si="176"/>
        <v>0</v>
      </c>
      <c r="BN119" s="157">
        <f>+BI119+IFERROR(+VLOOKUP($A119,'B0 2264預收'!$1:$1048576,58,0),0)</f>
        <v>0</v>
      </c>
      <c r="BO119" s="157">
        <f t="shared" si="177"/>
        <v>0</v>
      </c>
      <c r="BP119" s="158">
        <f>+BK119+IFERROR(VLOOKUP($A119,'A0 BS 1240在建'!$1:$1048576,61,0),0)</f>
        <v>0</v>
      </c>
      <c r="BQ119" s="158">
        <f>+BL119+IFERROR(VLOOKUP($A119,'B0 2264預收'!$1:$1048576,61,0),0)</f>
        <v>0</v>
      </c>
      <c r="BR119" s="159">
        <f t="shared" si="178"/>
        <v>0</v>
      </c>
      <c r="BS119" s="158">
        <f>+BN119+IFERROR(+VLOOKUP($A119,'B0 2264預收'!$1:$1048576,62,0),0)</f>
        <v>0</v>
      </c>
      <c r="BT119" s="158">
        <f t="shared" si="179"/>
        <v>0</v>
      </c>
      <c r="BU119" s="157">
        <f>+IFERROR(VLOOKUP($A119,'A0 BS 1240在建'!$1:$1048576,77,0),0)</f>
        <v>0</v>
      </c>
      <c r="BV119" s="157">
        <f>+IFERROR(VLOOKUP($A119,'B0 2264預收'!$1:$1048576,77,0),0)</f>
        <v>0</v>
      </c>
      <c r="BW119" s="157">
        <f t="shared" si="180"/>
        <v>0</v>
      </c>
      <c r="BX119" s="157">
        <f>+IFERROR(+VLOOKUP($A119,'B0 2264預收'!$1:$1048576,78,0),0)</f>
        <v>0</v>
      </c>
      <c r="BY119" s="157">
        <f t="shared" si="181"/>
        <v>0</v>
      </c>
      <c r="BZ119" s="158">
        <f>IFERROR(+VLOOKUP($A119,'A0 BS 1240在建'!$1:$1048576,85,0),0)</f>
        <v>0</v>
      </c>
      <c r="CA119" s="158">
        <f>IFERROR(+VLOOKUP($A119,'B0 2264預收'!$1:$1048576,85,0),0)</f>
        <v>0</v>
      </c>
      <c r="CB119" s="158">
        <f t="shared" si="182"/>
        <v>0</v>
      </c>
      <c r="CC119" s="158">
        <f>+IFERROR(+VLOOKUP($A119,'B0 2264預收'!$1:$1048576,86,0),0)</f>
        <v>0</v>
      </c>
      <c r="CD119" s="158">
        <f t="shared" si="183"/>
        <v>0</v>
      </c>
      <c r="CE119" s="157">
        <f>+IFERROR(VLOOKUP($A119,'A0 BS 1240在建'!$1:$1048576,93,0),0)</f>
        <v>0</v>
      </c>
      <c r="CF119" s="157">
        <f>+IFERROR(VLOOKUP($A119,'B0 2264預收'!$1:$1048576,93,0),0)</f>
        <v>0</v>
      </c>
      <c r="CG119" s="157">
        <f t="shared" si="184"/>
        <v>0</v>
      </c>
      <c r="CH119" s="157">
        <f>+IFERROR(+VLOOKUP($A119,'B0 2264預收'!$1:$1048576,94,0),0)</f>
        <v>0</v>
      </c>
      <c r="CI119" s="157">
        <f t="shared" si="185"/>
        <v>0</v>
      </c>
      <c r="CJ119" s="158">
        <f>IFERROR(+VLOOKUP($A119,'A0 BS 1240在建'!$1:$1048576,101,0),0)</f>
        <v>0</v>
      </c>
      <c r="CK119" s="158">
        <f>IFERROR(+VLOOKUP($A119,'B0 2264預收'!$1:$1048576,101,0),0)</f>
        <v>0</v>
      </c>
      <c r="CL119" s="158">
        <f t="shared" si="186"/>
        <v>0</v>
      </c>
      <c r="CM119" s="158">
        <f>+IFERROR(+VLOOKUP($A119,'B0 2264預收'!$1:$1048576,102,0),0)</f>
        <v>0</v>
      </c>
      <c r="CN119" s="158">
        <f t="shared" si="187"/>
        <v>0</v>
      </c>
      <c r="CY119" s="162"/>
      <c r="DC119" s="163"/>
      <c r="DD119" s="162"/>
      <c r="DH119" s="163"/>
    </row>
    <row r="120" spans="1:112" hidden="1">
      <c r="A120" s="175"/>
      <c r="B120" s="175"/>
      <c r="C120" s="157">
        <f>IFERROR(VLOOKUP($A120,'A0 BS 1240在建'!$1:$1048576,5,0),0)</f>
        <v>0</v>
      </c>
      <c r="D120" s="157">
        <f>IFERROR(VLOOKUP($A120,'B0 2264預收'!$1:$1048576,5,0),0)</f>
        <v>0</v>
      </c>
      <c r="E120" s="157">
        <f t="shared" si="152"/>
        <v>0</v>
      </c>
      <c r="F120" s="157">
        <f>IFERROR(VLOOKUP($A120,'B0 2264預收'!$1:$1048576,6,0),0)</f>
        <v>0</v>
      </c>
      <c r="G120" s="157">
        <f t="shared" si="153"/>
        <v>0</v>
      </c>
      <c r="H120" s="158">
        <f>IFERROR(VLOOKUP($A120,'A0 BS 1240在建'!$1:$1048576,13,0),0)</f>
        <v>0</v>
      </c>
      <c r="I120" s="158">
        <f>IFERROR(VLOOKUP($A120,'B0 2264預收'!$1:$1048576,13,0),0)</f>
        <v>0</v>
      </c>
      <c r="J120" s="158">
        <f t="shared" si="154"/>
        <v>0</v>
      </c>
      <c r="K120" s="158">
        <f>IFERROR(VLOOKUP($A120,'B0 2264預收'!$1:$1048576,14,0),0)</f>
        <v>0</v>
      </c>
      <c r="L120" s="158">
        <f t="shared" si="155"/>
        <v>0</v>
      </c>
      <c r="M120" s="157">
        <f>H120+IFERROR(VLOOKUP($A120,'A0 BS 1240在建'!$1:$1048576,17,0),0)</f>
        <v>0</v>
      </c>
      <c r="N120" s="157">
        <f>I120+IFERROR(VLOOKUP($A120,'B0 2264預收'!$1:$1048576,17,0),0)</f>
        <v>0</v>
      </c>
      <c r="O120" s="157">
        <f t="shared" si="156"/>
        <v>0</v>
      </c>
      <c r="P120" s="157">
        <f>K120+IFERROR(+VLOOKUP($A120,'B0 2264預收'!$1:$1048576,18,0),0)</f>
        <v>0</v>
      </c>
      <c r="Q120" s="157">
        <f t="shared" si="157"/>
        <v>0</v>
      </c>
      <c r="R120" s="158">
        <f>M120+IFERROR(VLOOKUP($A120,'A0 BS 1240在建'!$1:$1048576,21,0),0)</f>
        <v>0</v>
      </c>
      <c r="S120" s="158">
        <f>+N120+IFERROR(VLOOKUP($A120,'B0 2264預收'!$1:$1048576,21,0),0)</f>
        <v>0</v>
      </c>
      <c r="T120" s="158">
        <f t="shared" si="158"/>
        <v>0</v>
      </c>
      <c r="U120" s="158">
        <f>+P120+IFERROR(+VLOOKUP($A120,'B0 2264預收'!$1:$1048576,22,0),0)</f>
        <v>0</v>
      </c>
      <c r="V120" s="158">
        <f t="shared" si="159"/>
        <v>0</v>
      </c>
      <c r="W120" s="157">
        <f>+R120+IFERROR(VLOOKUP($A120,'A0 BS 1240在建'!$1:$1048576,25,0),0)</f>
        <v>0</v>
      </c>
      <c r="X120" s="157">
        <f>+S120+IFERROR(VLOOKUP($A120,'B0 2264預收'!$1:$1048576,25,0),0)</f>
        <v>0</v>
      </c>
      <c r="Y120" s="157">
        <f t="shared" si="160"/>
        <v>0</v>
      </c>
      <c r="Z120" s="157">
        <f>+U120+IFERROR(+VLOOKUP($A120,'B0 2264預收'!$1:$1048576,26,0),0)</f>
        <v>0</v>
      </c>
      <c r="AA120" s="157">
        <f t="shared" si="161"/>
        <v>0</v>
      </c>
      <c r="AB120" s="158">
        <f>+W120+IFERROR(VLOOKUP($A120,'A0 BS 1240在建'!$1:$1048576,29,0),0)</f>
        <v>0</v>
      </c>
      <c r="AC120" s="158">
        <f>+X120+IFERROR(VLOOKUP($A120,'B0 2264預收'!$1:$1048576,29,0),0)</f>
        <v>0</v>
      </c>
      <c r="AD120" s="158">
        <f t="shared" si="162"/>
        <v>0</v>
      </c>
      <c r="AE120" s="158">
        <f>+Z120+IFERROR(+VLOOKUP($A120,'B0 2264預收'!$1:$1048576,30,0),0)</f>
        <v>0</v>
      </c>
      <c r="AF120" s="158">
        <f t="shared" si="163"/>
        <v>0</v>
      </c>
      <c r="AG120" s="157">
        <f>+AB120+IFERROR(VLOOKUP($A120,'A0 BS 1240在建'!$1:$1048576,33,0),0)</f>
        <v>0</v>
      </c>
      <c r="AH120" s="157">
        <f>+AC120+IFERROR(VLOOKUP($A120,'B0 2264預收'!$1:$1048576,33,0),0)</f>
        <v>0</v>
      </c>
      <c r="AI120" s="157">
        <f t="shared" si="164"/>
        <v>0</v>
      </c>
      <c r="AJ120" s="157">
        <f>+AE120+IFERROR(+VLOOKUP($A120,'B0 2264預收'!$1:$1048576,34,0),0)</f>
        <v>0</v>
      </c>
      <c r="AK120" s="157">
        <f t="shared" si="165"/>
        <v>0</v>
      </c>
      <c r="AL120" s="158">
        <f>+AG120+IFERROR(VLOOKUP($A120,'A0 BS 1240在建'!$1:$1048576,37,0),0)</f>
        <v>0</v>
      </c>
      <c r="AM120" s="158">
        <f>+AH120+IFERROR(VLOOKUP($A120,'B0 2264預收'!$1:$1048576,37,0),0)</f>
        <v>0</v>
      </c>
      <c r="AN120" s="158">
        <f t="shared" si="166"/>
        <v>0</v>
      </c>
      <c r="AO120" s="158">
        <f>+AJ120+IFERROR(+VLOOKUP($A120,'B0 2264預收'!$1:$1048576,38,0),0)</f>
        <v>0</v>
      </c>
      <c r="AP120" s="158">
        <f t="shared" si="167"/>
        <v>0</v>
      </c>
      <c r="AQ120" s="157">
        <f>+AL120+IFERROR(VLOOKUP($A120,'A0 BS 1240在建'!$1:$1048576,41,0),0)</f>
        <v>0</v>
      </c>
      <c r="AR120" s="157">
        <f>+AM120+IFERROR(VLOOKUP($A120,'B0 2264預收'!$1:$1048576,41,0),0)</f>
        <v>0</v>
      </c>
      <c r="AS120" s="157">
        <f t="shared" si="168"/>
        <v>0</v>
      </c>
      <c r="AT120" s="157">
        <f>+AO120+IFERROR(+VLOOKUP($A120,'B0 2264預收'!$1:$1048576,42,0),0)</f>
        <v>0</v>
      </c>
      <c r="AU120" s="157">
        <f t="shared" si="169"/>
        <v>0</v>
      </c>
      <c r="AV120" s="158">
        <f>+AQ120+IFERROR(VLOOKUP($A120,'A0 BS 1240在建'!$1:$1048576,45,0),0)</f>
        <v>0</v>
      </c>
      <c r="AW120" s="158">
        <f>+AR120+IFERROR(VLOOKUP($A120,'B0 2264預收'!$1:$1048576,45,0),0)</f>
        <v>0</v>
      </c>
      <c r="AX120" s="158">
        <f t="shared" si="170"/>
        <v>0</v>
      </c>
      <c r="AY120" s="158">
        <f>+AT120+IFERROR(+VLOOKUP($A120,'B0 2264預收'!$1:$1048576,46,0),0)</f>
        <v>0</v>
      </c>
      <c r="AZ120" s="158">
        <f t="shared" si="171"/>
        <v>0</v>
      </c>
      <c r="BA120" s="157">
        <f>+AV120+IFERROR(VLOOKUP($A120,'A0 BS 1240在建'!$1:$1048576,49,0),0)</f>
        <v>0</v>
      </c>
      <c r="BB120" s="157">
        <f>+AW120+IFERROR(VLOOKUP($A120,'B0 2264預收'!$1:$1048576,49,0),0)</f>
        <v>0</v>
      </c>
      <c r="BC120" s="157">
        <f t="shared" si="172"/>
        <v>0</v>
      </c>
      <c r="BD120" s="157">
        <f>+AY120+IFERROR(+VLOOKUP($A120,'B0 2264預收'!$1:$1048576,50,0),0)</f>
        <v>0</v>
      </c>
      <c r="BE120" s="157">
        <f t="shared" si="173"/>
        <v>0</v>
      </c>
      <c r="BF120" s="158">
        <f>+BA120+IFERROR(VLOOKUP($A120,'A0 BS 1240在建'!$1:$1048576,53,0),0)</f>
        <v>0</v>
      </c>
      <c r="BG120" s="158">
        <f>+BB120+IFERROR(VLOOKUP($A120,'B0 2264預收'!$1:$1048576,53,0),0)</f>
        <v>0</v>
      </c>
      <c r="BH120" s="158">
        <f t="shared" si="174"/>
        <v>0</v>
      </c>
      <c r="BI120" s="158">
        <f>+BD120+IFERROR(+VLOOKUP($A120,'B0 2264預收'!$1:$1048576,54,0),0)</f>
        <v>0</v>
      </c>
      <c r="BJ120" s="158">
        <f t="shared" si="175"/>
        <v>0</v>
      </c>
      <c r="BK120" s="157">
        <f>+BF120+IFERROR(VLOOKUP($A120,'A0 BS 1240在建'!$1:$1048576,57,0),0)</f>
        <v>0</v>
      </c>
      <c r="BL120" s="157">
        <f>+BG120+IFERROR(VLOOKUP($A120,'B0 2264預收'!$1:$1048576,57,0),0)</f>
        <v>0</v>
      </c>
      <c r="BM120" s="157">
        <f t="shared" si="176"/>
        <v>0</v>
      </c>
      <c r="BN120" s="157">
        <f>+BI120+IFERROR(+VLOOKUP($A120,'B0 2264預收'!$1:$1048576,58,0),0)</f>
        <v>0</v>
      </c>
      <c r="BO120" s="157">
        <f t="shared" si="177"/>
        <v>0</v>
      </c>
      <c r="BP120" s="158">
        <f>+BK120+IFERROR(VLOOKUP($A120,'A0 BS 1240在建'!$1:$1048576,61,0),0)</f>
        <v>0</v>
      </c>
      <c r="BQ120" s="158">
        <f>+BL120+IFERROR(VLOOKUP($A120,'B0 2264預收'!$1:$1048576,61,0),0)</f>
        <v>0</v>
      </c>
      <c r="BR120" s="159">
        <f t="shared" si="178"/>
        <v>0</v>
      </c>
      <c r="BS120" s="158">
        <f>+BN120+IFERROR(+VLOOKUP($A120,'B0 2264預收'!$1:$1048576,62,0),0)</f>
        <v>0</v>
      </c>
      <c r="BT120" s="158">
        <f t="shared" si="179"/>
        <v>0</v>
      </c>
      <c r="BU120" s="157">
        <f>+IFERROR(VLOOKUP($A120,'A0 BS 1240在建'!$1:$1048576,77,0),0)</f>
        <v>0</v>
      </c>
      <c r="BV120" s="157">
        <f>+IFERROR(VLOOKUP($A120,'B0 2264預收'!$1:$1048576,77,0),0)</f>
        <v>0</v>
      </c>
      <c r="BW120" s="157">
        <f t="shared" si="180"/>
        <v>0</v>
      </c>
      <c r="BX120" s="157">
        <f>+IFERROR(+VLOOKUP($A120,'B0 2264預收'!$1:$1048576,78,0),0)</f>
        <v>0</v>
      </c>
      <c r="BY120" s="157">
        <f t="shared" si="181"/>
        <v>0</v>
      </c>
      <c r="BZ120" s="158">
        <f>IFERROR(+VLOOKUP($A120,'A0 BS 1240在建'!$1:$1048576,85,0),0)</f>
        <v>0</v>
      </c>
      <c r="CA120" s="158">
        <f>IFERROR(+VLOOKUP($A120,'B0 2264預收'!$1:$1048576,85,0),0)</f>
        <v>0</v>
      </c>
      <c r="CB120" s="158">
        <f t="shared" si="182"/>
        <v>0</v>
      </c>
      <c r="CC120" s="158">
        <f>+IFERROR(+VLOOKUP($A120,'B0 2264預收'!$1:$1048576,86,0),0)</f>
        <v>0</v>
      </c>
      <c r="CD120" s="158">
        <f t="shared" si="183"/>
        <v>0</v>
      </c>
      <c r="CE120" s="157">
        <f>+IFERROR(VLOOKUP($A120,'A0 BS 1240在建'!$1:$1048576,93,0),0)</f>
        <v>0</v>
      </c>
      <c r="CF120" s="157">
        <f>+IFERROR(VLOOKUP($A120,'B0 2264預收'!$1:$1048576,93,0),0)</f>
        <v>0</v>
      </c>
      <c r="CG120" s="157">
        <f t="shared" si="184"/>
        <v>0</v>
      </c>
      <c r="CH120" s="157">
        <f>+IFERROR(+VLOOKUP($A120,'B0 2264預收'!$1:$1048576,94,0),0)</f>
        <v>0</v>
      </c>
      <c r="CI120" s="157">
        <f t="shared" si="185"/>
        <v>0</v>
      </c>
      <c r="CJ120" s="158">
        <f>IFERROR(+VLOOKUP($A120,'A0 BS 1240在建'!$1:$1048576,101,0),0)</f>
        <v>0</v>
      </c>
      <c r="CK120" s="158">
        <f>IFERROR(+VLOOKUP($A120,'B0 2264預收'!$1:$1048576,101,0),0)</f>
        <v>0</v>
      </c>
      <c r="CL120" s="158">
        <f t="shared" si="186"/>
        <v>0</v>
      </c>
      <c r="CM120" s="158">
        <f>+IFERROR(+VLOOKUP($A120,'B0 2264預收'!$1:$1048576,102,0),0)</f>
        <v>0</v>
      </c>
      <c r="CN120" s="158">
        <f t="shared" si="187"/>
        <v>0</v>
      </c>
      <c r="CY120" s="162"/>
      <c r="DC120" s="163"/>
      <c r="DD120" s="162"/>
      <c r="DH120" s="163"/>
    </row>
    <row r="121" spans="1:112" hidden="1">
      <c r="A121" s="175"/>
      <c r="B121" s="175"/>
      <c r="C121" s="157">
        <f>IFERROR(VLOOKUP($A121,'A0 BS 1240在建'!$1:$1048576,5,0),0)</f>
        <v>0</v>
      </c>
      <c r="D121" s="157">
        <f>IFERROR(VLOOKUP($A121,'B0 2264預收'!$1:$1048576,5,0),0)</f>
        <v>0</v>
      </c>
      <c r="E121" s="157">
        <f t="shared" si="152"/>
        <v>0</v>
      </c>
      <c r="F121" s="157">
        <f>IFERROR(VLOOKUP($A121,'B0 2264預收'!$1:$1048576,6,0),0)</f>
        <v>0</v>
      </c>
      <c r="G121" s="157">
        <f t="shared" si="153"/>
        <v>0</v>
      </c>
      <c r="H121" s="158">
        <f>IFERROR(VLOOKUP($A121,'A0 BS 1240在建'!$1:$1048576,13,0),0)</f>
        <v>0</v>
      </c>
      <c r="I121" s="158">
        <f>IFERROR(VLOOKUP($A121,'B0 2264預收'!$1:$1048576,13,0),0)</f>
        <v>0</v>
      </c>
      <c r="J121" s="158">
        <f t="shared" si="154"/>
        <v>0</v>
      </c>
      <c r="K121" s="158">
        <f>IFERROR(VLOOKUP($A121,'B0 2264預收'!$1:$1048576,14,0),0)</f>
        <v>0</v>
      </c>
      <c r="L121" s="158">
        <f t="shared" si="155"/>
        <v>0</v>
      </c>
      <c r="M121" s="157">
        <f>H121+IFERROR(VLOOKUP($A121,'A0 BS 1240在建'!$1:$1048576,17,0),0)</f>
        <v>0</v>
      </c>
      <c r="N121" s="157">
        <f>I121+IFERROR(VLOOKUP($A121,'B0 2264預收'!$1:$1048576,17,0),0)</f>
        <v>0</v>
      </c>
      <c r="O121" s="157">
        <f t="shared" si="156"/>
        <v>0</v>
      </c>
      <c r="P121" s="157">
        <f>K121+IFERROR(+VLOOKUP($A121,'B0 2264預收'!$1:$1048576,18,0),0)</f>
        <v>0</v>
      </c>
      <c r="Q121" s="157">
        <f t="shared" si="157"/>
        <v>0</v>
      </c>
      <c r="R121" s="158">
        <f>M121+IFERROR(VLOOKUP($A121,'A0 BS 1240在建'!$1:$1048576,21,0),0)</f>
        <v>0</v>
      </c>
      <c r="S121" s="158">
        <f>+N121+IFERROR(VLOOKUP($A121,'B0 2264預收'!$1:$1048576,21,0),0)</f>
        <v>0</v>
      </c>
      <c r="T121" s="158">
        <f t="shared" si="158"/>
        <v>0</v>
      </c>
      <c r="U121" s="158">
        <f>+P121+IFERROR(+VLOOKUP($A121,'B0 2264預收'!$1:$1048576,22,0),0)</f>
        <v>0</v>
      </c>
      <c r="V121" s="158">
        <f t="shared" si="159"/>
        <v>0</v>
      </c>
      <c r="W121" s="157">
        <f>+R121+IFERROR(VLOOKUP($A121,'A0 BS 1240在建'!$1:$1048576,25,0),0)</f>
        <v>0</v>
      </c>
      <c r="X121" s="157">
        <f>+S121+IFERROR(VLOOKUP($A121,'B0 2264預收'!$1:$1048576,25,0),0)</f>
        <v>0</v>
      </c>
      <c r="Y121" s="157">
        <f t="shared" si="160"/>
        <v>0</v>
      </c>
      <c r="Z121" s="157">
        <f>+U121+IFERROR(+VLOOKUP($A121,'B0 2264預收'!$1:$1048576,26,0),0)</f>
        <v>0</v>
      </c>
      <c r="AA121" s="157">
        <f t="shared" si="161"/>
        <v>0</v>
      </c>
      <c r="AB121" s="158">
        <f>+W121+IFERROR(VLOOKUP($A121,'A0 BS 1240在建'!$1:$1048576,29,0),0)</f>
        <v>0</v>
      </c>
      <c r="AC121" s="158">
        <f>+X121+IFERROR(VLOOKUP($A121,'B0 2264預收'!$1:$1048576,29,0),0)</f>
        <v>0</v>
      </c>
      <c r="AD121" s="158">
        <f t="shared" si="162"/>
        <v>0</v>
      </c>
      <c r="AE121" s="158">
        <f>+Z121+IFERROR(+VLOOKUP($A121,'B0 2264預收'!$1:$1048576,30,0),0)</f>
        <v>0</v>
      </c>
      <c r="AF121" s="158">
        <f t="shared" si="163"/>
        <v>0</v>
      </c>
      <c r="AG121" s="157">
        <f>+AB121+IFERROR(VLOOKUP($A121,'A0 BS 1240在建'!$1:$1048576,33,0),0)</f>
        <v>0</v>
      </c>
      <c r="AH121" s="157">
        <f>+AC121+IFERROR(VLOOKUP($A121,'B0 2264預收'!$1:$1048576,33,0),0)</f>
        <v>0</v>
      </c>
      <c r="AI121" s="157">
        <f t="shared" si="164"/>
        <v>0</v>
      </c>
      <c r="AJ121" s="157">
        <f>+AE121+IFERROR(+VLOOKUP($A121,'B0 2264預收'!$1:$1048576,34,0),0)</f>
        <v>0</v>
      </c>
      <c r="AK121" s="157">
        <f t="shared" si="165"/>
        <v>0</v>
      </c>
      <c r="AL121" s="158">
        <f>+AG121+IFERROR(VLOOKUP($A121,'A0 BS 1240在建'!$1:$1048576,37,0),0)</f>
        <v>0</v>
      </c>
      <c r="AM121" s="158">
        <f>+AH121+IFERROR(VLOOKUP($A121,'B0 2264預收'!$1:$1048576,37,0),0)</f>
        <v>0</v>
      </c>
      <c r="AN121" s="158">
        <f t="shared" si="166"/>
        <v>0</v>
      </c>
      <c r="AO121" s="158">
        <f>+AJ121+IFERROR(+VLOOKUP($A121,'B0 2264預收'!$1:$1048576,38,0),0)</f>
        <v>0</v>
      </c>
      <c r="AP121" s="158">
        <f t="shared" si="167"/>
        <v>0</v>
      </c>
      <c r="AQ121" s="157">
        <f>+AL121+IFERROR(VLOOKUP($A121,'A0 BS 1240在建'!$1:$1048576,41,0),0)</f>
        <v>0</v>
      </c>
      <c r="AR121" s="157">
        <f>+AM121+IFERROR(VLOOKUP($A121,'B0 2264預收'!$1:$1048576,41,0),0)</f>
        <v>0</v>
      </c>
      <c r="AS121" s="157">
        <f t="shared" si="168"/>
        <v>0</v>
      </c>
      <c r="AT121" s="157">
        <f>+AO121+IFERROR(+VLOOKUP($A121,'B0 2264預收'!$1:$1048576,42,0),0)</f>
        <v>0</v>
      </c>
      <c r="AU121" s="157">
        <f t="shared" si="169"/>
        <v>0</v>
      </c>
      <c r="AV121" s="158">
        <f>+AQ121+IFERROR(VLOOKUP($A121,'A0 BS 1240在建'!$1:$1048576,45,0),0)</f>
        <v>0</v>
      </c>
      <c r="AW121" s="158">
        <f>+AR121+IFERROR(VLOOKUP($A121,'B0 2264預收'!$1:$1048576,45,0),0)</f>
        <v>0</v>
      </c>
      <c r="AX121" s="158">
        <f t="shared" si="170"/>
        <v>0</v>
      </c>
      <c r="AY121" s="158">
        <f>+AT121+IFERROR(+VLOOKUP($A121,'B0 2264預收'!$1:$1048576,46,0),0)</f>
        <v>0</v>
      </c>
      <c r="AZ121" s="158">
        <f t="shared" si="171"/>
        <v>0</v>
      </c>
      <c r="BA121" s="157">
        <f>+AV121+IFERROR(VLOOKUP($A121,'A0 BS 1240在建'!$1:$1048576,49,0),0)</f>
        <v>0</v>
      </c>
      <c r="BB121" s="157">
        <f>+AW121+IFERROR(VLOOKUP($A121,'B0 2264預收'!$1:$1048576,49,0),0)</f>
        <v>0</v>
      </c>
      <c r="BC121" s="157">
        <f t="shared" si="172"/>
        <v>0</v>
      </c>
      <c r="BD121" s="157">
        <f>+AY121+IFERROR(+VLOOKUP($A121,'B0 2264預收'!$1:$1048576,50,0),0)</f>
        <v>0</v>
      </c>
      <c r="BE121" s="157">
        <f t="shared" si="173"/>
        <v>0</v>
      </c>
      <c r="BF121" s="158">
        <f>+BA121+IFERROR(VLOOKUP($A121,'A0 BS 1240在建'!$1:$1048576,53,0),0)</f>
        <v>0</v>
      </c>
      <c r="BG121" s="158">
        <f>+BB121+IFERROR(VLOOKUP($A121,'B0 2264預收'!$1:$1048576,53,0),0)</f>
        <v>0</v>
      </c>
      <c r="BH121" s="158">
        <f t="shared" si="174"/>
        <v>0</v>
      </c>
      <c r="BI121" s="158">
        <f>+BD121+IFERROR(+VLOOKUP($A121,'B0 2264預收'!$1:$1048576,54,0),0)</f>
        <v>0</v>
      </c>
      <c r="BJ121" s="158">
        <f t="shared" si="175"/>
        <v>0</v>
      </c>
      <c r="BK121" s="157">
        <f>+BF121+IFERROR(VLOOKUP($A121,'A0 BS 1240在建'!$1:$1048576,57,0),0)</f>
        <v>0</v>
      </c>
      <c r="BL121" s="157">
        <f>+BG121+IFERROR(VLOOKUP($A121,'B0 2264預收'!$1:$1048576,57,0),0)</f>
        <v>0</v>
      </c>
      <c r="BM121" s="157">
        <f t="shared" si="176"/>
        <v>0</v>
      </c>
      <c r="BN121" s="157">
        <f>+BI121+IFERROR(+VLOOKUP($A121,'B0 2264預收'!$1:$1048576,58,0),0)</f>
        <v>0</v>
      </c>
      <c r="BO121" s="157">
        <f t="shared" si="177"/>
        <v>0</v>
      </c>
      <c r="BP121" s="158">
        <f>+BK121+IFERROR(VLOOKUP($A121,'A0 BS 1240在建'!$1:$1048576,61,0),0)</f>
        <v>0</v>
      </c>
      <c r="BQ121" s="158">
        <f>+BL121+IFERROR(VLOOKUP($A121,'B0 2264預收'!$1:$1048576,61,0),0)</f>
        <v>0</v>
      </c>
      <c r="BR121" s="159">
        <f t="shared" si="178"/>
        <v>0</v>
      </c>
      <c r="BS121" s="158">
        <f>+BN121+IFERROR(+VLOOKUP($A121,'B0 2264預收'!$1:$1048576,62,0),0)</f>
        <v>0</v>
      </c>
      <c r="BT121" s="158">
        <f t="shared" si="179"/>
        <v>0</v>
      </c>
      <c r="BU121" s="157">
        <f>+IFERROR(VLOOKUP($A121,'A0 BS 1240在建'!$1:$1048576,77,0),0)</f>
        <v>0</v>
      </c>
      <c r="BV121" s="157">
        <f>+IFERROR(VLOOKUP($A121,'B0 2264預收'!$1:$1048576,77,0),0)</f>
        <v>0</v>
      </c>
      <c r="BW121" s="157">
        <f t="shared" si="180"/>
        <v>0</v>
      </c>
      <c r="BX121" s="157">
        <f>+IFERROR(+VLOOKUP($A121,'B0 2264預收'!$1:$1048576,78,0),0)</f>
        <v>0</v>
      </c>
      <c r="BY121" s="157">
        <f t="shared" si="181"/>
        <v>0</v>
      </c>
      <c r="BZ121" s="158">
        <f>IFERROR(+VLOOKUP($A121,'A0 BS 1240在建'!$1:$1048576,85,0),0)</f>
        <v>0</v>
      </c>
      <c r="CA121" s="158">
        <f>IFERROR(+VLOOKUP($A121,'B0 2264預收'!$1:$1048576,85,0),0)</f>
        <v>0</v>
      </c>
      <c r="CB121" s="158">
        <f t="shared" si="182"/>
        <v>0</v>
      </c>
      <c r="CC121" s="158">
        <f>+IFERROR(+VLOOKUP($A121,'B0 2264預收'!$1:$1048576,86,0),0)</f>
        <v>0</v>
      </c>
      <c r="CD121" s="158">
        <f t="shared" si="183"/>
        <v>0</v>
      </c>
      <c r="CE121" s="157">
        <f>+IFERROR(VLOOKUP($A121,'A0 BS 1240在建'!$1:$1048576,93,0),0)</f>
        <v>0</v>
      </c>
      <c r="CF121" s="157">
        <f>+IFERROR(VLOOKUP($A121,'B0 2264預收'!$1:$1048576,93,0),0)</f>
        <v>0</v>
      </c>
      <c r="CG121" s="157">
        <f t="shared" si="184"/>
        <v>0</v>
      </c>
      <c r="CH121" s="157">
        <f>+IFERROR(+VLOOKUP($A121,'B0 2264預收'!$1:$1048576,94,0),0)</f>
        <v>0</v>
      </c>
      <c r="CI121" s="157">
        <f t="shared" si="185"/>
        <v>0</v>
      </c>
      <c r="CJ121" s="158">
        <f>IFERROR(+VLOOKUP($A121,'A0 BS 1240在建'!$1:$1048576,101,0),0)</f>
        <v>0</v>
      </c>
      <c r="CK121" s="158">
        <f>IFERROR(+VLOOKUP($A121,'B0 2264預收'!$1:$1048576,101,0),0)</f>
        <v>0</v>
      </c>
      <c r="CL121" s="158">
        <f t="shared" si="186"/>
        <v>0</v>
      </c>
      <c r="CM121" s="158">
        <f>+IFERROR(+VLOOKUP($A121,'B0 2264預收'!$1:$1048576,102,0),0)</f>
        <v>0</v>
      </c>
      <c r="CN121" s="158">
        <f t="shared" si="187"/>
        <v>0</v>
      </c>
      <c r="CY121" s="162"/>
      <c r="DC121" s="163"/>
      <c r="DD121" s="162"/>
      <c r="DH121" s="163"/>
    </row>
    <row r="122" spans="1:112" hidden="1">
      <c r="A122" s="175"/>
      <c r="B122" s="175"/>
      <c r="C122" s="157">
        <f>IFERROR(VLOOKUP($A122,'A0 BS 1240在建'!$1:$1048576,5,0),0)</f>
        <v>0</v>
      </c>
      <c r="D122" s="157">
        <f>IFERROR(VLOOKUP($A122,'B0 2264預收'!$1:$1048576,5,0),0)</f>
        <v>0</v>
      </c>
      <c r="E122" s="157">
        <f t="shared" ref="E122:E142" si="203">+C122-D122</f>
        <v>0</v>
      </c>
      <c r="F122" s="157">
        <f>IFERROR(VLOOKUP($A122,'B0 2264預收'!$1:$1048576,6,0),0)</f>
        <v>0</v>
      </c>
      <c r="G122" s="157">
        <f t="shared" ref="G122:G142" si="204">+E122-F122</f>
        <v>0</v>
      </c>
      <c r="H122" s="158">
        <f>IFERROR(VLOOKUP($A122,'A0 BS 1240在建'!$1:$1048576,13,0),0)</f>
        <v>0</v>
      </c>
      <c r="I122" s="158">
        <f>IFERROR(VLOOKUP($A122,'B0 2264預收'!$1:$1048576,13,0),0)</f>
        <v>0</v>
      </c>
      <c r="J122" s="158">
        <f t="shared" ref="J122:J142" si="205">+H122-I122</f>
        <v>0</v>
      </c>
      <c r="K122" s="158">
        <f>IFERROR(VLOOKUP($A122,'B0 2264預收'!$1:$1048576,14,0),0)</f>
        <v>0</v>
      </c>
      <c r="L122" s="158">
        <f t="shared" ref="L122:L142" si="206">+H122-I122-K122</f>
        <v>0</v>
      </c>
      <c r="M122" s="157">
        <f>H122+IFERROR(VLOOKUP($A122,'A0 BS 1240在建'!$1:$1048576,17,0),0)</f>
        <v>0</v>
      </c>
      <c r="N122" s="157">
        <f>I122+IFERROR(VLOOKUP($A122,'B0 2264預收'!$1:$1048576,17,0),0)</f>
        <v>0</v>
      </c>
      <c r="O122" s="157">
        <f t="shared" ref="O122:O142" si="207">+M122-N122</f>
        <v>0</v>
      </c>
      <c r="P122" s="157">
        <f>K122+IFERROR(+VLOOKUP($A122,'B0 2264預收'!$1:$1048576,18,0),0)</f>
        <v>0</v>
      </c>
      <c r="Q122" s="157">
        <f t="shared" ref="Q122:Q142" si="208">+O122-P122</f>
        <v>0</v>
      </c>
      <c r="R122" s="158">
        <f>M122+IFERROR(VLOOKUP($A122,'A0 BS 1240在建'!$1:$1048576,21,0),0)</f>
        <v>0</v>
      </c>
      <c r="S122" s="158">
        <f>+N122+IFERROR(VLOOKUP($A122,'B0 2264預收'!$1:$1048576,21,0),0)</f>
        <v>0</v>
      </c>
      <c r="T122" s="158">
        <f t="shared" ref="T122:T142" si="209">+R122-S122</f>
        <v>0</v>
      </c>
      <c r="U122" s="158">
        <f>+P122+IFERROR(+VLOOKUP($A122,'B0 2264預收'!$1:$1048576,22,0),0)</f>
        <v>0</v>
      </c>
      <c r="V122" s="158">
        <f t="shared" ref="V122:V142" si="210">+T122-U122</f>
        <v>0</v>
      </c>
      <c r="W122" s="157">
        <f>+R122+IFERROR(VLOOKUP($A122,'A0 BS 1240在建'!$1:$1048576,25,0),0)</f>
        <v>0</v>
      </c>
      <c r="X122" s="157">
        <f>+S122+IFERROR(VLOOKUP($A122,'B0 2264預收'!$1:$1048576,25,0),0)</f>
        <v>0</v>
      </c>
      <c r="Y122" s="157">
        <f t="shared" ref="Y122:Y142" si="211">+W122-X122</f>
        <v>0</v>
      </c>
      <c r="Z122" s="157">
        <f>+U122+IFERROR(+VLOOKUP($A122,'B0 2264預收'!$1:$1048576,26,0),0)</f>
        <v>0</v>
      </c>
      <c r="AA122" s="157">
        <f t="shared" ref="AA122:AA142" si="212">+Y122-Z122</f>
        <v>0</v>
      </c>
      <c r="AB122" s="158">
        <f>+W122+IFERROR(VLOOKUP($A122,'A0 BS 1240在建'!$1:$1048576,29,0),0)</f>
        <v>0</v>
      </c>
      <c r="AC122" s="158">
        <f>+X122+IFERROR(VLOOKUP($A122,'B0 2264預收'!$1:$1048576,29,0),0)</f>
        <v>0</v>
      </c>
      <c r="AD122" s="158">
        <f t="shared" ref="AD122:AD142" si="213">+AB122-AC122</f>
        <v>0</v>
      </c>
      <c r="AE122" s="158">
        <f>+Z122+IFERROR(+VLOOKUP($A122,'B0 2264預收'!$1:$1048576,30,0),0)</f>
        <v>0</v>
      </c>
      <c r="AF122" s="158">
        <f t="shared" ref="AF122:AF142" si="214">+AD122-AE122</f>
        <v>0</v>
      </c>
      <c r="AG122" s="157">
        <f>+AB122+IFERROR(VLOOKUP($A122,'A0 BS 1240在建'!$1:$1048576,33,0),0)</f>
        <v>0</v>
      </c>
      <c r="AH122" s="157">
        <f>+AC122+IFERROR(VLOOKUP($A122,'B0 2264預收'!$1:$1048576,33,0),0)</f>
        <v>0</v>
      </c>
      <c r="AI122" s="157">
        <f t="shared" ref="AI122:AI142" si="215">+AG122-AH122</f>
        <v>0</v>
      </c>
      <c r="AJ122" s="157">
        <f>+AE122+IFERROR(+VLOOKUP($A122,'B0 2264預收'!$1:$1048576,34,0),0)</f>
        <v>0</v>
      </c>
      <c r="AK122" s="157">
        <f t="shared" ref="AK122:AK142" si="216">+AI122-AJ122</f>
        <v>0</v>
      </c>
      <c r="AL122" s="158">
        <f>+AG122+IFERROR(VLOOKUP($A122,'A0 BS 1240在建'!$1:$1048576,37,0),0)</f>
        <v>0</v>
      </c>
      <c r="AM122" s="158">
        <f>+AH122+IFERROR(VLOOKUP($A122,'B0 2264預收'!$1:$1048576,37,0),0)</f>
        <v>0</v>
      </c>
      <c r="AN122" s="158">
        <f t="shared" ref="AN122:AN142" si="217">+AL122-AM122</f>
        <v>0</v>
      </c>
      <c r="AO122" s="158">
        <f>+AJ122+IFERROR(+VLOOKUP($A122,'B0 2264預收'!$1:$1048576,38,0),0)</f>
        <v>0</v>
      </c>
      <c r="AP122" s="158">
        <f t="shared" ref="AP122:AP142" si="218">+AN122-AO122</f>
        <v>0</v>
      </c>
      <c r="AQ122" s="157">
        <f>+AL122+IFERROR(VLOOKUP($A122,'A0 BS 1240在建'!$1:$1048576,41,0),0)</f>
        <v>0</v>
      </c>
      <c r="AR122" s="157">
        <f>+AM122+IFERROR(VLOOKUP($A122,'B0 2264預收'!$1:$1048576,41,0),0)</f>
        <v>0</v>
      </c>
      <c r="AS122" s="157">
        <f t="shared" ref="AS122:AS142" si="219">+AQ122-AR122</f>
        <v>0</v>
      </c>
      <c r="AT122" s="157">
        <f>+AO122+IFERROR(+VLOOKUP($A122,'B0 2264預收'!$1:$1048576,42,0),0)</f>
        <v>0</v>
      </c>
      <c r="AU122" s="157">
        <f t="shared" ref="AU122:AU142" si="220">+AS122-AT122</f>
        <v>0</v>
      </c>
      <c r="AV122" s="158">
        <f>+AQ122+IFERROR(VLOOKUP($A122,'A0 BS 1240在建'!$1:$1048576,45,0),0)</f>
        <v>0</v>
      </c>
      <c r="AW122" s="158">
        <f>+AR122+IFERROR(VLOOKUP($A122,'B0 2264預收'!$1:$1048576,45,0),0)</f>
        <v>0</v>
      </c>
      <c r="AX122" s="158">
        <f t="shared" ref="AX122:AX142" si="221">+AV122-AW122</f>
        <v>0</v>
      </c>
      <c r="AY122" s="158">
        <f>+AT122+IFERROR(+VLOOKUP($A122,'B0 2264預收'!$1:$1048576,46,0),0)</f>
        <v>0</v>
      </c>
      <c r="AZ122" s="158">
        <f t="shared" ref="AZ122:AZ142" si="222">+AX122-AY122</f>
        <v>0</v>
      </c>
      <c r="BA122" s="157">
        <f>+AV122+IFERROR(VLOOKUP($A122,'A0 BS 1240在建'!$1:$1048576,49,0),0)</f>
        <v>0</v>
      </c>
      <c r="BB122" s="157">
        <f>+AW122+IFERROR(VLOOKUP($A122,'B0 2264預收'!$1:$1048576,49,0),0)</f>
        <v>0</v>
      </c>
      <c r="BC122" s="157">
        <f t="shared" ref="BC122:BC142" si="223">+BA122-BB122</f>
        <v>0</v>
      </c>
      <c r="BD122" s="157">
        <f>+AY122+IFERROR(+VLOOKUP($A122,'B0 2264預收'!$1:$1048576,50,0),0)</f>
        <v>0</v>
      </c>
      <c r="BE122" s="157">
        <f t="shared" ref="BE122:BE142" si="224">+BC122-BD122</f>
        <v>0</v>
      </c>
      <c r="BF122" s="158">
        <f>+BA122+IFERROR(VLOOKUP($A122,'A0 BS 1240在建'!$1:$1048576,53,0),0)</f>
        <v>0</v>
      </c>
      <c r="BG122" s="158">
        <f>+BB122+IFERROR(VLOOKUP($A122,'B0 2264預收'!$1:$1048576,53,0),0)</f>
        <v>0</v>
      </c>
      <c r="BH122" s="158">
        <f t="shared" ref="BH122:BH142" si="225">+BF122-BG122</f>
        <v>0</v>
      </c>
      <c r="BI122" s="158">
        <f>+BD122+IFERROR(+VLOOKUP($A122,'B0 2264預收'!$1:$1048576,54,0),0)</f>
        <v>0</v>
      </c>
      <c r="BJ122" s="158">
        <f t="shared" ref="BJ122:BJ142" si="226">+BH122-BI122</f>
        <v>0</v>
      </c>
      <c r="BK122" s="157">
        <f>+BF122+IFERROR(VLOOKUP($A122,'A0 BS 1240在建'!$1:$1048576,57,0),0)</f>
        <v>0</v>
      </c>
      <c r="BL122" s="157">
        <f>+BG122+IFERROR(VLOOKUP($A122,'B0 2264預收'!$1:$1048576,57,0),0)</f>
        <v>0</v>
      </c>
      <c r="BM122" s="157">
        <f t="shared" ref="BM122:BM142" si="227">+BK122-BL122</f>
        <v>0</v>
      </c>
      <c r="BN122" s="157">
        <f>+BI122+IFERROR(+VLOOKUP($A122,'B0 2264預收'!$1:$1048576,58,0),0)</f>
        <v>0</v>
      </c>
      <c r="BO122" s="157">
        <f t="shared" ref="BO122:BO142" si="228">+BM122-BN122</f>
        <v>0</v>
      </c>
      <c r="BP122" s="158">
        <f>+BK122+IFERROR(VLOOKUP($A122,'A0 BS 1240在建'!$1:$1048576,61,0),0)</f>
        <v>0</v>
      </c>
      <c r="BQ122" s="158">
        <f>+BL122+IFERROR(VLOOKUP($A122,'B0 2264預收'!$1:$1048576,61,0),0)</f>
        <v>0</v>
      </c>
      <c r="BR122" s="159">
        <f t="shared" ref="BR122:BR142" si="229">+BP122-BQ122</f>
        <v>0</v>
      </c>
      <c r="BS122" s="158">
        <f>+BN122+IFERROR(+VLOOKUP($A122,'B0 2264預收'!$1:$1048576,62,0),0)</f>
        <v>0</v>
      </c>
      <c r="BT122" s="158">
        <f t="shared" ref="BT122:BT142" si="230">+BR122-BS122</f>
        <v>0</v>
      </c>
      <c r="BU122" s="157">
        <f>+IFERROR(VLOOKUP($A122,'A0 BS 1240在建'!$1:$1048576,77,0),0)</f>
        <v>0</v>
      </c>
      <c r="BV122" s="157">
        <f>+IFERROR(VLOOKUP($A122,'B0 2264預收'!$1:$1048576,77,0),0)</f>
        <v>0</v>
      </c>
      <c r="BW122" s="157">
        <f t="shared" ref="BW122:BW142" si="231">+BU122-BV122</f>
        <v>0</v>
      </c>
      <c r="BX122" s="157">
        <f>+IFERROR(+VLOOKUP($A122,'B0 2264預收'!$1:$1048576,78,0),0)</f>
        <v>0</v>
      </c>
      <c r="BY122" s="157">
        <f t="shared" ref="BY122:BY142" si="232">+BW122-BX122</f>
        <v>0</v>
      </c>
      <c r="BZ122" s="158">
        <f>IFERROR(+VLOOKUP($A122,'A0 BS 1240在建'!$1:$1048576,85,0),0)</f>
        <v>0</v>
      </c>
      <c r="CA122" s="158">
        <f>IFERROR(+VLOOKUP($A122,'B0 2264預收'!$1:$1048576,85,0),0)</f>
        <v>0</v>
      </c>
      <c r="CB122" s="158">
        <f t="shared" ref="CB122:CB142" si="233">+BZ122-CA122</f>
        <v>0</v>
      </c>
      <c r="CC122" s="158">
        <f>+IFERROR(+VLOOKUP($A122,'B0 2264預收'!$1:$1048576,86,0),0)</f>
        <v>0</v>
      </c>
      <c r="CD122" s="158">
        <f t="shared" ref="CD122:CD142" si="234">+CB122-CC122</f>
        <v>0</v>
      </c>
      <c r="CE122" s="157">
        <f>+IFERROR(VLOOKUP($A122,'A0 BS 1240在建'!$1:$1048576,93,0),0)</f>
        <v>0</v>
      </c>
      <c r="CF122" s="157">
        <f>+IFERROR(VLOOKUP($A122,'B0 2264預收'!$1:$1048576,93,0),0)</f>
        <v>0</v>
      </c>
      <c r="CG122" s="157">
        <f t="shared" ref="CG122:CG142" si="235">+CE122-CF122</f>
        <v>0</v>
      </c>
      <c r="CH122" s="157">
        <f>+IFERROR(+VLOOKUP($A122,'B0 2264預收'!$1:$1048576,94,0),0)</f>
        <v>0</v>
      </c>
      <c r="CI122" s="157">
        <f t="shared" ref="CI122:CI142" si="236">+CG122-CH122</f>
        <v>0</v>
      </c>
      <c r="CJ122" s="158">
        <f>IFERROR(+VLOOKUP($A122,'A0 BS 1240在建'!$1:$1048576,101,0),0)</f>
        <v>0</v>
      </c>
      <c r="CK122" s="158">
        <f>IFERROR(+VLOOKUP($A122,'B0 2264預收'!$1:$1048576,101,0),0)</f>
        <v>0</v>
      </c>
      <c r="CL122" s="158">
        <f t="shared" ref="CL122:CL142" si="237">+CJ122-CK122</f>
        <v>0</v>
      </c>
      <c r="CM122" s="158">
        <f>+IFERROR(+VLOOKUP($A122,'B0 2264預收'!$1:$1048576,102,0),0)</f>
        <v>0</v>
      </c>
      <c r="CN122" s="158">
        <f t="shared" ref="CN122:CN142" si="238">+CL122-CM122</f>
        <v>0</v>
      </c>
      <c r="CY122" s="162"/>
      <c r="DC122" s="163"/>
      <c r="DD122" s="162"/>
      <c r="DH122" s="163"/>
    </row>
    <row r="123" spans="1:112" hidden="1">
      <c r="A123" s="175"/>
      <c r="B123" s="175"/>
      <c r="C123" s="157">
        <f>IFERROR(VLOOKUP($A123,'A0 BS 1240在建'!$1:$1048576,5,0),0)</f>
        <v>0</v>
      </c>
      <c r="D123" s="157">
        <f>IFERROR(VLOOKUP($A123,'B0 2264預收'!$1:$1048576,5,0),0)</f>
        <v>0</v>
      </c>
      <c r="E123" s="157">
        <f t="shared" si="203"/>
        <v>0</v>
      </c>
      <c r="F123" s="157">
        <f>IFERROR(VLOOKUP($A123,'B0 2264預收'!$1:$1048576,6,0),0)</f>
        <v>0</v>
      </c>
      <c r="G123" s="157">
        <f t="shared" si="204"/>
        <v>0</v>
      </c>
      <c r="H123" s="158">
        <f>IFERROR(VLOOKUP($A123,'A0 BS 1240在建'!$1:$1048576,13,0),0)</f>
        <v>0</v>
      </c>
      <c r="I123" s="158">
        <f>IFERROR(VLOOKUP($A123,'B0 2264預收'!$1:$1048576,13,0),0)</f>
        <v>0</v>
      </c>
      <c r="J123" s="158">
        <f t="shared" si="205"/>
        <v>0</v>
      </c>
      <c r="K123" s="158">
        <f>IFERROR(VLOOKUP($A123,'B0 2264預收'!$1:$1048576,14,0),0)</f>
        <v>0</v>
      </c>
      <c r="L123" s="158">
        <f t="shared" si="206"/>
        <v>0</v>
      </c>
      <c r="M123" s="157">
        <f>H123+IFERROR(VLOOKUP($A123,'A0 BS 1240在建'!$1:$1048576,17,0),0)</f>
        <v>0</v>
      </c>
      <c r="N123" s="157">
        <f>I123+IFERROR(VLOOKUP($A123,'B0 2264預收'!$1:$1048576,17,0),0)</f>
        <v>0</v>
      </c>
      <c r="O123" s="157">
        <f t="shared" si="207"/>
        <v>0</v>
      </c>
      <c r="P123" s="157">
        <f>K123+IFERROR(+VLOOKUP($A123,'B0 2264預收'!$1:$1048576,18,0),0)</f>
        <v>0</v>
      </c>
      <c r="Q123" s="157">
        <f t="shared" si="208"/>
        <v>0</v>
      </c>
      <c r="R123" s="158">
        <f>M123+IFERROR(VLOOKUP($A123,'A0 BS 1240在建'!$1:$1048576,21,0),0)</f>
        <v>0</v>
      </c>
      <c r="S123" s="158">
        <f>+N123+IFERROR(VLOOKUP($A123,'B0 2264預收'!$1:$1048576,21,0),0)</f>
        <v>0</v>
      </c>
      <c r="T123" s="158">
        <f t="shared" si="209"/>
        <v>0</v>
      </c>
      <c r="U123" s="158">
        <f>+P123+IFERROR(+VLOOKUP($A123,'B0 2264預收'!$1:$1048576,22,0),0)</f>
        <v>0</v>
      </c>
      <c r="V123" s="158">
        <f t="shared" si="210"/>
        <v>0</v>
      </c>
      <c r="W123" s="157">
        <f>+R123+IFERROR(VLOOKUP($A123,'A0 BS 1240在建'!$1:$1048576,25,0),0)</f>
        <v>0</v>
      </c>
      <c r="X123" s="157">
        <f>+S123+IFERROR(VLOOKUP($A123,'B0 2264預收'!$1:$1048576,25,0),0)</f>
        <v>0</v>
      </c>
      <c r="Y123" s="157">
        <f t="shared" si="211"/>
        <v>0</v>
      </c>
      <c r="Z123" s="157">
        <f>+U123+IFERROR(+VLOOKUP($A123,'B0 2264預收'!$1:$1048576,26,0),0)</f>
        <v>0</v>
      </c>
      <c r="AA123" s="157">
        <f t="shared" si="212"/>
        <v>0</v>
      </c>
      <c r="AB123" s="158">
        <f>+W123+IFERROR(VLOOKUP($A123,'A0 BS 1240在建'!$1:$1048576,29,0),0)</f>
        <v>0</v>
      </c>
      <c r="AC123" s="158">
        <f>+X123+IFERROR(VLOOKUP($A123,'B0 2264預收'!$1:$1048576,29,0),0)</f>
        <v>0</v>
      </c>
      <c r="AD123" s="158">
        <f t="shared" si="213"/>
        <v>0</v>
      </c>
      <c r="AE123" s="158">
        <f>+Z123+IFERROR(+VLOOKUP($A123,'B0 2264預收'!$1:$1048576,30,0),0)</f>
        <v>0</v>
      </c>
      <c r="AF123" s="158">
        <f t="shared" si="214"/>
        <v>0</v>
      </c>
      <c r="AG123" s="157">
        <f>+AB123+IFERROR(VLOOKUP($A123,'A0 BS 1240在建'!$1:$1048576,33,0),0)</f>
        <v>0</v>
      </c>
      <c r="AH123" s="157">
        <f>+AC123+IFERROR(VLOOKUP($A123,'B0 2264預收'!$1:$1048576,33,0),0)</f>
        <v>0</v>
      </c>
      <c r="AI123" s="157">
        <f t="shared" si="215"/>
        <v>0</v>
      </c>
      <c r="AJ123" s="157">
        <f>+AE123+IFERROR(+VLOOKUP($A123,'B0 2264預收'!$1:$1048576,34,0),0)</f>
        <v>0</v>
      </c>
      <c r="AK123" s="157">
        <f t="shared" si="216"/>
        <v>0</v>
      </c>
      <c r="AL123" s="158">
        <f>+AG123+IFERROR(VLOOKUP($A123,'A0 BS 1240在建'!$1:$1048576,37,0),0)</f>
        <v>0</v>
      </c>
      <c r="AM123" s="158">
        <f>+AH123+IFERROR(VLOOKUP($A123,'B0 2264預收'!$1:$1048576,37,0),0)</f>
        <v>0</v>
      </c>
      <c r="AN123" s="158">
        <f t="shared" si="217"/>
        <v>0</v>
      </c>
      <c r="AO123" s="158">
        <f>+AJ123+IFERROR(+VLOOKUP($A123,'B0 2264預收'!$1:$1048576,38,0),0)</f>
        <v>0</v>
      </c>
      <c r="AP123" s="158">
        <f t="shared" si="218"/>
        <v>0</v>
      </c>
      <c r="AQ123" s="157">
        <f>+AL123+IFERROR(VLOOKUP($A123,'A0 BS 1240在建'!$1:$1048576,41,0),0)</f>
        <v>0</v>
      </c>
      <c r="AR123" s="157">
        <f>+AM123+IFERROR(VLOOKUP($A123,'B0 2264預收'!$1:$1048576,41,0),0)</f>
        <v>0</v>
      </c>
      <c r="AS123" s="157">
        <f t="shared" si="219"/>
        <v>0</v>
      </c>
      <c r="AT123" s="157">
        <f>+AO123+IFERROR(+VLOOKUP($A123,'B0 2264預收'!$1:$1048576,42,0),0)</f>
        <v>0</v>
      </c>
      <c r="AU123" s="157">
        <f t="shared" si="220"/>
        <v>0</v>
      </c>
      <c r="AV123" s="158">
        <f>+AQ123+IFERROR(VLOOKUP($A123,'A0 BS 1240在建'!$1:$1048576,45,0),0)</f>
        <v>0</v>
      </c>
      <c r="AW123" s="158">
        <f>+AR123+IFERROR(VLOOKUP($A123,'B0 2264預收'!$1:$1048576,45,0),0)</f>
        <v>0</v>
      </c>
      <c r="AX123" s="158">
        <f t="shared" si="221"/>
        <v>0</v>
      </c>
      <c r="AY123" s="158">
        <f>+AT123+IFERROR(+VLOOKUP($A123,'B0 2264預收'!$1:$1048576,46,0),0)</f>
        <v>0</v>
      </c>
      <c r="AZ123" s="158">
        <f t="shared" si="222"/>
        <v>0</v>
      </c>
      <c r="BA123" s="157">
        <f>+AV123+IFERROR(VLOOKUP($A123,'A0 BS 1240在建'!$1:$1048576,49,0),0)</f>
        <v>0</v>
      </c>
      <c r="BB123" s="157">
        <f>+AW123+IFERROR(VLOOKUP($A123,'B0 2264預收'!$1:$1048576,49,0),0)</f>
        <v>0</v>
      </c>
      <c r="BC123" s="157">
        <f t="shared" si="223"/>
        <v>0</v>
      </c>
      <c r="BD123" s="157">
        <f>+AY123+IFERROR(+VLOOKUP($A123,'B0 2264預收'!$1:$1048576,50,0),0)</f>
        <v>0</v>
      </c>
      <c r="BE123" s="157">
        <f t="shared" si="224"/>
        <v>0</v>
      </c>
      <c r="BF123" s="158">
        <f>+BA123+IFERROR(VLOOKUP($A123,'A0 BS 1240在建'!$1:$1048576,53,0),0)</f>
        <v>0</v>
      </c>
      <c r="BG123" s="158">
        <f>+BB123+IFERROR(VLOOKUP($A123,'B0 2264預收'!$1:$1048576,53,0),0)</f>
        <v>0</v>
      </c>
      <c r="BH123" s="158">
        <f t="shared" si="225"/>
        <v>0</v>
      </c>
      <c r="BI123" s="158">
        <f>+BD123+IFERROR(+VLOOKUP($A123,'B0 2264預收'!$1:$1048576,54,0),0)</f>
        <v>0</v>
      </c>
      <c r="BJ123" s="158">
        <f t="shared" si="226"/>
        <v>0</v>
      </c>
      <c r="BK123" s="157">
        <f>+BF123+IFERROR(VLOOKUP($A123,'A0 BS 1240在建'!$1:$1048576,57,0),0)</f>
        <v>0</v>
      </c>
      <c r="BL123" s="157">
        <f>+BG123+IFERROR(VLOOKUP($A123,'B0 2264預收'!$1:$1048576,57,0),0)</f>
        <v>0</v>
      </c>
      <c r="BM123" s="157">
        <f t="shared" si="227"/>
        <v>0</v>
      </c>
      <c r="BN123" s="157">
        <f>+BI123+IFERROR(+VLOOKUP($A123,'B0 2264預收'!$1:$1048576,58,0),0)</f>
        <v>0</v>
      </c>
      <c r="BO123" s="157">
        <f t="shared" si="228"/>
        <v>0</v>
      </c>
      <c r="BP123" s="158">
        <f>+BK123+IFERROR(VLOOKUP($A123,'A0 BS 1240在建'!$1:$1048576,61,0),0)</f>
        <v>0</v>
      </c>
      <c r="BQ123" s="158">
        <f>+BL123+IFERROR(VLOOKUP($A123,'B0 2264預收'!$1:$1048576,61,0),0)</f>
        <v>0</v>
      </c>
      <c r="BR123" s="159">
        <f t="shared" si="229"/>
        <v>0</v>
      </c>
      <c r="BS123" s="158">
        <f>+BN123+IFERROR(+VLOOKUP($A123,'B0 2264預收'!$1:$1048576,62,0),0)</f>
        <v>0</v>
      </c>
      <c r="BT123" s="158">
        <f t="shared" si="230"/>
        <v>0</v>
      </c>
      <c r="BU123" s="157">
        <f>+IFERROR(VLOOKUP($A123,'A0 BS 1240在建'!$1:$1048576,77,0),0)</f>
        <v>0</v>
      </c>
      <c r="BV123" s="157">
        <f>+IFERROR(VLOOKUP($A123,'B0 2264預收'!$1:$1048576,77,0),0)</f>
        <v>0</v>
      </c>
      <c r="BW123" s="157">
        <f t="shared" si="231"/>
        <v>0</v>
      </c>
      <c r="BX123" s="157">
        <f>+IFERROR(+VLOOKUP($A123,'B0 2264預收'!$1:$1048576,78,0),0)</f>
        <v>0</v>
      </c>
      <c r="BY123" s="157">
        <f t="shared" si="232"/>
        <v>0</v>
      </c>
      <c r="BZ123" s="158">
        <f>IFERROR(+VLOOKUP($A123,'A0 BS 1240在建'!$1:$1048576,85,0),0)</f>
        <v>0</v>
      </c>
      <c r="CA123" s="158">
        <f>IFERROR(+VLOOKUP($A123,'B0 2264預收'!$1:$1048576,85,0),0)</f>
        <v>0</v>
      </c>
      <c r="CB123" s="158">
        <f t="shared" si="233"/>
        <v>0</v>
      </c>
      <c r="CC123" s="158">
        <f>+IFERROR(+VLOOKUP($A123,'B0 2264預收'!$1:$1048576,86,0),0)</f>
        <v>0</v>
      </c>
      <c r="CD123" s="158">
        <f t="shared" si="234"/>
        <v>0</v>
      </c>
      <c r="CE123" s="157">
        <f>+IFERROR(VLOOKUP($A123,'A0 BS 1240在建'!$1:$1048576,93,0),0)</f>
        <v>0</v>
      </c>
      <c r="CF123" s="157">
        <f>+IFERROR(VLOOKUP($A123,'B0 2264預收'!$1:$1048576,93,0),0)</f>
        <v>0</v>
      </c>
      <c r="CG123" s="157">
        <f t="shared" si="235"/>
        <v>0</v>
      </c>
      <c r="CH123" s="157">
        <f>+IFERROR(+VLOOKUP($A123,'B0 2264預收'!$1:$1048576,94,0),0)</f>
        <v>0</v>
      </c>
      <c r="CI123" s="157">
        <f t="shared" si="236"/>
        <v>0</v>
      </c>
      <c r="CJ123" s="158">
        <f>IFERROR(+VLOOKUP($A123,'A0 BS 1240在建'!$1:$1048576,101,0),0)</f>
        <v>0</v>
      </c>
      <c r="CK123" s="158">
        <f>IFERROR(+VLOOKUP($A123,'B0 2264預收'!$1:$1048576,101,0),0)</f>
        <v>0</v>
      </c>
      <c r="CL123" s="158">
        <f t="shared" si="237"/>
        <v>0</v>
      </c>
      <c r="CM123" s="158">
        <f>+IFERROR(+VLOOKUP($A123,'B0 2264預收'!$1:$1048576,102,0),0)</f>
        <v>0</v>
      </c>
      <c r="CN123" s="158">
        <f t="shared" si="238"/>
        <v>0</v>
      </c>
      <c r="CY123" s="162"/>
      <c r="DC123" s="163"/>
      <c r="DD123" s="162"/>
      <c r="DH123" s="163"/>
    </row>
    <row r="124" spans="1:112" hidden="1">
      <c r="A124" s="175"/>
      <c r="B124" s="175"/>
      <c r="C124" s="157">
        <f>IFERROR(VLOOKUP($A124,'A0 BS 1240在建'!$1:$1048576,5,0),0)</f>
        <v>0</v>
      </c>
      <c r="D124" s="157">
        <f>IFERROR(VLOOKUP($A124,'B0 2264預收'!$1:$1048576,5,0),0)</f>
        <v>0</v>
      </c>
      <c r="E124" s="157">
        <f t="shared" si="203"/>
        <v>0</v>
      </c>
      <c r="F124" s="157">
        <f>IFERROR(VLOOKUP($A124,'B0 2264預收'!$1:$1048576,6,0),0)</f>
        <v>0</v>
      </c>
      <c r="G124" s="157">
        <f t="shared" si="204"/>
        <v>0</v>
      </c>
      <c r="H124" s="158">
        <f>IFERROR(VLOOKUP($A124,'A0 BS 1240在建'!$1:$1048576,13,0),0)</f>
        <v>0</v>
      </c>
      <c r="I124" s="158">
        <f>IFERROR(VLOOKUP($A124,'B0 2264預收'!$1:$1048576,13,0),0)</f>
        <v>0</v>
      </c>
      <c r="J124" s="158">
        <f t="shared" si="205"/>
        <v>0</v>
      </c>
      <c r="K124" s="158">
        <f>IFERROR(VLOOKUP($A124,'B0 2264預收'!$1:$1048576,14,0),0)</f>
        <v>0</v>
      </c>
      <c r="L124" s="158">
        <f t="shared" si="206"/>
        <v>0</v>
      </c>
      <c r="M124" s="157">
        <f>H124+IFERROR(VLOOKUP($A124,'A0 BS 1240在建'!$1:$1048576,17,0),0)</f>
        <v>0</v>
      </c>
      <c r="N124" s="157">
        <f>I124+IFERROR(VLOOKUP($A124,'B0 2264預收'!$1:$1048576,17,0),0)</f>
        <v>0</v>
      </c>
      <c r="O124" s="157">
        <f t="shared" si="207"/>
        <v>0</v>
      </c>
      <c r="P124" s="157">
        <f>K124+IFERROR(+VLOOKUP($A124,'B0 2264預收'!$1:$1048576,18,0),0)</f>
        <v>0</v>
      </c>
      <c r="Q124" s="157">
        <f t="shared" si="208"/>
        <v>0</v>
      </c>
      <c r="R124" s="158">
        <f>M124+IFERROR(VLOOKUP($A124,'A0 BS 1240在建'!$1:$1048576,21,0),0)</f>
        <v>0</v>
      </c>
      <c r="S124" s="158">
        <f>+N124+IFERROR(VLOOKUP($A124,'B0 2264預收'!$1:$1048576,21,0),0)</f>
        <v>0</v>
      </c>
      <c r="T124" s="158">
        <f t="shared" si="209"/>
        <v>0</v>
      </c>
      <c r="U124" s="158">
        <f>+P124+IFERROR(+VLOOKUP($A124,'B0 2264預收'!$1:$1048576,22,0),0)</f>
        <v>0</v>
      </c>
      <c r="V124" s="158">
        <f t="shared" si="210"/>
        <v>0</v>
      </c>
      <c r="W124" s="157">
        <f>+R124+IFERROR(VLOOKUP($A124,'A0 BS 1240在建'!$1:$1048576,25,0),0)</f>
        <v>0</v>
      </c>
      <c r="X124" s="157">
        <f>+S124+IFERROR(VLOOKUP($A124,'B0 2264預收'!$1:$1048576,25,0),0)</f>
        <v>0</v>
      </c>
      <c r="Y124" s="157">
        <f t="shared" si="211"/>
        <v>0</v>
      </c>
      <c r="Z124" s="157">
        <f>+U124+IFERROR(+VLOOKUP($A124,'B0 2264預收'!$1:$1048576,26,0),0)</f>
        <v>0</v>
      </c>
      <c r="AA124" s="157">
        <f t="shared" si="212"/>
        <v>0</v>
      </c>
      <c r="AB124" s="158">
        <f>+W124+IFERROR(VLOOKUP($A124,'A0 BS 1240在建'!$1:$1048576,29,0),0)</f>
        <v>0</v>
      </c>
      <c r="AC124" s="158">
        <f>+X124+IFERROR(VLOOKUP($A124,'B0 2264預收'!$1:$1048576,29,0),0)</f>
        <v>0</v>
      </c>
      <c r="AD124" s="158">
        <f t="shared" si="213"/>
        <v>0</v>
      </c>
      <c r="AE124" s="158">
        <f>+Z124+IFERROR(+VLOOKUP($A124,'B0 2264預收'!$1:$1048576,30,0),0)</f>
        <v>0</v>
      </c>
      <c r="AF124" s="158">
        <f t="shared" si="214"/>
        <v>0</v>
      </c>
      <c r="AG124" s="157">
        <f>+AB124+IFERROR(VLOOKUP($A124,'A0 BS 1240在建'!$1:$1048576,33,0),0)</f>
        <v>0</v>
      </c>
      <c r="AH124" s="157">
        <f>+AC124+IFERROR(VLOOKUP($A124,'B0 2264預收'!$1:$1048576,33,0),0)</f>
        <v>0</v>
      </c>
      <c r="AI124" s="157">
        <f t="shared" si="215"/>
        <v>0</v>
      </c>
      <c r="AJ124" s="157">
        <f>+AE124+IFERROR(+VLOOKUP($A124,'B0 2264預收'!$1:$1048576,34,0),0)</f>
        <v>0</v>
      </c>
      <c r="AK124" s="157">
        <f t="shared" si="216"/>
        <v>0</v>
      </c>
      <c r="AL124" s="158">
        <f>+AG124+IFERROR(VLOOKUP($A124,'A0 BS 1240在建'!$1:$1048576,37,0),0)</f>
        <v>0</v>
      </c>
      <c r="AM124" s="158">
        <f>+AH124+IFERROR(VLOOKUP($A124,'B0 2264預收'!$1:$1048576,37,0),0)</f>
        <v>0</v>
      </c>
      <c r="AN124" s="158">
        <f t="shared" si="217"/>
        <v>0</v>
      </c>
      <c r="AO124" s="158">
        <f>+AJ124+IFERROR(+VLOOKUP($A124,'B0 2264預收'!$1:$1048576,38,0),0)</f>
        <v>0</v>
      </c>
      <c r="AP124" s="158">
        <f t="shared" si="218"/>
        <v>0</v>
      </c>
      <c r="AQ124" s="157">
        <f>+AL124+IFERROR(VLOOKUP($A124,'A0 BS 1240在建'!$1:$1048576,41,0),0)</f>
        <v>0</v>
      </c>
      <c r="AR124" s="157">
        <f>+AM124+IFERROR(VLOOKUP($A124,'B0 2264預收'!$1:$1048576,41,0),0)</f>
        <v>0</v>
      </c>
      <c r="AS124" s="157">
        <f t="shared" si="219"/>
        <v>0</v>
      </c>
      <c r="AT124" s="157">
        <f>+AO124+IFERROR(+VLOOKUP($A124,'B0 2264預收'!$1:$1048576,42,0),0)</f>
        <v>0</v>
      </c>
      <c r="AU124" s="157">
        <f t="shared" si="220"/>
        <v>0</v>
      </c>
      <c r="AV124" s="158">
        <f>+AQ124+IFERROR(VLOOKUP($A124,'A0 BS 1240在建'!$1:$1048576,45,0),0)</f>
        <v>0</v>
      </c>
      <c r="AW124" s="158">
        <f>+AR124+IFERROR(VLOOKUP($A124,'B0 2264預收'!$1:$1048576,45,0),0)</f>
        <v>0</v>
      </c>
      <c r="AX124" s="158">
        <f t="shared" si="221"/>
        <v>0</v>
      </c>
      <c r="AY124" s="158">
        <f>+AT124+IFERROR(+VLOOKUP($A124,'B0 2264預收'!$1:$1048576,46,0),0)</f>
        <v>0</v>
      </c>
      <c r="AZ124" s="158">
        <f t="shared" si="222"/>
        <v>0</v>
      </c>
      <c r="BA124" s="157">
        <f>+AV124+IFERROR(VLOOKUP($A124,'A0 BS 1240在建'!$1:$1048576,49,0),0)</f>
        <v>0</v>
      </c>
      <c r="BB124" s="157">
        <f>+AW124+IFERROR(VLOOKUP($A124,'B0 2264預收'!$1:$1048576,49,0),0)</f>
        <v>0</v>
      </c>
      <c r="BC124" s="157">
        <f t="shared" si="223"/>
        <v>0</v>
      </c>
      <c r="BD124" s="157">
        <f>+AY124+IFERROR(+VLOOKUP($A124,'B0 2264預收'!$1:$1048576,50,0),0)</f>
        <v>0</v>
      </c>
      <c r="BE124" s="157">
        <f t="shared" si="224"/>
        <v>0</v>
      </c>
      <c r="BF124" s="158">
        <f>+BA124+IFERROR(VLOOKUP($A124,'A0 BS 1240在建'!$1:$1048576,53,0),0)</f>
        <v>0</v>
      </c>
      <c r="BG124" s="158">
        <f>+BB124+IFERROR(VLOOKUP($A124,'B0 2264預收'!$1:$1048576,53,0),0)</f>
        <v>0</v>
      </c>
      <c r="BH124" s="158">
        <f t="shared" si="225"/>
        <v>0</v>
      </c>
      <c r="BI124" s="158">
        <f>+BD124+IFERROR(+VLOOKUP($A124,'B0 2264預收'!$1:$1048576,54,0),0)</f>
        <v>0</v>
      </c>
      <c r="BJ124" s="158">
        <f t="shared" si="226"/>
        <v>0</v>
      </c>
      <c r="BK124" s="157">
        <f>+BF124+IFERROR(VLOOKUP($A124,'A0 BS 1240在建'!$1:$1048576,57,0),0)</f>
        <v>0</v>
      </c>
      <c r="BL124" s="157">
        <f>+BG124+IFERROR(VLOOKUP($A124,'B0 2264預收'!$1:$1048576,57,0),0)</f>
        <v>0</v>
      </c>
      <c r="BM124" s="157">
        <f t="shared" si="227"/>
        <v>0</v>
      </c>
      <c r="BN124" s="157">
        <f>+BI124+IFERROR(+VLOOKUP($A124,'B0 2264預收'!$1:$1048576,58,0),0)</f>
        <v>0</v>
      </c>
      <c r="BO124" s="157">
        <f t="shared" si="228"/>
        <v>0</v>
      </c>
      <c r="BP124" s="158">
        <f>+BK124+IFERROR(VLOOKUP($A124,'A0 BS 1240在建'!$1:$1048576,61,0),0)</f>
        <v>0</v>
      </c>
      <c r="BQ124" s="158">
        <f>+BL124+IFERROR(VLOOKUP($A124,'B0 2264預收'!$1:$1048576,61,0),0)</f>
        <v>0</v>
      </c>
      <c r="BR124" s="159">
        <f t="shared" si="229"/>
        <v>0</v>
      </c>
      <c r="BS124" s="158">
        <f>+BN124+IFERROR(+VLOOKUP($A124,'B0 2264預收'!$1:$1048576,62,0),0)</f>
        <v>0</v>
      </c>
      <c r="BT124" s="158">
        <f t="shared" si="230"/>
        <v>0</v>
      </c>
      <c r="BU124" s="157">
        <f>+IFERROR(VLOOKUP($A124,'A0 BS 1240在建'!$1:$1048576,77,0),0)</f>
        <v>0</v>
      </c>
      <c r="BV124" s="157">
        <f>+IFERROR(VLOOKUP($A124,'B0 2264預收'!$1:$1048576,77,0),0)</f>
        <v>0</v>
      </c>
      <c r="BW124" s="157">
        <f t="shared" si="231"/>
        <v>0</v>
      </c>
      <c r="BX124" s="157">
        <f>+IFERROR(+VLOOKUP($A124,'B0 2264預收'!$1:$1048576,78,0),0)</f>
        <v>0</v>
      </c>
      <c r="BY124" s="157">
        <f t="shared" si="232"/>
        <v>0</v>
      </c>
      <c r="BZ124" s="158">
        <f>IFERROR(+VLOOKUP($A124,'A0 BS 1240在建'!$1:$1048576,85,0),0)</f>
        <v>0</v>
      </c>
      <c r="CA124" s="158">
        <f>IFERROR(+VLOOKUP($A124,'B0 2264預收'!$1:$1048576,85,0),0)</f>
        <v>0</v>
      </c>
      <c r="CB124" s="158">
        <f t="shared" si="233"/>
        <v>0</v>
      </c>
      <c r="CC124" s="158">
        <f>+IFERROR(+VLOOKUP($A124,'B0 2264預收'!$1:$1048576,86,0),0)</f>
        <v>0</v>
      </c>
      <c r="CD124" s="158">
        <f t="shared" si="234"/>
        <v>0</v>
      </c>
      <c r="CE124" s="157">
        <f>+IFERROR(VLOOKUP($A124,'A0 BS 1240在建'!$1:$1048576,93,0),0)</f>
        <v>0</v>
      </c>
      <c r="CF124" s="157">
        <f>+IFERROR(VLOOKUP($A124,'B0 2264預收'!$1:$1048576,93,0),0)</f>
        <v>0</v>
      </c>
      <c r="CG124" s="157">
        <f t="shared" si="235"/>
        <v>0</v>
      </c>
      <c r="CH124" s="157">
        <f>+IFERROR(+VLOOKUP($A124,'B0 2264預收'!$1:$1048576,94,0),0)</f>
        <v>0</v>
      </c>
      <c r="CI124" s="157">
        <f t="shared" si="236"/>
        <v>0</v>
      </c>
      <c r="CJ124" s="158">
        <f>IFERROR(+VLOOKUP($A124,'A0 BS 1240在建'!$1:$1048576,101,0),0)</f>
        <v>0</v>
      </c>
      <c r="CK124" s="158">
        <f>IFERROR(+VLOOKUP($A124,'B0 2264預收'!$1:$1048576,101,0),0)</f>
        <v>0</v>
      </c>
      <c r="CL124" s="158">
        <f t="shared" si="237"/>
        <v>0</v>
      </c>
      <c r="CM124" s="158">
        <f>+IFERROR(+VLOOKUP($A124,'B0 2264預收'!$1:$1048576,102,0),0)</f>
        <v>0</v>
      </c>
      <c r="CN124" s="158">
        <f t="shared" si="238"/>
        <v>0</v>
      </c>
      <c r="CY124" s="162"/>
      <c r="DC124" s="163"/>
      <c r="DD124" s="162"/>
      <c r="DH124" s="163"/>
    </row>
    <row r="125" spans="1:112" hidden="1">
      <c r="A125" s="175"/>
      <c r="B125" s="175"/>
      <c r="C125" s="157">
        <f>IFERROR(VLOOKUP($A125,'A0 BS 1240在建'!$1:$1048576,5,0),0)</f>
        <v>0</v>
      </c>
      <c r="D125" s="157">
        <f>IFERROR(VLOOKUP($A125,'B0 2264預收'!$1:$1048576,5,0),0)</f>
        <v>0</v>
      </c>
      <c r="E125" s="157">
        <f t="shared" si="203"/>
        <v>0</v>
      </c>
      <c r="F125" s="157">
        <f>IFERROR(VLOOKUP($A125,'B0 2264預收'!$1:$1048576,6,0),0)</f>
        <v>0</v>
      </c>
      <c r="G125" s="157">
        <f t="shared" si="204"/>
        <v>0</v>
      </c>
      <c r="H125" s="158">
        <f>IFERROR(VLOOKUP($A125,'A0 BS 1240在建'!$1:$1048576,13,0),0)</f>
        <v>0</v>
      </c>
      <c r="I125" s="158">
        <f>IFERROR(VLOOKUP($A125,'B0 2264預收'!$1:$1048576,13,0),0)</f>
        <v>0</v>
      </c>
      <c r="J125" s="158">
        <f t="shared" si="205"/>
        <v>0</v>
      </c>
      <c r="K125" s="158">
        <f>IFERROR(VLOOKUP($A125,'B0 2264預收'!$1:$1048576,14,0),0)</f>
        <v>0</v>
      </c>
      <c r="L125" s="158">
        <f t="shared" si="206"/>
        <v>0</v>
      </c>
      <c r="M125" s="157">
        <f>H125+IFERROR(VLOOKUP($A125,'A0 BS 1240在建'!$1:$1048576,17,0),0)</f>
        <v>0</v>
      </c>
      <c r="N125" s="157">
        <f>I125+IFERROR(VLOOKUP($A125,'B0 2264預收'!$1:$1048576,17,0),0)</f>
        <v>0</v>
      </c>
      <c r="O125" s="157">
        <f t="shared" si="207"/>
        <v>0</v>
      </c>
      <c r="P125" s="157">
        <f>K125+IFERROR(+VLOOKUP($A125,'B0 2264預收'!$1:$1048576,18,0),0)</f>
        <v>0</v>
      </c>
      <c r="Q125" s="157">
        <f t="shared" si="208"/>
        <v>0</v>
      </c>
      <c r="R125" s="158">
        <f>M125+IFERROR(VLOOKUP($A125,'A0 BS 1240在建'!$1:$1048576,21,0),0)</f>
        <v>0</v>
      </c>
      <c r="S125" s="158">
        <f>+N125+IFERROR(VLOOKUP($A125,'B0 2264預收'!$1:$1048576,21,0),0)</f>
        <v>0</v>
      </c>
      <c r="T125" s="158">
        <f t="shared" si="209"/>
        <v>0</v>
      </c>
      <c r="U125" s="158">
        <f>+P125+IFERROR(+VLOOKUP($A125,'B0 2264預收'!$1:$1048576,22,0),0)</f>
        <v>0</v>
      </c>
      <c r="V125" s="158">
        <f t="shared" si="210"/>
        <v>0</v>
      </c>
      <c r="W125" s="157">
        <f>+R125+IFERROR(VLOOKUP($A125,'A0 BS 1240在建'!$1:$1048576,25,0),0)</f>
        <v>0</v>
      </c>
      <c r="X125" s="157">
        <f>+S125+IFERROR(VLOOKUP($A125,'B0 2264預收'!$1:$1048576,25,0),0)</f>
        <v>0</v>
      </c>
      <c r="Y125" s="157">
        <f t="shared" si="211"/>
        <v>0</v>
      </c>
      <c r="Z125" s="157">
        <f>+U125+IFERROR(+VLOOKUP($A125,'B0 2264預收'!$1:$1048576,26,0),0)</f>
        <v>0</v>
      </c>
      <c r="AA125" s="157">
        <f t="shared" si="212"/>
        <v>0</v>
      </c>
      <c r="AB125" s="158">
        <f>+W125+IFERROR(VLOOKUP($A125,'A0 BS 1240在建'!$1:$1048576,29,0),0)</f>
        <v>0</v>
      </c>
      <c r="AC125" s="158">
        <f>+X125+IFERROR(VLOOKUP($A125,'B0 2264預收'!$1:$1048576,29,0),0)</f>
        <v>0</v>
      </c>
      <c r="AD125" s="158">
        <f t="shared" si="213"/>
        <v>0</v>
      </c>
      <c r="AE125" s="158">
        <f>+Z125+IFERROR(+VLOOKUP($A125,'B0 2264預收'!$1:$1048576,30,0),0)</f>
        <v>0</v>
      </c>
      <c r="AF125" s="158">
        <f t="shared" si="214"/>
        <v>0</v>
      </c>
      <c r="AG125" s="157">
        <f>+AB125+IFERROR(VLOOKUP($A125,'A0 BS 1240在建'!$1:$1048576,33,0),0)</f>
        <v>0</v>
      </c>
      <c r="AH125" s="157">
        <f>+AC125+IFERROR(VLOOKUP($A125,'B0 2264預收'!$1:$1048576,33,0),0)</f>
        <v>0</v>
      </c>
      <c r="AI125" s="157">
        <f t="shared" si="215"/>
        <v>0</v>
      </c>
      <c r="AJ125" s="157">
        <f>+AE125+IFERROR(+VLOOKUP($A125,'B0 2264預收'!$1:$1048576,34,0),0)</f>
        <v>0</v>
      </c>
      <c r="AK125" s="157">
        <f t="shared" si="216"/>
        <v>0</v>
      </c>
      <c r="AL125" s="158">
        <f>+AG125+IFERROR(VLOOKUP($A125,'A0 BS 1240在建'!$1:$1048576,37,0),0)</f>
        <v>0</v>
      </c>
      <c r="AM125" s="158">
        <f>+AH125+IFERROR(VLOOKUP($A125,'B0 2264預收'!$1:$1048576,37,0),0)</f>
        <v>0</v>
      </c>
      <c r="AN125" s="158">
        <f t="shared" si="217"/>
        <v>0</v>
      </c>
      <c r="AO125" s="158">
        <f>+AJ125+IFERROR(+VLOOKUP($A125,'B0 2264預收'!$1:$1048576,38,0),0)</f>
        <v>0</v>
      </c>
      <c r="AP125" s="158">
        <f t="shared" si="218"/>
        <v>0</v>
      </c>
      <c r="AQ125" s="157">
        <f>+AL125+IFERROR(VLOOKUP($A125,'A0 BS 1240在建'!$1:$1048576,41,0),0)</f>
        <v>0</v>
      </c>
      <c r="AR125" s="157">
        <f>+AM125+IFERROR(VLOOKUP($A125,'B0 2264預收'!$1:$1048576,41,0),0)</f>
        <v>0</v>
      </c>
      <c r="AS125" s="157">
        <f t="shared" si="219"/>
        <v>0</v>
      </c>
      <c r="AT125" s="157">
        <f>+AO125+IFERROR(+VLOOKUP($A125,'B0 2264預收'!$1:$1048576,42,0),0)</f>
        <v>0</v>
      </c>
      <c r="AU125" s="157">
        <f t="shared" si="220"/>
        <v>0</v>
      </c>
      <c r="AV125" s="158">
        <f>+AQ125+IFERROR(VLOOKUP($A125,'A0 BS 1240在建'!$1:$1048576,45,0),0)</f>
        <v>0</v>
      </c>
      <c r="AW125" s="158">
        <f>+AR125+IFERROR(VLOOKUP($A125,'B0 2264預收'!$1:$1048576,45,0),0)</f>
        <v>0</v>
      </c>
      <c r="AX125" s="158">
        <f t="shared" si="221"/>
        <v>0</v>
      </c>
      <c r="AY125" s="158">
        <f>+AT125+IFERROR(+VLOOKUP($A125,'B0 2264預收'!$1:$1048576,46,0),0)</f>
        <v>0</v>
      </c>
      <c r="AZ125" s="158">
        <f t="shared" si="222"/>
        <v>0</v>
      </c>
      <c r="BA125" s="157">
        <f>+AV125+IFERROR(VLOOKUP($A125,'A0 BS 1240在建'!$1:$1048576,49,0),0)</f>
        <v>0</v>
      </c>
      <c r="BB125" s="157">
        <f>+AW125+IFERROR(VLOOKUP($A125,'B0 2264預收'!$1:$1048576,49,0),0)</f>
        <v>0</v>
      </c>
      <c r="BC125" s="157">
        <f t="shared" si="223"/>
        <v>0</v>
      </c>
      <c r="BD125" s="157">
        <f>+AY125+IFERROR(+VLOOKUP($A125,'B0 2264預收'!$1:$1048576,50,0),0)</f>
        <v>0</v>
      </c>
      <c r="BE125" s="157">
        <f t="shared" si="224"/>
        <v>0</v>
      </c>
      <c r="BF125" s="158">
        <f>+BA125+IFERROR(VLOOKUP($A125,'A0 BS 1240在建'!$1:$1048576,53,0),0)</f>
        <v>0</v>
      </c>
      <c r="BG125" s="158">
        <f>+BB125+IFERROR(VLOOKUP($A125,'B0 2264預收'!$1:$1048576,53,0),0)</f>
        <v>0</v>
      </c>
      <c r="BH125" s="158">
        <f t="shared" si="225"/>
        <v>0</v>
      </c>
      <c r="BI125" s="158">
        <f>+BD125+IFERROR(+VLOOKUP($A125,'B0 2264預收'!$1:$1048576,54,0),0)</f>
        <v>0</v>
      </c>
      <c r="BJ125" s="158">
        <f t="shared" si="226"/>
        <v>0</v>
      </c>
      <c r="BK125" s="157">
        <f>+BF125+IFERROR(VLOOKUP($A125,'A0 BS 1240在建'!$1:$1048576,57,0),0)</f>
        <v>0</v>
      </c>
      <c r="BL125" s="157">
        <f>+BG125+IFERROR(VLOOKUP($A125,'B0 2264預收'!$1:$1048576,57,0),0)</f>
        <v>0</v>
      </c>
      <c r="BM125" s="157">
        <f t="shared" si="227"/>
        <v>0</v>
      </c>
      <c r="BN125" s="157">
        <f>+BI125+IFERROR(+VLOOKUP($A125,'B0 2264預收'!$1:$1048576,58,0),0)</f>
        <v>0</v>
      </c>
      <c r="BO125" s="157">
        <f t="shared" si="228"/>
        <v>0</v>
      </c>
      <c r="BP125" s="158">
        <f>+BK125+IFERROR(VLOOKUP($A125,'A0 BS 1240在建'!$1:$1048576,61,0),0)</f>
        <v>0</v>
      </c>
      <c r="BQ125" s="158">
        <f>+BL125+IFERROR(VLOOKUP($A125,'B0 2264預收'!$1:$1048576,61,0),0)</f>
        <v>0</v>
      </c>
      <c r="BR125" s="159">
        <f t="shared" si="229"/>
        <v>0</v>
      </c>
      <c r="BS125" s="158">
        <f>+BN125+IFERROR(+VLOOKUP($A125,'B0 2264預收'!$1:$1048576,62,0),0)</f>
        <v>0</v>
      </c>
      <c r="BT125" s="158">
        <f t="shared" si="230"/>
        <v>0</v>
      </c>
      <c r="BU125" s="157">
        <f>+IFERROR(VLOOKUP($A125,'A0 BS 1240在建'!$1:$1048576,77,0),0)</f>
        <v>0</v>
      </c>
      <c r="BV125" s="157">
        <f>+IFERROR(VLOOKUP($A125,'B0 2264預收'!$1:$1048576,77,0),0)</f>
        <v>0</v>
      </c>
      <c r="BW125" s="157">
        <f t="shared" si="231"/>
        <v>0</v>
      </c>
      <c r="BX125" s="157">
        <f>+IFERROR(+VLOOKUP($A125,'B0 2264預收'!$1:$1048576,78,0),0)</f>
        <v>0</v>
      </c>
      <c r="BY125" s="157">
        <f t="shared" si="232"/>
        <v>0</v>
      </c>
      <c r="BZ125" s="158">
        <f>IFERROR(+VLOOKUP($A125,'A0 BS 1240在建'!$1:$1048576,85,0),0)</f>
        <v>0</v>
      </c>
      <c r="CA125" s="158">
        <f>IFERROR(+VLOOKUP($A125,'B0 2264預收'!$1:$1048576,85,0),0)</f>
        <v>0</v>
      </c>
      <c r="CB125" s="158">
        <f t="shared" si="233"/>
        <v>0</v>
      </c>
      <c r="CC125" s="158">
        <f>+IFERROR(+VLOOKUP($A125,'B0 2264預收'!$1:$1048576,86,0),0)</f>
        <v>0</v>
      </c>
      <c r="CD125" s="158">
        <f t="shared" si="234"/>
        <v>0</v>
      </c>
      <c r="CE125" s="157">
        <f>+IFERROR(VLOOKUP($A125,'A0 BS 1240在建'!$1:$1048576,93,0),0)</f>
        <v>0</v>
      </c>
      <c r="CF125" s="157">
        <f>+IFERROR(VLOOKUP($A125,'B0 2264預收'!$1:$1048576,93,0),0)</f>
        <v>0</v>
      </c>
      <c r="CG125" s="157">
        <f t="shared" si="235"/>
        <v>0</v>
      </c>
      <c r="CH125" s="157">
        <f>+IFERROR(+VLOOKUP($A125,'B0 2264預收'!$1:$1048576,94,0),0)</f>
        <v>0</v>
      </c>
      <c r="CI125" s="157">
        <f t="shared" si="236"/>
        <v>0</v>
      </c>
      <c r="CJ125" s="158">
        <f>IFERROR(+VLOOKUP($A125,'A0 BS 1240在建'!$1:$1048576,101,0),0)</f>
        <v>0</v>
      </c>
      <c r="CK125" s="158">
        <f>IFERROR(+VLOOKUP($A125,'B0 2264預收'!$1:$1048576,101,0),0)</f>
        <v>0</v>
      </c>
      <c r="CL125" s="158">
        <f t="shared" si="237"/>
        <v>0</v>
      </c>
      <c r="CM125" s="158">
        <f>+IFERROR(+VLOOKUP($A125,'B0 2264預收'!$1:$1048576,102,0),0)</f>
        <v>0</v>
      </c>
      <c r="CN125" s="158">
        <f t="shared" si="238"/>
        <v>0</v>
      </c>
      <c r="CY125" s="162"/>
      <c r="DC125" s="163"/>
      <c r="DD125" s="162"/>
      <c r="DH125" s="163"/>
    </row>
    <row r="126" spans="1:112" hidden="1">
      <c r="A126" s="175"/>
      <c r="B126" s="175"/>
      <c r="C126" s="157">
        <f>IFERROR(VLOOKUP($A126,'A0 BS 1240在建'!$1:$1048576,5,0),0)</f>
        <v>0</v>
      </c>
      <c r="D126" s="157">
        <f>IFERROR(VLOOKUP($A126,'B0 2264預收'!$1:$1048576,5,0),0)</f>
        <v>0</v>
      </c>
      <c r="E126" s="157">
        <f t="shared" si="203"/>
        <v>0</v>
      </c>
      <c r="F126" s="157">
        <f>IFERROR(VLOOKUP($A126,'B0 2264預收'!$1:$1048576,6,0),0)</f>
        <v>0</v>
      </c>
      <c r="G126" s="157">
        <f t="shared" si="204"/>
        <v>0</v>
      </c>
      <c r="H126" s="158">
        <f>IFERROR(VLOOKUP($A126,'A0 BS 1240在建'!$1:$1048576,13,0),0)</f>
        <v>0</v>
      </c>
      <c r="I126" s="158">
        <f>IFERROR(VLOOKUP($A126,'B0 2264預收'!$1:$1048576,13,0),0)</f>
        <v>0</v>
      </c>
      <c r="J126" s="158">
        <f t="shared" si="205"/>
        <v>0</v>
      </c>
      <c r="K126" s="158">
        <f>IFERROR(VLOOKUP($A126,'B0 2264預收'!$1:$1048576,14,0),0)</f>
        <v>0</v>
      </c>
      <c r="L126" s="158">
        <f t="shared" si="206"/>
        <v>0</v>
      </c>
      <c r="M126" s="157">
        <f>H126+IFERROR(VLOOKUP($A126,'A0 BS 1240在建'!$1:$1048576,17,0),0)</f>
        <v>0</v>
      </c>
      <c r="N126" s="157">
        <f>I126+IFERROR(VLOOKUP($A126,'B0 2264預收'!$1:$1048576,17,0),0)</f>
        <v>0</v>
      </c>
      <c r="O126" s="157">
        <f t="shared" si="207"/>
        <v>0</v>
      </c>
      <c r="P126" s="157">
        <f>K126+IFERROR(+VLOOKUP($A126,'B0 2264預收'!$1:$1048576,18,0),0)</f>
        <v>0</v>
      </c>
      <c r="Q126" s="157">
        <f t="shared" si="208"/>
        <v>0</v>
      </c>
      <c r="R126" s="158">
        <f>M126+IFERROR(VLOOKUP($A126,'A0 BS 1240在建'!$1:$1048576,21,0),0)</f>
        <v>0</v>
      </c>
      <c r="S126" s="158">
        <f>+N126+IFERROR(VLOOKUP($A126,'B0 2264預收'!$1:$1048576,21,0),0)</f>
        <v>0</v>
      </c>
      <c r="T126" s="158">
        <f t="shared" si="209"/>
        <v>0</v>
      </c>
      <c r="U126" s="158">
        <f>+P126+IFERROR(+VLOOKUP($A126,'B0 2264預收'!$1:$1048576,22,0),0)</f>
        <v>0</v>
      </c>
      <c r="V126" s="158">
        <f t="shared" si="210"/>
        <v>0</v>
      </c>
      <c r="W126" s="157">
        <f>+R126+IFERROR(VLOOKUP($A126,'A0 BS 1240在建'!$1:$1048576,25,0),0)</f>
        <v>0</v>
      </c>
      <c r="X126" s="157">
        <f>+S126+IFERROR(VLOOKUP($A126,'B0 2264預收'!$1:$1048576,25,0),0)</f>
        <v>0</v>
      </c>
      <c r="Y126" s="157">
        <f t="shared" si="211"/>
        <v>0</v>
      </c>
      <c r="Z126" s="157">
        <f>+U126+IFERROR(+VLOOKUP($A126,'B0 2264預收'!$1:$1048576,26,0),0)</f>
        <v>0</v>
      </c>
      <c r="AA126" s="157">
        <f t="shared" si="212"/>
        <v>0</v>
      </c>
      <c r="AB126" s="158">
        <f>+W126+IFERROR(VLOOKUP($A126,'A0 BS 1240在建'!$1:$1048576,29,0),0)</f>
        <v>0</v>
      </c>
      <c r="AC126" s="158">
        <f>+X126+IFERROR(VLOOKUP($A126,'B0 2264預收'!$1:$1048576,29,0),0)</f>
        <v>0</v>
      </c>
      <c r="AD126" s="158">
        <f t="shared" si="213"/>
        <v>0</v>
      </c>
      <c r="AE126" s="158">
        <f>+Z126+IFERROR(+VLOOKUP($A126,'B0 2264預收'!$1:$1048576,30,0),0)</f>
        <v>0</v>
      </c>
      <c r="AF126" s="158">
        <f t="shared" si="214"/>
        <v>0</v>
      </c>
      <c r="AG126" s="157">
        <f>+AB126+IFERROR(VLOOKUP($A126,'A0 BS 1240在建'!$1:$1048576,33,0),0)</f>
        <v>0</v>
      </c>
      <c r="AH126" s="157">
        <f>+AC126+IFERROR(VLOOKUP($A126,'B0 2264預收'!$1:$1048576,33,0),0)</f>
        <v>0</v>
      </c>
      <c r="AI126" s="157">
        <f t="shared" si="215"/>
        <v>0</v>
      </c>
      <c r="AJ126" s="157">
        <f>+AE126+IFERROR(+VLOOKUP($A126,'B0 2264預收'!$1:$1048576,34,0),0)</f>
        <v>0</v>
      </c>
      <c r="AK126" s="157">
        <f t="shared" si="216"/>
        <v>0</v>
      </c>
      <c r="AL126" s="158">
        <f>+AG126+IFERROR(VLOOKUP($A126,'A0 BS 1240在建'!$1:$1048576,37,0),0)</f>
        <v>0</v>
      </c>
      <c r="AM126" s="158">
        <f>+AH126+IFERROR(VLOOKUP($A126,'B0 2264預收'!$1:$1048576,37,0),0)</f>
        <v>0</v>
      </c>
      <c r="AN126" s="158">
        <f t="shared" si="217"/>
        <v>0</v>
      </c>
      <c r="AO126" s="158">
        <f>+AJ126+IFERROR(+VLOOKUP($A126,'B0 2264預收'!$1:$1048576,38,0),0)</f>
        <v>0</v>
      </c>
      <c r="AP126" s="158">
        <f t="shared" si="218"/>
        <v>0</v>
      </c>
      <c r="AQ126" s="157">
        <f>+AL126+IFERROR(VLOOKUP($A126,'A0 BS 1240在建'!$1:$1048576,41,0),0)</f>
        <v>0</v>
      </c>
      <c r="AR126" s="157">
        <f>+AM126+IFERROR(VLOOKUP($A126,'B0 2264預收'!$1:$1048576,41,0),0)</f>
        <v>0</v>
      </c>
      <c r="AS126" s="157">
        <f t="shared" si="219"/>
        <v>0</v>
      </c>
      <c r="AT126" s="157">
        <f>+AO126+IFERROR(+VLOOKUP($A126,'B0 2264預收'!$1:$1048576,42,0),0)</f>
        <v>0</v>
      </c>
      <c r="AU126" s="157">
        <f t="shared" si="220"/>
        <v>0</v>
      </c>
      <c r="AV126" s="158">
        <f>+AQ126+IFERROR(VLOOKUP($A126,'A0 BS 1240在建'!$1:$1048576,45,0),0)</f>
        <v>0</v>
      </c>
      <c r="AW126" s="158">
        <f>+AR126+IFERROR(VLOOKUP($A126,'B0 2264預收'!$1:$1048576,45,0),0)</f>
        <v>0</v>
      </c>
      <c r="AX126" s="158">
        <f t="shared" si="221"/>
        <v>0</v>
      </c>
      <c r="AY126" s="158">
        <f>+AT126+IFERROR(+VLOOKUP($A126,'B0 2264預收'!$1:$1048576,46,0),0)</f>
        <v>0</v>
      </c>
      <c r="AZ126" s="158">
        <f t="shared" si="222"/>
        <v>0</v>
      </c>
      <c r="BA126" s="157">
        <f>+AV126+IFERROR(VLOOKUP($A126,'A0 BS 1240在建'!$1:$1048576,49,0),0)</f>
        <v>0</v>
      </c>
      <c r="BB126" s="157">
        <f>+AW126+IFERROR(VLOOKUP($A126,'B0 2264預收'!$1:$1048576,49,0),0)</f>
        <v>0</v>
      </c>
      <c r="BC126" s="157">
        <f t="shared" si="223"/>
        <v>0</v>
      </c>
      <c r="BD126" s="157">
        <f>+AY126+IFERROR(+VLOOKUP($A126,'B0 2264預收'!$1:$1048576,50,0),0)</f>
        <v>0</v>
      </c>
      <c r="BE126" s="157">
        <f t="shared" si="224"/>
        <v>0</v>
      </c>
      <c r="BF126" s="158">
        <f>+BA126+IFERROR(VLOOKUP($A126,'A0 BS 1240在建'!$1:$1048576,53,0),0)</f>
        <v>0</v>
      </c>
      <c r="BG126" s="158">
        <f>+BB126+IFERROR(VLOOKUP($A126,'B0 2264預收'!$1:$1048576,53,0),0)</f>
        <v>0</v>
      </c>
      <c r="BH126" s="158">
        <f t="shared" si="225"/>
        <v>0</v>
      </c>
      <c r="BI126" s="158">
        <f>+BD126+IFERROR(+VLOOKUP($A126,'B0 2264預收'!$1:$1048576,54,0),0)</f>
        <v>0</v>
      </c>
      <c r="BJ126" s="158">
        <f t="shared" si="226"/>
        <v>0</v>
      </c>
      <c r="BK126" s="157">
        <f>+BF126+IFERROR(VLOOKUP($A126,'A0 BS 1240在建'!$1:$1048576,57,0),0)</f>
        <v>0</v>
      </c>
      <c r="BL126" s="157">
        <f>+BG126+IFERROR(VLOOKUP($A126,'B0 2264預收'!$1:$1048576,57,0),0)</f>
        <v>0</v>
      </c>
      <c r="BM126" s="157">
        <f t="shared" si="227"/>
        <v>0</v>
      </c>
      <c r="BN126" s="157">
        <f>+BI126+IFERROR(+VLOOKUP($A126,'B0 2264預收'!$1:$1048576,58,0),0)</f>
        <v>0</v>
      </c>
      <c r="BO126" s="157">
        <f t="shared" si="228"/>
        <v>0</v>
      </c>
      <c r="BP126" s="158">
        <f>+BK126+IFERROR(VLOOKUP($A126,'A0 BS 1240在建'!$1:$1048576,61,0),0)</f>
        <v>0</v>
      </c>
      <c r="BQ126" s="158">
        <f>+BL126+IFERROR(VLOOKUP($A126,'B0 2264預收'!$1:$1048576,61,0),0)</f>
        <v>0</v>
      </c>
      <c r="BR126" s="159">
        <f t="shared" si="229"/>
        <v>0</v>
      </c>
      <c r="BS126" s="158">
        <f>+BN126+IFERROR(+VLOOKUP($A126,'B0 2264預收'!$1:$1048576,62,0),0)</f>
        <v>0</v>
      </c>
      <c r="BT126" s="158">
        <f t="shared" si="230"/>
        <v>0</v>
      </c>
      <c r="BU126" s="157">
        <f>+IFERROR(VLOOKUP($A126,'A0 BS 1240在建'!$1:$1048576,77,0),0)</f>
        <v>0</v>
      </c>
      <c r="BV126" s="157">
        <f>+IFERROR(VLOOKUP($A126,'B0 2264預收'!$1:$1048576,77,0),0)</f>
        <v>0</v>
      </c>
      <c r="BW126" s="157">
        <f t="shared" si="231"/>
        <v>0</v>
      </c>
      <c r="BX126" s="157">
        <f>+IFERROR(+VLOOKUP($A126,'B0 2264預收'!$1:$1048576,78,0),0)</f>
        <v>0</v>
      </c>
      <c r="BY126" s="157">
        <f t="shared" si="232"/>
        <v>0</v>
      </c>
      <c r="BZ126" s="158">
        <f>IFERROR(+VLOOKUP($A126,'A0 BS 1240在建'!$1:$1048576,85,0),0)</f>
        <v>0</v>
      </c>
      <c r="CA126" s="158">
        <f>IFERROR(+VLOOKUP($A126,'B0 2264預收'!$1:$1048576,85,0),0)</f>
        <v>0</v>
      </c>
      <c r="CB126" s="158">
        <f t="shared" si="233"/>
        <v>0</v>
      </c>
      <c r="CC126" s="158">
        <f>+IFERROR(+VLOOKUP($A126,'B0 2264預收'!$1:$1048576,86,0),0)</f>
        <v>0</v>
      </c>
      <c r="CD126" s="158">
        <f t="shared" si="234"/>
        <v>0</v>
      </c>
      <c r="CE126" s="157">
        <f>+IFERROR(VLOOKUP($A126,'A0 BS 1240在建'!$1:$1048576,93,0),0)</f>
        <v>0</v>
      </c>
      <c r="CF126" s="157">
        <f>+IFERROR(VLOOKUP($A126,'B0 2264預收'!$1:$1048576,93,0),0)</f>
        <v>0</v>
      </c>
      <c r="CG126" s="157">
        <f t="shared" si="235"/>
        <v>0</v>
      </c>
      <c r="CH126" s="157">
        <f>+IFERROR(+VLOOKUP($A126,'B0 2264預收'!$1:$1048576,94,0),0)</f>
        <v>0</v>
      </c>
      <c r="CI126" s="157">
        <f t="shared" si="236"/>
        <v>0</v>
      </c>
      <c r="CJ126" s="158">
        <f>IFERROR(+VLOOKUP($A126,'A0 BS 1240在建'!$1:$1048576,101,0),0)</f>
        <v>0</v>
      </c>
      <c r="CK126" s="158">
        <f>IFERROR(+VLOOKUP($A126,'B0 2264預收'!$1:$1048576,101,0),0)</f>
        <v>0</v>
      </c>
      <c r="CL126" s="158">
        <f t="shared" si="237"/>
        <v>0</v>
      </c>
      <c r="CM126" s="158">
        <f>+IFERROR(+VLOOKUP($A126,'B0 2264預收'!$1:$1048576,102,0),0)</f>
        <v>0</v>
      </c>
      <c r="CN126" s="158">
        <f t="shared" si="238"/>
        <v>0</v>
      </c>
      <c r="CY126" s="162"/>
      <c r="DC126" s="163"/>
      <c r="DD126" s="162"/>
      <c r="DH126" s="163"/>
    </row>
    <row r="127" spans="1:112" hidden="1">
      <c r="A127" s="175"/>
      <c r="B127" s="175"/>
      <c r="C127" s="157">
        <f>IFERROR(VLOOKUP($A127,'A0 BS 1240在建'!$1:$1048576,5,0),0)</f>
        <v>0</v>
      </c>
      <c r="D127" s="157">
        <f>IFERROR(VLOOKUP($A127,'B0 2264預收'!$1:$1048576,5,0),0)</f>
        <v>0</v>
      </c>
      <c r="E127" s="157">
        <f t="shared" si="203"/>
        <v>0</v>
      </c>
      <c r="F127" s="157">
        <f>IFERROR(VLOOKUP($A127,'B0 2264預收'!$1:$1048576,6,0),0)</f>
        <v>0</v>
      </c>
      <c r="G127" s="157">
        <f t="shared" si="204"/>
        <v>0</v>
      </c>
      <c r="H127" s="158">
        <f>IFERROR(VLOOKUP($A127,'A0 BS 1240在建'!$1:$1048576,13,0),0)</f>
        <v>0</v>
      </c>
      <c r="I127" s="158">
        <f>IFERROR(VLOOKUP($A127,'B0 2264預收'!$1:$1048576,13,0),0)</f>
        <v>0</v>
      </c>
      <c r="J127" s="158">
        <f t="shared" si="205"/>
        <v>0</v>
      </c>
      <c r="K127" s="158">
        <f>IFERROR(VLOOKUP($A127,'B0 2264預收'!$1:$1048576,14,0),0)</f>
        <v>0</v>
      </c>
      <c r="L127" s="158">
        <f t="shared" si="206"/>
        <v>0</v>
      </c>
      <c r="M127" s="157">
        <f>H127+IFERROR(VLOOKUP($A127,'A0 BS 1240在建'!$1:$1048576,17,0),0)</f>
        <v>0</v>
      </c>
      <c r="N127" s="157">
        <f>I127+IFERROR(VLOOKUP($A127,'B0 2264預收'!$1:$1048576,17,0),0)</f>
        <v>0</v>
      </c>
      <c r="O127" s="157">
        <f t="shared" si="207"/>
        <v>0</v>
      </c>
      <c r="P127" s="157">
        <f>K127+IFERROR(+VLOOKUP($A127,'B0 2264預收'!$1:$1048576,18,0),0)</f>
        <v>0</v>
      </c>
      <c r="Q127" s="157">
        <f t="shared" si="208"/>
        <v>0</v>
      </c>
      <c r="R127" s="158">
        <f>M127+IFERROR(VLOOKUP($A127,'A0 BS 1240在建'!$1:$1048576,21,0),0)</f>
        <v>0</v>
      </c>
      <c r="S127" s="158">
        <f>+N127+IFERROR(VLOOKUP($A127,'B0 2264預收'!$1:$1048576,21,0),0)</f>
        <v>0</v>
      </c>
      <c r="T127" s="158">
        <f t="shared" si="209"/>
        <v>0</v>
      </c>
      <c r="U127" s="158">
        <f>+P127+IFERROR(+VLOOKUP($A127,'B0 2264預收'!$1:$1048576,22,0),0)</f>
        <v>0</v>
      </c>
      <c r="V127" s="158">
        <f t="shared" si="210"/>
        <v>0</v>
      </c>
      <c r="W127" s="157">
        <f>+R127+IFERROR(VLOOKUP($A127,'A0 BS 1240在建'!$1:$1048576,25,0),0)</f>
        <v>0</v>
      </c>
      <c r="X127" s="157">
        <f>+S127+IFERROR(VLOOKUP($A127,'B0 2264預收'!$1:$1048576,25,0),0)</f>
        <v>0</v>
      </c>
      <c r="Y127" s="157">
        <f t="shared" si="211"/>
        <v>0</v>
      </c>
      <c r="Z127" s="157">
        <f>+U127+IFERROR(+VLOOKUP($A127,'B0 2264預收'!$1:$1048576,26,0),0)</f>
        <v>0</v>
      </c>
      <c r="AA127" s="157">
        <f t="shared" si="212"/>
        <v>0</v>
      </c>
      <c r="AB127" s="158">
        <f>+W127+IFERROR(VLOOKUP($A127,'A0 BS 1240在建'!$1:$1048576,29,0),0)</f>
        <v>0</v>
      </c>
      <c r="AC127" s="158">
        <f>+X127+IFERROR(VLOOKUP($A127,'B0 2264預收'!$1:$1048576,29,0),0)</f>
        <v>0</v>
      </c>
      <c r="AD127" s="158">
        <f t="shared" si="213"/>
        <v>0</v>
      </c>
      <c r="AE127" s="158">
        <f>+Z127+IFERROR(+VLOOKUP($A127,'B0 2264預收'!$1:$1048576,30,0),0)</f>
        <v>0</v>
      </c>
      <c r="AF127" s="158">
        <f t="shared" si="214"/>
        <v>0</v>
      </c>
      <c r="AG127" s="157">
        <f>+AB127+IFERROR(VLOOKUP($A127,'A0 BS 1240在建'!$1:$1048576,33,0),0)</f>
        <v>0</v>
      </c>
      <c r="AH127" s="157">
        <f>+AC127+IFERROR(VLOOKUP($A127,'B0 2264預收'!$1:$1048576,33,0),0)</f>
        <v>0</v>
      </c>
      <c r="AI127" s="157">
        <f t="shared" si="215"/>
        <v>0</v>
      </c>
      <c r="AJ127" s="157">
        <f>+AE127+IFERROR(+VLOOKUP($A127,'B0 2264預收'!$1:$1048576,34,0),0)</f>
        <v>0</v>
      </c>
      <c r="AK127" s="157">
        <f t="shared" si="216"/>
        <v>0</v>
      </c>
      <c r="AL127" s="158">
        <f>+AG127+IFERROR(VLOOKUP($A127,'A0 BS 1240在建'!$1:$1048576,37,0),0)</f>
        <v>0</v>
      </c>
      <c r="AM127" s="158">
        <f>+AH127+IFERROR(VLOOKUP($A127,'B0 2264預收'!$1:$1048576,37,0),0)</f>
        <v>0</v>
      </c>
      <c r="AN127" s="158">
        <f t="shared" si="217"/>
        <v>0</v>
      </c>
      <c r="AO127" s="158">
        <f>+AJ127+IFERROR(+VLOOKUP($A127,'B0 2264預收'!$1:$1048576,38,0),0)</f>
        <v>0</v>
      </c>
      <c r="AP127" s="158">
        <f t="shared" si="218"/>
        <v>0</v>
      </c>
      <c r="AQ127" s="157">
        <f>+AL127+IFERROR(VLOOKUP($A127,'A0 BS 1240在建'!$1:$1048576,41,0),0)</f>
        <v>0</v>
      </c>
      <c r="AR127" s="157">
        <f>+AM127+IFERROR(VLOOKUP($A127,'B0 2264預收'!$1:$1048576,41,0),0)</f>
        <v>0</v>
      </c>
      <c r="AS127" s="157">
        <f t="shared" si="219"/>
        <v>0</v>
      </c>
      <c r="AT127" s="157">
        <f>+AO127+IFERROR(+VLOOKUP($A127,'B0 2264預收'!$1:$1048576,42,0),0)</f>
        <v>0</v>
      </c>
      <c r="AU127" s="157">
        <f t="shared" si="220"/>
        <v>0</v>
      </c>
      <c r="AV127" s="158">
        <f>+AQ127+IFERROR(VLOOKUP($A127,'A0 BS 1240在建'!$1:$1048576,45,0),0)</f>
        <v>0</v>
      </c>
      <c r="AW127" s="158">
        <f>+AR127+IFERROR(VLOOKUP($A127,'B0 2264預收'!$1:$1048576,45,0),0)</f>
        <v>0</v>
      </c>
      <c r="AX127" s="158">
        <f t="shared" si="221"/>
        <v>0</v>
      </c>
      <c r="AY127" s="158">
        <f>+AT127+IFERROR(+VLOOKUP($A127,'B0 2264預收'!$1:$1048576,46,0),0)</f>
        <v>0</v>
      </c>
      <c r="AZ127" s="158">
        <f t="shared" si="222"/>
        <v>0</v>
      </c>
      <c r="BA127" s="157">
        <f>+AV127+IFERROR(VLOOKUP($A127,'A0 BS 1240在建'!$1:$1048576,49,0),0)</f>
        <v>0</v>
      </c>
      <c r="BB127" s="157">
        <f>+AW127+IFERROR(VLOOKUP($A127,'B0 2264預收'!$1:$1048576,49,0),0)</f>
        <v>0</v>
      </c>
      <c r="BC127" s="157">
        <f t="shared" si="223"/>
        <v>0</v>
      </c>
      <c r="BD127" s="157">
        <f>+AY127+IFERROR(+VLOOKUP($A127,'B0 2264預收'!$1:$1048576,50,0),0)</f>
        <v>0</v>
      </c>
      <c r="BE127" s="157">
        <f t="shared" si="224"/>
        <v>0</v>
      </c>
      <c r="BF127" s="158">
        <f>+BA127+IFERROR(VLOOKUP($A127,'A0 BS 1240在建'!$1:$1048576,53,0),0)</f>
        <v>0</v>
      </c>
      <c r="BG127" s="158">
        <f>+BB127+IFERROR(VLOOKUP($A127,'B0 2264預收'!$1:$1048576,53,0),0)</f>
        <v>0</v>
      </c>
      <c r="BH127" s="158">
        <f t="shared" si="225"/>
        <v>0</v>
      </c>
      <c r="BI127" s="158">
        <f>+BD127+IFERROR(+VLOOKUP($A127,'B0 2264預收'!$1:$1048576,54,0),0)</f>
        <v>0</v>
      </c>
      <c r="BJ127" s="158">
        <f t="shared" si="226"/>
        <v>0</v>
      </c>
      <c r="BK127" s="157">
        <f>+BF127+IFERROR(VLOOKUP($A127,'A0 BS 1240在建'!$1:$1048576,57,0),0)</f>
        <v>0</v>
      </c>
      <c r="BL127" s="157">
        <f>+BG127+IFERROR(VLOOKUP($A127,'B0 2264預收'!$1:$1048576,57,0),0)</f>
        <v>0</v>
      </c>
      <c r="BM127" s="157">
        <f t="shared" si="227"/>
        <v>0</v>
      </c>
      <c r="BN127" s="157">
        <f>+BI127+IFERROR(+VLOOKUP($A127,'B0 2264預收'!$1:$1048576,58,0),0)</f>
        <v>0</v>
      </c>
      <c r="BO127" s="157">
        <f t="shared" si="228"/>
        <v>0</v>
      </c>
      <c r="BP127" s="158">
        <f>+BK127+IFERROR(VLOOKUP($A127,'A0 BS 1240在建'!$1:$1048576,61,0),0)</f>
        <v>0</v>
      </c>
      <c r="BQ127" s="158">
        <f>+BL127+IFERROR(VLOOKUP($A127,'B0 2264預收'!$1:$1048576,61,0),0)</f>
        <v>0</v>
      </c>
      <c r="BR127" s="159">
        <f t="shared" si="229"/>
        <v>0</v>
      </c>
      <c r="BS127" s="158">
        <f>+BN127+IFERROR(+VLOOKUP($A127,'B0 2264預收'!$1:$1048576,62,0),0)</f>
        <v>0</v>
      </c>
      <c r="BT127" s="158">
        <f t="shared" si="230"/>
        <v>0</v>
      </c>
      <c r="BU127" s="157">
        <f>+IFERROR(VLOOKUP($A127,'A0 BS 1240在建'!$1:$1048576,77,0),0)</f>
        <v>0</v>
      </c>
      <c r="BV127" s="157">
        <f>+IFERROR(VLOOKUP($A127,'B0 2264預收'!$1:$1048576,77,0),0)</f>
        <v>0</v>
      </c>
      <c r="BW127" s="157">
        <f t="shared" si="231"/>
        <v>0</v>
      </c>
      <c r="BX127" s="157">
        <f>+IFERROR(+VLOOKUP($A127,'B0 2264預收'!$1:$1048576,78,0),0)</f>
        <v>0</v>
      </c>
      <c r="BY127" s="157">
        <f t="shared" si="232"/>
        <v>0</v>
      </c>
      <c r="BZ127" s="158">
        <f>IFERROR(+VLOOKUP($A127,'A0 BS 1240在建'!$1:$1048576,85,0),0)</f>
        <v>0</v>
      </c>
      <c r="CA127" s="158">
        <f>IFERROR(+VLOOKUP($A127,'B0 2264預收'!$1:$1048576,85,0),0)</f>
        <v>0</v>
      </c>
      <c r="CB127" s="158">
        <f t="shared" si="233"/>
        <v>0</v>
      </c>
      <c r="CC127" s="158">
        <f>+IFERROR(+VLOOKUP($A127,'B0 2264預收'!$1:$1048576,86,0),0)</f>
        <v>0</v>
      </c>
      <c r="CD127" s="158">
        <f t="shared" si="234"/>
        <v>0</v>
      </c>
      <c r="CE127" s="157">
        <f>+IFERROR(VLOOKUP($A127,'A0 BS 1240在建'!$1:$1048576,93,0),0)</f>
        <v>0</v>
      </c>
      <c r="CF127" s="157">
        <f>+IFERROR(VLOOKUP($A127,'B0 2264預收'!$1:$1048576,93,0),0)</f>
        <v>0</v>
      </c>
      <c r="CG127" s="157">
        <f t="shared" si="235"/>
        <v>0</v>
      </c>
      <c r="CH127" s="157">
        <f>+IFERROR(+VLOOKUP($A127,'B0 2264預收'!$1:$1048576,94,0),0)</f>
        <v>0</v>
      </c>
      <c r="CI127" s="157">
        <f t="shared" si="236"/>
        <v>0</v>
      </c>
      <c r="CJ127" s="158">
        <f>IFERROR(+VLOOKUP($A127,'A0 BS 1240在建'!$1:$1048576,101,0),0)</f>
        <v>0</v>
      </c>
      <c r="CK127" s="158">
        <f>IFERROR(+VLOOKUP($A127,'B0 2264預收'!$1:$1048576,101,0),0)</f>
        <v>0</v>
      </c>
      <c r="CL127" s="158">
        <f t="shared" si="237"/>
        <v>0</v>
      </c>
      <c r="CM127" s="158">
        <f>+IFERROR(+VLOOKUP($A127,'B0 2264預收'!$1:$1048576,102,0),0)</f>
        <v>0</v>
      </c>
      <c r="CN127" s="158">
        <f t="shared" si="238"/>
        <v>0</v>
      </c>
      <c r="CY127" s="162"/>
      <c r="DC127" s="163"/>
      <c r="DD127" s="162"/>
      <c r="DH127" s="163"/>
    </row>
    <row r="128" spans="1:112" hidden="1">
      <c r="A128" s="175"/>
      <c r="B128" s="175"/>
      <c r="C128" s="157">
        <f>IFERROR(VLOOKUP($A128,'A0 BS 1240在建'!$1:$1048576,5,0),0)</f>
        <v>0</v>
      </c>
      <c r="D128" s="157">
        <f>IFERROR(VLOOKUP($A128,'B0 2264預收'!$1:$1048576,5,0),0)</f>
        <v>0</v>
      </c>
      <c r="E128" s="157">
        <f t="shared" si="203"/>
        <v>0</v>
      </c>
      <c r="F128" s="157">
        <f>IFERROR(VLOOKUP($A128,'B0 2264預收'!$1:$1048576,6,0),0)</f>
        <v>0</v>
      </c>
      <c r="G128" s="157">
        <f t="shared" si="204"/>
        <v>0</v>
      </c>
      <c r="H128" s="158">
        <f>IFERROR(VLOOKUP($A128,'A0 BS 1240在建'!$1:$1048576,13,0),0)</f>
        <v>0</v>
      </c>
      <c r="I128" s="158">
        <f>IFERROR(VLOOKUP($A128,'B0 2264預收'!$1:$1048576,13,0),0)</f>
        <v>0</v>
      </c>
      <c r="J128" s="158">
        <f t="shared" si="205"/>
        <v>0</v>
      </c>
      <c r="K128" s="158">
        <f>IFERROR(VLOOKUP($A128,'B0 2264預收'!$1:$1048576,14,0),0)</f>
        <v>0</v>
      </c>
      <c r="L128" s="158">
        <f t="shared" si="206"/>
        <v>0</v>
      </c>
      <c r="M128" s="157">
        <f>H128+IFERROR(VLOOKUP($A128,'A0 BS 1240在建'!$1:$1048576,17,0),0)</f>
        <v>0</v>
      </c>
      <c r="N128" s="157">
        <f>I128+IFERROR(VLOOKUP($A128,'B0 2264預收'!$1:$1048576,17,0),0)</f>
        <v>0</v>
      </c>
      <c r="O128" s="157">
        <f t="shared" si="207"/>
        <v>0</v>
      </c>
      <c r="P128" s="157">
        <f>K128+IFERROR(+VLOOKUP($A128,'B0 2264預收'!$1:$1048576,18,0),0)</f>
        <v>0</v>
      </c>
      <c r="Q128" s="157">
        <f t="shared" si="208"/>
        <v>0</v>
      </c>
      <c r="R128" s="158">
        <f>M128+IFERROR(VLOOKUP($A128,'A0 BS 1240在建'!$1:$1048576,21,0),0)</f>
        <v>0</v>
      </c>
      <c r="S128" s="158">
        <f>+N128+IFERROR(VLOOKUP($A128,'B0 2264預收'!$1:$1048576,21,0),0)</f>
        <v>0</v>
      </c>
      <c r="T128" s="158">
        <f t="shared" si="209"/>
        <v>0</v>
      </c>
      <c r="U128" s="158">
        <f>+P128+IFERROR(+VLOOKUP($A128,'B0 2264預收'!$1:$1048576,22,0),0)</f>
        <v>0</v>
      </c>
      <c r="V128" s="158">
        <f t="shared" si="210"/>
        <v>0</v>
      </c>
      <c r="W128" s="157">
        <f>+R128+IFERROR(VLOOKUP($A128,'A0 BS 1240在建'!$1:$1048576,25,0),0)</f>
        <v>0</v>
      </c>
      <c r="X128" s="157">
        <f>+S128+IFERROR(VLOOKUP($A128,'B0 2264預收'!$1:$1048576,25,0),0)</f>
        <v>0</v>
      </c>
      <c r="Y128" s="157">
        <f t="shared" si="211"/>
        <v>0</v>
      </c>
      <c r="Z128" s="157">
        <f>+U128+IFERROR(+VLOOKUP($A128,'B0 2264預收'!$1:$1048576,26,0),0)</f>
        <v>0</v>
      </c>
      <c r="AA128" s="157">
        <f t="shared" si="212"/>
        <v>0</v>
      </c>
      <c r="AB128" s="158">
        <f>+W128+IFERROR(VLOOKUP($A128,'A0 BS 1240在建'!$1:$1048576,29,0),0)</f>
        <v>0</v>
      </c>
      <c r="AC128" s="158">
        <f>+X128+IFERROR(VLOOKUP($A128,'B0 2264預收'!$1:$1048576,29,0),0)</f>
        <v>0</v>
      </c>
      <c r="AD128" s="158">
        <f t="shared" si="213"/>
        <v>0</v>
      </c>
      <c r="AE128" s="158">
        <f>+Z128+IFERROR(+VLOOKUP($A128,'B0 2264預收'!$1:$1048576,30,0),0)</f>
        <v>0</v>
      </c>
      <c r="AF128" s="158">
        <f t="shared" si="214"/>
        <v>0</v>
      </c>
      <c r="AG128" s="157">
        <f>+AB128+IFERROR(VLOOKUP($A128,'A0 BS 1240在建'!$1:$1048576,33,0),0)</f>
        <v>0</v>
      </c>
      <c r="AH128" s="157">
        <f>+AC128+IFERROR(VLOOKUP($A128,'B0 2264預收'!$1:$1048576,33,0),0)</f>
        <v>0</v>
      </c>
      <c r="AI128" s="157">
        <f t="shared" si="215"/>
        <v>0</v>
      </c>
      <c r="AJ128" s="157">
        <f>+AE128+IFERROR(+VLOOKUP($A128,'B0 2264預收'!$1:$1048576,34,0),0)</f>
        <v>0</v>
      </c>
      <c r="AK128" s="157">
        <f t="shared" si="216"/>
        <v>0</v>
      </c>
      <c r="AL128" s="158">
        <f>+AG128+IFERROR(VLOOKUP($A128,'A0 BS 1240在建'!$1:$1048576,37,0),0)</f>
        <v>0</v>
      </c>
      <c r="AM128" s="158">
        <f>+AH128+IFERROR(VLOOKUP($A128,'B0 2264預收'!$1:$1048576,37,0),0)</f>
        <v>0</v>
      </c>
      <c r="AN128" s="158">
        <f t="shared" si="217"/>
        <v>0</v>
      </c>
      <c r="AO128" s="158">
        <f>+AJ128+IFERROR(+VLOOKUP($A128,'B0 2264預收'!$1:$1048576,38,0),0)</f>
        <v>0</v>
      </c>
      <c r="AP128" s="158">
        <f t="shared" si="218"/>
        <v>0</v>
      </c>
      <c r="AQ128" s="157">
        <f>+AL128+IFERROR(VLOOKUP($A128,'A0 BS 1240在建'!$1:$1048576,41,0),0)</f>
        <v>0</v>
      </c>
      <c r="AR128" s="157">
        <f>+AM128+IFERROR(VLOOKUP($A128,'B0 2264預收'!$1:$1048576,41,0),0)</f>
        <v>0</v>
      </c>
      <c r="AS128" s="157">
        <f t="shared" si="219"/>
        <v>0</v>
      </c>
      <c r="AT128" s="157">
        <f>+AO128+IFERROR(+VLOOKUP($A128,'B0 2264預收'!$1:$1048576,42,0),0)</f>
        <v>0</v>
      </c>
      <c r="AU128" s="157">
        <f t="shared" si="220"/>
        <v>0</v>
      </c>
      <c r="AV128" s="158">
        <f>+AQ128+IFERROR(VLOOKUP($A128,'A0 BS 1240在建'!$1:$1048576,45,0),0)</f>
        <v>0</v>
      </c>
      <c r="AW128" s="158">
        <f>+AR128+IFERROR(VLOOKUP($A128,'B0 2264預收'!$1:$1048576,45,0),0)</f>
        <v>0</v>
      </c>
      <c r="AX128" s="158">
        <f t="shared" si="221"/>
        <v>0</v>
      </c>
      <c r="AY128" s="158">
        <f>+AT128+IFERROR(+VLOOKUP($A128,'B0 2264預收'!$1:$1048576,46,0),0)</f>
        <v>0</v>
      </c>
      <c r="AZ128" s="158">
        <f t="shared" si="222"/>
        <v>0</v>
      </c>
      <c r="BA128" s="157">
        <f>+AV128+IFERROR(VLOOKUP($A128,'A0 BS 1240在建'!$1:$1048576,49,0),0)</f>
        <v>0</v>
      </c>
      <c r="BB128" s="157">
        <f>+AW128+IFERROR(VLOOKUP($A128,'B0 2264預收'!$1:$1048576,49,0),0)</f>
        <v>0</v>
      </c>
      <c r="BC128" s="157">
        <f t="shared" si="223"/>
        <v>0</v>
      </c>
      <c r="BD128" s="157">
        <f>+AY128+IFERROR(+VLOOKUP($A128,'B0 2264預收'!$1:$1048576,50,0),0)</f>
        <v>0</v>
      </c>
      <c r="BE128" s="157">
        <f t="shared" si="224"/>
        <v>0</v>
      </c>
      <c r="BF128" s="158">
        <f>+BA128+IFERROR(VLOOKUP($A128,'A0 BS 1240在建'!$1:$1048576,53,0),0)</f>
        <v>0</v>
      </c>
      <c r="BG128" s="158">
        <f>+BB128+IFERROR(VLOOKUP($A128,'B0 2264預收'!$1:$1048576,53,0),0)</f>
        <v>0</v>
      </c>
      <c r="BH128" s="158">
        <f t="shared" si="225"/>
        <v>0</v>
      </c>
      <c r="BI128" s="158">
        <f>+BD128+IFERROR(+VLOOKUP($A128,'B0 2264預收'!$1:$1048576,54,0),0)</f>
        <v>0</v>
      </c>
      <c r="BJ128" s="158">
        <f t="shared" si="226"/>
        <v>0</v>
      </c>
      <c r="BK128" s="157">
        <f>+BF128+IFERROR(VLOOKUP($A128,'A0 BS 1240在建'!$1:$1048576,57,0),0)</f>
        <v>0</v>
      </c>
      <c r="BL128" s="157">
        <f>+BG128+IFERROR(VLOOKUP($A128,'B0 2264預收'!$1:$1048576,57,0),0)</f>
        <v>0</v>
      </c>
      <c r="BM128" s="157">
        <f t="shared" si="227"/>
        <v>0</v>
      </c>
      <c r="BN128" s="157">
        <f>+BI128+IFERROR(+VLOOKUP($A128,'B0 2264預收'!$1:$1048576,58,0),0)</f>
        <v>0</v>
      </c>
      <c r="BO128" s="157">
        <f t="shared" si="228"/>
        <v>0</v>
      </c>
      <c r="BP128" s="158">
        <f>+BK128+IFERROR(VLOOKUP($A128,'A0 BS 1240在建'!$1:$1048576,61,0),0)</f>
        <v>0</v>
      </c>
      <c r="BQ128" s="158">
        <f>+BL128+IFERROR(VLOOKUP($A128,'B0 2264預收'!$1:$1048576,61,0),0)</f>
        <v>0</v>
      </c>
      <c r="BR128" s="159">
        <f t="shared" si="229"/>
        <v>0</v>
      </c>
      <c r="BS128" s="158">
        <f>+BN128+IFERROR(+VLOOKUP($A128,'B0 2264預收'!$1:$1048576,62,0),0)</f>
        <v>0</v>
      </c>
      <c r="BT128" s="158">
        <f t="shared" si="230"/>
        <v>0</v>
      </c>
      <c r="BU128" s="157">
        <f>+IFERROR(VLOOKUP($A128,'A0 BS 1240在建'!$1:$1048576,77,0),0)</f>
        <v>0</v>
      </c>
      <c r="BV128" s="157">
        <f>+IFERROR(VLOOKUP($A128,'B0 2264預收'!$1:$1048576,77,0),0)</f>
        <v>0</v>
      </c>
      <c r="BW128" s="157">
        <f t="shared" si="231"/>
        <v>0</v>
      </c>
      <c r="BX128" s="157">
        <f>+IFERROR(+VLOOKUP($A128,'B0 2264預收'!$1:$1048576,78,0),0)</f>
        <v>0</v>
      </c>
      <c r="BY128" s="157">
        <f t="shared" si="232"/>
        <v>0</v>
      </c>
      <c r="BZ128" s="158">
        <f>IFERROR(+VLOOKUP($A128,'A0 BS 1240在建'!$1:$1048576,85,0),0)</f>
        <v>0</v>
      </c>
      <c r="CA128" s="158">
        <f>IFERROR(+VLOOKUP($A128,'B0 2264預收'!$1:$1048576,85,0),0)</f>
        <v>0</v>
      </c>
      <c r="CB128" s="158">
        <f t="shared" si="233"/>
        <v>0</v>
      </c>
      <c r="CC128" s="158">
        <f>+IFERROR(+VLOOKUP($A128,'B0 2264預收'!$1:$1048576,86,0),0)</f>
        <v>0</v>
      </c>
      <c r="CD128" s="158">
        <f t="shared" si="234"/>
        <v>0</v>
      </c>
      <c r="CE128" s="157">
        <f>+IFERROR(VLOOKUP($A128,'A0 BS 1240在建'!$1:$1048576,93,0),0)</f>
        <v>0</v>
      </c>
      <c r="CF128" s="157">
        <f>+IFERROR(VLOOKUP($A128,'B0 2264預收'!$1:$1048576,93,0),0)</f>
        <v>0</v>
      </c>
      <c r="CG128" s="157">
        <f t="shared" si="235"/>
        <v>0</v>
      </c>
      <c r="CH128" s="157">
        <f>+IFERROR(+VLOOKUP($A128,'B0 2264預收'!$1:$1048576,94,0),0)</f>
        <v>0</v>
      </c>
      <c r="CI128" s="157">
        <f t="shared" si="236"/>
        <v>0</v>
      </c>
      <c r="CJ128" s="158">
        <f>IFERROR(+VLOOKUP($A128,'A0 BS 1240在建'!$1:$1048576,101,0),0)</f>
        <v>0</v>
      </c>
      <c r="CK128" s="158">
        <f>IFERROR(+VLOOKUP($A128,'B0 2264預收'!$1:$1048576,101,0),0)</f>
        <v>0</v>
      </c>
      <c r="CL128" s="158">
        <f t="shared" si="237"/>
        <v>0</v>
      </c>
      <c r="CM128" s="158">
        <f>+IFERROR(+VLOOKUP($A128,'B0 2264預收'!$1:$1048576,102,0),0)</f>
        <v>0</v>
      </c>
      <c r="CN128" s="158">
        <f t="shared" si="238"/>
        <v>0</v>
      </c>
      <c r="CY128" s="162"/>
      <c r="DC128" s="163"/>
      <c r="DD128" s="162"/>
      <c r="DH128" s="163"/>
    </row>
    <row r="129" spans="1:112" hidden="1">
      <c r="A129" s="175"/>
      <c r="B129" s="175"/>
      <c r="C129" s="157">
        <f>IFERROR(VLOOKUP($A129,'A0 BS 1240在建'!$1:$1048576,5,0),0)</f>
        <v>0</v>
      </c>
      <c r="D129" s="157">
        <f>IFERROR(VLOOKUP($A129,'B0 2264預收'!$1:$1048576,5,0),0)</f>
        <v>0</v>
      </c>
      <c r="E129" s="157">
        <f t="shared" si="203"/>
        <v>0</v>
      </c>
      <c r="F129" s="157">
        <f>IFERROR(VLOOKUP($A129,'B0 2264預收'!$1:$1048576,6,0),0)</f>
        <v>0</v>
      </c>
      <c r="G129" s="157">
        <f t="shared" si="204"/>
        <v>0</v>
      </c>
      <c r="H129" s="158">
        <f>IFERROR(VLOOKUP($A129,'A0 BS 1240在建'!$1:$1048576,13,0),0)</f>
        <v>0</v>
      </c>
      <c r="I129" s="158">
        <f>IFERROR(VLOOKUP($A129,'B0 2264預收'!$1:$1048576,13,0),0)</f>
        <v>0</v>
      </c>
      <c r="J129" s="158">
        <f t="shared" si="205"/>
        <v>0</v>
      </c>
      <c r="K129" s="158">
        <f>IFERROR(VLOOKUP($A129,'B0 2264預收'!$1:$1048576,14,0),0)</f>
        <v>0</v>
      </c>
      <c r="L129" s="158">
        <f t="shared" si="206"/>
        <v>0</v>
      </c>
      <c r="M129" s="157">
        <f>H129+IFERROR(VLOOKUP($A129,'A0 BS 1240在建'!$1:$1048576,17,0),0)</f>
        <v>0</v>
      </c>
      <c r="N129" s="157">
        <f>I129+IFERROR(VLOOKUP($A129,'B0 2264預收'!$1:$1048576,17,0),0)</f>
        <v>0</v>
      </c>
      <c r="O129" s="157">
        <f t="shared" si="207"/>
        <v>0</v>
      </c>
      <c r="P129" s="157">
        <f>K129+IFERROR(+VLOOKUP($A129,'B0 2264預收'!$1:$1048576,18,0),0)</f>
        <v>0</v>
      </c>
      <c r="Q129" s="157">
        <f t="shared" si="208"/>
        <v>0</v>
      </c>
      <c r="R129" s="158">
        <f>M129+IFERROR(VLOOKUP($A129,'A0 BS 1240在建'!$1:$1048576,21,0),0)</f>
        <v>0</v>
      </c>
      <c r="S129" s="158">
        <f>+N129+IFERROR(VLOOKUP($A129,'B0 2264預收'!$1:$1048576,21,0),0)</f>
        <v>0</v>
      </c>
      <c r="T129" s="158">
        <f t="shared" si="209"/>
        <v>0</v>
      </c>
      <c r="U129" s="158">
        <f>+P129+IFERROR(+VLOOKUP($A129,'B0 2264預收'!$1:$1048576,22,0),0)</f>
        <v>0</v>
      </c>
      <c r="V129" s="158">
        <f t="shared" si="210"/>
        <v>0</v>
      </c>
      <c r="W129" s="157">
        <f>+R129+IFERROR(VLOOKUP($A129,'A0 BS 1240在建'!$1:$1048576,25,0),0)</f>
        <v>0</v>
      </c>
      <c r="X129" s="157">
        <f>+S129+IFERROR(VLOOKUP($A129,'B0 2264預收'!$1:$1048576,25,0),0)</f>
        <v>0</v>
      </c>
      <c r="Y129" s="157">
        <f t="shared" si="211"/>
        <v>0</v>
      </c>
      <c r="Z129" s="157">
        <f>+U129+IFERROR(+VLOOKUP($A129,'B0 2264預收'!$1:$1048576,26,0),0)</f>
        <v>0</v>
      </c>
      <c r="AA129" s="157">
        <f t="shared" si="212"/>
        <v>0</v>
      </c>
      <c r="AB129" s="158">
        <f>+W129+IFERROR(VLOOKUP($A129,'A0 BS 1240在建'!$1:$1048576,29,0),0)</f>
        <v>0</v>
      </c>
      <c r="AC129" s="158">
        <f>+X129+IFERROR(VLOOKUP($A129,'B0 2264預收'!$1:$1048576,29,0),0)</f>
        <v>0</v>
      </c>
      <c r="AD129" s="158">
        <f t="shared" si="213"/>
        <v>0</v>
      </c>
      <c r="AE129" s="158">
        <f>+Z129+IFERROR(+VLOOKUP($A129,'B0 2264預收'!$1:$1048576,30,0),0)</f>
        <v>0</v>
      </c>
      <c r="AF129" s="158">
        <f t="shared" si="214"/>
        <v>0</v>
      </c>
      <c r="AG129" s="157">
        <f>+AB129+IFERROR(VLOOKUP($A129,'A0 BS 1240在建'!$1:$1048576,33,0),0)</f>
        <v>0</v>
      </c>
      <c r="AH129" s="157">
        <f>+AC129+IFERROR(VLOOKUP($A129,'B0 2264預收'!$1:$1048576,33,0),0)</f>
        <v>0</v>
      </c>
      <c r="AI129" s="157">
        <f t="shared" si="215"/>
        <v>0</v>
      </c>
      <c r="AJ129" s="157">
        <f>+AE129+IFERROR(+VLOOKUP($A129,'B0 2264預收'!$1:$1048576,34,0),0)</f>
        <v>0</v>
      </c>
      <c r="AK129" s="157">
        <f t="shared" si="216"/>
        <v>0</v>
      </c>
      <c r="AL129" s="158">
        <f>+AG129+IFERROR(VLOOKUP($A129,'A0 BS 1240在建'!$1:$1048576,37,0),0)</f>
        <v>0</v>
      </c>
      <c r="AM129" s="158">
        <f>+AH129+IFERROR(VLOOKUP($A129,'B0 2264預收'!$1:$1048576,37,0),0)</f>
        <v>0</v>
      </c>
      <c r="AN129" s="158">
        <f t="shared" si="217"/>
        <v>0</v>
      </c>
      <c r="AO129" s="158">
        <f>+AJ129+IFERROR(+VLOOKUP($A129,'B0 2264預收'!$1:$1048576,38,0),0)</f>
        <v>0</v>
      </c>
      <c r="AP129" s="158">
        <f t="shared" si="218"/>
        <v>0</v>
      </c>
      <c r="AQ129" s="157">
        <f>+AL129+IFERROR(VLOOKUP($A129,'A0 BS 1240在建'!$1:$1048576,41,0),0)</f>
        <v>0</v>
      </c>
      <c r="AR129" s="157">
        <f>+AM129+IFERROR(VLOOKUP($A129,'B0 2264預收'!$1:$1048576,41,0),0)</f>
        <v>0</v>
      </c>
      <c r="AS129" s="157">
        <f t="shared" si="219"/>
        <v>0</v>
      </c>
      <c r="AT129" s="157">
        <f>+AO129+IFERROR(+VLOOKUP($A129,'B0 2264預收'!$1:$1048576,42,0),0)</f>
        <v>0</v>
      </c>
      <c r="AU129" s="157">
        <f t="shared" si="220"/>
        <v>0</v>
      </c>
      <c r="AV129" s="158">
        <f>+AQ129+IFERROR(VLOOKUP($A129,'A0 BS 1240在建'!$1:$1048576,45,0),0)</f>
        <v>0</v>
      </c>
      <c r="AW129" s="158">
        <f>+AR129+IFERROR(VLOOKUP($A129,'B0 2264預收'!$1:$1048576,45,0),0)</f>
        <v>0</v>
      </c>
      <c r="AX129" s="158">
        <f t="shared" si="221"/>
        <v>0</v>
      </c>
      <c r="AY129" s="158">
        <f>+AT129+IFERROR(+VLOOKUP($A129,'B0 2264預收'!$1:$1048576,46,0),0)</f>
        <v>0</v>
      </c>
      <c r="AZ129" s="158">
        <f t="shared" si="222"/>
        <v>0</v>
      </c>
      <c r="BA129" s="157">
        <f>+AV129+IFERROR(VLOOKUP($A129,'A0 BS 1240在建'!$1:$1048576,49,0),0)</f>
        <v>0</v>
      </c>
      <c r="BB129" s="157">
        <f>+AW129+IFERROR(VLOOKUP($A129,'B0 2264預收'!$1:$1048576,49,0),0)</f>
        <v>0</v>
      </c>
      <c r="BC129" s="157">
        <f t="shared" si="223"/>
        <v>0</v>
      </c>
      <c r="BD129" s="157">
        <f>+AY129+IFERROR(+VLOOKUP($A129,'B0 2264預收'!$1:$1048576,50,0),0)</f>
        <v>0</v>
      </c>
      <c r="BE129" s="157">
        <f t="shared" si="224"/>
        <v>0</v>
      </c>
      <c r="BF129" s="158">
        <f>+BA129+IFERROR(VLOOKUP($A129,'A0 BS 1240在建'!$1:$1048576,53,0),0)</f>
        <v>0</v>
      </c>
      <c r="BG129" s="158">
        <f>+BB129+IFERROR(VLOOKUP($A129,'B0 2264預收'!$1:$1048576,53,0),0)</f>
        <v>0</v>
      </c>
      <c r="BH129" s="158">
        <f t="shared" si="225"/>
        <v>0</v>
      </c>
      <c r="BI129" s="158">
        <f>+BD129+IFERROR(+VLOOKUP($A129,'B0 2264預收'!$1:$1048576,54,0),0)</f>
        <v>0</v>
      </c>
      <c r="BJ129" s="158">
        <f t="shared" si="226"/>
        <v>0</v>
      </c>
      <c r="BK129" s="157">
        <f>+BF129+IFERROR(VLOOKUP($A129,'A0 BS 1240在建'!$1:$1048576,57,0),0)</f>
        <v>0</v>
      </c>
      <c r="BL129" s="157">
        <f>+BG129+IFERROR(VLOOKUP($A129,'B0 2264預收'!$1:$1048576,57,0),0)</f>
        <v>0</v>
      </c>
      <c r="BM129" s="157">
        <f t="shared" si="227"/>
        <v>0</v>
      </c>
      <c r="BN129" s="157">
        <f>+BI129+IFERROR(+VLOOKUP($A129,'B0 2264預收'!$1:$1048576,58,0),0)</f>
        <v>0</v>
      </c>
      <c r="BO129" s="157">
        <f t="shared" si="228"/>
        <v>0</v>
      </c>
      <c r="BP129" s="158">
        <f>+BK129+IFERROR(VLOOKUP($A129,'A0 BS 1240在建'!$1:$1048576,61,0),0)</f>
        <v>0</v>
      </c>
      <c r="BQ129" s="158">
        <f>+BL129+IFERROR(VLOOKUP($A129,'B0 2264預收'!$1:$1048576,61,0),0)</f>
        <v>0</v>
      </c>
      <c r="BR129" s="159">
        <f t="shared" si="229"/>
        <v>0</v>
      </c>
      <c r="BS129" s="158">
        <f>+BN129+IFERROR(+VLOOKUP($A129,'B0 2264預收'!$1:$1048576,62,0),0)</f>
        <v>0</v>
      </c>
      <c r="BT129" s="158">
        <f t="shared" si="230"/>
        <v>0</v>
      </c>
      <c r="BU129" s="157">
        <f>+IFERROR(VLOOKUP($A129,'A0 BS 1240在建'!$1:$1048576,77,0),0)</f>
        <v>0</v>
      </c>
      <c r="BV129" s="157">
        <f>+IFERROR(VLOOKUP($A129,'B0 2264預收'!$1:$1048576,77,0),0)</f>
        <v>0</v>
      </c>
      <c r="BW129" s="157">
        <f t="shared" si="231"/>
        <v>0</v>
      </c>
      <c r="BX129" s="157">
        <f>+IFERROR(+VLOOKUP($A129,'B0 2264預收'!$1:$1048576,78,0),0)</f>
        <v>0</v>
      </c>
      <c r="BY129" s="157">
        <f t="shared" si="232"/>
        <v>0</v>
      </c>
      <c r="BZ129" s="158">
        <f>IFERROR(+VLOOKUP($A129,'A0 BS 1240在建'!$1:$1048576,85,0),0)</f>
        <v>0</v>
      </c>
      <c r="CA129" s="158">
        <f>IFERROR(+VLOOKUP($A129,'B0 2264預收'!$1:$1048576,85,0),0)</f>
        <v>0</v>
      </c>
      <c r="CB129" s="158">
        <f t="shared" si="233"/>
        <v>0</v>
      </c>
      <c r="CC129" s="158">
        <f>+IFERROR(+VLOOKUP($A129,'B0 2264預收'!$1:$1048576,86,0),0)</f>
        <v>0</v>
      </c>
      <c r="CD129" s="158">
        <f t="shared" si="234"/>
        <v>0</v>
      </c>
      <c r="CE129" s="157">
        <f>+IFERROR(VLOOKUP($A129,'A0 BS 1240在建'!$1:$1048576,93,0),0)</f>
        <v>0</v>
      </c>
      <c r="CF129" s="157">
        <f>+IFERROR(VLOOKUP($A129,'B0 2264預收'!$1:$1048576,93,0),0)</f>
        <v>0</v>
      </c>
      <c r="CG129" s="157">
        <f t="shared" si="235"/>
        <v>0</v>
      </c>
      <c r="CH129" s="157">
        <f>+IFERROR(+VLOOKUP($A129,'B0 2264預收'!$1:$1048576,94,0),0)</f>
        <v>0</v>
      </c>
      <c r="CI129" s="157">
        <f t="shared" si="236"/>
        <v>0</v>
      </c>
      <c r="CJ129" s="158">
        <f>IFERROR(+VLOOKUP($A129,'A0 BS 1240在建'!$1:$1048576,101,0),0)</f>
        <v>0</v>
      </c>
      <c r="CK129" s="158">
        <f>IFERROR(+VLOOKUP($A129,'B0 2264預收'!$1:$1048576,101,0),0)</f>
        <v>0</v>
      </c>
      <c r="CL129" s="158">
        <f t="shared" si="237"/>
        <v>0</v>
      </c>
      <c r="CM129" s="158">
        <f>+IFERROR(+VLOOKUP($A129,'B0 2264預收'!$1:$1048576,102,0),0)</f>
        <v>0</v>
      </c>
      <c r="CN129" s="158">
        <f t="shared" si="238"/>
        <v>0</v>
      </c>
      <c r="CY129" s="162"/>
      <c r="DC129" s="163"/>
      <c r="DD129" s="162"/>
      <c r="DH129" s="163"/>
    </row>
    <row r="130" spans="1:112" hidden="1">
      <c r="A130" s="175"/>
      <c r="B130" s="175"/>
      <c r="C130" s="157">
        <f>IFERROR(VLOOKUP($A130,'A0 BS 1240在建'!$1:$1048576,5,0),0)</f>
        <v>0</v>
      </c>
      <c r="D130" s="157">
        <f>IFERROR(VLOOKUP($A130,'B0 2264預收'!$1:$1048576,5,0),0)</f>
        <v>0</v>
      </c>
      <c r="E130" s="157">
        <f t="shared" si="203"/>
        <v>0</v>
      </c>
      <c r="F130" s="157">
        <f>IFERROR(VLOOKUP($A130,'B0 2264預收'!$1:$1048576,6,0),0)</f>
        <v>0</v>
      </c>
      <c r="G130" s="157">
        <f t="shared" si="204"/>
        <v>0</v>
      </c>
      <c r="H130" s="158">
        <f>IFERROR(VLOOKUP($A130,'A0 BS 1240在建'!$1:$1048576,13,0),0)</f>
        <v>0</v>
      </c>
      <c r="I130" s="158">
        <f>IFERROR(VLOOKUP($A130,'B0 2264預收'!$1:$1048576,13,0),0)</f>
        <v>0</v>
      </c>
      <c r="J130" s="158">
        <f t="shared" si="205"/>
        <v>0</v>
      </c>
      <c r="K130" s="158">
        <f>IFERROR(VLOOKUP($A130,'B0 2264預收'!$1:$1048576,14,0),0)</f>
        <v>0</v>
      </c>
      <c r="L130" s="158">
        <f t="shared" si="206"/>
        <v>0</v>
      </c>
      <c r="M130" s="157">
        <f>H130+IFERROR(VLOOKUP($A130,'A0 BS 1240在建'!$1:$1048576,17,0),0)</f>
        <v>0</v>
      </c>
      <c r="N130" s="157">
        <f>I130+IFERROR(VLOOKUP($A130,'B0 2264預收'!$1:$1048576,17,0),0)</f>
        <v>0</v>
      </c>
      <c r="O130" s="157">
        <f t="shared" si="207"/>
        <v>0</v>
      </c>
      <c r="P130" s="157">
        <f>K130+IFERROR(+VLOOKUP($A130,'B0 2264預收'!$1:$1048576,18,0),0)</f>
        <v>0</v>
      </c>
      <c r="Q130" s="157">
        <f t="shared" si="208"/>
        <v>0</v>
      </c>
      <c r="R130" s="158">
        <f>M130+IFERROR(VLOOKUP($A130,'A0 BS 1240在建'!$1:$1048576,21,0),0)</f>
        <v>0</v>
      </c>
      <c r="S130" s="158">
        <f>+N130+IFERROR(VLOOKUP($A130,'B0 2264預收'!$1:$1048576,21,0),0)</f>
        <v>0</v>
      </c>
      <c r="T130" s="158">
        <f t="shared" si="209"/>
        <v>0</v>
      </c>
      <c r="U130" s="158">
        <f>+P130+IFERROR(+VLOOKUP($A130,'B0 2264預收'!$1:$1048576,22,0),0)</f>
        <v>0</v>
      </c>
      <c r="V130" s="158">
        <f t="shared" si="210"/>
        <v>0</v>
      </c>
      <c r="W130" s="157">
        <f>+R130+IFERROR(VLOOKUP($A130,'A0 BS 1240在建'!$1:$1048576,25,0),0)</f>
        <v>0</v>
      </c>
      <c r="X130" s="157">
        <f>+S130+IFERROR(VLOOKUP($A130,'B0 2264預收'!$1:$1048576,25,0),0)</f>
        <v>0</v>
      </c>
      <c r="Y130" s="157">
        <f t="shared" si="211"/>
        <v>0</v>
      </c>
      <c r="Z130" s="157">
        <f>+U130+IFERROR(+VLOOKUP($A130,'B0 2264預收'!$1:$1048576,26,0),0)</f>
        <v>0</v>
      </c>
      <c r="AA130" s="157">
        <f t="shared" si="212"/>
        <v>0</v>
      </c>
      <c r="AB130" s="158">
        <f>+W130+IFERROR(VLOOKUP($A130,'A0 BS 1240在建'!$1:$1048576,29,0),0)</f>
        <v>0</v>
      </c>
      <c r="AC130" s="158">
        <f>+X130+IFERROR(VLOOKUP($A130,'B0 2264預收'!$1:$1048576,29,0),0)</f>
        <v>0</v>
      </c>
      <c r="AD130" s="158">
        <f t="shared" si="213"/>
        <v>0</v>
      </c>
      <c r="AE130" s="158">
        <f>+Z130+IFERROR(+VLOOKUP($A130,'B0 2264預收'!$1:$1048576,30,0),0)</f>
        <v>0</v>
      </c>
      <c r="AF130" s="158">
        <f t="shared" si="214"/>
        <v>0</v>
      </c>
      <c r="AG130" s="157">
        <f>+AB130+IFERROR(VLOOKUP($A130,'A0 BS 1240在建'!$1:$1048576,33,0),0)</f>
        <v>0</v>
      </c>
      <c r="AH130" s="157">
        <f>+AC130+IFERROR(VLOOKUP($A130,'B0 2264預收'!$1:$1048576,33,0),0)</f>
        <v>0</v>
      </c>
      <c r="AI130" s="157">
        <f t="shared" si="215"/>
        <v>0</v>
      </c>
      <c r="AJ130" s="157">
        <f>+AE130+IFERROR(+VLOOKUP($A130,'B0 2264預收'!$1:$1048576,34,0),0)</f>
        <v>0</v>
      </c>
      <c r="AK130" s="157">
        <f t="shared" si="216"/>
        <v>0</v>
      </c>
      <c r="AL130" s="158">
        <f>+AG130+IFERROR(VLOOKUP($A130,'A0 BS 1240在建'!$1:$1048576,37,0),0)</f>
        <v>0</v>
      </c>
      <c r="AM130" s="158">
        <f>+AH130+IFERROR(VLOOKUP($A130,'B0 2264預收'!$1:$1048576,37,0),0)</f>
        <v>0</v>
      </c>
      <c r="AN130" s="158">
        <f t="shared" si="217"/>
        <v>0</v>
      </c>
      <c r="AO130" s="158">
        <f>+AJ130+IFERROR(+VLOOKUP($A130,'B0 2264預收'!$1:$1048576,38,0),0)</f>
        <v>0</v>
      </c>
      <c r="AP130" s="158">
        <f t="shared" si="218"/>
        <v>0</v>
      </c>
      <c r="AQ130" s="157">
        <f>+AL130+IFERROR(VLOOKUP($A130,'A0 BS 1240在建'!$1:$1048576,41,0),0)</f>
        <v>0</v>
      </c>
      <c r="AR130" s="157">
        <f>+AM130+IFERROR(VLOOKUP($A130,'B0 2264預收'!$1:$1048576,41,0),0)</f>
        <v>0</v>
      </c>
      <c r="AS130" s="157">
        <f t="shared" si="219"/>
        <v>0</v>
      </c>
      <c r="AT130" s="157">
        <f>+AO130+IFERROR(+VLOOKUP($A130,'B0 2264預收'!$1:$1048576,42,0),0)</f>
        <v>0</v>
      </c>
      <c r="AU130" s="157">
        <f t="shared" si="220"/>
        <v>0</v>
      </c>
      <c r="AV130" s="158">
        <f>+AQ130+IFERROR(VLOOKUP($A130,'A0 BS 1240在建'!$1:$1048576,45,0),0)</f>
        <v>0</v>
      </c>
      <c r="AW130" s="158">
        <f>+AR130+IFERROR(VLOOKUP($A130,'B0 2264預收'!$1:$1048576,45,0),0)</f>
        <v>0</v>
      </c>
      <c r="AX130" s="158">
        <f t="shared" si="221"/>
        <v>0</v>
      </c>
      <c r="AY130" s="158">
        <f>+AT130+IFERROR(+VLOOKUP($A130,'B0 2264預收'!$1:$1048576,46,0),0)</f>
        <v>0</v>
      </c>
      <c r="AZ130" s="158">
        <f t="shared" si="222"/>
        <v>0</v>
      </c>
      <c r="BA130" s="157">
        <f>+AV130+IFERROR(VLOOKUP($A130,'A0 BS 1240在建'!$1:$1048576,49,0),0)</f>
        <v>0</v>
      </c>
      <c r="BB130" s="157">
        <f>+AW130+IFERROR(VLOOKUP($A130,'B0 2264預收'!$1:$1048576,49,0),0)</f>
        <v>0</v>
      </c>
      <c r="BC130" s="157">
        <f t="shared" si="223"/>
        <v>0</v>
      </c>
      <c r="BD130" s="157">
        <f>+AY130+IFERROR(+VLOOKUP($A130,'B0 2264預收'!$1:$1048576,50,0),0)</f>
        <v>0</v>
      </c>
      <c r="BE130" s="157">
        <f t="shared" si="224"/>
        <v>0</v>
      </c>
      <c r="BF130" s="158">
        <f>+BA130+IFERROR(VLOOKUP($A130,'A0 BS 1240在建'!$1:$1048576,53,0),0)</f>
        <v>0</v>
      </c>
      <c r="BG130" s="158">
        <f>+BB130+IFERROR(VLOOKUP($A130,'B0 2264預收'!$1:$1048576,53,0),0)</f>
        <v>0</v>
      </c>
      <c r="BH130" s="158">
        <f t="shared" si="225"/>
        <v>0</v>
      </c>
      <c r="BI130" s="158">
        <f>+BD130+IFERROR(+VLOOKUP($A130,'B0 2264預收'!$1:$1048576,54,0),0)</f>
        <v>0</v>
      </c>
      <c r="BJ130" s="158">
        <f t="shared" si="226"/>
        <v>0</v>
      </c>
      <c r="BK130" s="157">
        <f>+BF130+IFERROR(VLOOKUP($A130,'A0 BS 1240在建'!$1:$1048576,57,0),0)</f>
        <v>0</v>
      </c>
      <c r="BL130" s="157">
        <f>+BG130+IFERROR(VLOOKUP($A130,'B0 2264預收'!$1:$1048576,57,0),0)</f>
        <v>0</v>
      </c>
      <c r="BM130" s="157">
        <f t="shared" si="227"/>
        <v>0</v>
      </c>
      <c r="BN130" s="157">
        <f>+BI130+IFERROR(+VLOOKUP($A130,'B0 2264預收'!$1:$1048576,58,0),0)</f>
        <v>0</v>
      </c>
      <c r="BO130" s="157">
        <f t="shared" si="228"/>
        <v>0</v>
      </c>
      <c r="BP130" s="158">
        <f>+BK130+IFERROR(VLOOKUP($A130,'A0 BS 1240在建'!$1:$1048576,61,0),0)</f>
        <v>0</v>
      </c>
      <c r="BQ130" s="158">
        <f>+BL130+IFERROR(VLOOKUP($A130,'B0 2264預收'!$1:$1048576,61,0),0)</f>
        <v>0</v>
      </c>
      <c r="BR130" s="159">
        <f t="shared" si="229"/>
        <v>0</v>
      </c>
      <c r="BS130" s="158">
        <f>+BN130+IFERROR(+VLOOKUP($A130,'B0 2264預收'!$1:$1048576,62,0),0)</f>
        <v>0</v>
      </c>
      <c r="BT130" s="158">
        <f t="shared" si="230"/>
        <v>0</v>
      </c>
      <c r="BU130" s="157">
        <f>+IFERROR(VLOOKUP($A130,'A0 BS 1240在建'!$1:$1048576,77,0),0)</f>
        <v>0</v>
      </c>
      <c r="BV130" s="157">
        <f>+IFERROR(VLOOKUP($A130,'B0 2264預收'!$1:$1048576,77,0),0)</f>
        <v>0</v>
      </c>
      <c r="BW130" s="157">
        <f t="shared" si="231"/>
        <v>0</v>
      </c>
      <c r="BX130" s="157">
        <f>+IFERROR(+VLOOKUP($A130,'B0 2264預收'!$1:$1048576,78,0),0)</f>
        <v>0</v>
      </c>
      <c r="BY130" s="157">
        <f t="shared" si="232"/>
        <v>0</v>
      </c>
      <c r="BZ130" s="158">
        <f>IFERROR(+VLOOKUP($A130,'A0 BS 1240在建'!$1:$1048576,85,0),0)</f>
        <v>0</v>
      </c>
      <c r="CA130" s="158">
        <f>IFERROR(+VLOOKUP($A130,'B0 2264預收'!$1:$1048576,85,0),0)</f>
        <v>0</v>
      </c>
      <c r="CB130" s="158">
        <f t="shared" si="233"/>
        <v>0</v>
      </c>
      <c r="CC130" s="158">
        <f>+IFERROR(+VLOOKUP($A130,'B0 2264預收'!$1:$1048576,86,0),0)</f>
        <v>0</v>
      </c>
      <c r="CD130" s="158">
        <f t="shared" si="234"/>
        <v>0</v>
      </c>
      <c r="CE130" s="157">
        <f>+IFERROR(VLOOKUP($A130,'A0 BS 1240在建'!$1:$1048576,93,0),0)</f>
        <v>0</v>
      </c>
      <c r="CF130" s="157">
        <f>+IFERROR(VLOOKUP($A130,'B0 2264預收'!$1:$1048576,93,0),0)</f>
        <v>0</v>
      </c>
      <c r="CG130" s="157">
        <f t="shared" si="235"/>
        <v>0</v>
      </c>
      <c r="CH130" s="157">
        <f>+IFERROR(+VLOOKUP($A130,'B0 2264預收'!$1:$1048576,94,0),0)</f>
        <v>0</v>
      </c>
      <c r="CI130" s="157">
        <f t="shared" si="236"/>
        <v>0</v>
      </c>
      <c r="CJ130" s="158">
        <f>IFERROR(+VLOOKUP($A130,'A0 BS 1240在建'!$1:$1048576,101,0),0)</f>
        <v>0</v>
      </c>
      <c r="CK130" s="158">
        <f>IFERROR(+VLOOKUP($A130,'B0 2264預收'!$1:$1048576,101,0),0)</f>
        <v>0</v>
      </c>
      <c r="CL130" s="158">
        <f t="shared" si="237"/>
        <v>0</v>
      </c>
      <c r="CM130" s="158">
        <f>+IFERROR(+VLOOKUP($A130,'B0 2264預收'!$1:$1048576,102,0),0)</f>
        <v>0</v>
      </c>
      <c r="CN130" s="158">
        <f t="shared" si="238"/>
        <v>0</v>
      </c>
      <c r="CY130" s="162"/>
      <c r="DC130" s="163"/>
      <c r="DD130" s="162"/>
      <c r="DH130" s="163"/>
    </row>
    <row r="131" spans="1:112" hidden="1">
      <c r="A131" s="175"/>
      <c r="B131" s="175"/>
      <c r="C131" s="157">
        <f>IFERROR(VLOOKUP($A131,'A0 BS 1240在建'!$1:$1048576,5,0),0)</f>
        <v>0</v>
      </c>
      <c r="D131" s="157">
        <f>IFERROR(VLOOKUP($A131,'B0 2264預收'!$1:$1048576,5,0),0)</f>
        <v>0</v>
      </c>
      <c r="E131" s="157">
        <f t="shared" si="203"/>
        <v>0</v>
      </c>
      <c r="F131" s="157">
        <f>IFERROR(VLOOKUP($A131,'B0 2264預收'!$1:$1048576,6,0),0)</f>
        <v>0</v>
      </c>
      <c r="G131" s="157">
        <f t="shared" si="204"/>
        <v>0</v>
      </c>
      <c r="H131" s="158">
        <f>IFERROR(VLOOKUP($A131,'A0 BS 1240在建'!$1:$1048576,13,0),0)</f>
        <v>0</v>
      </c>
      <c r="I131" s="158">
        <f>IFERROR(VLOOKUP($A131,'B0 2264預收'!$1:$1048576,13,0),0)</f>
        <v>0</v>
      </c>
      <c r="J131" s="158">
        <f t="shared" si="205"/>
        <v>0</v>
      </c>
      <c r="K131" s="158">
        <f>IFERROR(VLOOKUP($A131,'B0 2264預收'!$1:$1048576,14,0),0)</f>
        <v>0</v>
      </c>
      <c r="L131" s="158">
        <f t="shared" si="206"/>
        <v>0</v>
      </c>
      <c r="M131" s="157">
        <f>H131+IFERROR(VLOOKUP($A131,'A0 BS 1240在建'!$1:$1048576,17,0),0)</f>
        <v>0</v>
      </c>
      <c r="N131" s="157">
        <f>I131+IFERROR(VLOOKUP($A131,'B0 2264預收'!$1:$1048576,17,0),0)</f>
        <v>0</v>
      </c>
      <c r="O131" s="157">
        <f t="shared" si="207"/>
        <v>0</v>
      </c>
      <c r="P131" s="157">
        <f>K131+IFERROR(+VLOOKUP($A131,'B0 2264預收'!$1:$1048576,18,0),0)</f>
        <v>0</v>
      </c>
      <c r="Q131" s="157">
        <f t="shared" si="208"/>
        <v>0</v>
      </c>
      <c r="R131" s="158">
        <f>M131+IFERROR(VLOOKUP($A131,'A0 BS 1240在建'!$1:$1048576,21,0),0)</f>
        <v>0</v>
      </c>
      <c r="S131" s="158">
        <f>+N131+IFERROR(VLOOKUP($A131,'B0 2264預收'!$1:$1048576,21,0),0)</f>
        <v>0</v>
      </c>
      <c r="T131" s="158">
        <f t="shared" si="209"/>
        <v>0</v>
      </c>
      <c r="U131" s="158">
        <f>+P131+IFERROR(+VLOOKUP($A131,'B0 2264預收'!$1:$1048576,22,0),0)</f>
        <v>0</v>
      </c>
      <c r="V131" s="158">
        <f t="shared" si="210"/>
        <v>0</v>
      </c>
      <c r="W131" s="157">
        <f>+R131+IFERROR(VLOOKUP($A131,'A0 BS 1240在建'!$1:$1048576,25,0),0)</f>
        <v>0</v>
      </c>
      <c r="X131" s="157">
        <f>+S131+IFERROR(VLOOKUP($A131,'B0 2264預收'!$1:$1048576,25,0),0)</f>
        <v>0</v>
      </c>
      <c r="Y131" s="157">
        <f t="shared" si="211"/>
        <v>0</v>
      </c>
      <c r="Z131" s="157">
        <f>+U131+IFERROR(+VLOOKUP($A131,'B0 2264預收'!$1:$1048576,26,0),0)</f>
        <v>0</v>
      </c>
      <c r="AA131" s="157">
        <f t="shared" si="212"/>
        <v>0</v>
      </c>
      <c r="AB131" s="158">
        <f>+W131+IFERROR(VLOOKUP($A131,'A0 BS 1240在建'!$1:$1048576,29,0),0)</f>
        <v>0</v>
      </c>
      <c r="AC131" s="158">
        <f>+X131+IFERROR(VLOOKUP($A131,'B0 2264預收'!$1:$1048576,29,0),0)</f>
        <v>0</v>
      </c>
      <c r="AD131" s="158">
        <f t="shared" si="213"/>
        <v>0</v>
      </c>
      <c r="AE131" s="158">
        <f>+Z131+IFERROR(+VLOOKUP($A131,'B0 2264預收'!$1:$1048576,30,0),0)</f>
        <v>0</v>
      </c>
      <c r="AF131" s="158">
        <f t="shared" si="214"/>
        <v>0</v>
      </c>
      <c r="AG131" s="157">
        <f>+AB131+IFERROR(VLOOKUP($A131,'A0 BS 1240在建'!$1:$1048576,33,0),0)</f>
        <v>0</v>
      </c>
      <c r="AH131" s="157">
        <f>+AC131+IFERROR(VLOOKUP($A131,'B0 2264預收'!$1:$1048576,33,0),0)</f>
        <v>0</v>
      </c>
      <c r="AI131" s="157">
        <f t="shared" si="215"/>
        <v>0</v>
      </c>
      <c r="AJ131" s="157">
        <f>+AE131+IFERROR(+VLOOKUP($A131,'B0 2264預收'!$1:$1048576,34,0),0)</f>
        <v>0</v>
      </c>
      <c r="AK131" s="157">
        <f t="shared" si="216"/>
        <v>0</v>
      </c>
      <c r="AL131" s="158">
        <f>+AG131+IFERROR(VLOOKUP($A131,'A0 BS 1240在建'!$1:$1048576,37,0),0)</f>
        <v>0</v>
      </c>
      <c r="AM131" s="158">
        <f>+AH131+IFERROR(VLOOKUP($A131,'B0 2264預收'!$1:$1048576,37,0),0)</f>
        <v>0</v>
      </c>
      <c r="AN131" s="158">
        <f t="shared" si="217"/>
        <v>0</v>
      </c>
      <c r="AO131" s="158">
        <f>+AJ131+IFERROR(+VLOOKUP($A131,'B0 2264預收'!$1:$1048576,38,0),0)</f>
        <v>0</v>
      </c>
      <c r="AP131" s="158">
        <f t="shared" si="218"/>
        <v>0</v>
      </c>
      <c r="AQ131" s="157">
        <f>+AL131+IFERROR(VLOOKUP($A131,'A0 BS 1240在建'!$1:$1048576,41,0),0)</f>
        <v>0</v>
      </c>
      <c r="AR131" s="157">
        <f>+AM131+IFERROR(VLOOKUP($A131,'B0 2264預收'!$1:$1048576,41,0),0)</f>
        <v>0</v>
      </c>
      <c r="AS131" s="157">
        <f t="shared" si="219"/>
        <v>0</v>
      </c>
      <c r="AT131" s="157">
        <f>+AO131+IFERROR(+VLOOKUP($A131,'B0 2264預收'!$1:$1048576,42,0),0)</f>
        <v>0</v>
      </c>
      <c r="AU131" s="157">
        <f t="shared" si="220"/>
        <v>0</v>
      </c>
      <c r="AV131" s="158">
        <f>+AQ131+IFERROR(VLOOKUP($A131,'A0 BS 1240在建'!$1:$1048576,45,0),0)</f>
        <v>0</v>
      </c>
      <c r="AW131" s="158">
        <f>+AR131+IFERROR(VLOOKUP($A131,'B0 2264預收'!$1:$1048576,45,0),0)</f>
        <v>0</v>
      </c>
      <c r="AX131" s="158">
        <f t="shared" si="221"/>
        <v>0</v>
      </c>
      <c r="AY131" s="158">
        <f>+AT131+IFERROR(+VLOOKUP($A131,'B0 2264預收'!$1:$1048576,46,0),0)</f>
        <v>0</v>
      </c>
      <c r="AZ131" s="158">
        <f t="shared" si="222"/>
        <v>0</v>
      </c>
      <c r="BA131" s="157">
        <f>+AV131+IFERROR(VLOOKUP($A131,'A0 BS 1240在建'!$1:$1048576,49,0),0)</f>
        <v>0</v>
      </c>
      <c r="BB131" s="157">
        <f>+AW131+IFERROR(VLOOKUP($A131,'B0 2264預收'!$1:$1048576,49,0),0)</f>
        <v>0</v>
      </c>
      <c r="BC131" s="157">
        <f t="shared" si="223"/>
        <v>0</v>
      </c>
      <c r="BD131" s="157">
        <f>+AY131+IFERROR(+VLOOKUP($A131,'B0 2264預收'!$1:$1048576,50,0),0)</f>
        <v>0</v>
      </c>
      <c r="BE131" s="157">
        <f t="shared" si="224"/>
        <v>0</v>
      </c>
      <c r="BF131" s="158">
        <f>+BA131+IFERROR(VLOOKUP($A131,'A0 BS 1240在建'!$1:$1048576,53,0),0)</f>
        <v>0</v>
      </c>
      <c r="BG131" s="158">
        <f>+BB131+IFERROR(VLOOKUP($A131,'B0 2264預收'!$1:$1048576,53,0),0)</f>
        <v>0</v>
      </c>
      <c r="BH131" s="158">
        <f t="shared" si="225"/>
        <v>0</v>
      </c>
      <c r="BI131" s="158">
        <f>+BD131+IFERROR(+VLOOKUP($A131,'B0 2264預收'!$1:$1048576,54,0),0)</f>
        <v>0</v>
      </c>
      <c r="BJ131" s="158">
        <f t="shared" si="226"/>
        <v>0</v>
      </c>
      <c r="BK131" s="157">
        <f>+BF131+IFERROR(VLOOKUP($A131,'A0 BS 1240在建'!$1:$1048576,57,0),0)</f>
        <v>0</v>
      </c>
      <c r="BL131" s="157">
        <f>+BG131+IFERROR(VLOOKUP($A131,'B0 2264預收'!$1:$1048576,57,0),0)</f>
        <v>0</v>
      </c>
      <c r="BM131" s="157">
        <f t="shared" si="227"/>
        <v>0</v>
      </c>
      <c r="BN131" s="157">
        <f>+BI131+IFERROR(+VLOOKUP($A131,'B0 2264預收'!$1:$1048576,58,0),0)</f>
        <v>0</v>
      </c>
      <c r="BO131" s="157">
        <f t="shared" si="228"/>
        <v>0</v>
      </c>
      <c r="BP131" s="158">
        <f>+BK131+IFERROR(VLOOKUP($A131,'A0 BS 1240在建'!$1:$1048576,61,0),0)</f>
        <v>0</v>
      </c>
      <c r="BQ131" s="158">
        <f>+BL131+IFERROR(VLOOKUP($A131,'B0 2264預收'!$1:$1048576,61,0),0)</f>
        <v>0</v>
      </c>
      <c r="BR131" s="159">
        <f t="shared" si="229"/>
        <v>0</v>
      </c>
      <c r="BS131" s="158">
        <f>+BN131+IFERROR(+VLOOKUP($A131,'B0 2264預收'!$1:$1048576,62,0),0)</f>
        <v>0</v>
      </c>
      <c r="BT131" s="158">
        <f t="shared" si="230"/>
        <v>0</v>
      </c>
      <c r="BU131" s="157">
        <f>+IFERROR(VLOOKUP($A131,'A0 BS 1240在建'!$1:$1048576,77,0),0)</f>
        <v>0</v>
      </c>
      <c r="BV131" s="157">
        <f>+IFERROR(VLOOKUP($A131,'B0 2264預收'!$1:$1048576,77,0),0)</f>
        <v>0</v>
      </c>
      <c r="BW131" s="157">
        <f t="shared" si="231"/>
        <v>0</v>
      </c>
      <c r="BX131" s="157">
        <f>+IFERROR(+VLOOKUP($A131,'B0 2264預收'!$1:$1048576,78,0),0)</f>
        <v>0</v>
      </c>
      <c r="BY131" s="157">
        <f t="shared" si="232"/>
        <v>0</v>
      </c>
      <c r="BZ131" s="158">
        <f>IFERROR(+VLOOKUP($A131,'A0 BS 1240在建'!$1:$1048576,85,0),0)</f>
        <v>0</v>
      </c>
      <c r="CA131" s="158">
        <f>IFERROR(+VLOOKUP($A131,'B0 2264預收'!$1:$1048576,85,0),0)</f>
        <v>0</v>
      </c>
      <c r="CB131" s="158">
        <f t="shared" si="233"/>
        <v>0</v>
      </c>
      <c r="CC131" s="158">
        <f>+IFERROR(+VLOOKUP($A131,'B0 2264預收'!$1:$1048576,86,0),0)</f>
        <v>0</v>
      </c>
      <c r="CD131" s="158">
        <f t="shared" si="234"/>
        <v>0</v>
      </c>
      <c r="CE131" s="157">
        <f>+IFERROR(VLOOKUP($A131,'A0 BS 1240在建'!$1:$1048576,93,0),0)</f>
        <v>0</v>
      </c>
      <c r="CF131" s="157">
        <f>+IFERROR(VLOOKUP($A131,'B0 2264預收'!$1:$1048576,93,0),0)</f>
        <v>0</v>
      </c>
      <c r="CG131" s="157">
        <f t="shared" si="235"/>
        <v>0</v>
      </c>
      <c r="CH131" s="157">
        <f>+IFERROR(+VLOOKUP($A131,'B0 2264預收'!$1:$1048576,94,0),0)</f>
        <v>0</v>
      </c>
      <c r="CI131" s="157">
        <f t="shared" si="236"/>
        <v>0</v>
      </c>
      <c r="CJ131" s="158">
        <f>IFERROR(+VLOOKUP($A131,'A0 BS 1240在建'!$1:$1048576,101,0),0)</f>
        <v>0</v>
      </c>
      <c r="CK131" s="158">
        <f>IFERROR(+VLOOKUP($A131,'B0 2264預收'!$1:$1048576,101,0),0)</f>
        <v>0</v>
      </c>
      <c r="CL131" s="158">
        <f t="shared" si="237"/>
        <v>0</v>
      </c>
      <c r="CM131" s="158">
        <f>+IFERROR(+VLOOKUP($A131,'B0 2264預收'!$1:$1048576,102,0),0)</f>
        <v>0</v>
      </c>
      <c r="CN131" s="158">
        <f t="shared" si="238"/>
        <v>0</v>
      </c>
      <c r="CY131" s="162"/>
      <c r="DC131" s="163"/>
      <c r="DD131" s="162"/>
      <c r="DH131" s="163"/>
    </row>
    <row r="132" spans="1:112" hidden="1">
      <c r="A132" s="175"/>
      <c r="B132" s="175"/>
      <c r="C132" s="157">
        <f>IFERROR(VLOOKUP($A132,'A0 BS 1240在建'!$1:$1048576,5,0),0)</f>
        <v>0</v>
      </c>
      <c r="D132" s="157">
        <f>IFERROR(VLOOKUP($A132,'B0 2264預收'!$1:$1048576,5,0),0)</f>
        <v>0</v>
      </c>
      <c r="E132" s="157">
        <f t="shared" si="203"/>
        <v>0</v>
      </c>
      <c r="F132" s="157">
        <f>IFERROR(VLOOKUP($A132,'B0 2264預收'!$1:$1048576,6,0),0)</f>
        <v>0</v>
      </c>
      <c r="G132" s="157">
        <f t="shared" si="204"/>
        <v>0</v>
      </c>
      <c r="H132" s="158">
        <f>IFERROR(VLOOKUP($A132,'A0 BS 1240在建'!$1:$1048576,13,0),0)</f>
        <v>0</v>
      </c>
      <c r="I132" s="158">
        <f>IFERROR(VLOOKUP($A132,'B0 2264預收'!$1:$1048576,13,0),0)</f>
        <v>0</v>
      </c>
      <c r="J132" s="158">
        <f t="shared" si="205"/>
        <v>0</v>
      </c>
      <c r="K132" s="158">
        <f>IFERROR(VLOOKUP($A132,'B0 2264預收'!$1:$1048576,14,0),0)</f>
        <v>0</v>
      </c>
      <c r="L132" s="158">
        <f t="shared" si="206"/>
        <v>0</v>
      </c>
      <c r="M132" s="157">
        <f>H132+IFERROR(VLOOKUP($A132,'A0 BS 1240在建'!$1:$1048576,17,0),0)</f>
        <v>0</v>
      </c>
      <c r="N132" s="157">
        <f>I132+IFERROR(VLOOKUP($A132,'B0 2264預收'!$1:$1048576,17,0),0)</f>
        <v>0</v>
      </c>
      <c r="O132" s="157">
        <f t="shared" si="207"/>
        <v>0</v>
      </c>
      <c r="P132" s="157">
        <f>K132+IFERROR(+VLOOKUP($A132,'B0 2264預收'!$1:$1048576,18,0),0)</f>
        <v>0</v>
      </c>
      <c r="Q132" s="157">
        <f t="shared" si="208"/>
        <v>0</v>
      </c>
      <c r="R132" s="158">
        <f>M132+IFERROR(VLOOKUP($A132,'A0 BS 1240在建'!$1:$1048576,21,0),0)</f>
        <v>0</v>
      </c>
      <c r="S132" s="158">
        <f>+N132+IFERROR(VLOOKUP($A132,'B0 2264預收'!$1:$1048576,21,0),0)</f>
        <v>0</v>
      </c>
      <c r="T132" s="158">
        <f t="shared" si="209"/>
        <v>0</v>
      </c>
      <c r="U132" s="158">
        <f>+P132+IFERROR(+VLOOKUP($A132,'B0 2264預收'!$1:$1048576,22,0),0)</f>
        <v>0</v>
      </c>
      <c r="V132" s="158">
        <f t="shared" si="210"/>
        <v>0</v>
      </c>
      <c r="W132" s="157">
        <f>+R132+IFERROR(VLOOKUP($A132,'A0 BS 1240在建'!$1:$1048576,25,0),0)</f>
        <v>0</v>
      </c>
      <c r="X132" s="157">
        <f>+S132+IFERROR(VLOOKUP($A132,'B0 2264預收'!$1:$1048576,25,0),0)</f>
        <v>0</v>
      </c>
      <c r="Y132" s="157">
        <f t="shared" si="211"/>
        <v>0</v>
      </c>
      <c r="Z132" s="157">
        <f>+U132+IFERROR(+VLOOKUP($A132,'B0 2264預收'!$1:$1048576,26,0),0)</f>
        <v>0</v>
      </c>
      <c r="AA132" s="157">
        <f t="shared" si="212"/>
        <v>0</v>
      </c>
      <c r="AB132" s="158">
        <f>+W132+IFERROR(VLOOKUP($A132,'A0 BS 1240在建'!$1:$1048576,29,0),0)</f>
        <v>0</v>
      </c>
      <c r="AC132" s="158">
        <f>+X132+IFERROR(VLOOKUP($A132,'B0 2264預收'!$1:$1048576,29,0),0)</f>
        <v>0</v>
      </c>
      <c r="AD132" s="158">
        <f t="shared" si="213"/>
        <v>0</v>
      </c>
      <c r="AE132" s="158">
        <f>+Z132+IFERROR(+VLOOKUP($A132,'B0 2264預收'!$1:$1048576,30,0),0)</f>
        <v>0</v>
      </c>
      <c r="AF132" s="158">
        <f t="shared" si="214"/>
        <v>0</v>
      </c>
      <c r="AG132" s="157">
        <f>+AB132+IFERROR(VLOOKUP($A132,'A0 BS 1240在建'!$1:$1048576,33,0),0)</f>
        <v>0</v>
      </c>
      <c r="AH132" s="157">
        <f>+AC132+IFERROR(VLOOKUP($A132,'B0 2264預收'!$1:$1048576,33,0),0)</f>
        <v>0</v>
      </c>
      <c r="AI132" s="157">
        <f t="shared" si="215"/>
        <v>0</v>
      </c>
      <c r="AJ132" s="157">
        <f>+AE132+IFERROR(+VLOOKUP($A132,'B0 2264預收'!$1:$1048576,34,0),0)</f>
        <v>0</v>
      </c>
      <c r="AK132" s="157">
        <f t="shared" si="216"/>
        <v>0</v>
      </c>
      <c r="AL132" s="158">
        <f>+AG132+IFERROR(VLOOKUP($A132,'A0 BS 1240在建'!$1:$1048576,37,0),0)</f>
        <v>0</v>
      </c>
      <c r="AM132" s="158">
        <f>+AH132+IFERROR(VLOOKUP($A132,'B0 2264預收'!$1:$1048576,37,0),0)</f>
        <v>0</v>
      </c>
      <c r="AN132" s="158">
        <f t="shared" si="217"/>
        <v>0</v>
      </c>
      <c r="AO132" s="158">
        <f>+AJ132+IFERROR(+VLOOKUP($A132,'B0 2264預收'!$1:$1048576,38,0),0)</f>
        <v>0</v>
      </c>
      <c r="AP132" s="158">
        <f t="shared" si="218"/>
        <v>0</v>
      </c>
      <c r="AQ132" s="157">
        <f>+AL132+IFERROR(VLOOKUP($A132,'A0 BS 1240在建'!$1:$1048576,41,0),0)</f>
        <v>0</v>
      </c>
      <c r="AR132" s="157">
        <f>+AM132+IFERROR(VLOOKUP($A132,'B0 2264預收'!$1:$1048576,41,0),0)</f>
        <v>0</v>
      </c>
      <c r="AS132" s="157">
        <f t="shared" si="219"/>
        <v>0</v>
      </c>
      <c r="AT132" s="157">
        <f>+AO132+IFERROR(+VLOOKUP($A132,'B0 2264預收'!$1:$1048576,42,0),0)</f>
        <v>0</v>
      </c>
      <c r="AU132" s="157">
        <f t="shared" si="220"/>
        <v>0</v>
      </c>
      <c r="AV132" s="158">
        <f>+AQ132+IFERROR(VLOOKUP($A132,'A0 BS 1240在建'!$1:$1048576,45,0),0)</f>
        <v>0</v>
      </c>
      <c r="AW132" s="158">
        <f>+AR132+IFERROR(VLOOKUP($A132,'B0 2264預收'!$1:$1048576,45,0),0)</f>
        <v>0</v>
      </c>
      <c r="AX132" s="158">
        <f t="shared" si="221"/>
        <v>0</v>
      </c>
      <c r="AY132" s="158">
        <f>+AT132+IFERROR(+VLOOKUP($A132,'B0 2264預收'!$1:$1048576,46,0),0)</f>
        <v>0</v>
      </c>
      <c r="AZ132" s="158">
        <f t="shared" si="222"/>
        <v>0</v>
      </c>
      <c r="BA132" s="157">
        <f>+AV132+IFERROR(VLOOKUP($A132,'A0 BS 1240在建'!$1:$1048576,49,0),0)</f>
        <v>0</v>
      </c>
      <c r="BB132" s="157">
        <f>+AW132+IFERROR(VLOOKUP($A132,'B0 2264預收'!$1:$1048576,49,0),0)</f>
        <v>0</v>
      </c>
      <c r="BC132" s="157">
        <f t="shared" si="223"/>
        <v>0</v>
      </c>
      <c r="BD132" s="157">
        <f>+AY132+IFERROR(+VLOOKUP($A132,'B0 2264預收'!$1:$1048576,50,0),0)</f>
        <v>0</v>
      </c>
      <c r="BE132" s="157">
        <f t="shared" si="224"/>
        <v>0</v>
      </c>
      <c r="BF132" s="158">
        <f>+BA132+IFERROR(VLOOKUP($A132,'A0 BS 1240在建'!$1:$1048576,53,0),0)</f>
        <v>0</v>
      </c>
      <c r="BG132" s="158">
        <f>+BB132+IFERROR(VLOOKUP($A132,'B0 2264預收'!$1:$1048576,53,0),0)</f>
        <v>0</v>
      </c>
      <c r="BH132" s="158">
        <f t="shared" si="225"/>
        <v>0</v>
      </c>
      <c r="BI132" s="158">
        <f>+BD132+IFERROR(+VLOOKUP($A132,'B0 2264預收'!$1:$1048576,54,0),0)</f>
        <v>0</v>
      </c>
      <c r="BJ132" s="158">
        <f t="shared" si="226"/>
        <v>0</v>
      </c>
      <c r="BK132" s="157">
        <f>+BF132+IFERROR(VLOOKUP($A132,'A0 BS 1240在建'!$1:$1048576,57,0),0)</f>
        <v>0</v>
      </c>
      <c r="BL132" s="157">
        <f>+BG132+IFERROR(VLOOKUP($A132,'B0 2264預收'!$1:$1048576,57,0),0)</f>
        <v>0</v>
      </c>
      <c r="BM132" s="157">
        <f t="shared" si="227"/>
        <v>0</v>
      </c>
      <c r="BN132" s="157">
        <f>+BI132+IFERROR(+VLOOKUP($A132,'B0 2264預收'!$1:$1048576,58,0),0)</f>
        <v>0</v>
      </c>
      <c r="BO132" s="157">
        <f t="shared" si="228"/>
        <v>0</v>
      </c>
      <c r="BP132" s="158">
        <f>+BK132+IFERROR(VLOOKUP($A132,'A0 BS 1240在建'!$1:$1048576,61,0),0)</f>
        <v>0</v>
      </c>
      <c r="BQ132" s="158">
        <f>+BL132+IFERROR(VLOOKUP($A132,'B0 2264預收'!$1:$1048576,61,0),0)</f>
        <v>0</v>
      </c>
      <c r="BR132" s="159">
        <f t="shared" si="229"/>
        <v>0</v>
      </c>
      <c r="BS132" s="158">
        <f>+BN132+IFERROR(+VLOOKUP($A132,'B0 2264預收'!$1:$1048576,62,0),0)</f>
        <v>0</v>
      </c>
      <c r="BT132" s="158">
        <f t="shared" si="230"/>
        <v>0</v>
      </c>
      <c r="BU132" s="157">
        <f>+IFERROR(VLOOKUP($A132,'A0 BS 1240在建'!$1:$1048576,77,0),0)</f>
        <v>0</v>
      </c>
      <c r="BV132" s="157">
        <f>+IFERROR(VLOOKUP($A132,'B0 2264預收'!$1:$1048576,77,0),0)</f>
        <v>0</v>
      </c>
      <c r="BW132" s="157">
        <f t="shared" si="231"/>
        <v>0</v>
      </c>
      <c r="BX132" s="157">
        <f>+IFERROR(+VLOOKUP($A132,'B0 2264預收'!$1:$1048576,78,0),0)</f>
        <v>0</v>
      </c>
      <c r="BY132" s="157">
        <f t="shared" si="232"/>
        <v>0</v>
      </c>
      <c r="BZ132" s="158">
        <f>IFERROR(+VLOOKUP($A132,'A0 BS 1240在建'!$1:$1048576,85,0),0)</f>
        <v>0</v>
      </c>
      <c r="CA132" s="158">
        <f>IFERROR(+VLOOKUP($A132,'B0 2264預收'!$1:$1048576,85,0),0)</f>
        <v>0</v>
      </c>
      <c r="CB132" s="158">
        <f t="shared" si="233"/>
        <v>0</v>
      </c>
      <c r="CC132" s="158">
        <f>+IFERROR(+VLOOKUP($A132,'B0 2264預收'!$1:$1048576,86,0),0)</f>
        <v>0</v>
      </c>
      <c r="CD132" s="158">
        <f t="shared" si="234"/>
        <v>0</v>
      </c>
      <c r="CE132" s="157">
        <f>+IFERROR(VLOOKUP($A132,'A0 BS 1240在建'!$1:$1048576,93,0),0)</f>
        <v>0</v>
      </c>
      <c r="CF132" s="157">
        <f>+IFERROR(VLOOKUP($A132,'B0 2264預收'!$1:$1048576,93,0),0)</f>
        <v>0</v>
      </c>
      <c r="CG132" s="157">
        <f t="shared" si="235"/>
        <v>0</v>
      </c>
      <c r="CH132" s="157">
        <f>+IFERROR(+VLOOKUP($A132,'B0 2264預收'!$1:$1048576,94,0),0)</f>
        <v>0</v>
      </c>
      <c r="CI132" s="157">
        <f t="shared" si="236"/>
        <v>0</v>
      </c>
      <c r="CJ132" s="158">
        <f>IFERROR(+VLOOKUP($A132,'A0 BS 1240在建'!$1:$1048576,101,0),0)</f>
        <v>0</v>
      </c>
      <c r="CK132" s="158">
        <f>IFERROR(+VLOOKUP($A132,'B0 2264預收'!$1:$1048576,101,0),0)</f>
        <v>0</v>
      </c>
      <c r="CL132" s="158">
        <f t="shared" si="237"/>
        <v>0</v>
      </c>
      <c r="CM132" s="158">
        <f>+IFERROR(+VLOOKUP($A132,'B0 2264預收'!$1:$1048576,102,0),0)</f>
        <v>0</v>
      </c>
      <c r="CN132" s="158">
        <f t="shared" si="238"/>
        <v>0</v>
      </c>
      <c r="CY132" s="162"/>
      <c r="DC132" s="163"/>
      <c r="DD132" s="162"/>
      <c r="DH132" s="163"/>
    </row>
    <row r="133" spans="1:112" hidden="1">
      <c r="A133" s="175"/>
      <c r="B133" s="175"/>
      <c r="C133" s="157">
        <f>IFERROR(VLOOKUP($A133,'A0 BS 1240在建'!$1:$1048576,5,0),0)</f>
        <v>0</v>
      </c>
      <c r="D133" s="157">
        <f>IFERROR(VLOOKUP($A133,'B0 2264預收'!$1:$1048576,5,0),0)</f>
        <v>0</v>
      </c>
      <c r="E133" s="157">
        <f t="shared" si="203"/>
        <v>0</v>
      </c>
      <c r="F133" s="157">
        <f>IFERROR(VLOOKUP($A133,'B0 2264預收'!$1:$1048576,6,0),0)</f>
        <v>0</v>
      </c>
      <c r="G133" s="157">
        <f t="shared" si="204"/>
        <v>0</v>
      </c>
      <c r="H133" s="158">
        <f>IFERROR(VLOOKUP($A133,'A0 BS 1240在建'!$1:$1048576,13,0),0)</f>
        <v>0</v>
      </c>
      <c r="I133" s="158">
        <f>IFERROR(VLOOKUP($A133,'B0 2264預收'!$1:$1048576,13,0),0)</f>
        <v>0</v>
      </c>
      <c r="J133" s="158">
        <f t="shared" si="205"/>
        <v>0</v>
      </c>
      <c r="K133" s="158">
        <f>IFERROR(VLOOKUP($A133,'B0 2264預收'!$1:$1048576,14,0),0)</f>
        <v>0</v>
      </c>
      <c r="L133" s="158">
        <f t="shared" si="206"/>
        <v>0</v>
      </c>
      <c r="M133" s="157">
        <f>H133+IFERROR(VLOOKUP($A133,'A0 BS 1240在建'!$1:$1048576,17,0),0)</f>
        <v>0</v>
      </c>
      <c r="N133" s="157">
        <f>I133+IFERROR(VLOOKUP($A133,'B0 2264預收'!$1:$1048576,17,0),0)</f>
        <v>0</v>
      </c>
      <c r="O133" s="157">
        <f t="shared" si="207"/>
        <v>0</v>
      </c>
      <c r="P133" s="157">
        <f>K133+IFERROR(+VLOOKUP($A133,'B0 2264預收'!$1:$1048576,18,0),0)</f>
        <v>0</v>
      </c>
      <c r="Q133" s="157">
        <f t="shared" si="208"/>
        <v>0</v>
      </c>
      <c r="R133" s="158">
        <f>M133+IFERROR(VLOOKUP($A133,'A0 BS 1240在建'!$1:$1048576,21,0),0)</f>
        <v>0</v>
      </c>
      <c r="S133" s="158">
        <f>+N133+IFERROR(VLOOKUP($A133,'B0 2264預收'!$1:$1048576,21,0),0)</f>
        <v>0</v>
      </c>
      <c r="T133" s="158">
        <f t="shared" si="209"/>
        <v>0</v>
      </c>
      <c r="U133" s="158">
        <f>+P133+IFERROR(+VLOOKUP($A133,'B0 2264預收'!$1:$1048576,22,0),0)</f>
        <v>0</v>
      </c>
      <c r="V133" s="158">
        <f t="shared" si="210"/>
        <v>0</v>
      </c>
      <c r="W133" s="157">
        <f>+R133+IFERROR(VLOOKUP($A133,'A0 BS 1240在建'!$1:$1048576,25,0),0)</f>
        <v>0</v>
      </c>
      <c r="X133" s="157">
        <f>+S133+IFERROR(VLOOKUP($A133,'B0 2264預收'!$1:$1048576,25,0),0)</f>
        <v>0</v>
      </c>
      <c r="Y133" s="157">
        <f t="shared" si="211"/>
        <v>0</v>
      </c>
      <c r="Z133" s="157">
        <f>+U133+IFERROR(+VLOOKUP($A133,'B0 2264預收'!$1:$1048576,26,0),0)</f>
        <v>0</v>
      </c>
      <c r="AA133" s="157">
        <f t="shared" si="212"/>
        <v>0</v>
      </c>
      <c r="AB133" s="158">
        <f>+W133+IFERROR(VLOOKUP($A133,'A0 BS 1240在建'!$1:$1048576,29,0),0)</f>
        <v>0</v>
      </c>
      <c r="AC133" s="158">
        <f>+X133+IFERROR(VLOOKUP($A133,'B0 2264預收'!$1:$1048576,29,0),0)</f>
        <v>0</v>
      </c>
      <c r="AD133" s="158">
        <f t="shared" si="213"/>
        <v>0</v>
      </c>
      <c r="AE133" s="158">
        <f>+Z133+IFERROR(+VLOOKUP($A133,'B0 2264預收'!$1:$1048576,30,0),0)</f>
        <v>0</v>
      </c>
      <c r="AF133" s="158">
        <f t="shared" si="214"/>
        <v>0</v>
      </c>
      <c r="AG133" s="157">
        <f>+AB133+IFERROR(VLOOKUP($A133,'A0 BS 1240在建'!$1:$1048576,33,0),0)</f>
        <v>0</v>
      </c>
      <c r="AH133" s="157">
        <f>+AC133+IFERROR(VLOOKUP($A133,'B0 2264預收'!$1:$1048576,33,0),0)</f>
        <v>0</v>
      </c>
      <c r="AI133" s="157">
        <f t="shared" si="215"/>
        <v>0</v>
      </c>
      <c r="AJ133" s="157">
        <f>+AE133+IFERROR(+VLOOKUP($A133,'B0 2264預收'!$1:$1048576,34,0),0)</f>
        <v>0</v>
      </c>
      <c r="AK133" s="157">
        <f t="shared" si="216"/>
        <v>0</v>
      </c>
      <c r="AL133" s="158">
        <f>+AG133+IFERROR(VLOOKUP($A133,'A0 BS 1240在建'!$1:$1048576,37,0),0)</f>
        <v>0</v>
      </c>
      <c r="AM133" s="158">
        <f>+AH133+IFERROR(VLOOKUP($A133,'B0 2264預收'!$1:$1048576,37,0),0)</f>
        <v>0</v>
      </c>
      <c r="AN133" s="158">
        <f t="shared" si="217"/>
        <v>0</v>
      </c>
      <c r="AO133" s="158">
        <f>+AJ133+IFERROR(+VLOOKUP($A133,'B0 2264預收'!$1:$1048576,38,0),0)</f>
        <v>0</v>
      </c>
      <c r="AP133" s="158">
        <f t="shared" si="218"/>
        <v>0</v>
      </c>
      <c r="AQ133" s="157">
        <f>+AL133+IFERROR(VLOOKUP($A133,'A0 BS 1240在建'!$1:$1048576,41,0),0)</f>
        <v>0</v>
      </c>
      <c r="AR133" s="157">
        <f>+AM133+IFERROR(VLOOKUP($A133,'B0 2264預收'!$1:$1048576,41,0),0)</f>
        <v>0</v>
      </c>
      <c r="AS133" s="157">
        <f t="shared" si="219"/>
        <v>0</v>
      </c>
      <c r="AT133" s="157">
        <f>+AO133+IFERROR(+VLOOKUP($A133,'B0 2264預收'!$1:$1048576,42,0),0)</f>
        <v>0</v>
      </c>
      <c r="AU133" s="157">
        <f t="shared" si="220"/>
        <v>0</v>
      </c>
      <c r="AV133" s="158">
        <f>+AQ133+IFERROR(VLOOKUP($A133,'A0 BS 1240在建'!$1:$1048576,45,0),0)</f>
        <v>0</v>
      </c>
      <c r="AW133" s="158">
        <f>+AR133+IFERROR(VLOOKUP($A133,'B0 2264預收'!$1:$1048576,45,0),0)</f>
        <v>0</v>
      </c>
      <c r="AX133" s="158">
        <f t="shared" si="221"/>
        <v>0</v>
      </c>
      <c r="AY133" s="158">
        <f>+AT133+IFERROR(+VLOOKUP($A133,'B0 2264預收'!$1:$1048576,46,0),0)</f>
        <v>0</v>
      </c>
      <c r="AZ133" s="158">
        <f t="shared" si="222"/>
        <v>0</v>
      </c>
      <c r="BA133" s="157">
        <f>+AV133+IFERROR(VLOOKUP($A133,'A0 BS 1240在建'!$1:$1048576,49,0),0)</f>
        <v>0</v>
      </c>
      <c r="BB133" s="157">
        <f>+AW133+IFERROR(VLOOKUP($A133,'B0 2264預收'!$1:$1048576,49,0),0)</f>
        <v>0</v>
      </c>
      <c r="BC133" s="157">
        <f t="shared" si="223"/>
        <v>0</v>
      </c>
      <c r="BD133" s="157">
        <f>+AY133+IFERROR(+VLOOKUP($A133,'B0 2264預收'!$1:$1048576,50,0),0)</f>
        <v>0</v>
      </c>
      <c r="BE133" s="157">
        <f t="shared" si="224"/>
        <v>0</v>
      </c>
      <c r="BF133" s="158">
        <f>+BA133+IFERROR(VLOOKUP($A133,'A0 BS 1240在建'!$1:$1048576,53,0),0)</f>
        <v>0</v>
      </c>
      <c r="BG133" s="158">
        <f>+BB133+IFERROR(VLOOKUP($A133,'B0 2264預收'!$1:$1048576,53,0),0)</f>
        <v>0</v>
      </c>
      <c r="BH133" s="158">
        <f t="shared" si="225"/>
        <v>0</v>
      </c>
      <c r="BI133" s="158">
        <f>+BD133+IFERROR(+VLOOKUP($A133,'B0 2264預收'!$1:$1048576,54,0),0)</f>
        <v>0</v>
      </c>
      <c r="BJ133" s="158">
        <f t="shared" si="226"/>
        <v>0</v>
      </c>
      <c r="BK133" s="157">
        <f>+BF133+IFERROR(VLOOKUP($A133,'A0 BS 1240在建'!$1:$1048576,57,0),0)</f>
        <v>0</v>
      </c>
      <c r="BL133" s="157">
        <f>+BG133+IFERROR(VLOOKUP($A133,'B0 2264預收'!$1:$1048576,57,0),0)</f>
        <v>0</v>
      </c>
      <c r="BM133" s="157">
        <f t="shared" si="227"/>
        <v>0</v>
      </c>
      <c r="BN133" s="157">
        <f>+BI133+IFERROR(+VLOOKUP($A133,'B0 2264預收'!$1:$1048576,58,0),0)</f>
        <v>0</v>
      </c>
      <c r="BO133" s="157">
        <f t="shared" si="228"/>
        <v>0</v>
      </c>
      <c r="BP133" s="158">
        <f>+BK133+IFERROR(VLOOKUP($A133,'A0 BS 1240在建'!$1:$1048576,61,0),0)</f>
        <v>0</v>
      </c>
      <c r="BQ133" s="158">
        <f>+BL133+IFERROR(VLOOKUP($A133,'B0 2264預收'!$1:$1048576,61,0),0)</f>
        <v>0</v>
      </c>
      <c r="BR133" s="159">
        <f t="shared" si="229"/>
        <v>0</v>
      </c>
      <c r="BS133" s="158">
        <f>+BN133+IFERROR(+VLOOKUP($A133,'B0 2264預收'!$1:$1048576,62,0),0)</f>
        <v>0</v>
      </c>
      <c r="BT133" s="158">
        <f t="shared" si="230"/>
        <v>0</v>
      </c>
      <c r="BU133" s="157">
        <f>+IFERROR(VLOOKUP($A133,'A0 BS 1240在建'!$1:$1048576,77,0),0)</f>
        <v>0</v>
      </c>
      <c r="BV133" s="157">
        <f>+IFERROR(VLOOKUP($A133,'B0 2264預收'!$1:$1048576,77,0),0)</f>
        <v>0</v>
      </c>
      <c r="BW133" s="157">
        <f t="shared" si="231"/>
        <v>0</v>
      </c>
      <c r="BX133" s="157">
        <f>+IFERROR(+VLOOKUP($A133,'B0 2264預收'!$1:$1048576,78,0),0)</f>
        <v>0</v>
      </c>
      <c r="BY133" s="157">
        <f t="shared" si="232"/>
        <v>0</v>
      </c>
      <c r="BZ133" s="158">
        <f>IFERROR(+VLOOKUP($A133,'A0 BS 1240在建'!$1:$1048576,85,0),0)</f>
        <v>0</v>
      </c>
      <c r="CA133" s="158">
        <f>IFERROR(+VLOOKUP($A133,'B0 2264預收'!$1:$1048576,85,0),0)</f>
        <v>0</v>
      </c>
      <c r="CB133" s="158">
        <f t="shared" si="233"/>
        <v>0</v>
      </c>
      <c r="CC133" s="158">
        <f>+IFERROR(+VLOOKUP($A133,'B0 2264預收'!$1:$1048576,86,0),0)</f>
        <v>0</v>
      </c>
      <c r="CD133" s="158">
        <f t="shared" si="234"/>
        <v>0</v>
      </c>
      <c r="CE133" s="157">
        <f>+IFERROR(VLOOKUP($A133,'A0 BS 1240在建'!$1:$1048576,93,0),0)</f>
        <v>0</v>
      </c>
      <c r="CF133" s="157">
        <f>+IFERROR(VLOOKUP($A133,'B0 2264預收'!$1:$1048576,93,0),0)</f>
        <v>0</v>
      </c>
      <c r="CG133" s="157">
        <f t="shared" si="235"/>
        <v>0</v>
      </c>
      <c r="CH133" s="157">
        <f>+IFERROR(+VLOOKUP($A133,'B0 2264預收'!$1:$1048576,94,0),0)</f>
        <v>0</v>
      </c>
      <c r="CI133" s="157">
        <f t="shared" si="236"/>
        <v>0</v>
      </c>
      <c r="CJ133" s="158">
        <f>IFERROR(+VLOOKUP($A133,'A0 BS 1240在建'!$1:$1048576,101,0),0)</f>
        <v>0</v>
      </c>
      <c r="CK133" s="158">
        <f>IFERROR(+VLOOKUP($A133,'B0 2264預收'!$1:$1048576,101,0),0)</f>
        <v>0</v>
      </c>
      <c r="CL133" s="158">
        <f t="shared" si="237"/>
        <v>0</v>
      </c>
      <c r="CM133" s="158">
        <f>+IFERROR(+VLOOKUP($A133,'B0 2264預收'!$1:$1048576,102,0),0)</f>
        <v>0</v>
      </c>
      <c r="CN133" s="158">
        <f t="shared" si="238"/>
        <v>0</v>
      </c>
      <c r="CY133" s="162"/>
      <c r="DC133" s="163"/>
      <c r="DD133" s="162"/>
      <c r="DH133" s="163"/>
    </row>
    <row r="134" spans="1:112" hidden="1">
      <c r="A134" s="175"/>
      <c r="B134" s="175"/>
      <c r="C134" s="157">
        <f>IFERROR(VLOOKUP($A134,'A0 BS 1240在建'!$1:$1048576,5,0),0)</f>
        <v>0</v>
      </c>
      <c r="D134" s="157">
        <f>IFERROR(VLOOKUP($A134,'B0 2264預收'!$1:$1048576,5,0),0)</f>
        <v>0</v>
      </c>
      <c r="E134" s="157">
        <f t="shared" si="203"/>
        <v>0</v>
      </c>
      <c r="F134" s="157">
        <f>IFERROR(VLOOKUP($A134,'B0 2264預收'!$1:$1048576,6,0),0)</f>
        <v>0</v>
      </c>
      <c r="G134" s="157">
        <f t="shared" si="204"/>
        <v>0</v>
      </c>
      <c r="H134" s="158">
        <f>IFERROR(VLOOKUP($A134,'A0 BS 1240在建'!$1:$1048576,13,0),0)</f>
        <v>0</v>
      </c>
      <c r="I134" s="158">
        <f>IFERROR(VLOOKUP($A134,'B0 2264預收'!$1:$1048576,13,0),0)</f>
        <v>0</v>
      </c>
      <c r="J134" s="158">
        <f t="shared" si="205"/>
        <v>0</v>
      </c>
      <c r="K134" s="158">
        <f>IFERROR(VLOOKUP($A134,'B0 2264預收'!$1:$1048576,14,0),0)</f>
        <v>0</v>
      </c>
      <c r="L134" s="158">
        <f t="shared" si="206"/>
        <v>0</v>
      </c>
      <c r="M134" s="157">
        <f>H134+IFERROR(VLOOKUP($A134,'A0 BS 1240在建'!$1:$1048576,17,0),0)</f>
        <v>0</v>
      </c>
      <c r="N134" s="157">
        <f>I134+IFERROR(VLOOKUP($A134,'B0 2264預收'!$1:$1048576,17,0),0)</f>
        <v>0</v>
      </c>
      <c r="O134" s="157">
        <f t="shared" si="207"/>
        <v>0</v>
      </c>
      <c r="P134" s="157">
        <f>K134+IFERROR(+VLOOKUP($A134,'B0 2264預收'!$1:$1048576,18,0),0)</f>
        <v>0</v>
      </c>
      <c r="Q134" s="157">
        <f t="shared" si="208"/>
        <v>0</v>
      </c>
      <c r="R134" s="158">
        <f>M134+IFERROR(VLOOKUP($A134,'A0 BS 1240在建'!$1:$1048576,21,0),0)</f>
        <v>0</v>
      </c>
      <c r="S134" s="158">
        <f>+N134+IFERROR(VLOOKUP($A134,'B0 2264預收'!$1:$1048576,21,0),0)</f>
        <v>0</v>
      </c>
      <c r="T134" s="158">
        <f t="shared" si="209"/>
        <v>0</v>
      </c>
      <c r="U134" s="158">
        <f>+P134+IFERROR(+VLOOKUP($A134,'B0 2264預收'!$1:$1048576,22,0),0)</f>
        <v>0</v>
      </c>
      <c r="V134" s="158">
        <f t="shared" si="210"/>
        <v>0</v>
      </c>
      <c r="W134" s="157">
        <f>+R134+IFERROR(VLOOKUP($A134,'A0 BS 1240在建'!$1:$1048576,25,0),0)</f>
        <v>0</v>
      </c>
      <c r="X134" s="157">
        <f>+S134+IFERROR(VLOOKUP($A134,'B0 2264預收'!$1:$1048576,25,0),0)</f>
        <v>0</v>
      </c>
      <c r="Y134" s="157">
        <f t="shared" si="211"/>
        <v>0</v>
      </c>
      <c r="Z134" s="157">
        <f>+U134+IFERROR(+VLOOKUP($A134,'B0 2264預收'!$1:$1048576,26,0),0)</f>
        <v>0</v>
      </c>
      <c r="AA134" s="157">
        <f t="shared" si="212"/>
        <v>0</v>
      </c>
      <c r="AB134" s="158">
        <f>+W134+IFERROR(VLOOKUP($A134,'A0 BS 1240在建'!$1:$1048576,29,0),0)</f>
        <v>0</v>
      </c>
      <c r="AC134" s="158">
        <f>+X134+IFERROR(VLOOKUP($A134,'B0 2264預收'!$1:$1048576,29,0),0)</f>
        <v>0</v>
      </c>
      <c r="AD134" s="158">
        <f t="shared" si="213"/>
        <v>0</v>
      </c>
      <c r="AE134" s="158">
        <f>+Z134+IFERROR(+VLOOKUP($A134,'B0 2264預收'!$1:$1048576,30,0),0)</f>
        <v>0</v>
      </c>
      <c r="AF134" s="158">
        <f t="shared" si="214"/>
        <v>0</v>
      </c>
      <c r="AG134" s="157">
        <f>+AB134+IFERROR(VLOOKUP($A134,'A0 BS 1240在建'!$1:$1048576,33,0),0)</f>
        <v>0</v>
      </c>
      <c r="AH134" s="157">
        <f>+AC134+IFERROR(VLOOKUP($A134,'B0 2264預收'!$1:$1048576,33,0),0)</f>
        <v>0</v>
      </c>
      <c r="AI134" s="157">
        <f t="shared" si="215"/>
        <v>0</v>
      </c>
      <c r="AJ134" s="157">
        <f>+AE134+IFERROR(+VLOOKUP($A134,'B0 2264預收'!$1:$1048576,34,0),0)</f>
        <v>0</v>
      </c>
      <c r="AK134" s="157">
        <f t="shared" si="216"/>
        <v>0</v>
      </c>
      <c r="AL134" s="158">
        <f>+AG134+IFERROR(VLOOKUP($A134,'A0 BS 1240在建'!$1:$1048576,37,0),0)</f>
        <v>0</v>
      </c>
      <c r="AM134" s="158">
        <f>+AH134+IFERROR(VLOOKUP($A134,'B0 2264預收'!$1:$1048576,37,0),0)</f>
        <v>0</v>
      </c>
      <c r="AN134" s="158">
        <f t="shared" si="217"/>
        <v>0</v>
      </c>
      <c r="AO134" s="158">
        <f>+AJ134+IFERROR(+VLOOKUP($A134,'B0 2264預收'!$1:$1048576,38,0),0)</f>
        <v>0</v>
      </c>
      <c r="AP134" s="158">
        <f t="shared" si="218"/>
        <v>0</v>
      </c>
      <c r="AQ134" s="157">
        <f>+AL134+IFERROR(VLOOKUP($A134,'A0 BS 1240在建'!$1:$1048576,41,0),0)</f>
        <v>0</v>
      </c>
      <c r="AR134" s="157">
        <f>+AM134+IFERROR(VLOOKUP($A134,'B0 2264預收'!$1:$1048576,41,0),0)</f>
        <v>0</v>
      </c>
      <c r="AS134" s="157">
        <f t="shared" si="219"/>
        <v>0</v>
      </c>
      <c r="AT134" s="157">
        <f>+AO134+IFERROR(+VLOOKUP($A134,'B0 2264預收'!$1:$1048576,42,0),0)</f>
        <v>0</v>
      </c>
      <c r="AU134" s="157">
        <f t="shared" si="220"/>
        <v>0</v>
      </c>
      <c r="AV134" s="158">
        <f>+AQ134+IFERROR(VLOOKUP($A134,'A0 BS 1240在建'!$1:$1048576,45,0),0)</f>
        <v>0</v>
      </c>
      <c r="AW134" s="158">
        <f>+AR134+IFERROR(VLOOKUP($A134,'B0 2264預收'!$1:$1048576,45,0),0)</f>
        <v>0</v>
      </c>
      <c r="AX134" s="158">
        <f t="shared" si="221"/>
        <v>0</v>
      </c>
      <c r="AY134" s="158">
        <f>+AT134+IFERROR(+VLOOKUP($A134,'B0 2264預收'!$1:$1048576,46,0),0)</f>
        <v>0</v>
      </c>
      <c r="AZ134" s="158">
        <f t="shared" si="222"/>
        <v>0</v>
      </c>
      <c r="BA134" s="157">
        <f>+AV134+IFERROR(VLOOKUP($A134,'A0 BS 1240在建'!$1:$1048576,49,0),0)</f>
        <v>0</v>
      </c>
      <c r="BB134" s="157">
        <f>+AW134+IFERROR(VLOOKUP($A134,'B0 2264預收'!$1:$1048576,49,0),0)</f>
        <v>0</v>
      </c>
      <c r="BC134" s="157">
        <f t="shared" si="223"/>
        <v>0</v>
      </c>
      <c r="BD134" s="157">
        <f>+AY134+IFERROR(+VLOOKUP($A134,'B0 2264預收'!$1:$1048576,50,0),0)</f>
        <v>0</v>
      </c>
      <c r="BE134" s="157">
        <f t="shared" si="224"/>
        <v>0</v>
      </c>
      <c r="BF134" s="158">
        <f>+BA134+IFERROR(VLOOKUP($A134,'A0 BS 1240在建'!$1:$1048576,53,0),0)</f>
        <v>0</v>
      </c>
      <c r="BG134" s="158">
        <f>+BB134+IFERROR(VLOOKUP($A134,'B0 2264預收'!$1:$1048576,53,0),0)</f>
        <v>0</v>
      </c>
      <c r="BH134" s="158">
        <f t="shared" si="225"/>
        <v>0</v>
      </c>
      <c r="BI134" s="158">
        <f>+BD134+IFERROR(+VLOOKUP($A134,'B0 2264預收'!$1:$1048576,54,0),0)</f>
        <v>0</v>
      </c>
      <c r="BJ134" s="158">
        <f t="shared" si="226"/>
        <v>0</v>
      </c>
      <c r="BK134" s="157">
        <f>+BF134+IFERROR(VLOOKUP($A134,'A0 BS 1240在建'!$1:$1048576,57,0),0)</f>
        <v>0</v>
      </c>
      <c r="BL134" s="157">
        <f>+BG134+IFERROR(VLOOKUP($A134,'B0 2264預收'!$1:$1048576,57,0),0)</f>
        <v>0</v>
      </c>
      <c r="BM134" s="157">
        <f t="shared" si="227"/>
        <v>0</v>
      </c>
      <c r="BN134" s="157">
        <f>+BI134+IFERROR(+VLOOKUP($A134,'B0 2264預收'!$1:$1048576,58,0),0)</f>
        <v>0</v>
      </c>
      <c r="BO134" s="157">
        <f t="shared" si="228"/>
        <v>0</v>
      </c>
      <c r="BP134" s="158">
        <f>+BK134+IFERROR(VLOOKUP($A134,'A0 BS 1240在建'!$1:$1048576,61,0),0)</f>
        <v>0</v>
      </c>
      <c r="BQ134" s="158">
        <f>+BL134+IFERROR(VLOOKUP($A134,'B0 2264預收'!$1:$1048576,61,0),0)</f>
        <v>0</v>
      </c>
      <c r="BR134" s="159">
        <f t="shared" si="229"/>
        <v>0</v>
      </c>
      <c r="BS134" s="158">
        <f>+BN134+IFERROR(+VLOOKUP($A134,'B0 2264預收'!$1:$1048576,62,0),0)</f>
        <v>0</v>
      </c>
      <c r="BT134" s="158">
        <f t="shared" si="230"/>
        <v>0</v>
      </c>
      <c r="BU134" s="157">
        <f>+IFERROR(VLOOKUP($A134,'A0 BS 1240在建'!$1:$1048576,77,0),0)</f>
        <v>0</v>
      </c>
      <c r="BV134" s="157">
        <f>+IFERROR(VLOOKUP($A134,'B0 2264預收'!$1:$1048576,77,0),0)</f>
        <v>0</v>
      </c>
      <c r="BW134" s="157">
        <f t="shared" si="231"/>
        <v>0</v>
      </c>
      <c r="BX134" s="157">
        <f>+IFERROR(+VLOOKUP($A134,'B0 2264預收'!$1:$1048576,78,0),0)</f>
        <v>0</v>
      </c>
      <c r="BY134" s="157">
        <f t="shared" si="232"/>
        <v>0</v>
      </c>
      <c r="BZ134" s="158">
        <f>IFERROR(+VLOOKUP($A134,'A0 BS 1240在建'!$1:$1048576,85,0),0)</f>
        <v>0</v>
      </c>
      <c r="CA134" s="158">
        <f>IFERROR(+VLOOKUP($A134,'B0 2264預收'!$1:$1048576,85,0),0)</f>
        <v>0</v>
      </c>
      <c r="CB134" s="158">
        <f t="shared" si="233"/>
        <v>0</v>
      </c>
      <c r="CC134" s="158">
        <f>+IFERROR(+VLOOKUP($A134,'B0 2264預收'!$1:$1048576,86,0),0)</f>
        <v>0</v>
      </c>
      <c r="CD134" s="158">
        <f t="shared" si="234"/>
        <v>0</v>
      </c>
      <c r="CE134" s="157">
        <f>+IFERROR(VLOOKUP($A134,'A0 BS 1240在建'!$1:$1048576,93,0),0)</f>
        <v>0</v>
      </c>
      <c r="CF134" s="157">
        <f>+IFERROR(VLOOKUP($A134,'B0 2264預收'!$1:$1048576,93,0),0)</f>
        <v>0</v>
      </c>
      <c r="CG134" s="157">
        <f t="shared" si="235"/>
        <v>0</v>
      </c>
      <c r="CH134" s="157">
        <f>+IFERROR(+VLOOKUP($A134,'B0 2264預收'!$1:$1048576,94,0),0)</f>
        <v>0</v>
      </c>
      <c r="CI134" s="157">
        <f t="shared" si="236"/>
        <v>0</v>
      </c>
      <c r="CJ134" s="158">
        <f>IFERROR(+VLOOKUP($A134,'A0 BS 1240在建'!$1:$1048576,101,0),0)</f>
        <v>0</v>
      </c>
      <c r="CK134" s="158">
        <f>IFERROR(+VLOOKUP($A134,'B0 2264預收'!$1:$1048576,101,0),0)</f>
        <v>0</v>
      </c>
      <c r="CL134" s="158">
        <f t="shared" si="237"/>
        <v>0</v>
      </c>
      <c r="CM134" s="158">
        <f>+IFERROR(+VLOOKUP($A134,'B0 2264預收'!$1:$1048576,102,0),0)</f>
        <v>0</v>
      </c>
      <c r="CN134" s="158">
        <f t="shared" si="238"/>
        <v>0</v>
      </c>
      <c r="CY134" s="162"/>
      <c r="DC134" s="163"/>
      <c r="DD134" s="162"/>
      <c r="DH134" s="163"/>
    </row>
    <row r="135" spans="1:112" hidden="1">
      <c r="A135" s="175"/>
      <c r="B135" s="175"/>
      <c r="C135" s="157">
        <f>IFERROR(VLOOKUP($A135,'A0 BS 1240在建'!$1:$1048576,5,0),0)</f>
        <v>0</v>
      </c>
      <c r="D135" s="157">
        <f>IFERROR(VLOOKUP($A135,'B0 2264預收'!$1:$1048576,5,0),0)</f>
        <v>0</v>
      </c>
      <c r="E135" s="157">
        <f t="shared" si="203"/>
        <v>0</v>
      </c>
      <c r="F135" s="157">
        <f>IFERROR(VLOOKUP($A135,'B0 2264預收'!$1:$1048576,6,0),0)</f>
        <v>0</v>
      </c>
      <c r="G135" s="157">
        <f t="shared" si="204"/>
        <v>0</v>
      </c>
      <c r="H135" s="158">
        <f>IFERROR(VLOOKUP($A135,'A0 BS 1240在建'!$1:$1048576,13,0),0)</f>
        <v>0</v>
      </c>
      <c r="I135" s="158">
        <f>IFERROR(VLOOKUP($A135,'B0 2264預收'!$1:$1048576,13,0),0)</f>
        <v>0</v>
      </c>
      <c r="J135" s="158">
        <f t="shared" si="205"/>
        <v>0</v>
      </c>
      <c r="K135" s="158">
        <f>IFERROR(VLOOKUP($A135,'B0 2264預收'!$1:$1048576,14,0),0)</f>
        <v>0</v>
      </c>
      <c r="L135" s="158">
        <f t="shared" si="206"/>
        <v>0</v>
      </c>
      <c r="M135" s="157">
        <f>H135+IFERROR(VLOOKUP($A135,'A0 BS 1240在建'!$1:$1048576,17,0),0)</f>
        <v>0</v>
      </c>
      <c r="N135" s="157">
        <f>I135+IFERROR(VLOOKUP($A135,'B0 2264預收'!$1:$1048576,17,0),0)</f>
        <v>0</v>
      </c>
      <c r="O135" s="157">
        <f t="shared" si="207"/>
        <v>0</v>
      </c>
      <c r="P135" s="157">
        <f>K135+IFERROR(+VLOOKUP($A135,'B0 2264預收'!$1:$1048576,18,0),0)</f>
        <v>0</v>
      </c>
      <c r="Q135" s="157">
        <f t="shared" si="208"/>
        <v>0</v>
      </c>
      <c r="R135" s="158">
        <f>M135+IFERROR(VLOOKUP($A135,'A0 BS 1240在建'!$1:$1048576,21,0),0)</f>
        <v>0</v>
      </c>
      <c r="S135" s="158">
        <f>+N135+IFERROR(VLOOKUP($A135,'B0 2264預收'!$1:$1048576,21,0),0)</f>
        <v>0</v>
      </c>
      <c r="T135" s="158">
        <f t="shared" si="209"/>
        <v>0</v>
      </c>
      <c r="U135" s="158">
        <f>+P135+IFERROR(+VLOOKUP($A135,'B0 2264預收'!$1:$1048576,22,0),0)</f>
        <v>0</v>
      </c>
      <c r="V135" s="158">
        <f t="shared" si="210"/>
        <v>0</v>
      </c>
      <c r="W135" s="157">
        <f>+R135+IFERROR(VLOOKUP($A135,'A0 BS 1240在建'!$1:$1048576,25,0),0)</f>
        <v>0</v>
      </c>
      <c r="X135" s="157">
        <f>+S135+IFERROR(VLOOKUP($A135,'B0 2264預收'!$1:$1048576,25,0),0)</f>
        <v>0</v>
      </c>
      <c r="Y135" s="157">
        <f t="shared" si="211"/>
        <v>0</v>
      </c>
      <c r="Z135" s="157">
        <f>+U135+IFERROR(+VLOOKUP($A135,'B0 2264預收'!$1:$1048576,26,0),0)</f>
        <v>0</v>
      </c>
      <c r="AA135" s="157">
        <f t="shared" si="212"/>
        <v>0</v>
      </c>
      <c r="AB135" s="158">
        <f>+W135+IFERROR(VLOOKUP($A135,'A0 BS 1240在建'!$1:$1048576,29,0),0)</f>
        <v>0</v>
      </c>
      <c r="AC135" s="158">
        <f>+X135+IFERROR(VLOOKUP($A135,'B0 2264預收'!$1:$1048576,29,0),0)</f>
        <v>0</v>
      </c>
      <c r="AD135" s="158">
        <f t="shared" si="213"/>
        <v>0</v>
      </c>
      <c r="AE135" s="158">
        <f>+Z135+IFERROR(+VLOOKUP($A135,'B0 2264預收'!$1:$1048576,30,0),0)</f>
        <v>0</v>
      </c>
      <c r="AF135" s="158">
        <f t="shared" si="214"/>
        <v>0</v>
      </c>
      <c r="AG135" s="157">
        <f>+AB135+IFERROR(VLOOKUP($A135,'A0 BS 1240在建'!$1:$1048576,33,0),0)</f>
        <v>0</v>
      </c>
      <c r="AH135" s="157">
        <f>+AC135+IFERROR(VLOOKUP($A135,'B0 2264預收'!$1:$1048576,33,0),0)</f>
        <v>0</v>
      </c>
      <c r="AI135" s="157">
        <f t="shared" si="215"/>
        <v>0</v>
      </c>
      <c r="AJ135" s="157">
        <f>+AE135+IFERROR(+VLOOKUP($A135,'B0 2264預收'!$1:$1048576,34,0),0)</f>
        <v>0</v>
      </c>
      <c r="AK135" s="157">
        <f t="shared" si="216"/>
        <v>0</v>
      </c>
      <c r="AL135" s="158">
        <f>+AG135+IFERROR(VLOOKUP($A135,'A0 BS 1240在建'!$1:$1048576,37,0),0)</f>
        <v>0</v>
      </c>
      <c r="AM135" s="158">
        <f>+AH135+IFERROR(VLOOKUP($A135,'B0 2264預收'!$1:$1048576,37,0),0)</f>
        <v>0</v>
      </c>
      <c r="AN135" s="158">
        <f t="shared" si="217"/>
        <v>0</v>
      </c>
      <c r="AO135" s="158">
        <f>+AJ135+IFERROR(+VLOOKUP($A135,'B0 2264預收'!$1:$1048576,38,0),0)</f>
        <v>0</v>
      </c>
      <c r="AP135" s="158">
        <f t="shared" si="218"/>
        <v>0</v>
      </c>
      <c r="AQ135" s="157">
        <f>+AL135+IFERROR(VLOOKUP($A135,'A0 BS 1240在建'!$1:$1048576,41,0),0)</f>
        <v>0</v>
      </c>
      <c r="AR135" s="157">
        <f>+AM135+IFERROR(VLOOKUP($A135,'B0 2264預收'!$1:$1048576,41,0),0)</f>
        <v>0</v>
      </c>
      <c r="AS135" s="157">
        <f t="shared" si="219"/>
        <v>0</v>
      </c>
      <c r="AT135" s="157">
        <f>+AO135+IFERROR(+VLOOKUP($A135,'B0 2264預收'!$1:$1048576,42,0),0)</f>
        <v>0</v>
      </c>
      <c r="AU135" s="157">
        <f t="shared" si="220"/>
        <v>0</v>
      </c>
      <c r="AV135" s="158">
        <f>+AQ135+IFERROR(VLOOKUP($A135,'A0 BS 1240在建'!$1:$1048576,45,0),0)</f>
        <v>0</v>
      </c>
      <c r="AW135" s="158">
        <f>+AR135+IFERROR(VLOOKUP($A135,'B0 2264預收'!$1:$1048576,45,0),0)</f>
        <v>0</v>
      </c>
      <c r="AX135" s="158">
        <f t="shared" si="221"/>
        <v>0</v>
      </c>
      <c r="AY135" s="158">
        <f>+AT135+IFERROR(+VLOOKUP($A135,'B0 2264預收'!$1:$1048576,46,0),0)</f>
        <v>0</v>
      </c>
      <c r="AZ135" s="158">
        <f t="shared" si="222"/>
        <v>0</v>
      </c>
      <c r="BA135" s="157">
        <f>+AV135+IFERROR(VLOOKUP($A135,'A0 BS 1240在建'!$1:$1048576,49,0),0)</f>
        <v>0</v>
      </c>
      <c r="BB135" s="157">
        <f>+AW135+IFERROR(VLOOKUP($A135,'B0 2264預收'!$1:$1048576,49,0),0)</f>
        <v>0</v>
      </c>
      <c r="BC135" s="157">
        <f t="shared" si="223"/>
        <v>0</v>
      </c>
      <c r="BD135" s="157">
        <f>+AY135+IFERROR(+VLOOKUP($A135,'B0 2264預收'!$1:$1048576,50,0),0)</f>
        <v>0</v>
      </c>
      <c r="BE135" s="157">
        <f t="shared" si="224"/>
        <v>0</v>
      </c>
      <c r="BF135" s="158">
        <f>+BA135+IFERROR(VLOOKUP($A135,'A0 BS 1240在建'!$1:$1048576,53,0),0)</f>
        <v>0</v>
      </c>
      <c r="BG135" s="158">
        <f>+BB135+IFERROR(VLOOKUP($A135,'B0 2264預收'!$1:$1048576,53,0),0)</f>
        <v>0</v>
      </c>
      <c r="BH135" s="158">
        <f t="shared" si="225"/>
        <v>0</v>
      </c>
      <c r="BI135" s="158">
        <f>+BD135+IFERROR(+VLOOKUP($A135,'B0 2264預收'!$1:$1048576,54,0),0)</f>
        <v>0</v>
      </c>
      <c r="BJ135" s="158">
        <f t="shared" si="226"/>
        <v>0</v>
      </c>
      <c r="BK135" s="157">
        <f>+BF135+IFERROR(VLOOKUP($A135,'A0 BS 1240在建'!$1:$1048576,57,0),0)</f>
        <v>0</v>
      </c>
      <c r="BL135" s="157">
        <f>+BG135+IFERROR(VLOOKUP($A135,'B0 2264預收'!$1:$1048576,57,0),0)</f>
        <v>0</v>
      </c>
      <c r="BM135" s="157">
        <f t="shared" si="227"/>
        <v>0</v>
      </c>
      <c r="BN135" s="157">
        <f>+BI135+IFERROR(+VLOOKUP($A135,'B0 2264預收'!$1:$1048576,58,0),0)</f>
        <v>0</v>
      </c>
      <c r="BO135" s="157">
        <f t="shared" si="228"/>
        <v>0</v>
      </c>
      <c r="BP135" s="158">
        <f>+BK135+IFERROR(VLOOKUP($A135,'A0 BS 1240在建'!$1:$1048576,61,0),0)</f>
        <v>0</v>
      </c>
      <c r="BQ135" s="158">
        <f>+BL135+IFERROR(VLOOKUP($A135,'B0 2264預收'!$1:$1048576,61,0),0)</f>
        <v>0</v>
      </c>
      <c r="BR135" s="159">
        <f t="shared" si="229"/>
        <v>0</v>
      </c>
      <c r="BS135" s="158">
        <f>+BN135+IFERROR(+VLOOKUP($A135,'B0 2264預收'!$1:$1048576,62,0),0)</f>
        <v>0</v>
      </c>
      <c r="BT135" s="158">
        <f t="shared" si="230"/>
        <v>0</v>
      </c>
      <c r="BU135" s="157">
        <f>+IFERROR(VLOOKUP($A135,'A0 BS 1240在建'!$1:$1048576,77,0),0)</f>
        <v>0</v>
      </c>
      <c r="BV135" s="157">
        <f>+IFERROR(VLOOKUP($A135,'B0 2264預收'!$1:$1048576,77,0),0)</f>
        <v>0</v>
      </c>
      <c r="BW135" s="157">
        <f t="shared" si="231"/>
        <v>0</v>
      </c>
      <c r="BX135" s="157">
        <f>+IFERROR(+VLOOKUP($A135,'B0 2264預收'!$1:$1048576,78,0),0)</f>
        <v>0</v>
      </c>
      <c r="BY135" s="157">
        <f t="shared" si="232"/>
        <v>0</v>
      </c>
      <c r="BZ135" s="158">
        <f>IFERROR(+VLOOKUP($A135,'A0 BS 1240在建'!$1:$1048576,85,0),0)</f>
        <v>0</v>
      </c>
      <c r="CA135" s="158">
        <f>IFERROR(+VLOOKUP($A135,'B0 2264預收'!$1:$1048576,85,0),0)</f>
        <v>0</v>
      </c>
      <c r="CB135" s="158">
        <f t="shared" si="233"/>
        <v>0</v>
      </c>
      <c r="CC135" s="158">
        <f>+IFERROR(+VLOOKUP($A135,'B0 2264預收'!$1:$1048576,86,0),0)</f>
        <v>0</v>
      </c>
      <c r="CD135" s="158">
        <f t="shared" si="234"/>
        <v>0</v>
      </c>
      <c r="CE135" s="157">
        <f>+IFERROR(VLOOKUP($A135,'A0 BS 1240在建'!$1:$1048576,93,0),0)</f>
        <v>0</v>
      </c>
      <c r="CF135" s="157">
        <f>+IFERROR(VLOOKUP($A135,'B0 2264預收'!$1:$1048576,93,0),0)</f>
        <v>0</v>
      </c>
      <c r="CG135" s="157">
        <f t="shared" si="235"/>
        <v>0</v>
      </c>
      <c r="CH135" s="157">
        <f>+IFERROR(+VLOOKUP($A135,'B0 2264預收'!$1:$1048576,94,0),0)</f>
        <v>0</v>
      </c>
      <c r="CI135" s="157">
        <f t="shared" si="236"/>
        <v>0</v>
      </c>
      <c r="CJ135" s="158">
        <f>IFERROR(+VLOOKUP($A135,'A0 BS 1240在建'!$1:$1048576,101,0),0)</f>
        <v>0</v>
      </c>
      <c r="CK135" s="158">
        <f>IFERROR(+VLOOKUP($A135,'B0 2264預收'!$1:$1048576,101,0),0)</f>
        <v>0</v>
      </c>
      <c r="CL135" s="158">
        <f t="shared" si="237"/>
        <v>0</v>
      </c>
      <c r="CM135" s="158">
        <f>+IFERROR(+VLOOKUP($A135,'B0 2264預收'!$1:$1048576,102,0),0)</f>
        <v>0</v>
      </c>
      <c r="CN135" s="158">
        <f t="shared" si="238"/>
        <v>0</v>
      </c>
      <c r="CY135" s="162"/>
      <c r="DC135" s="163"/>
      <c r="DD135" s="162"/>
      <c r="DH135" s="163"/>
    </row>
    <row r="136" spans="1:112" hidden="1">
      <c r="A136" s="175"/>
      <c r="B136" s="175"/>
      <c r="C136" s="157">
        <f>IFERROR(VLOOKUP($A136,'A0 BS 1240在建'!$1:$1048576,5,0),0)</f>
        <v>0</v>
      </c>
      <c r="D136" s="157">
        <f>IFERROR(VLOOKUP($A136,'B0 2264預收'!$1:$1048576,5,0),0)</f>
        <v>0</v>
      </c>
      <c r="E136" s="157">
        <f t="shared" si="203"/>
        <v>0</v>
      </c>
      <c r="F136" s="157">
        <f>IFERROR(VLOOKUP($A136,'B0 2264預收'!$1:$1048576,6,0),0)</f>
        <v>0</v>
      </c>
      <c r="G136" s="157">
        <f t="shared" si="204"/>
        <v>0</v>
      </c>
      <c r="H136" s="158">
        <f>IFERROR(VLOOKUP($A136,'A0 BS 1240在建'!$1:$1048576,13,0),0)</f>
        <v>0</v>
      </c>
      <c r="I136" s="158">
        <f>IFERROR(VLOOKUP($A136,'B0 2264預收'!$1:$1048576,13,0),0)</f>
        <v>0</v>
      </c>
      <c r="J136" s="158">
        <f t="shared" si="205"/>
        <v>0</v>
      </c>
      <c r="K136" s="158">
        <f>IFERROR(VLOOKUP($A136,'B0 2264預收'!$1:$1048576,14,0),0)</f>
        <v>0</v>
      </c>
      <c r="L136" s="158">
        <f t="shared" si="206"/>
        <v>0</v>
      </c>
      <c r="M136" s="157">
        <f>H136+IFERROR(VLOOKUP($A136,'A0 BS 1240在建'!$1:$1048576,17,0),0)</f>
        <v>0</v>
      </c>
      <c r="N136" s="157">
        <f>I136+IFERROR(VLOOKUP($A136,'B0 2264預收'!$1:$1048576,17,0),0)</f>
        <v>0</v>
      </c>
      <c r="O136" s="157">
        <f t="shared" si="207"/>
        <v>0</v>
      </c>
      <c r="P136" s="157">
        <f>K136+IFERROR(+VLOOKUP($A136,'B0 2264預收'!$1:$1048576,18,0),0)</f>
        <v>0</v>
      </c>
      <c r="Q136" s="157">
        <f t="shared" si="208"/>
        <v>0</v>
      </c>
      <c r="R136" s="158">
        <f>M136+IFERROR(VLOOKUP($A136,'A0 BS 1240在建'!$1:$1048576,21,0),0)</f>
        <v>0</v>
      </c>
      <c r="S136" s="158">
        <f>+N136+IFERROR(VLOOKUP($A136,'B0 2264預收'!$1:$1048576,21,0),0)</f>
        <v>0</v>
      </c>
      <c r="T136" s="158">
        <f t="shared" si="209"/>
        <v>0</v>
      </c>
      <c r="U136" s="158">
        <f>+P136+IFERROR(+VLOOKUP($A136,'B0 2264預收'!$1:$1048576,22,0),0)</f>
        <v>0</v>
      </c>
      <c r="V136" s="158">
        <f t="shared" si="210"/>
        <v>0</v>
      </c>
      <c r="W136" s="157">
        <f>+R136+IFERROR(VLOOKUP($A136,'A0 BS 1240在建'!$1:$1048576,25,0),0)</f>
        <v>0</v>
      </c>
      <c r="X136" s="157">
        <f>+S136+IFERROR(VLOOKUP($A136,'B0 2264預收'!$1:$1048576,25,0),0)</f>
        <v>0</v>
      </c>
      <c r="Y136" s="157">
        <f t="shared" si="211"/>
        <v>0</v>
      </c>
      <c r="Z136" s="157">
        <f>+U136+IFERROR(+VLOOKUP($A136,'B0 2264預收'!$1:$1048576,26,0),0)</f>
        <v>0</v>
      </c>
      <c r="AA136" s="157">
        <f t="shared" si="212"/>
        <v>0</v>
      </c>
      <c r="AB136" s="158">
        <f>+W136+IFERROR(VLOOKUP($A136,'A0 BS 1240在建'!$1:$1048576,29,0),0)</f>
        <v>0</v>
      </c>
      <c r="AC136" s="158">
        <f>+X136+IFERROR(VLOOKUP($A136,'B0 2264預收'!$1:$1048576,29,0),0)</f>
        <v>0</v>
      </c>
      <c r="AD136" s="158">
        <f t="shared" si="213"/>
        <v>0</v>
      </c>
      <c r="AE136" s="158">
        <f>+Z136+IFERROR(+VLOOKUP($A136,'B0 2264預收'!$1:$1048576,30,0),0)</f>
        <v>0</v>
      </c>
      <c r="AF136" s="158">
        <f t="shared" si="214"/>
        <v>0</v>
      </c>
      <c r="AG136" s="157">
        <f>+AB136+IFERROR(VLOOKUP($A136,'A0 BS 1240在建'!$1:$1048576,33,0),0)</f>
        <v>0</v>
      </c>
      <c r="AH136" s="157">
        <f>+AC136+IFERROR(VLOOKUP($A136,'B0 2264預收'!$1:$1048576,33,0),0)</f>
        <v>0</v>
      </c>
      <c r="AI136" s="157">
        <f t="shared" si="215"/>
        <v>0</v>
      </c>
      <c r="AJ136" s="157">
        <f>+AE136+IFERROR(+VLOOKUP($A136,'B0 2264預收'!$1:$1048576,34,0),0)</f>
        <v>0</v>
      </c>
      <c r="AK136" s="157">
        <f t="shared" si="216"/>
        <v>0</v>
      </c>
      <c r="AL136" s="158">
        <f>+AG136+IFERROR(VLOOKUP($A136,'A0 BS 1240在建'!$1:$1048576,37,0),0)</f>
        <v>0</v>
      </c>
      <c r="AM136" s="158">
        <f>+AH136+IFERROR(VLOOKUP($A136,'B0 2264預收'!$1:$1048576,37,0),0)</f>
        <v>0</v>
      </c>
      <c r="AN136" s="158">
        <f t="shared" si="217"/>
        <v>0</v>
      </c>
      <c r="AO136" s="158">
        <f>+AJ136+IFERROR(+VLOOKUP($A136,'B0 2264預收'!$1:$1048576,38,0),0)</f>
        <v>0</v>
      </c>
      <c r="AP136" s="158">
        <f t="shared" si="218"/>
        <v>0</v>
      </c>
      <c r="AQ136" s="157">
        <f>+AL136+IFERROR(VLOOKUP($A136,'A0 BS 1240在建'!$1:$1048576,41,0),0)</f>
        <v>0</v>
      </c>
      <c r="AR136" s="157">
        <f>+AM136+IFERROR(VLOOKUP($A136,'B0 2264預收'!$1:$1048576,41,0),0)</f>
        <v>0</v>
      </c>
      <c r="AS136" s="157">
        <f t="shared" si="219"/>
        <v>0</v>
      </c>
      <c r="AT136" s="157">
        <f>+AO136+IFERROR(+VLOOKUP($A136,'B0 2264預收'!$1:$1048576,42,0),0)</f>
        <v>0</v>
      </c>
      <c r="AU136" s="157">
        <f t="shared" si="220"/>
        <v>0</v>
      </c>
      <c r="AV136" s="158">
        <f>+AQ136+IFERROR(VLOOKUP($A136,'A0 BS 1240在建'!$1:$1048576,45,0),0)</f>
        <v>0</v>
      </c>
      <c r="AW136" s="158">
        <f>+AR136+IFERROR(VLOOKUP($A136,'B0 2264預收'!$1:$1048576,45,0),0)</f>
        <v>0</v>
      </c>
      <c r="AX136" s="158">
        <f t="shared" si="221"/>
        <v>0</v>
      </c>
      <c r="AY136" s="158">
        <f>+AT136+IFERROR(+VLOOKUP($A136,'B0 2264預收'!$1:$1048576,46,0),0)</f>
        <v>0</v>
      </c>
      <c r="AZ136" s="158">
        <f t="shared" si="222"/>
        <v>0</v>
      </c>
      <c r="BA136" s="157">
        <f>+AV136+IFERROR(VLOOKUP($A136,'A0 BS 1240在建'!$1:$1048576,49,0),0)</f>
        <v>0</v>
      </c>
      <c r="BB136" s="157">
        <f>+AW136+IFERROR(VLOOKUP($A136,'B0 2264預收'!$1:$1048576,49,0),0)</f>
        <v>0</v>
      </c>
      <c r="BC136" s="157">
        <f t="shared" si="223"/>
        <v>0</v>
      </c>
      <c r="BD136" s="157">
        <f>+AY136+IFERROR(+VLOOKUP($A136,'B0 2264預收'!$1:$1048576,50,0),0)</f>
        <v>0</v>
      </c>
      <c r="BE136" s="157">
        <f t="shared" si="224"/>
        <v>0</v>
      </c>
      <c r="BF136" s="158">
        <f>+BA136+IFERROR(VLOOKUP($A136,'A0 BS 1240在建'!$1:$1048576,53,0),0)</f>
        <v>0</v>
      </c>
      <c r="BG136" s="158">
        <f>+BB136+IFERROR(VLOOKUP($A136,'B0 2264預收'!$1:$1048576,53,0),0)</f>
        <v>0</v>
      </c>
      <c r="BH136" s="158">
        <f t="shared" si="225"/>
        <v>0</v>
      </c>
      <c r="BI136" s="158">
        <f>+BD136+IFERROR(+VLOOKUP($A136,'B0 2264預收'!$1:$1048576,54,0),0)</f>
        <v>0</v>
      </c>
      <c r="BJ136" s="158">
        <f t="shared" si="226"/>
        <v>0</v>
      </c>
      <c r="BK136" s="157">
        <f>+BF136+IFERROR(VLOOKUP($A136,'A0 BS 1240在建'!$1:$1048576,57,0),0)</f>
        <v>0</v>
      </c>
      <c r="BL136" s="157">
        <f>+BG136+IFERROR(VLOOKUP($A136,'B0 2264預收'!$1:$1048576,57,0),0)</f>
        <v>0</v>
      </c>
      <c r="BM136" s="157">
        <f t="shared" si="227"/>
        <v>0</v>
      </c>
      <c r="BN136" s="157">
        <f>+BI136+IFERROR(+VLOOKUP($A136,'B0 2264預收'!$1:$1048576,58,0),0)</f>
        <v>0</v>
      </c>
      <c r="BO136" s="157">
        <f t="shared" si="228"/>
        <v>0</v>
      </c>
      <c r="BP136" s="158">
        <f>+BK136+IFERROR(VLOOKUP($A136,'A0 BS 1240在建'!$1:$1048576,61,0),0)</f>
        <v>0</v>
      </c>
      <c r="BQ136" s="158">
        <f>+BL136+IFERROR(VLOOKUP($A136,'B0 2264預收'!$1:$1048576,61,0),0)</f>
        <v>0</v>
      </c>
      <c r="BR136" s="159">
        <f t="shared" si="229"/>
        <v>0</v>
      </c>
      <c r="BS136" s="158">
        <f>+BN136+IFERROR(+VLOOKUP($A136,'B0 2264預收'!$1:$1048576,62,0),0)</f>
        <v>0</v>
      </c>
      <c r="BT136" s="158">
        <f t="shared" si="230"/>
        <v>0</v>
      </c>
      <c r="BU136" s="157">
        <f>+IFERROR(VLOOKUP($A136,'A0 BS 1240在建'!$1:$1048576,77,0),0)</f>
        <v>0</v>
      </c>
      <c r="BV136" s="157">
        <f>+IFERROR(VLOOKUP($A136,'B0 2264預收'!$1:$1048576,77,0),0)</f>
        <v>0</v>
      </c>
      <c r="BW136" s="157">
        <f t="shared" si="231"/>
        <v>0</v>
      </c>
      <c r="BX136" s="157">
        <f>+IFERROR(+VLOOKUP($A136,'B0 2264預收'!$1:$1048576,78,0),0)</f>
        <v>0</v>
      </c>
      <c r="BY136" s="157">
        <f t="shared" si="232"/>
        <v>0</v>
      </c>
      <c r="BZ136" s="158">
        <f>IFERROR(+VLOOKUP($A136,'A0 BS 1240在建'!$1:$1048576,85,0),0)</f>
        <v>0</v>
      </c>
      <c r="CA136" s="158">
        <f>IFERROR(+VLOOKUP($A136,'B0 2264預收'!$1:$1048576,85,0),0)</f>
        <v>0</v>
      </c>
      <c r="CB136" s="158">
        <f t="shared" si="233"/>
        <v>0</v>
      </c>
      <c r="CC136" s="158">
        <f>+IFERROR(+VLOOKUP($A136,'B0 2264預收'!$1:$1048576,86,0),0)</f>
        <v>0</v>
      </c>
      <c r="CD136" s="158">
        <f t="shared" si="234"/>
        <v>0</v>
      </c>
      <c r="CE136" s="157">
        <f>+IFERROR(VLOOKUP($A136,'A0 BS 1240在建'!$1:$1048576,93,0),0)</f>
        <v>0</v>
      </c>
      <c r="CF136" s="157">
        <f>+IFERROR(VLOOKUP($A136,'B0 2264預收'!$1:$1048576,93,0),0)</f>
        <v>0</v>
      </c>
      <c r="CG136" s="157">
        <f t="shared" si="235"/>
        <v>0</v>
      </c>
      <c r="CH136" s="157">
        <f>+IFERROR(+VLOOKUP($A136,'B0 2264預收'!$1:$1048576,94,0),0)</f>
        <v>0</v>
      </c>
      <c r="CI136" s="157">
        <f t="shared" si="236"/>
        <v>0</v>
      </c>
      <c r="CJ136" s="158">
        <f>IFERROR(+VLOOKUP($A136,'A0 BS 1240在建'!$1:$1048576,101,0),0)</f>
        <v>0</v>
      </c>
      <c r="CK136" s="158">
        <f>IFERROR(+VLOOKUP($A136,'B0 2264預收'!$1:$1048576,101,0),0)</f>
        <v>0</v>
      </c>
      <c r="CL136" s="158">
        <f t="shared" si="237"/>
        <v>0</v>
      </c>
      <c r="CM136" s="158">
        <f>+IFERROR(+VLOOKUP($A136,'B0 2264預收'!$1:$1048576,102,0),0)</f>
        <v>0</v>
      </c>
      <c r="CN136" s="158">
        <f t="shared" si="238"/>
        <v>0</v>
      </c>
      <c r="CY136" s="162"/>
      <c r="DC136" s="163"/>
      <c r="DD136" s="162"/>
      <c r="DH136" s="163"/>
    </row>
    <row r="137" spans="1:112" hidden="1">
      <c r="A137" s="175"/>
      <c r="B137" s="175"/>
      <c r="C137" s="157">
        <f>IFERROR(VLOOKUP($A137,'A0 BS 1240在建'!$1:$1048576,5,0),0)</f>
        <v>0</v>
      </c>
      <c r="D137" s="157">
        <f>IFERROR(VLOOKUP($A137,'B0 2264預收'!$1:$1048576,5,0),0)</f>
        <v>0</v>
      </c>
      <c r="E137" s="157">
        <f t="shared" si="203"/>
        <v>0</v>
      </c>
      <c r="F137" s="157">
        <f>IFERROR(VLOOKUP($A137,'B0 2264預收'!$1:$1048576,6,0),0)</f>
        <v>0</v>
      </c>
      <c r="G137" s="157">
        <f t="shared" si="204"/>
        <v>0</v>
      </c>
      <c r="H137" s="158">
        <f>IFERROR(VLOOKUP($A137,'A0 BS 1240在建'!$1:$1048576,13,0),0)</f>
        <v>0</v>
      </c>
      <c r="I137" s="158">
        <f>IFERROR(VLOOKUP($A137,'B0 2264預收'!$1:$1048576,13,0),0)</f>
        <v>0</v>
      </c>
      <c r="J137" s="158">
        <f t="shared" si="205"/>
        <v>0</v>
      </c>
      <c r="K137" s="158">
        <f>IFERROR(VLOOKUP($A137,'B0 2264預收'!$1:$1048576,14,0),0)</f>
        <v>0</v>
      </c>
      <c r="L137" s="158">
        <f t="shared" si="206"/>
        <v>0</v>
      </c>
      <c r="M137" s="157">
        <f>H137+IFERROR(VLOOKUP($A137,'A0 BS 1240在建'!$1:$1048576,17,0),0)</f>
        <v>0</v>
      </c>
      <c r="N137" s="157">
        <f>I137+IFERROR(VLOOKUP($A137,'B0 2264預收'!$1:$1048576,17,0),0)</f>
        <v>0</v>
      </c>
      <c r="O137" s="157">
        <f t="shared" si="207"/>
        <v>0</v>
      </c>
      <c r="P137" s="157">
        <f>K137+IFERROR(+VLOOKUP($A137,'B0 2264預收'!$1:$1048576,18,0),0)</f>
        <v>0</v>
      </c>
      <c r="Q137" s="157">
        <f t="shared" si="208"/>
        <v>0</v>
      </c>
      <c r="R137" s="158">
        <f>M137+IFERROR(VLOOKUP($A137,'A0 BS 1240在建'!$1:$1048576,21,0),0)</f>
        <v>0</v>
      </c>
      <c r="S137" s="158">
        <f>+N137+IFERROR(VLOOKUP($A137,'B0 2264預收'!$1:$1048576,21,0),0)</f>
        <v>0</v>
      </c>
      <c r="T137" s="158">
        <f t="shared" si="209"/>
        <v>0</v>
      </c>
      <c r="U137" s="158">
        <f>+P137+IFERROR(+VLOOKUP($A137,'B0 2264預收'!$1:$1048576,22,0),0)</f>
        <v>0</v>
      </c>
      <c r="V137" s="158">
        <f t="shared" si="210"/>
        <v>0</v>
      </c>
      <c r="W137" s="157">
        <f>+R137+IFERROR(VLOOKUP($A137,'A0 BS 1240在建'!$1:$1048576,25,0),0)</f>
        <v>0</v>
      </c>
      <c r="X137" s="157">
        <f>+S137+IFERROR(VLOOKUP($A137,'B0 2264預收'!$1:$1048576,25,0),0)</f>
        <v>0</v>
      </c>
      <c r="Y137" s="157">
        <f t="shared" si="211"/>
        <v>0</v>
      </c>
      <c r="Z137" s="157">
        <f>+U137+IFERROR(+VLOOKUP($A137,'B0 2264預收'!$1:$1048576,26,0),0)</f>
        <v>0</v>
      </c>
      <c r="AA137" s="157">
        <f t="shared" si="212"/>
        <v>0</v>
      </c>
      <c r="AB137" s="158">
        <f>+W137+IFERROR(VLOOKUP($A137,'A0 BS 1240在建'!$1:$1048576,29,0),0)</f>
        <v>0</v>
      </c>
      <c r="AC137" s="158">
        <f>+X137+IFERROR(VLOOKUP($A137,'B0 2264預收'!$1:$1048576,29,0),0)</f>
        <v>0</v>
      </c>
      <c r="AD137" s="158">
        <f t="shared" si="213"/>
        <v>0</v>
      </c>
      <c r="AE137" s="158">
        <f>+Z137+IFERROR(+VLOOKUP($A137,'B0 2264預收'!$1:$1048576,30,0),0)</f>
        <v>0</v>
      </c>
      <c r="AF137" s="158">
        <f t="shared" si="214"/>
        <v>0</v>
      </c>
      <c r="AG137" s="157">
        <f>+AB137+IFERROR(VLOOKUP($A137,'A0 BS 1240在建'!$1:$1048576,33,0),0)</f>
        <v>0</v>
      </c>
      <c r="AH137" s="157">
        <f>+AC137+IFERROR(VLOOKUP($A137,'B0 2264預收'!$1:$1048576,33,0),0)</f>
        <v>0</v>
      </c>
      <c r="AI137" s="157">
        <f t="shared" si="215"/>
        <v>0</v>
      </c>
      <c r="AJ137" s="157">
        <f>+AE137+IFERROR(+VLOOKUP($A137,'B0 2264預收'!$1:$1048576,34,0),0)</f>
        <v>0</v>
      </c>
      <c r="AK137" s="157">
        <f t="shared" si="216"/>
        <v>0</v>
      </c>
      <c r="AL137" s="158">
        <f>+AG137+IFERROR(VLOOKUP($A137,'A0 BS 1240在建'!$1:$1048576,37,0),0)</f>
        <v>0</v>
      </c>
      <c r="AM137" s="158">
        <f>+AH137+IFERROR(VLOOKUP($A137,'B0 2264預收'!$1:$1048576,37,0),0)</f>
        <v>0</v>
      </c>
      <c r="AN137" s="158">
        <f t="shared" si="217"/>
        <v>0</v>
      </c>
      <c r="AO137" s="158">
        <f>+AJ137+IFERROR(+VLOOKUP($A137,'B0 2264預收'!$1:$1048576,38,0),0)</f>
        <v>0</v>
      </c>
      <c r="AP137" s="158">
        <f t="shared" si="218"/>
        <v>0</v>
      </c>
      <c r="AQ137" s="157">
        <f>+AL137+IFERROR(VLOOKUP($A137,'A0 BS 1240在建'!$1:$1048576,41,0),0)</f>
        <v>0</v>
      </c>
      <c r="AR137" s="157">
        <f>+AM137+IFERROR(VLOOKUP($A137,'B0 2264預收'!$1:$1048576,41,0),0)</f>
        <v>0</v>
      </c>
      <c r="AS137" s="157">
        <f t="shared" si="219"/>
        <v>0</v>
      </c>
      <c r="AT137" s="157">
        <f>+AO137+IFERROR(+VLOOKUP($A137,'B0 2264預收'!$1:$1048576,42,0),0)</f>
        <v>0</v>
      </c>
      <c r="AU137" s="157">
        <f t="shared" si="220"/>
        <v>0</v>
      </c>
      <c r="AV137" s="158">
        <f>+AQ137+IFERROR(VLOOKUP($A137,'A0 BS 1240在建'!$1:$1048576,45,0),0)</f>
        <v>0</v>
      </c>
      <c r="AW137" s="158">
        <f>+AR137+IFERROR(VLOOKUP($A137,'B0 2264預收'!$1:$1048576,45,0),0)</f>
        <v>0</v>
      </c>
      <c r="AX137" s="158">
        <f t="shared" si="221"/>
        <v>0</v>
      </c>
      <c r="AY137" s="158">
        <f>+AT137+IFERROR(+VLOOKUP($A137,'B0 2264預收'!$1:$1048576,46,0),0)</f>
        <v>0</v>
      </c>
      <c r="AZ137" s="158">
        <f t="shared" si="222"/>
        <v>0</v>
      </c>
      <c r="BA137" s="157">
        <f>+AV137+IFERROR(VLOOKUP($A137,'A0 BS 1240在建'!$1:$1048576,49,0),0)</f>
        <v>0</v>
      </c>
      <c r="BB137" s="157">
        <f>+AW137+IFERROR(VLOOKUP($A137,'B0 2264預收'!$1:$1048576,49,0),0)</f>
        <v>0</v>
      </c>
      <c r="BC137" s="157">
        <f t="shared" si="223"/>
        <v>0</v>
      </c>
      <c r="BD137" s="157">
        <f>+AY137+IFERROR(+VLOOKUP($A137,'B0 2264預收'!$1:$1048576,50,0),0)</f>
        <v>0</v>
      </c>
      <c r="BE137" s="157">
        <f t="shared" si="224"/>
        <v>0</v>
      </c>
      <c r="BF137" s="158">
        <f>+BA137+IFERROR(VLOOKUP($A137,'A0 BS 1240在建'!$1:$1048576,53,0),0)</f>
        <v>0</v>
      </c>
      <c r="BG137" s="158">
        <f>+BB137+IFERROR(VLOOKUP($A137,'B0 2264預收'!$1:$1048576,53,0),0)</f>
        <v>0</v>
      </c>
      <c r="BH137" s="158">
        <f t="shared" si="225"/>
        <v>0</v>
      </c>
      <c r="BI137" s="158">
        <f>+BD137+IFERROR(+VLOOKUP($A137,'B0 2264預收'!$1:$1048576,54,0),0)</f>
        <v>0</v>
      </c>
      <c r="BJ137" s="158">
        <f t="shared" si="226"/>
        <v>0</v>
      </c>
      <c r="BK137" s="157">
        <f>+BF137+IFERROR(VLOOKUP($A137,'A0 BS 1240在建'!$1:$1048576,57,0),0)</f>
        <v>0</v>
      </c>
      <c r="BL137" s="157">
        <f>+BG137+IFERROR(VLOOKUP($A137,'B0 2264預收'!$1:$1048576,57,0),0)</f>
        <v>0</v>
      </c>
      <c r="BM137" s="157">
        <f t="shared" si="227"/>
        <v>0</v>
      </c>
      <c r="BN137" s="157">
        <f>+BI137+IFERROR(+VLOOKUP($A137,'B0 2264預收'!$1:$1048576,58,0),0)</f>
        <v>0</v>
      </c>
      <c r="BO137" s="157">
        <f t="shared" si="228"/>
        <v>0</v>
      </c>
      <c r="BP137" s="158">
        <f>+BK137+IFERROR(VLOOKUP($A137,'A0 BS 1240在建'!$1:$1048576,61,0),0)</f>
        <v>0</v>
      </c>
      <c r="BQ137" s="158">
        <f>+BL137+IFERROR(VLOOKUP($A137,'B0 2264預收'!$1:$1048576,61,0),0)</f>
        <v>0</v>
      </c>
      <c r="BR137" s="159">
        <f t="shared" si="229"/>
        <v>0</v>
      </c>
      <c r="BS137" s="158">
        <f>+BN137+IFERROR(+VLOOKUP($A137,'B0 2264預收'!$1:$1048576,62,0),0)</f>
        <v>0</v>
      </c>
      <c r="BT137" s="158">
        <f t="shared" si="230"/>
        <v>0</v>
      </c>
      <c r="BU137" s="157">
        <f>+IFERROR(VLOOKUP($A137,'A0 BS 1240在建'!$1:$1048576,77,0),0)</f>
        <v>0</v>
      </c>
      <c r="BV137" s="157">
        <f>+IFERROR(VLOOKUP($A137,'B0 2264預收'!$1:$1048576,77,0),0)</f>
        <v>0</v>
      </c>
      <c r="BW137" s="157">
        <f t="shared" si="231"/>
        <v>0</v>
      </c>
      <c r="BX137" s="157">
        <f>+IFERROR(+VLOOKUP($A137,'B0 2264預收'!$1:$1048576,78,0),0)</f>
        <v>0</v>
      </c>
      <c r="BY137" s="157">
        <f t="shared" si="232"/>
        <v>0</v>
      </c>
      <c r="BZ137" s="158">
        <f>IFERROR(+VLOOKUP($A137,'A0 BS 1240在建'!$1:$1048576,85,0),0)</f>
        <v>0</v>
      </c>
      <c r="CA137" s="158">
        <f>IFERROR(+VLOOKUP($A137,'B0 2264預收'!$1:$1048576,85,0),0)</f>
        <v>0</v>
      </c>
      <c r="CB137" s="158">
        <f t="shared" si="233"/>
        <v>0</v>
      </c>
      <c r="CC137" s="158">
        <f>+IFERROR(+VLOOKUP($A137,'B0 2264預收'!$1:$1048576,86,0),0)</f>
        <v>0</v>
      </c>
      <c r="CD137" s="158">
        <f t="shared" si="234"/>
        <v>0</v>
      </c>
      <c r="CE137" s="157">
        <f>+IFERROR(VLOOKUP($A137,'A0 BS 1240在建'!$1:$1048576,93,0),0)</f>
        <v>0</v>
      </c>
      <c r="CF137" s="157">
        <f>+IFERROR(VLOOKUP($A137,'B0 2264預收'!$1:$1048576,93,0),0)</f>
        <v>0</v>
      </c>
      <c r="CG137" s="157">
        <f t="shared" si="235"/>
        <v>0</v>
      </c>
      <c r="CH137" s="157">
        <f>+IFERROR(+VLOOKUP($A137,'B0 2264預收'!$1:$1048576,94,0),0)</f>
        <v>0</v>
      </c>
      <c r="CI137" s="157">
        <f t="shared" si="236"/>
        <v>0</v>
      </c>
      <c r="CJ137" s="158">
        <f>IFERROR(+VLOOKUP($A137,'A0 BS 1240在建'!$1:$1048576,101,0),0)</f>
        <v>0</v>
      </c>
      <c r="CK137" s="158">
        <f>IFERROR(+VLOOKUP($A137,'B0 2264預收'!$1:$1048576,101,0),0)</f>
        <v>0</v>
      </c>
      <c r="CL137" s="158">
        <f t="shared" si="237"/>
        <v>0</v>
      </c>
      <c r="CM137" s="158">
        <f>+IFERROR(+VLOOKUP($A137,'B0 2264預收'!$1:$1048576,102,0),0)</f>
        <v>0</v>
      </c>
      <c r="CN137" s="158">
        <f t="shared" si="238"/>
        <v>0</v>
      </c>
      <c r="CY137" s="162"/>
      <c r="DC137" s="163"/>
      <c r="DD137" s="162"/>
      <c r="DH137" s="163"/>
    </row>
    <row r="138" spans="1:112" hidden="1">
      <c r="A138" s="175"/>
      <c r="B138" s="175"/>
      <c r="C138" s="157">
        <f>IFERROR(VLOOKUP($A138,'A0 BS 1240在建'!$1:$1048576,5,0),0)</f>
        <v>0</v>
      </c>
      <c r="D138" s="157">
        <f>IFERROR(VLOOKUP($A138,'B0 2264預收'!$1:$1048576,5,0),0)</f>
        <v>0</v>
      </c>
      <c r="E138" s="157">
        <f t="shared" si="203"/>
        <v>0</v>
      </c>
      <c r="F138" s="157">
        <f>IFERROR(VLOOKUP($A138,'B0 2264預收'!$1:$1048576,6,0),0)</f>
        <v>0</v>
      </c>
      <c r="G138" s="157">
        <f t="shared" si="204"/>
        <v>0</v>
      </c>
      <c r="H138" s="158">
        <f>IFERROR(VLOOKUP($A138,'A0 BS 1240在建'!$1:$1048576,13,0),0)</f>
        <v>0</v>
      </c>
      <c r="I138" s="158">
        <f>IFERROR(VLOOKUP($A138,'B0 2264預收'!$1:$1048576,13,0),0)</f>
        <v>0</v>
      </c>
      <c r="J138" s="158">
        <f t="shared" si="205"/>
        <v>0</v>
      </c>
      <c r="K138" s="158">
        <f>IFERROR(VLOOKUP($A138,'B0 2264預收'!$1:$1048576,14,0),0)</f>
        <v>0</v>
      </c>
      <c r="L138" s="158">
        <f t="shared" si="206"/>
        <v>0</v>
      </c>
      <c r="M138" s="157">
        <f>H138+IFERROR(VLOOKUP($A138,'A0 BS 1240在建'!$1:$1048576,17,0),0)</f>
        <v>0</v>
      </c>
      <c r="N138" s="157">
        <f>I138+IFERROR(VLOOKUP($A138,'B0 2264預收'!$1:$1048576,17,0),0)</f>
        <v>0</v>
      </c>
      <c r="O138" s="157">
        <f t="shared" si="207"/>
        <v>0</v>
      </c>
      <c r="P138" s="157">
        <f>K138+IFERROR(+VLOOKUP($A138,'B0 2264預收'!$1:$1048576,18,0),0)</f>
        <v>0</v>
      </c>
      <c r="Q138" s="157">
        <f t="shared" si="208"/>
        <v>0</v>
      </c>
      <c r="R138" s="158">
        <f>M138+IFERROR(VLOOKUP($A138,'A0 BS 1240在建'!$1:$1048576,21,0),0)</f>
        <v>0</v>
      </c>
      <c r="S138" s="158">
        <f>+N138+IFERROR(VLOOKUP($A138,'B0 2264預收'!$1:$1048576,21,0),0)</f>
        <v>0</v>
      </c>
      <c r="T138" s="158">
        <f t="shared" si="209"/>
        <v>0</v>
      </c>
      <c r="U138" s="158">
        <f>+P138+IFERROR(+VLOOKUP($A138,'B0 2264預收'!$1:$1048576,22,0),0)</f>
        <v>0</v>
      </c>
      <c r="V138" s="158">
        <f t="shared" si="210"/>
        <v>0</v>
      </c>
      <c r="W138" s="157">
        <f>+R138+IFERROR(VLOOKUP($A138,'A0 BS 1240在建'!$1:$1048576,25,0),0)</f>
        <v>0</v>
      </c>
      <c r="X138" s="157">
        <f>+S138+IFERROR(VLOOKUP($A138,'B0 2264預收'!$1:$1048576,25,0),0)</f>
        <v>0</v>
      </c>
      <c r="Y138" s="157">
        <f t="shared" si="211"/>
        <v>0</v>
      </c>
      <c r="Z138" s="157">
        <f>+U138+IFERROR(+VLOOKUP($A138,'B0 2264預收'!$1:$1048576,26,0),0)</f>
        <v>0</v>
      </c>
      <c r="AA138" s="157">
        <f t="shared" si="212"/>
        <v>0</v>
      </c>
      <c r="AB138" s="158">
        <f>+W138+IFERROR(VLOOKUP($A138,'A0 BS 1240在建'!$1:$1048576,29,0),0)</f>
        <v>0</v>
      </c>
      <c r="AC138" s="158">
        <f>+X138+IFERROR(VLOOKUP($A138,'B0 2264預收'!$1:$1048576,29,0),0)</f>
        <v>0</v>
      </c>
      <c r="AD138" s="158">
        <f t="shared" si="213"/>
        <v>0</v>
      </c>
      <c r="AE138" s="158">
        <f>+Z138+IFERROR(+VLOOKUP($A138,'B0 2264預收'!$1:$1048576,30,0),0)</f>
        <v>0</v>
      </c>
      <c r="AF138" s="158">
        <f t="shared" si="214"/>
        <v>0</v>
      </c>
      <c r="AG138" s="157">
        <f>+AB138+IFERROR(VLOOKUP($A138,'A0 BS 1240在建'!$1:$1048576,33,0),0)</f>
        <v>0</v>
      </c>
      <c r="AH138" s="157">
        <f>+AC138+IFERROR(VLOOKUP($A138,'B0 2264預收'!$1:$1048576,33,0),0)</f>
        <v>0</v>
      </c>
      <c r="AI138" s="157">
        <f t="shared" si="215"/>
        <v>0</v>
      </c>
      <c r="AJ138" s="157">
        <f>+AE138+IFERROR(+VLOOKUP($A138,'B0 2264預收'!$1:$1048576,34,0),0)</f>
        <v>0</v>
      </c>
      <c r="AK138" s="157">
        <f t="shared" si="216"/>
        <v>0</v>
      </c>
      <c r="AL138" s="158">
        <f>+AG138+IFERROR(VLOOKUP($A138,'A0 BS 1240在建'!$1:$1048576,37,0),0)</f>
        <v>0</v>
      </c>
      <c r="AM138" s="158">
        <f>+AH138+IFERROR(VLOOKUP($A138,'B0 2264預收'!$1:$1048576,37,0),0)</f>
        <v>0</v>
      </c>
      <c r="AN138" s="158">
        <f t="shared" si="217"/>
        <v>0</v>
      </c>
      <c r="AO138" s="158">
        <f>+AJ138+IFERROR(+VLOOKUP($A138,'B0 2264預收'!$1:$1048576,38,0),0)</f>
        <v>0</v>
      </c>
      <c r="AP138" s="158">
        <f t="shared" si="218"/>
        <v>0</v>
      </c>
      <c r="AQ138" s="157">
        <f>+AL138+IFERROR(VLOOKUP($A138,'A0 BS 1240在建'!$1:$1048576,41,0),0)</f>
        <v>0</v>
      </c>
      <c r="AR138" s="157">
        <f>+AM138+IFERROR(VLOOKUP($A138,'B0 2264預收'!$1:$1048576,41,0),0)</f>
        <v>0</v>
      </c>
      <c r="AS138" s="157">
        <f t="shared" si="219"/>
        <v>0</v>
      </c>
      <c r="AT138" s="157">
        <f>+AO138+IFERROR(+VLOOKUP($A138,'B0 2264預收'!$1:$1048576,42,0),0)</f>
        <v>0</v>
      </c>
      <c r="AU138" s="157">
        <f t="shared" si="220"/>
        <v>0</v>
      </c>
      <c r="AV138" s="158">
        <f>+AQ138+IFERROR(VLOOKUP($A138,'A0 BS 1240在建'!$1:$1048576,45,0),0)</f>
        <v>0</v>
      </c>
      <c r="AW138" s="158">
        <f>+AR138+IFERROR(VLOOKUP($A138,'B0 2264預收'!$1:$1048576,45,0),0)</f>
        <v>0</v>
      </c>
      <c r="AX138" s="158">
        <f t="shared" si="221"/>
        <v>0</v>
      </c>
      <c r="AY138" s="158">
        <f>+AT138+IFERROR(+VLOOKUP($A138,'B0 2264預收'!$1:$1048576,46,0),0)</f>
        <v>0</v>
      </c>
      <c r="AZ138" s="158">
        <f t="shared" si="222"/>
        <v>0</v>
      </c>
      <c r="BA138" s="157">
        <f>+AV138+IFERROR(VLOOKUP($A138,'A0 BS 1240在建'!$1:$1048576,49,0),0)</f>
        <v>0</v>
      </c>
      <c r="BB138" s="157">
        <f>+AW138+IFERROR(VLOOKUP($A138,'B0 2264預收'!$1:$1048576,49,0),0)</f>
        <v>0</v>
      </c>
      <c r="BC138" s="157">
        <f t="shared" si="223"/>
        <v>0</v>
      </c>
      <c r="BD138" s="157">
        <f>+AY138+IFERROR(+VLOOKUP($A138,'B0 2264預收'!$1:$1048576,50,0),0)</f>
        <v>0</v>
      </c>
      <c r="BE138" s="157">
        <f t="shared" si="224"/>
        <v>0</v>
      </c>
      <c r="BF138" s="158">
        <f>+BA138+IFERROR(VLOOKUP($A138,'A0 BS 1240在建'!$1:$1048576,53,0),0)</f>
        <v>0</v>
      </c>
      <c r="BG138" s="158">
        <f>+BB138+IFERROR(VLOOKUP($A138,'B0 2264預收'!$1:$1048576,53,0),0)</f>
        <v>0</v>
      </c>
      <c r="BH138" s="158">
        <f t="shared" si="225"/>
        <v>0</v>
      </c>
      <c r="BI138" s="158">
        <f>+BD138+IFERROR(+VLOOKUP($A138,'B0 2264預收'!$1:$1048576,54,0),0)</f>
        <v>0</v>
      </c>
      <c r="BJ138" s="158">
        <f t="shared" si="226"/>
        <v>0</v>
      </c>
      <c r="BK138" s="157">
        <f>+BF138+IFERROR(VLOOKUP($A138,'A0 BS 1240在建'!$1:$1048576,57,0),0)</f>
        <v>0</v>
      </c>
      <c r="BL138" s="157">
        <f>+BG138+IFERROR(VLOOKUP($A138,'B0 2264預收'!$1:$1048576,57,0),0)</f>
        <v>0</v>
      </c>
      <c r="BM138" s="157">
        <f t="shared" si="227"/>
        <v>0</v>
      </c>
      <c r="BN138" s="157">
        <f>+BI138+IFERROR(+VLOOKUP($A138,'B0 2264預收'!$1:$1048576,58,0),0)</f>
        <v>0</v>
      </c>
      <c r="BO138" s="157">
        <f t="shared" si="228"/>
        <v>0</v>
      </c>
      <c r="BP138" s="158">
        <f>+BK138+IFERROR(VLOOKUP($A138,'A0 BS 1240在建'!$1:$1048576,61,0),0)</f>
        <v>0</v>
      </c>
      <c r="BQ138" s="158">
        <f>+BL138+IFERROR(VLOOKUP($A138,'B0 2264預收'!$1:$1048576,61,0),0)</f>
        <v>0</v>
      </c>
      <c r="BR138" s="159">
        <f t="shared" si="229"/>
        <v>0</v>
      </c>
      <c r="BS138" s="158">
        <f>+BN138+IFERROR(+VLOOKUP($A138,'B0 2264預收'!$1:$1048576,62,0),0)</f>
        <v>0</v>
      </c>
      <c r="BT138" s="158">
        <f t="shared" si="230"/>
        <v>0</v>
      </c>
      <c r="BU138" s="157">
        <f>+IFERROR(VLOOKUP($A138,'A0 BS 1240在建'!$1:$1048576,77,0),0)</f>
        <v>0</v>
      </c>
      <c r="BV138" s="157">
        <f>+IFERROR(VLOOKUP($A138,'B0 2264預收'!$1:$1048576,77,0),0)</f>
        <v>0</v>
      </c>
      <c r="BW138" s="157">
        <f t="shared" si="231"/>
        <v>0</v>
      </c>
      <c r="BX138" s="157">
        <f>+IFERROR(+VLOOKUP($A138,'B0 2264預收'!$1:$1048576,78,0),0)</f>
        <v>0</v>
      </c>
      <c r="BY138" s="157">
        <f t="shared" si="232"/>
        <v>0</v>
      </c>
      <c r="BZ138" s="158">
        <f>IFERROR(+VLOOKUP($A138,'A0 BS 1240在建'!$1:$1048576,85,0),0)</f>
        <v>0</v>
      </c>
      <c r="CA138" s="158">
        <f>IFERROR(+VLOOKUP($A138,'B0 2264預收'!$1:$1048576,85,0),0)</f>
        <v>0</v>
      </c>
      <c r="CB138" s="158">
        <f t="shared" si="233"/>
        <v>0</v>
      </c>
      <c r="CC138" s="158">
        <f>+IFERROR(+VLOOKUP($A138,'B0 2264預收'!$1:$1048576,86,0),0)</f>
        <v>0</v>
      </c>
      <c r="CD138" s="158">
        <f t="shared" si="234"/>
        <v>0</v>
      </c>
      <c r="CE138" s="157">
        <f>+IFERROR(VLOOKUP($A138,'A0 BS 1240在建'!$1:$1048576,93,0),0)</f>
        <v>0</v>
      </c>
      <c r="CF138" s="157">
        <f>+IFERROR(VLOOKUP($A138,'B0 2264預收'!$1:$1048576,93,0),0)</f>
        <v>0</v>
      </c>
      <c r="CG138" s="157">
        <f t="shared" si="235"/>
        <v>0</v>
      </c>
      <c r="CH138" s="157">
        <f>+IFERROR(+VLOOKUP($A138,'B0 2264預收'!$1:$1048576,94,0),0)</f>
        <v>0</v>
      </c>
      <c r="CI138" s="157">
        <f t="shared" si="236"/>
        <v>0</v>
      </c>
      <c r="CJ138" s="158">
        <f>IFERROR(+VLOOKUP($A138,'A0 BS 1240在建'!$1:$1048576,101,0),0)</f>
        <v>0</v>
      </c>
      <c r="CK138" s="158">
        <f>IFERROR(+VLOOKUP($A138,'B0 2264預收'!$1:$1048576,101,0),0)</f>
        <v>0</v>
      </c>
      <c r="CL138" s="158">
        <f t="shared" si="237"/>
        <v>0</v>
      </c>
      <c r="CM138" s="158">
        <f>+IFERROR(+VLOOKUP($A138,'B0 2264預收'!$1:$1048576,102,0),0)</f>
        <v>0</v>
      </c>
      <c r="CN138" s="158">
        <f t="shared" si="238"/>
        <v>0</v>
      </c>
      <c r="CY138" s="162"/>
      <c r="DC138" s="163"/>
      <c r="DD138" s="162"/>
      <c r="DH138" s="163"/>
    </row>
    <row r="139" spans="1:112" hidden="1">
      <c r="A139" s="175"/>
      <c r="B139" s="175"/>
      <c r="C139" s="157">
        <f>IFERROR(VLOOKUP($A139,'A0 BS 1240在建'!$1:$1048576,5,0),0)</f>
        <v>0</v>
      </c>
      <c r="D139" s="157">
        <f>IFERROR(VLOOKUP($A139,'B0 2264預收'!$1:$1048576,5,0),0)</f>
        <v>0</v>
      </c>
      <c r="E139" s="157">
        <f t="shared" si="203"/>
        <v>0</v>
      </c>
      <c r="F139" s="157">
        <f>IFERROR(VLOOKUP($A139,'B0 2264預收'!$1:$1048576,6,0),0)</f>
        <v>0</v>
      </c>
      <c r="G139" s="157">
        <f t="shared" si="204"/>
        <v>0</v>
      </c>
      <c r="H139" s="158">
        <f>IFERROR(VLOOKUP($A139,'A0 BS 1240在建'!$1:$1048576,13,0),0)</f>
        <v>0</v>
      </c>
      <c r="I139" s="158">
        <f>IFERROR(VLOOKUP($A139,'B0 2264預收'!$1:$1048576,13,0),0)</f>
        <v>0</v>
      </c>
      <c r="J139" s="158">
        <f t="shared" si="205"/>
        <v>0</v>
      </c>
      <c r="K139" s="158">
        <f>IFERROR(VLOOKUP($A139,'B0 2264預收'!$1:$1048576,14,0),0)</f>
        <v>0</v>
      </c>
      <c r="L139" s="158">
        <f t="shared" si="206"/>
        <v>0</v>
      </c>
      <c r="M139" s="157">
        <f>H139+IFERROR(VLOOKUP($A139,'A0 BS 1240在建'!$1:$1048576,17,0),0)</f>
        <v>0</v>
      </c>
      <c r="N139" s="157">
        <f>I139+IFERROR(VLOOKUP($A139,'B0 2264預收'!$1:$1048576,17,0),0)</f>
        <v>0</v>
      </c>
      <c r="O139" s="157">
        <f t="shared" si="207"/>
        <v>0</v>
      </c>
      <c r="P139" s="157">
        <f>K139+IFERROR(+VLOOKUP($A139,'B0 2264預收'!$1:$1048576,18,0),0)</f>
        <v>0</v>
      </c>
      <c r="Q139" s="157">
        <f t="shared" si="208"/>
        <v>0</v>
      </c>
      <c r="R139" s="158">
        <f>M139+IFERROR(VLOOKUP($A139,'A0 BS 1240在建'!$1:$1048576,21,0),0)</f>
        <v>0</v>
      </c>
      <c r="S139" s="158">
        <f>+N139+IFERROR(VLOOKUP($A139,'B0 2264預收'!$1:$1048576,21,0),0)</f>
        <v>0</v>
      </c>
      <c r="T139" s="158">
        <f t="shared" si="209"/>
        <v>0</v>
      </c>
      <c r="U139" s="158">
        <f>+P139+IFERROR(+VLOOKUP($A139,'B0 2264預收'!$1:$1048576,22,0),0)</f>
        <v>0</v>
      </c>
      <c r="V139" s="158">
        <f t="shared" si="210"/>
        <v>0</v>
      </c>
      <c r="W139" s="157">
        <f>+R139+IFERROR(VLOOKUP($A139,'A0 BS 1240在建'!$1:$1048576,25,0),0)</f>
        <v>0</v>
      </c>
      <c r="X139" s="157">
        <f>+S139+IFERROR(VLOOKUP($A139,'B0 2264預收'!$1:$1048576,25,0),0)</f>
        <v>0</v>
      </c>
      <c r="Y139" s="157">
        <f t="shared" si="211"/>
        <v>0</v>
      </c>
      <c r="Z139" s="157">
        <f>+U139+IFERROR(+VLOOKUP($A139,'B0 2264預收'!$1:$1048576,26,0),0)</f>
        <v>0</v>
      </c>
      <c r="AA139" s="157">
        <f t="shared" si="212"/>
        <v>0</v>
      </c>
      <c r="AB139" s="158">
        <f>+W139+IFERROR(VLOOKUP($A139,'A0 BS 1240在建'!$1:$1048576,29,0),0)</f>
        <v>0</v>
      </c>
      <c r="AC139" s="158">
        <f>+X139+IFERROR(VLOOKUP($A139,'B0 2264預收'!$1:$1048576,29,0),0)</f>
        <v>0</v>
      </c>
      <c r="AD139" s="158">
        <f t="shared" si="213"/>
        <v>0</v>
      </c>
      <c r="AE139" s="158">
        <f>+Z139+IFERROR(+VLOOKUP($A139,'B0 2264預收'!$1:$1048576,30,0),0)</f>
        <v>0</v>
      </c>
      <c r="AF139" s="158">
        <f t="shared" si="214"/>
        <v>0</v>
      </c>
      <c r="AG139" s="157">
        <f>+AB139+IFERROR(VLOOKUP($A139,'A0 BS 1240在建'!$1:$1048576,33,0),0)</f>
        <v>0</v>
      </c>
      <c r="AH139" s="157">
        <f>+AC139+IFERROR(VLOOKUP($A139,'B0 2264預收'!$1:$1048576,33,0),0)</f>
        <v>0</v>
      </c>
      <c r="AI139" s="157">
        <f t="shared" si="215"/>
        <v>0</v>
      </c>
      <c r="AJ139" s="157">
        <f>+AE139+IFERROR(+VLOOKUP($A139,'B0 2264預收'!$1:$1048576,34,0),0)</f>
        <v>0</v>
      </c>
      <c r="AK139" s="157">
        <f t="shared" si="216"/>
        <v>0</v>
      </c>
      <c r="AL139" s="158">
        <f>+AG139+IFERROR(VLOOKUP($A139,'A0 BS 1240在建'!$1:$1048576,37,0),0)</f>
        <v>0</v>
      </c>
      <c r="AM139" s="158">
        <f>+AH139+IFERROR(VLOOKUP($A139,'B0 2264預收'!$1:$1048576,37,0),0)</f>
        <v>0</v>
      </c>
      <c r="AN139" s="158">
        <f t="shared" si="217"/>
        <v>0</v>
      </c>
      <c r="AO139" s="158">
        <f>+AJ139+IFERROR(+VLOOKUP($A139,'B0 2264預收'!$1:$1048576,38,0),0)</f>
        <v>0</v>
      </c>
      <c r="AP139" s="158">
        <f t="shared" si="218"/>
        <v>0</v>
      </c>
      <c r="AQ139" s="157">
        <f>+AL139+IFERROR(VLOOKUP($A139,'A0 BS 1240在建'!$1:$1048576,41,0),0)</f>
        <v>0</v>
      </c>
      <c r="AR139" s="157">
        <f>+AM139+IFERROR(VLOOKUP($A139,'B0 2264預收'!$1:$1048576,41,0),0)</f>
        <v>0</v>
      </c>
      <c r="AS139" s="157">
        <f t="shared" si="219"/>
        <v>0</v>
      </c>
      <c r="AT139" s="157">
        <f>+AO139+IFERROR(+VLOOKUP($A139,'B0 2264預收'!$1:$1048576,42,0),0)</f>
        <v>0</v>
      </c>
      <c r="AU139" s="157">
        <f t="shared" si="220"/>
        <v>0</v>
      </c>
      <c r="AV139" s="158">
        <f>+AQ139+IFERROR(VLOOKUP($A139,'A0 BS 1240在建'!$1:$1048576,45,0),0)</f>
        <v>0</v>
      </c>
      <c r="AW139" s="158">
        <f>+AR139+IFERROR(VLOOKUP($A139,'B0 2264預收'!$1:$1048576,45,0),0)</f>
        <v>0</v>
      </c>
      <c r="AX139" s="158">
        <f t="shared" si="221"/>
        <v>0</v>
      </c>
      <c r="AY139" s="158">
        <f>+AT139+IFERROR(+VLOOKUP($A139,'B0 2264預收'!$1:$1048576,46,0),0)</f>
        <v>0</v>
      </c>
      <c r="AZ139" s="158">
        <f t="shared" si="222"/>
        <v>0</v>
      </c>
      <c r="BA139" s="157">
        <f>+AV139+IFERROR(VLOOKUP($A139,'A0 BS 1240在建'!$1:$1048576,49,0),0)</f>
        <v>0</v>
      </c>
      <c r="BB139" s="157">
        <f>+AW139+IFERROR(VLOOKUP($A139,'B0 2264預收'!$1:$1048576,49,0),0)</f>
        <v>0</v>
      </c>
      <c r="BC139" s="157">
        <f t="shared" si="223"/>
        <v>0</v>
      </c>
      <c r="BD139" s="157">
        <f>+AY139+IFERROR(+VLOOKUP($A139,'B0 2264預收'!$1:$1048576,50,0),0)</f>
        <v>0</v>
      </c>
      <c r="BE139" s="157">
        <f t="shared" si="224"/>
        <v>0</v>
      </c>
      <c r="BF139" s="158">
        <f>+BA139+IFERROR(VLOOKUP($A139,'A0 BS 1240在建'!$1:$1048576,53,0),0)</f>
        <v>0</v>
      </c>
      <c r="BG139" s="158">
        <f>+BB139+IFERROR(VLOOKUP($A139,'B0 2264預收'!$1:$1048576,53,0),0)</f>
        <v>0</v>
      </c>
      <c r="BH139" s="158">
        <f t="shared" si="225"/>
        <v>0</v>
      </c>
      <c r="BI139" s="158">
        <f>+BD139+IFERROR(+VLOOKUP($A139,'B0 2264預收'!$1:$1048576,54,0),0)</f>
        <v>0</v>
      </c>
      <c r="BJ139" s="158">
        <f t="shared" si="226"/>
        <v>0</v>
      </c>
      <c r="BK139" s="157">
        <f>+BF139+IFERROR(VLOOKUP($A139,'A0 BS 1240在建'!$1:$1048576,57,0),0)</f>
        <v>0</v>
      </c>
      <c r="BL139" s="157">
        <f>+BG139+IFERROR(VLOOKUP($A139,'B0 2264預收'!$1:$1048576,57,0),0)</f>
        <v>0</v>
      </c>
      <c r="BM139" s="157">
        <f t="shared" si="227"/>
        <v>0</v>
      </c>
      <c r="BN139" s="157">
        <f>+BI139+IFERROR(+VLOOKUP($A139,'B0 2264預收'!$1:$1048576,58,0),0)</f>
        <v>0</v>
      </c>
      <c r="BO139" s="157">
        <f t="shared" si="228"/>
        <v>0</v>
      </c>
      <c r="BP139" s="158">
        <f>+BK139+IFERROR(VLOOKUP($A139,'A0 BS 1240在建'!$1:$1048576,61,0),0)</f>
        <v>0</v>
      </c>
      <c r="BQ139" s="158">
        <f>+BL139+IFERROR(VLOOKUP($A139,'B0 2264預收'!$1:$1048576,61,0),0)</f>
        <v>0</v>
      </c>
      <c r="BR139" s="159">
        <f t="shared" si="229"/>
        <v>0</v>
      </c>
      <c r="BS139" s="158">
        <f>+BN139+IFERROR(+VLOOKUP($A139,'B0 2264預收'!$1:$1048576,62,0),0)</f>
        <v>0</v>
      </c>
      <c r="BT139" s="158">
        <f t="shared" si="230"/>
        <v>0</v>
      </c>
      <c r="BU139" s="157">
        <f>+IFERROR(VLOOKUP($A139,'A0 BS 1240在建'!$1:$1048576,77,0),0)</f>
        <v>0</v>
      </c>
      <c r="BV139" s="157">
        <f>+IFERROR(VLOOKUP($A139,'B0 2264預收'!$1:$1048576,77,0),0)</f>
        <v>0</v>
      </c>
      <c r="BW139" s="157">
        <f t="shared" si="231"/>
        <v>0</v>
      </c>
      <c r="BX139" s="157">
        <f>+IFERROR(+VLOOKUP($A139,'B0 2264預收'!$1:$1048576,78,0),0)</f>
        <v>0</v>
      </c>
      <c r="BY139" s="157">
        <f t="shared" si="232"/>
        <v>0</v>
      </c>
      <c r="BZ139" s="158">
        <f>IFERROR(+VLOOKUP($A139,'A0 BS 1240在建'!$1:$1048576,85,0),0)</f>
        <v>0</v>
      </c>
      <c r="CA139" s="158">
        <f>IFERROR(+VLOOKUP($A139,'B0 2264預收'!$1:$1048576,85,0),0)</f>
        <v>0</v>
      </c>
      <c r="CB139" s="158">
        <f t="shared" si="233"/>
        <v>0</v>
      </c>
      <c r="CC139" s="158">
        <f>+IFERROR(+VLOOKUP($A139,'B0 2264預收'!$1:$1048576,86,0),0)</f>
        <v>0</v>
      </c>
      <c r="CD139" s="158">
        <f t="shared" si="234"/>
        <v>0</v>
      </c>
      <c r="CE139" s="157">
        <f>+IFERROR(VLOOKUP($A139,'A0 BS 1240在建'!$1:$1048576,93,0),0)</f>
        <v>0</v>
      </c>
      <c r="CF139" s="157">
        <f>+IFERROR(VLOOKUP($A139,'B0 2264預收'!$1:$1048576,93,0),0)</f>
        <v>0</v>
      </c>
      <c r="CG139" s="157">
        <f t="shared" si="235"/>
        <v>0</v>
      </c>
      <c r="CH139" s="157">
        <f>+IFERROR(+VLOOKUP($A139,'B0 2264預收'!$1:$1048576,94,0),0)</f>
        <v>0</v>
      </c>
      <c r="CI139" s="157">
        <f t="shared" si="236"/>
        <v>0</v>
      </c>
      <c r="CJ139" s="158">
        <f>IFERROR(+VLOOKUP($A139,'A0 BS 1240在建'!$1:$1048576,101,0),0)</f>
        <v>0</v>
      </c>
      <c r="CK139" s="158">
        <f>IFERROR(+VLOOKUP($A139,'B0 2264預收'!$1:$1048576,101,0),0)</f>
        <v>0</v>
      </c>
      <c r="CL139" s="158">
        <f t="shared" si="237"/>
        <v>0</v>
      </c>
      <c r="CM139" s="158">
        <f>+IFERROR(+VLOOKUP($A139,'B0 2264預收'!$1:$1048576,102,0),0)</f>
        <v>0</v>
      </c>
      <c r="CN139" s="158">
        <f t="shared" si="238"/>
        <v>0</v>
      </c>
      <c r="CY139" s="162"/>
      <c r="DC139" s="163"/>
      <c r="DD139" s="162"/>
      <c r="DH139" s="163"/>
    </row>
    <row r="140" spans="1:112" hidden="1">
      <c r="A140" s="175"/>
      <c r="B140" s="175"/>
      <c r="C140" s="157">
        <f>IFERROR(VLOOKUP($A140,'A0 BS 1240在建'!$1:$1048576,5,0),0)</f>
        <v>0</v>
      </c>
      <c r="D140" s="157">
        <f>IFERROR(VLOOKUP($A140,'B0 2264預收'!$1:$1048576,5,0),0)</f>
        <v>0</v>
      </c>
      <c r="E140" s="157">
        <f t="shared" si="203"/>
        <v>0</v>
      </c>
      <c r="F140" s="157">
        <f>IFERROR(VLOOKUP($A140,'B0 2264預收'!$1:$1048576,6,0),0)</f>
        <v>0</v>
      </c>
      <c r="G140" s="157">
        <f t="shared" si="204"/>
        <v>0</v>
      </c>
      <c r="H140" s="158">
        <f>IFERROR(VLOOKUP($A140,'A0 BS 1240在建'!$1:$1048576,13,0),0)</f>
        <v>0</v>
      </c>
      <c r="I140" s="158">
        <f>IFERROR(VLOOKUP($A140,'B0 2264預收'!$1:$1048576,13,0),0)</f>
        <v>0</v>
      </c>
      <c r="J140" s="158">
        <f t="shared" si="205"/>
        <v>0</v>
      </c>
      <c r="K140" s="158">
        <f>IFERROR(VLOOKUP($A140,'B0 2264預收'!$1:$1048576,14,0),0)</f>
        <v>0</v>
      </c>
      <c r="L140" s="158">
        <f t="shared" si="206"/>
        <v>0</v>
      </c>
      <c r="M140" s="157">
        <f>H140+IFERROR(VLOOKUP($A140,'A0 BS 1240在建'!$1:$1048576,17,0),0)</f>
        <v>0</v>
      </c>
      <c r="N140" s="157">
        <f>I140+IFERROR(VLOOKUP($A140,'B0 2264預收'!$1:$1048576,17,0),0)</f>
        <v>0</v>
      </c>
      <c r="O140" s="157">
        <f t="shared" si="207"/>
        <v>0</v>
      </c>
      <c r="P140" s="157">
        <f>K140+IFERROR(+VLOOKUP($A140,'B0 2264預收'!$1:$1048576,18,0),0)</f>
        <v>0</v>
      </c>
      <c r="Q140" s="157">
        <f t="shared" si="208"/>
        <v>0</v>
      </c>
      <c r="R140" s="158">
        <f>M140+IFERROR(VLOOKUP($A140,'A0 BS 1240在建'!$1:$1048576,21,0),0)</f>
        <v>0</v>
      </c>
      <c r="S140" s="158">
        <f>+N140+IFERROR(VLOOKUP($A140,'B0 2264預收'!$1:$1048576,21,0),0)</f>
        <v>0</v>
      </c>
      <c r="T140" s="158">
        <f t="shared" si="209"/>
        <v>0</v>
      </c>
      <c r="U140" s="158">
        <f>+P140+IFERROR(+VLOOKUP($A140,'B0 2264預收'!$1:$1048576,22,0),0)</f>
        <v>0</v>
      </c>
      <c r="V140" s="158">
        <f t="shared" si="210"/>
        <v>0</v>
      </c>
      <c r="W140" s="157">
        <f>+R140+IFERROR(VLOOKUP($A140,'A0 BS 1240在建'!$1:$1048576,25,0),0)</f>
        <v>0</v>
      </c>
      <c r="X140" s="157">
        <f>+S140+IFERROR(VLOOKUP($A140,'B0 2264預收'!$1:$1048576,25,0),0)</f>
        <v>0</v>
      </c>
      <c r="Y140" s="157">
        <f t="shared" si="211"/>
        <v>0</v>
      </c>
      <c r="Z140" s="157">
        <f>+U140+IFERROR(+VLOOKUP($A140,'B0 2264預收'!$1:$1048576,26,0),0)</f>
        <v>0</v>
      </c>
      <c r="AA140" s="157">
        <f t="shared" si="212"/>
        <v>0</v>
      </c>
      <c r="AB140" s="158">
        <f>+W140+IFERROR(VLOOKUP($A140,'A0 BS 1240在建'!$1:$1048576,29,0),0)</f>
        <v>0</v>
      </c>
      <c r="AC140" s="158">
        <f>+X140+IFERROR(VLOOKUP($A140,'B0 2264預收'!$1:$1048576,29,0),0)</f>
        <v>0</v>
      </c>
      <c r="AD140" s="158">
        <f t="shared" si="213"/>
        <v>0</v>
      </c>
      <c r="AE140" s="158">
        <f>+Z140+IFERROR(+VLOOKUP($A140,'B0 2264預收'!$1:$1048576,30,0),0)</f>
        <v>0</v>
      </c>
      <c r="AF140" s="158">
        <f t="shared" si="214"/>
        <v>0</v>
      </c>
      <c r="AG140" s="157">
        <f>+AB140+IFERROR(VLOOKUP($A140,'A0 BS 1240在建'!$1:$1048576,33,0),0)</f>
        <v>0</v>
      </c>
      <c r="AH140" s="157">
        <f>+AC140+IFERROR(VLOOKUP($A140,'B0 2264預收'!$1:$1048576,33,0),0)</f>
        <v>0</v>
      </c>
      <c r="AI140" s="157">
        <f t="shared" si="215"/>
        <v>0</v>
      </c>
      <c r="AJ140" s="157">
        <f>+AE140+IFERROR(+VLOOKUP($A140,'B0 2264預收'!$1:$1048576,34,0),0)</f>
        <v>0</v>
      </c>
      <c r="AK140" s="157">
        <f t="shared" si="216"/>
        <v>0</v>
      </c>
      <c r="AL140" s="158">
        <f>+AG140+IFERROR(VLOOKUP($A140,'A0 BS 1240在建'!$1:$1048576,37,0),0)</f>
        <v>0</v>
      </c>
      <c r="AM140" s="158">
        <f>+AH140+IFERROR(VLOOKUP($A140,'B0 2264預收'!$1:$1048576,37,0),0)</f>
        <v>0</v>
      </c>
      <c r="AN140" s="158">
        <f t="shared" si="217"/>
        <v>0</v>
      </c>
      <c r="AO140" s="158">
        <f>+AJ140+IFERROR(+VLOOKUP($A140,'B0 2264預收'!$1:$1048576,38,0),0)</f>
        <v>0</v>
      </c>
      <c r="AP140" s="158">
        <f t="shared" si="218"/>
        <v>0</v>
      </c>
      <c r="AQ140" s="157">
        <f>+AL140+IFERROR(VLOOKUP($A140,'A0 BS 1240在建'!$1:$1048576,41,0),0)</f>
        <v>0</v>
      </c>
      <c r="AR140" s="157">
        <f>+AM140+IFERROR(VLOOKUP($A140,'B0 2264預收'!$1:$1048576,41,0),0)</f>
        <v>0</v>
      </c>
      <c r="AS140" s="157">
        <f t="shared" si="219"/>
        <v>0</v>
      </c>
      <c r="AT140" s="157">
        <f>+AO140+IFERROR(+VLOOKUP($A140,'B0 2264預收'!$1:$1048576,42,0),0)</f>
        <v>0</v>
      </c>
      <c r="AU140" s="157">
        <f t="shared" si="220"/>
        <v>0</v>
      </c>
      <c r="AV140" s="158">
        <f>+AQ140+IFERROR(VLOOKUP($A140,'A0 BS 1240在建'!$1:$1048576,45,0),0)</f>
        <v>0</v>
      </c>
      <c r="AW140" s="158">
        <f>+AR140+IFERROR(VLOOKUP($A140,'B0 2264預收'!$1:$1048576,45,0),0)</f>
        <v>0</v>
      </c>
      <c r="AX140" s="158">
        <f t="shared" si="221"/>
        <v>0</v>
      </c>
      <c r="AY140" s="158">
        <f>+AT140+IFERROR(+VLOOKUP($A140,'B0 2264預收'!$1:$1048576,46,0),0)</f>
        <v>0</v>
      </c>
      <c r="AZ140" s="158">
        <f t="shared" si="222"/>
        <v>0</v>
      </c>
      <c r="BA140" s="157">
        <f>+AV140+IFERROR(VLOOKUP($A140,'A0 BS 1240在建'!$1:$1048576,49,0),0)</f>
        <v>0</v>
      </c>
      <c r="BB140" s="157">
        <f>+AW140+IFERROR(VLOOKUP($A140,'B0 2264預收'!$1:$1048576,49,0),0)</f>
        <v>0</v>
      </c>
      <c r="BC140" s="157">
        <f t="shared" si="223"/>
        <v>0</v>
      </c>
      <c r="BD140" s="157">
        <f>+AY140+IFERROR(+VLOOKUP($A140,'B0 2264預收'!$1:$1048576,50,0),0)</f>
        <v>0</v>
      </c>
      <c r="BE140" s="157">
        <f t="shared" si="224"/>
        <v>0</v>
      </c>
      <c r="BF140" s="158">
        <f>+BA140+IFERROR(VLOOKUP($A140,'A0 BS 1240在建'!$1:$1048576,53,0),0)</f>
        <v>0</v>
      </c>
      <c r="BG140" s="158">
        <f>+BB140+IFERROR(VLOOKUP($A140,'B0 2264預收'!$1:$1048576,53,0),0)</f>
        <v>0</v>
      </c>
      <c r="BH140" s="158">
        <f t="shared" si="225"/>
        <v>0</v>
      </c>
      <c r="BI140" s="158">
        <f>+BD140+IFERROR(+VLOOKUP($A140,'B0 2264預收'!$1:$1048576,54,0),0)</f>
        <v>0</v>
      </c>
      <c r="BJ140" s="158">
        <f t="shared" si="226"/>
        <v>0</v>
      </c>
      <c r="BK140" s="157">
        <f>+BF140+IFERROR(VLOOKUP($A140,'A0 BS 1240在建'!$1:$1048576,57,0),0)</f>
        <v>0</v>
      </c>
      <c r="BL140" s="157">
        <f>+BG140+IFERROR(VLOOKUP($A140,'B0 2264預收'!$1:$1048576,57,0),0)</f>
        <v>0</v>
      </c>
      <c r="BM140" s="157">
        <f t="shared" si="227"/>
        <v>0</v>
      </c>
      <c r="BN140" s="157">
        <f>+BI140+IFERROR(+VLOOKUP($A140,'B0 2264預收'!$1:$1048576,58,0),0)</f>
        <v>0</v>
      </c>
      <c r="BO140" s="157">
        <f t="shared" si="228"/>
        <v>0</v>
      </c>
      <c r="BP140" s="158">
        <f>+BK140+IFERROR(VLOOKUP($A140,'A0 BS 1240在建'!$1:$1048576,61,0),0)</f>
        <v>0</v>
      </c>
      <c r="BQ140" s="158">
        <f>+BL140+IFERROR(VLOOKUP($A140,'B0 2264預收'!$1:$1048576,61,0),0)</f>
        <v>0</v>
      </c>
      <c r="BR140" s="159">
        <f t="shared" si="229"/>
        <v>0</v>
      </c>
      <c r="BS140" s="158">
        <f>+BN140+IFERROR(+VLOOKUP($A140,'B0 2264預收'!$1:$1048576,62,0),0)</f>
        <v>0</v>
      </c>
      <c r="BT140" s="158">
        <f t="shared" si="230"/>
        <v>0</v>
      </c>
      <c r="BU140" s="157">
        <f>+IFERROR(VLOOKUP($A140,'A0 BS 1240在建'!$1:$1048576,77,0),0)</f>
        <v>0</v>
      </c>
      <c r="BV140" s="157">
        <f>+IFERROR(VLOOKUP($A140,'B0 2264預收'!$1:$1048576,77,0),0)</f>
        <v>0</v>
      </c>
      <c r="BW140" s="157">
        <f t="shared" si="231"/>
        <v>0</v>
      </c>
      <c r="BX140" s="157">
        <f>+IFERROR(+VLOOKUP($A140,'B0 2264預收'!$1:$1048576,78,0),0)</f>
        <v>0</v>
      </c>
      <c r="BY140" s="157">
        <f t="shared" si="232"/>
        <v>0</v>
      </c>
      <c r="BZ140" s="158">
        <f>IFERROR(+VLOOKUP($A140,'A0 BS 1240在建'!$1:$1048576,85,0),0)</f>
        <v>0</v>
      </c>
      <c r="CA140" s="158">
        <f>IFERROR(+VLOOKUP($A140,'B0 2264預收'!$1:$1048576,85,0),0)</f>
        <v>0</v>
      </c>
      <c r="CB140" s="158">
        <f t="shared" si="233"/>
        <v>0</v>
      </c>
      <c r="CC140" s="158">
        <f>+IFERROR(+VLOOKUP($A140,'B0 2264預收'!$1:$1048576,86,0),0)</f>
        <v>0</v>
      </c>
      <c r="CD140" s="158">
        <f t="shared" si="234"/>
        <v>0</v>
      </c>
      <c r="CE140" s="157">
        <f>+IFERROR(VLOOKUP($A140,'A0 BS 1240在建'!$1:$1048576,93,0),0)</f>
        <v>0</v>
      </c>
      <c r="CF140" s="157">
        <f>+IFERROR(VLOOKUP($A140,'B0 2264預收'!$1:$1048576,93,0),0)</f>
        <v>0</v>
      </c>
      <c r="CG140" s="157">
        <f t="shared" si="235"/>
        <v>0</v>
      </c>
      <c r="CH140" s="157">
        <f>+IFERROR(+VLOOKUP($A140,'B0 2264預收'!$1:$1048576,94,0),0)</f>
        <v>0</v>
      </c>
      <c r="CI140" s="157">
        <f t="shared" si="236"/>
        <v>0</v>
      </c>
      <c r="CJ140" s="158">
        <f>IFERROR(+VLOOKUP($A140,'A0 BS 1240在建'!$1:$1048576,101,0),0)</f>
        <v>0</v>
      </c>
      <c r="CK140" s="158">
        <f>IFERROR(+VLOOKUP($A140,'B0 2264預收'!$1:$1048576,101,0),0)</f>
        <v>0</v>
      </c>
      <c r="CL140" s="158">
        <f t="shared" si="237"/>
        <v>0</v>
      </c>
      <c r="CM140" s="158">
        <f>+IFERROR(+VLOOKUP($A140,'B0 2264預收'!$1:$1048576,102,0),0)</f>
        <v>0</v>
      </c>
      <c r="CN140" s="158">
        <f t="shared" si="238"/>
        <v>0</v>
      </c>
      <c r="CY140" s="162"/>
      <c r="DC140" s="163"/>
      <c r="DD140" s="162"/>
      <c r="DH140" s="163"/>
    </row>
    <row r="141" spans="1:112" hidden="1">
      <c r="A141" s="175"/>
      <c r="B141" s="175"/>
      <c r="C141" s="157">
        <f>IFERROR(VLOOKUP($A141,'A0 BS 1240在建'!$1:$1048576,5,0),0)</f>
        <v>0</v>
      </c>
      <c r="D141" s="157">
        <f>IFERROR(VLOOKUP($A141,'B0 2264預收'!$1:$1048576,5,0),0)</f>
        <v>0</v>
      </c>
      <c r="E141" s="157">
        <f t="shared" si="203"/>
        <v>0</v>
      </c>
      <c r="F141" s="157">
        <f>IFERROR(VLOOKUP($A141,'B0 2264預收'!$1:$1048576,6,0),0)</f>
        <v>0</v>
      </c>
      <c r="G141" s="157">
        <f t="shared" si="204"/>
        <v>0</v>
      </c>
      <c r="H141" s="158">
        <f>IFERROR(VLOOKUP($A141,'A0 BS 1240在建'!$1:$1048576,13,0),0)</f>
        <v>0</v>
      </c>
      <c r="I141" s="158">
        <f>IFERROR(VLOOKUP($A141,'B0 2264預收'!$1:$1048576,13,0),0)</f>
        <v>0</v>
      </c>
      <c r="J141" s="158">
        <f t="shared" si="205"/>
        <v>0</v>
      </c>
      <c r="K141" s="158">
        <f>IFERROR(VLOOKUP($A141,'B0 2264預收'!$1:$1048576,14,0),0)</f>
        <v>0</v>
      </c>
      <c r="L141" s="158">
        <f t="shared" si="206"/>
        <v>0</v>
      </c>
      <c r="M141" s="157">
        <f>H141+IFERROR(VLOOKUP($A141,'A0 BS 1240在建'!$1:$1048576,17,0),0)</f>
        <v>0</v>
      </c>
      <c r="N141" s="157">
        <f>I141+IFERROR(VLOOKUP($A141,'B0 2264預收'!$1:$1048576,17,0),0)</f>
        <v>0</v>
      </c>
      <c r="O141" s="157">
        <f t="shared" si="207"/>
        <v>0</v>
      </c>
      <c r="P141" s="157">
        <f>K141+IFERROR(+VLOOKUP($A141,'B0 2264預收'!$1:$1048576,18,0),0)</f>
        <v>0</v>
      </c>
      <c r="Q141" s="157">
        <f t="shared" si="208"/>
        <v>0</v>
      </c>
      <c r="R141" s="158">
        <f>M141+IFERROR(VLOOKUP($A141,'A0 BS 1240在建'!$1:$1048576,21,0),0)</f>
        <v>0</v>
      </c>
      <c r="S141" s="158">
        <f>+N141+IFERROR(VLOOKUP($A141,'B0 2264預收'!$1:$1048576,21,0),0)</f>
        <v>0</v>
      </c>
      <c r="T141" s="158">
        <f t="shared" si="209"/>
        <v>0</v>
      </c>
      <c r="U141" s="158">
        <f>+P141+IFERROR(+VLOOKUP($A141,'B0 2264預收'!$1:$1048576,22,0),0)</f>
        <v>0</v>
      </c>
      <c r="V141" s="158">
        <f t="shared" si="210"/>
        <v>0</v>
      </c>
      <c r="W141" s="157">
        <f>+R141+IFERROR(VLOOKUP($A141,'A0 BS 1240在建'!$1:$1048576,25,0),0)</f>
        <v>0</v>
      </c>
      <c r="X141" s="157">
        <f>+S141+IFERROR(VLOOKUP($A141,'B0 2264預收'!$1:$1048576,25,0),0)</f>
        <v>0</v>
      </c>
      <c r="Y141" s="157">
        <f t="shared" si="211"/>
        <v>0</v>
      </c>
      <c r="Z141" s="157">
        <f>+U141+IFERROR(+VLOOKUP($A141,'B0 2264預收'!$1:$1048576,26,0),0)</f>
        <v>0</v>
      </c>
      <c r="AA141" s="157">
        <f t="shared" si="212"/>
        <v>0</v>
      </c>
      <c r="AB141" s="158">
        <f>+W141+IFERROR(VLOOKUP($A141,'A0 BS 1240在建'!$1:$1048576,29,0),0)</f>
        <v>0</v>
      </c>
      <c r="AC141" s="158">
        <f>+X141+IFERROR(VLOOKUP($A141,'B0 2264預收'!$1:$1048576,29,0),0)</f>
        <v>0</v>
      </c>
      <c r="AD141" s="158">
        <f t="shared" si="213"/>
        <v>0</v>
      </c>
      <c r="AE141" s="158">
        <f>+Z141+IFERROR(+VLOOKUP($A141,'B0 2264預收'!$1:$1048576,30,0),0)</f>
        <v>0</v>
      </c>
      <c r="AF141" s="158">
        <f t="shared" si="214"/>
        <v>0</v>
      </c>
      <c r="AG141" s="157">
        <f>+AB141+IFERROR(VLOOKUP($A141,'A0 BS 1240在建'!$1:$1048576,33,0),0)</f>
        <v>0</v>
      </c>
      <c r="AH141" s="157">
        <f>+AC141+IFERROR(VLOOKUP($A141,'B0 2264預收'!$1:$1048576,33,0),0)</f>
        <v>0</v>
      </c>
      <c r="AI141" s="157">
        <f t="shared" si="215"/>
        <v>0</v>
      </c>
      <c r="AJ141" s="157">
        <f>+AE141+IFERROR(+VLOOKUP($A141,'B0 2264預收'!$1:$1048576,34,0),0)</f>
        <v>0</v>
      </c>
      <c r="AK141" s="157">
        <f t="shared" si="216"/>
        <v>0</v>
      </c>
      <c r="AL141" s="158">
        <f>+AG141+IFERROR(VLOOKUP($A141,'A0 BS 1240在建'!$1:$1048576,37,0),0)</f>
        <v>0</v>
      </c>
      <c r="AM141" s="158">
        <f>+AH141+IFERROR(VLOOKUP($A141,'B0 2264預收'!$1:$1048576,37,0),0)</f>
        <v>0</v>
      </c>
      <c r="AN141" s="158">
        <f t="shared" si="217"/>
        <v>0</v>
      </c>
      <c r="AO141" s="158">
        <f>+AJ141+IFERROR(+VLOOKUP($A141,'B0 2264預收'!$1:$1048576,38,0),0)</f>
        <v>0</v>
      </c>
      <c r="AP141" s="158">
        <f t="shared" si="218"/>
        <v>0</v>
      </c>
      <c r="AQ141" s="157">
        <f>+AL141+IFERROR(VLOOKUP($A141,'A0 BS 1240在建'!$1:$1048576,41,0),0)</f>
        <v>0</v>
      </c>
      <c r="AR141" s="157">
        <f>+AM141+IFERROR(VLOOKUP($A141,'B0 2264預收'!$1:$1048576,41,0),0)</f>
        <v>0</v>
      </c>
      <c r="AS141" s="157">
        <f t="shared" si="219"/>
        <v>0</v>
      </c>
      <c r="AT141" s="157">
        <f>+AO141+IFERROR(+VLOOKUP($A141,'B0 2264預收'!$1:$1048576,42,0),0)</f>
        <v>0</v>
      </c>
      <c r="AU141" s="157">
        <f t="shared" si="220"/>
        <v>0</v>
      </c>
      <c r="AV141" s="158">
        <f>+AQ141+IFERROR(VLOOKUP($A141,'A0 BS 1240在建'!$1:$1048576,45,0),0)</f>
        <v>0</v>
      </c>
      <c r="AW141" s="158">
        <f>+AR141+IFERROR(VLOOKUP($A141,'B0 2264預收'!$1:$1048576,45,0),0)</f>
        <v>0</v>
      </c>
      <c r="AX141" s="158">
        <f t="shared" si="221"/>
        <v>0</v>
      </c>
      <c r="AY141" s="158">
        <f>+AT141+IFERROR(+VLOOKUP($A141,'B0 2264預收'!$1:$1048576,46,0),0)</f>
        <v>0</v>
      </c>
      <c r="AZ141" s="158">
        <f t="shared" si="222"/>
        <v>0</v>
      </c>
      <c r="BA141" s="157">
        <f>+AV141+IFERROR(VLOOKUP($A141,'A0 BS 1240在建'!$1:$1048576,49,0),0)</f>
        <v>0</v>
      </c>
      <c r="BB141" s="157">
        <f>+AW141+IFERROR(VLOOKUP($A141,'B0 2264預收'!$1:$1048576,49,0),0)</f>
        <v>0</v>
      </c>
      <c r="BC141" s="157">
        <f t="shared" si="223"/>
        <v>0</v>
      </c>
      <c r="BD141" s="157">
        <f>+AY141+IFERROR(+VLOOKUP($A141,'B0 2264預收'!$1:$1048576,50,0),0)</f>
        <v>0</v>
      </c>
      <c r="BE141" s="157">
        <f t="shared" si="224"/>
        <v>0</v>
      </c>
      <c r="BF141" s="158">
        <f>+BA141+IFERROR(VLOOKUP($A141,'A0 BS 1240在建'!$1:$1048576,53,0),0)</f>
        <v>0</v>
      </c>
      <c r="BG141" s="158">
        <f>+BB141+IFERROR(VLOOKUP($A141,'B0 2264預收'!$1:$1048576,53,0),0)</f>
        <v>0</v>
      </c>
      <c r="BH141" s="158">
        <f t="shared" si="225"/>
        <v>0</v>
      </c>
      <c r="BI141" s="158">
        <f>+BD141+IFERROR(+VLOOKUP($A141,'B0 2264預收'!$1:$1048576,54,0),0)</f>
        <v>0</v>
      </c>
      <c r="BJ141" s="158">
        <f t="shared" si="226"/>
        <v>0</v>
      </c>
      <c r="BK141" s="157">
        <f>+BF141+IFERROR(VLOOKUP($A141,'A0 BS 1240在建'!$1:$1048576,57,0),0)</f>
        <v>0</v>
      </c>
      <c r="BL141" s="157">
        <f>+BG141+IFERROR(VLOOKUP($A141,'B0 2264預收'!$1:$1048576,57,0),0)</f>
        <v>0</v>
      </c>
      <c r="BM141" s="157">
        <f t="shared" si="227"/>
        <v>0</v>
      </c>
      <c r="BN141" s="157">
        <f>+BI141+IFERROR(+VLOOKUP($A141,'B0 2264預收'!$1:$1048576,58,0),0)</f>
        <v>0</v>
      </c>
      <c r="BO141" s="157">
        <f t="shared" si="228"/>
        <v>0</v>
      </c>
      <c r="BP141" s="158">
        <f>+BK141+IFERROR(VLOOKUP($A141,'A0 BS 1240在建'!$1:$1048576,61,0),0)</f>
        <v>0</v>
      </c>
      <c r="BQ141" s="158">
        <f>+BL141+IFERROR(VLOOKUP($A141,'B0 2264預收'!$1:$1048576,61,0),0)</f>
        <v>0</v>
      </c>
      <c r="BR141" s="159">
        <f t="shared" si="229"/>
        <v>0</v>
      </c>
      <c r="BS141" s="158">
        <f>+BN141+IFERROR(+VLOOKUP($A141,'B0 2264預收'!$1:$1048576,62,0),0)</f>
        <v>0</v>
      </c>
      <c r="BT141" s="158">
        <f t="shared" si="230"/>
        <v>0</v>
      </c>
      <c r="BU141" s="157">
        <f>+IFERROR(VLOOKUP($A141,'A0 BS 1240在建'!$1:$1048576,77,0),0)</f>
        <v>0</v>
      </c>
      <c r="BV141" s="157">
        <f>+IFERROR(VLOOKUP($A141,'B0 2264預收'!$1:$1048576,77,0),0)</f>
        <v>0</v>
      </c>
      <c r="BW141" s="157">
        <f t="shared" si="231"/>
        <v>0</v>
      </c>
      <c r="BX141" s="157">
        <f>+IFERROR(+VLOOKUP($A141,'B0 2264預收'!$1:$1048576,78,0),0)</f>
        <v>0</v>
      </c>
      <c r="BY141" s="157">
        <f t="shared" si="232"/>
        <v>0</v>
      </c>
      <c r="BZ141" s="158">
        <f>IFERROR(+VLOOKUP($A141,'A0 BS 1240在建'!$1:$1048576,85,0),0)</f>
        <v>0</v>
      </c>
      <c r="CA141" s="158">
        <f>IFERROR(+VLOOKUP($A141,'B0 2264預收'!$1:$1048576,85,0),0)</f>
        <v>0</v>
      </c>
      <c r="CB141" s="158">
        <f t="shared" si="233"/>
        <v>0</v>
      </c>
      <c r="CC141" s="158">
        <f>+IFERROR(+VLOOKUP($A141,'B0 2264預收'!$1:$1048576,86,0),0)</f>
        <v>0</v>
      </c>
      <c r="CD141" s="158">
        <f t="shared" si="234"/>
        <v>0</v>
      </c>
      <c r="CE141" s="157">
        <f>+IFERROR(VLOOKUP($A141,'A0 BS 1240在建'!$1:$1048576,93,0),0)</f>
        <v>0</v>
      </c>
      <c r="CF141" s="157">
        <f>+IFERROR(VLOOKUP($A141,'B0 2264預收'!$1:$1048576,93,0),0)</f>
        <v>0</v>
      </c>
      <c r="CG141" s="157">
        <f t="shared" si="235"/>
        <v>0</v>
      </c>
      <c r="CH141" s="157">
        <f>+IFERROR(+VLOOKUP($A141,'B0 2264預收'!$1:$1048576,94,0),0)</f>
        <v>0</v>
      </c>
      <c r="CI141" s="157">
        <f t="shared" si="236"/>
        <v>0</v>
      </c>
      <c r="CJ141" s="158">
        <f>IFERROR(+VLOOKUP($A141,'A0 BS 1240在建'!$1:$1048576,101,0),0)</f>
        <v>0</v>
      </c>
      <c r="CK141" s="158">
        <f>IFERROR(+VLOOKUP($A141,'B0 2264預收'!$1:$1048576,101,0),0)</f>
        <v>0</v>
      </c>
      <c r="CL141" s="158">
        <f t="shared" si="237"/>
        <v>0</v>
      </c>
      <c r="CM141" s="158">
        <f>+IFERROR(+VLOOKUP($A141,'B0 2264預收'!$1:$1048576,102,0),0)</f>
        <v>0</v>
      </c>
      <c r="CN141" s="158">
        <f t="shared" si="238"/>
        <v>0</v>
      </c>
      <c r="CY141" s="162"/>
      <c r="DC141" s="163"/>
      <c r="DD141" s="162"/>
      <c r="DH141" s="163"/>
    </row>
    <row r="142" spans="1:112" hidden="1">
      <c r="A142" s="175"/>
      <c r="B142" s="175"/>
      <c r="C142" s="157">
        <f>IFERROR(VLOOKUP($A142,'A0 BS 1240在建'!$1:$1048576,5,0),0)</f>
        <v>0</v>
      </c>
      <c r="D142" s="157">
        <f>IFERROR(VLOOKUP($A142,'B0 2264預收'!$1:$1048576,5,0),0)</f>
        <v>0</v>
      </c>
      <c r="E142" s="157">
        <f t="shared" si="203"/>
        <v>0</v>
      </c>
      <c r="F142" s="157">
        <f>IFERROR(VLOOKUP($A142,'B0 2264預收'!$1:$1048576,6,0),0)</f>
        <v>0</v>
      </c>
      <c r="G142" s="157">
        <f t="shared" si="204"/>
        <v>0</v>
      </c>
      <c r="H142" s="158">
        <f>IFERROR(VLOOKUP($A142,'A0 BS 1240在建'!$1:$1048576,13,0),0)</f>
        <v>0</v>
      </c>
      <c r="I142" s="158">
        <f>IFERROR(VLOOKUP($A142,'B0 2264預收'!$1:$1048576,13,0),0)</f>
        <v>0</v>
      </c>
      <c r="J142" s="158">
        <f t="shared" si="205"/>
        <v>0</v>
      </c>
      <c r="K142" s="158">
        <f>IFERROR(VLOOKUP($A142,'B0 2264預收'!$1:$1048576,14,0),0)</f>
        <v>0</v>
      </c>
      <c r="L142" s="158">
        <f t="shared" si="206"/>
        <v>0</v>
      </c>
      <c r="M142" s="157">
        <f>H142+IFERROR(VLOOKUP($A142,'A0 BS 1240在建'!$1:$1048576,17,0),0)</f>
        <v>0</v>
      </c>
      <c r="N142" s="157">
        <f>I142+IFERROR(VLOOKUP($A142,'B0 2264預收'!$1:$1048576,17,0),0)</f>
        <v>0</v>
      </c>
      <c r="O142" s="157">
        <f t="shared" si="207"/>
        <v>0</v>
      </c>
      <c r="P142" s="157">
        <f>K142+IFERROR(+VLOOKUP($A142,'B0 2264預收'!$1:$1048576,18,0),0)</f>
        <v>0</v>
      </c>
      <c r="Q142" s="157">
        <f t="shared" si="208"/>
        <v>0</v>
      </c>
      <c r="R142" s="158">
        <f>M142+IFERROR(VLOOKUP($A142,'A0 BS 1240在建'!$1:$1048576,21,0),0)</f>
        <v>0</v>
      </c>
      <c r="S142" s="158">
        <f>+N142+IFERROR(VLOOKUP($A142,'B0 2264預收'!$1:$1048576,21,0),0)</f>
        <v>0</v>
      </c>
      <c r="T142" s="158">
        <f t="shared" si="209"/>
        <v>0</v>
      </c>
      <c r="U142" s="158">
        <f>+P142+IFERROR(+VLOOKUP($A142,'B0 2264預收'!$1:$1048576,22,0),0)</f>
        <v>0</v>
      </c>
      <c r="V142" s="158">
        <f t="shared" si="210"/>
        <v>0</v>
      </c>
      <c r="W142" s="157">
        <f>+R142+IFERROR(VLOOKUP($A142,'A0 BS 1240在建'!$1:$1048576,25,0),0)</f>
        <v>0</v>
      </c>
      <c r="X142" s="157">
        <f>+S142+IFERROR(VLOOKUP($A142,'B0 2264預收'!$1:$1048576,25,0),0)</f>
        <v>0</v>
      </c>
      <c r="Y142" s="157">
        <f t="shared" si="211"/>
        <v>0</v>
      </c>
      <c r="Z142" s="157">
        <f>+U142+IFERROR(+VLOOKUP($A142,'B0 2264預收'!$1:$1048576,26,0),0)</f>
        <v>0</v>
      </c>
      <c r="AA142" s="157">
        <f t="shared" si="212"/>
        <v>0</v>
      </c>
      <c r="AB142" s="158">
        <f>+W142+IFERROR(VLOOKUP($A142,'A0 BS 1240在建'!$1:$1048576,29,0),0)</f>
        <v>0</v>
      </c>
      <c r="AC142" s="158">
        <f>+X142+IFERROR(VLOOKUP($A142,'B0 2264預收'!$1:$1048576,29,0),0)</f>
        <v>0</v>
      </c>
      <c r="AD142" s="158">
        <f t="shared" si="213"/>
        <v>0</v>
      </c>
      <c r="AE142" s="158">
        <f>+Z142+IFERROR(+VLOOKUP($A142,'B0 2264預收'!$1:$1048576,30,0),0)</f>
        <v>0</v>
      </c>
      <c r="AF142" s="158">
        <f t="shared" si="214"/>
        <v>0</v>
      </c>
      <c r="AG142" s="157">
        <f>+AB142+IFERROR(VLOOKUP($A142,'A0 BS 1240在建'!$1:$1048576,33,0),0)</f>
        <v>0</v>
      </c>
      <c r="AH142" s="157">
        <f>+AC142+IFERROR(VLOOKUP($A142,'B0 2264預收'!$1:$1048576,33,0),0)</f>
        <v>0</v>
      </c>
      <c r="AI142" s="157">
        <f t="shared" si="215"/>
        <v>0</v>
      </c>
      <c r="AJ142" s="157">
        <f>+AE142+IFERROR(+VLOOKUP($A142,'B0 2264預收'!$1:$1048576,34,0),0)</f>
        <v>0</v>
      </c>
      <c r="AK142" s="157">
        <f t="shared" si="216"/>
        <v>0</v>
      </c>
      <c r="AL142" s="158">
        <f>+AG142+IFERROR(VLOOKUP($A142,'A0 BS 1240在建'!$1:$1048576,37,0),0)</f>
        <v>0</v>
      </c>
      <c r="AM142" s="158">
        <f>+AH142+IFERROR(VLOOKUP($A142,'B0 2264預收'!$1:$1048576,37,0),0)</f>
        <v>0</v>
      </c>
      <c r="AN142" s="158">
        <f t="shared" si="217"/>
        <v>0</v>
      </c>
      <c r="AO142" s="158">
        <f>+AJ142+IFERROR(+VLOOKUP($A142,'B0 2264預收'!$1:$1048576,38,0),0)</f>
        <v>0</v>
      </c>
      <c r="AP142" s="158">
        <f t="shared" si="218"/>
        <v>0</v>
      </c>
      <c r="AQ142" s="157">
        <f>+AL142+IFERROR(VLOOKUP($A142,'A0 BS 1240在建'!$1:$1048576,41,0),0)</f>
        <v>0</v>
      </c>
      <c r="AR142" s="157">
        <f>+AM142+IFERROR(VLOOKUP($A142,'B0 2264預收'!$1:$1048576,41,0),0)</f>
        <v>0</v>
      </c>
      <c r="AS142" s="157">
        <f t="shared" si="219"/>
        <v>0</v>
      </c>
      <c r="AT142" s="157">
        <f>+AO142+IFERROR(+VLOOKUP($A142,'B0 2264預收'!$1:$1048576,42,0),0)</f>
        <v>0</v>
      </c>
      <c r="AU142" s="157">
        <f t="shared" si="220"/>
        <v>0</v>
      </c>
      <c r="AV142" s="158">
        <f>+AQ142+IFERROR(VLOOKUP($A142,'A0 BS 1240在建'!$1:$1048576,45,0),0)</f>
        <v>0</v>
      </c>
      <c r="AW142" s="158">
        <f>+AR142+IFERROR(VLOOKUP($A142,'B0 2264預收'!$1:$1048576,45,0),0)</f>
        <v>0</v>
      </c>
      <c r="AX142" s="158">
        <f t="shared" si="221"/>
        <v>0</v>
      </c>
      <c r="AY142" s="158">
        <f>+AT142+IFERROR(+VLOOKUP($A142,'B0 2264預收'!$1:$1048576,46,0),0)</f>
        <v>0</v>
      </c>
      <c r="AZ142" s="158">
        <f t="shared" si="222"/>
        <v>0</v>
      </c>
      <c r="BA142" s="157">
        <f>+AV142+IFERROR(VLOOKUP($A142,'A0 BS 1240在建'!$1:$1048576,49,0),0)</f>
        <v>0</v>
      </c>
      <c r="BB142" s="157">
        <f>+AW142+IFERROR(VLOOKUP($A142,'B0 2264預收'!$1:$1048576,49,0),0)</f>
        <v>0</v>
      </c>
      <c r="BC142" s="157">
        <f t="shared" si="223"/>
        <v>0</v>
      </c>
      <c r="BD142" s="157">
        <f>+AY142+IFERROR(+VLOOKUP($A142,'B0 2264預收'!$1:$1048576,50,0),0)</f>
        <v>0</v>
      </c>
      <c r="BE142" s="157">
        <f t="shared" si="224"/>
        <v>0</v>
      </c>
      <c r="BF142" s="158">
        <f>+BA142+IFERROR(VLOOKUP($A142,'A0 BS 1240在建'!$1:$1048576,53,0),0)</f>
        <v>0</v>
      </c>
      <c r="BG142" s="158">
        <f>+BB142+IFERROR(VLOOKUP($A142,'B0 2264預收'!$1:$1048576,53,0),0)</f>
        <v>0</v>
      </c>
      <c r="BH142" s="158">
        <f t="shared" si="225"/>
        <v>0</v>
      </c>
      <c r="BI142" s="158">
        <f>+BD142+IFERROR(+VLOOKUP($A142,'B0 2264預收'!$1:$1048576,54,0),0)</f>
        <v>0</v>
      </c>
      <c r="BJ142" s="158">
        <f t="shared" si="226"/>
        <v>0</v>
      </c>
      <c r="BK142" s="157">
        <f>+BF142+IFERROR(VLOOKUP($A142,'A0 BS 1240在建'!$1:$1048576,57,0),0)</f>
        <v>0</v>
      </c>
      <c r="BL142" s="157">
        <f>+BG142+IFERROR(VLOOKUP($A142,'B0 2264預收'!$1:$1048576,57,0),0)</f>
        <v>0</v>
      </c>
      <c r="BM142" s="157">
        <f t="shared" si="227"/>
        <v>0</v>
      </c>
      <c r="BN142" s="157">
        <f>+BI142+IFERROR(+VLOOKUP($A142,'B0 2264預收'!$1:$1048576,58,0),0)</f>
        <v>0</v>
      </c>
      <c r="BO142" s="157">
        <f t="shared" si="228"/>
        <v>0</v>
      </c>
      <c r="BP142" s="158">
        <f>+BK142+IFERROR(VLOOKUP($A142,'A0 BS 1240在建'!$1:$1048576,61,0),0)</f>
        <v>0</v>
      </c>
      <c r="BQ142" s="158">
        <f>+BL142+IFERROR(VLOOKUP($A142,'B0 2264預收'!$1:$1048576,61,0),0)</f>
        <v>0</v>
      </c>
      <c r="BR142" s="159">
        <f t="shared" si="229"/>
        <v>0</v>
      </c>
      <c r="BS142" s="158">
        <f>+BN142+IFERROR(+VLOOKUP($A142,'B0 2264預收'!$1:$1048576,62,0),0)</f>
        <v>0</v>
      </c>
      <c r="BT142" s="158">
        <f t="shared" si="230"/>
        <v>0</v>
      </c>
      <c r="BU142" s="157">
        <f>+IFERROR(VLOOKUP($A142,'A0 BS 1240在建'!$1:$1048576,77,0),0)</f>
        <v>0</v>
      </c>
      <c r="BV142" s="157">
        <f>+IFERROR(VLOOKUP($A142,'B0 2264預收'!$1:$1048576,77,0),0)</f>
        <v>0</v>
      </c>
      <c r="BW142" s="157">
        <f t="shared" si="231"/>
        <v>0</v>
      </c>
      <c r="BX142" s="157">
        <f>+IFERROR(+VLOOKUP($A142,'B0 2264預收'!$1:$1048576,78,0),0)</f>
        <v>0</v>
      </c>
      <c r="BY142" s="157">
        <f t="shared" si="232"/>
        <v>0</v>
      </c>
      <c r="BZ142" s="158">
        <f>IFERROR(+VLOOKUP($A142,'A0 BS 1240在建'!$1:$1048576,85,0),0)</f>
        <v>0</v>
      </c>
      <c r="CA142" s="158">
        <f>IFERROR(+VLOOKUP($A142,'B0 2264預收'!$1:$1048576,85,0),0)</f>
        <v>0</v>
      </c>
      <c r="CB142" s="158">
        <f t="shared" si="233"/>
        <v>0</v>
      </c>
      <c r="CC142" s="158">
        <f>+IFERROR(+VLOOKUP($A142,'B0 2264預收'!$1:$1048576,86,0),0)</f>
        <v>0</v>
      </c>
      <c r="CD142" s="158">
        <f t="shared" si="234"/>
        <v>0</v>
      </c>
      <c r="CE142" s="157">
        <f>+IFERROR(VLOOKUP($A142,'A0 BS 1240在建'!$1:$1048576,93,0),0)</f>
        <v>0</v>
      </c>
      <c r="CF142" s="157">
        <f>+IFERROR(VLOOKUP($A142,'B0 2264預收'!$1:$1048576,93,0),0)</f>
        <v>0</v>
      </c>
      <c r="CG142" s="157">
        <f t="shared" si="235"/>
        <v>0</v>
      </c>
      <c r="CH142" s="157">
        <f>+IFERROR(+VLOOKUP($A142,'B0 2264預收'!$1:$1048576,94,0),0)</f>
        <v>0</v>
      </c>
      <c r="CI142" s="157">
        <f t="shared" si="236"/>
        <v>0</v>
      </c>
      <c r="CJ142" s="158">
        <f>IFERROR(+VLOOKUP($A142,'A0 BS 1240在建'!$1:$1048576,101,0),0)</f>
        <v>0</v>
      </c>
      <c r="CK142" s="158">
        <f>IFERROR(+VLOOKUP($A142,'B0 2264預收'!$1:$1048576,101,0),0)</f>
        <v>0</v>
      </c>
      <c r="CL142" s="158">
        <f t="shared" si="237"/>
        <v>0</v>
      </c>
      <c r="CM142" s="158">
        <f>+IFERROR(+VLOOKUP($A142,'B0 2264預收'!$1:$1048576,102,0),0)</f>
        <v>0</v>
      </c>
      <c r="CN142" s="158">
        <f t="shared" si="238"/>
        <v>0</v>
      </c>
      <c r="CY142" s="162"/>
      <c r="DC142" s="163"/>
      <c r="DD142" s="162"/>
      <c r="DH142" s="163"/>
    </row>
    <row r="143" spans="1:112">
      <c r="A143" s="182"/>
      <c r="B143" s="183" t="s">
        <v>511</v>
      </c>
      <c r="C143" s="184">
        <f t="shared" ref="C143:AH143" si="239">SUM(C5:C142)</f>
        <v>0</v>
      </c>
      <c r="D143" s="184">
        <f t="shared" si="239"/>
        <v>0</v>
      </c>
      <c r="E143" s="184">
        <f t="shared" si="239"/>
        <v>0</v>
      </c>
      <c r="F143" s="184">
        <f t="shared" si="239"/>
        <v>0</v>
      </c>
      <c r="G143" s="184">
        <f t="shared" si="239"/>
        <v>0</v>
      </c>
      <c r="H143" s="184">
        <f t="shared" si="239"/>
        <v>0</v>
      </c>
      <c r="I143" s="184">
        <f t="shared" si="239"/>
        <v>0</v>
      </c>
      <c r="J143" s="184">
        <f t="shared" si="239"/>
        <v>0</v>
      </c>
      <c r="K143" s="184">
        <f t="shared" si="239"/>
        <v>0</v>
      </c>
      <c r="L143" s="184">
        <f t="shared" si="239"/>
        <v>0</v>
      </c>
      <c r="M143" s="184">
        <f t="shared" si="239"/>
        <v>0</v>
      </c>
      <c r="N143" s="184">
        <f t="shared" si="239"/>
        <v>0</v>
      </c>
      <c r="O143" s="184">
        <f t="shared" si="239"/>
        <v>0</v>
      </c>
      <c r="P143" s="184">
        <f t="shared" si="239"/>
        <v>0</v>
      </c>
      <c r="Q143" s="184">
        <f t="shared" si="239"/>
        <v>0</v>
      </c>
      <c r="R143" s="184">
        <f t="shared" si="239"/>
        <v>0</v>
      </c>
      <c r="S143" s="184">
        <f t="shared" si="239"/>
        <v>0</v>
      </c>
      <c r="T143" s="184">
        <f t="shared" si="239"/>
        <v>0</v>
      </c>
      <c r="U143" s="184">
        <f t="shared" si="239"/>
        <v>0</v>
      </c>
      <c r="V143" s="184">
        <f t="shared" si="239"/>
        <v>0</v>
      </c>
      <c r="W143" s="184">
        <f t="shared" si="239"/>
        <v>0</v>
      </c>
      <c r="X143" s="184">
        <f t="shared" si="239"/>
        <v>0</v>
      </c>
      <c r="Y143" s="184">
        <f t="shared" si="239"/>
        <v>0</v>
      </c>
      <c r="Z143" s="184">
        <f t="shared" si="239"/>
        <v>0</v>
      </c>
      <c r="AA143" s="184">
        <f t="shared" si="239"/>
        <v>0</v>
      </c>
      <c r="AB143" s="184">
        <f t="shared" si="239"/>
        <v>0</v>
      </c>
      <c r="AC143" s="184">
        <f t="shared" si="239"/>
        <v>0</v>
      </c>
      <c r="AD143" s="184">
        <f t="shared" si="239"/>
        <v>0</v>
      </c>
      <c r="AE143" s="184">
        <f t="shared" si="239"/>
        <v>0</v>
      </c>
      <c r="AF143" s="184">
        <f t="shared" si="239"/>
        <v>0</v>
      </c>
      <c r="AG143" s="184">
        <f t="shared" si="239"/>
        <v>0</v>
      </c>
      <c r="AH143" s="184">
        <f t="shared" si="239"/>
        <v>0</v>
      </c>
      <c r="AI143" s="184">
        <f t="shared" ref="AI143:BN143" si="240">SUM(AI5:AI142)</f>
        <v>0</v>
      </c>
      <c r="AJ143" s="184">
        <f t="shared" si="240"/>
        <v>0</v>
      </c>
      <c r="AK143" s="184">
        <f t="shared" si="240"/>
        <v>0</v>
      </c>
      <c r="AL143" s="184">
        <f t="shared" si="240"/>
        <v>0</v>
      </c>
      <c r="AM143" s="184">
        <f t="shared" si="240"/>
        <v>0</v>
      </c>
      <c r="AN143" s="184">
        <f t="shared" si="240"/>
        <v>0</v>
      </c>
      <c r="AO143" s="184">
        <f t="shared" si="240"/>
        <v>0</v>
      </c>
      <c r="AP143" s="184">
        <f t="shared" si="240"/>
        <v>0</v>
      </c>
      <c r="AQ143" s="184">
        <f t="shared" si="240"/>
        <v>0</v>
      </c>
      <c r="AR143" s="184">
        <f t="shared" si="240"/>
        <v>0</v>
      </c>
      <c r="AS143" s="184">
        <f t="shared" si="240"/>
        <v>0</v>
      </c>
      <c r="AT143" s="184">
        <f t="shared" si="240"/>
        <v>0</v>
      </c>
      <c r="AU143" s="184">
        <f t="shared" si="240"/>
        <v>0</v>
      </c>
      <c r="AV143" s="184">
        <f t="shared" si="240"/>
        <v>0</v>
      </c>
      <c r="AW143" s="184">
        <f t="shared" si="240"/>
        <v>0</v>
      </c>
      <c r="AX143" s="184">
        <f t="shared" si="240"/>
        <v>0</v>
      </c>
      <c r="AY143" s="184">
        <f t="shared" si="240"/>
        <v>0</v>
      </c>
      <c r="AZ143" s="184">
        <f t="shared" si="240"/>
        <v>0</v>
      </c>
      <c r="BA143" s="184">
        <f t="shared" si="240"/>
        <v>0</v>
      </c>
      <c r="BB143" s="184">
        <f t="shared" si="240"/>
        <v>0</v>
      </c>
      <c r="BC143" s="184">
        <f t="shared" si="240"/>
        <v>0</v>
      </c>
      <c r="BD143" s="184">
        <f t="shared" si="240"/>
        <v>0</v>
      </c>
      <c r="BE143" s="184">
        <f t="shared" si="240"/>
        <v>0</v>
      </c>
      <c r="BF143" s="184">
        <f t="shared" si="240"/>
        <v>0</v>
      </c>
      <c r="BG143" s="184">
        <f t="shared" si="240"/>
        <v>0</v>
      </c>
      <c r="BH143" s="184">
        <f t="shared" si="240"/>
        <v>0</v>
      </c>
      <c r="BI143" s="184">
        <f t="shared" si="240"/>
        <v>0</v>
      </c>
      <c r="BJ143" s="184">
        <f t="shared" si="240"/>
        <v>0</v>
      </c>
      <c r="BK143" s="184">
        <f t="shared" si="240"/>
        <v>0</v>
      </c>
      <c r="BL143" s="184">
        <f t="shared" si="240"/>
        <v>0</v>
      </c>
      <c r="BM143" s="184">
        <f t="shared" si="240"/>
        <v>0</v>
      </c>
      <c r="BN143" s="184">
        <f t="shared" si="240"/>
        <v>0</v>
      </c>
      <c r="BO143" s="184">
        <f t="shared" ref="BO143:CN143" si="241">SUM(BO5:BO142)</f>
        <v>0</v>
      </c>
      <c r="BP143" s="184">
        <f t="shared" si="241"/>
        <v>0</v>
      </c>
      <c r="BQ143" s="184">
        <f t="shared" si="241"/>
        <v>0</v>
      </c>
      <c r="BR143" s="185">
        <f t="shared" si="241"/>
        <v>0</v>
      </c>
      <c r="BS143" s="184">
        <f t="shared" si="241"/>
        <v>0</v>
      </c>
      <c r="BT143" s="184">
        <f t="shared" si="241"/>
        <v>0</v>
      </c>
      <c r="BU143" s="184">
        <f t="shared" si="241"/>
        <v>0</v>
      </c>
      <c r="BV143" s="184">
        <f t="shared" si="241"/>
        <v>0</v>
      </c>
      <c r="BW143" s="184">
        <f t="shared" si="241"/>
        <v>0</v>
      </c>
      <c r="BX143" s="184">
        <f t="shared" si="241"/>
        <v>0</v>
      </c>
      <c r="BY143" s="184">
        <f t="shared" si="241"/>
        <v>0</v>
      </c>
      <c r="BZ143" s="184">
        <f t="shared" si="241"/>
        <v>0</v>
      </c>
      <c r="CA143" s="184">
        <f t="shared" si="241"/>
        <v>0</v>
      </c>
      <c r="CB143" s="184">
        <f t="shared" si="241"/>
        <v>0</v>
      </c>
      <c r="CC143" s="184">
        <f t="shared" si="241"/>
        <v>0</v>
      </c>
      <c r="CD143" s="184">
        <f t="shared" si="241"/>
        <v>0</v>
      </c>
      <c r="CE143" s="184">
        <f t="shared" si="241"/>
        <v>0</v>
      </c>
      <c r="CF143" s="184">
        <f t="shared" si="241"/>
        <v>0</v>
      </c>
      <c r="CG143" s="184">
        <f t="shared" si="241"/>
        <v>0</v>
      </c>
      <c r="CH143" s="184">
        <f t="shared" si="241"/>
        <v>0</v>
      </c>
      <c r="CI143" s="184">
        <f t="shared" si="241"/>
        <v>0</v>
      </c>
      <c r="CJ143" s="184">
        <f t="shared" si="241"/>
        <v>0</v>
      </c>
      <c r="CK143" s="184">
        <f t="shared" si="241"/>
        <v>0</v>
      </c>
      <c r="CL143" s="184">
        <f t="shared" si="241"/>
        <v>0</v>
      </c>
      <c r="CM143" s="184">
        <f t="shared" si="241"/>
        <v>0</v>
      </c>
      <c r="CN143" s="184">
        <f t="shared" si="241"/>
        <v>0</v>
      </c>
      <c r="CP143" s="184">
        <f>SUM(CP5:CP142)</f>
        <v>0</v>
      </c>
      <c r="CQ143" s="184">
        <f>SUM(CQ5:CQ142)</f>
        <v>0</v>
      </c>
      <c r="CR143" s="184">
        <f>SUM(CR5:CR142)</f>
        <v>0</v>
      </c>
      <c r="CU143" s="184">
        <f>SUM(CU5:CU142)</f>
        <v>0</v>
      </c>
      <c r="CV143" s="184">
        <f>SUM(CV5:CV142)</f>
        <v>0</v>
      </c>
      <c r="CW143" s="184">
        <f>SUM(CW5:CW142)</f>
        <v>0</v>
      </c>
      <c r="CY143" s="186"/>
      <c r="CZ143" s="187"/>
      <c r="DA143" s="187"/>
      <c r="DB143" s="187"/>
      <c r="DC143" s="111">
        <f>SUM(DC5:DC142)</f>
        <v>0</v>
      </c>
      <c r="DD143" s="186"/>
      <c r="DE143" s="187"/>
      <c r="DF143" s="187"/>
      <c r="DG143" s="187"/>
      <c r="DH143" s="111">
        <f>SUM(DH5:DH142)</f>
        <v>0</v>
      </c>
    </row>
    <row r="144" spans="1:112">
      <c r="CQ144" s="98">
        <f>+CP143-CQ143-CR143</f>
        <v>0</v>
      </c>
      <c r="CV144" s="98">
        <f>+CU143-CV143-CW143</f>
        <v>0</v>
      </c>
    </row>
    <row r="145" spans="1:100">
      <c r="C145" s="98">
        <f>+C143-'A0 BS 1240在建'!F66</f>
        <v>-168593031</v>
      </c>
      <c r="D145" s="98" t="e">
        <f>+D143-'B0 2264預收'!#REF!</f>
        <v>#REF!</v>
      </c>
      <c r="E145" s="98">
        <f>+C143-D143-E143</f>
        <v>0</v>
      </c>
      <c r="F145" s="98" t="e">
        <f>+F143-'B0 2264預收'!#REF!</f>
        <v>#REF!</v>
      </c>
      <c r="G145" s="98">
        <f>+E143-F143-G143</f>
        <v>0</v>
      </c>
      <c r="H145" s="98">
        <f>+H143-'A0 BS 1240在建'!N66</f>
        <v>-174881479</v>
      </c>
      <c r="I145" s="98" t="e">
        <f>+I143-'B0 2264預收'!#REF!</f>
        <v>#REF!</v>
      </c>
      <c r="J145" s="98">
        <f>+H143-I143-J143</f>
        <v>0</v>
      </c>
      <c r="K145" s="98" t="e">
        <f>+K143-'B0 2264預收'!#REF!</f>
        <v>#REF!</v>
      </c>
      <c r="L145" s="98">
        <f>+J143-K143-L143</f>
        <v>0</v>
      </c>
      <c r="M145" s="98">
        <f>+M143-H143-'A0 BS 1240在建'!R66</f>
        <v>-6548621</v>
      </c>
      <c r="N145" s="98" t="e">
        <f>+N143-I143-'B0 2264預收'!#REF!</f>
        <v>#REF!</v>
      </c>
      <c r="O145" s="98">
        <f>+M143-N143-O143</f>
        <v>0</v>
      </c>
      <c r="P145" s="98" t="e">
        <f>+P143-K143-'B0 2264預收'!#REF!</f>
        <v>#REF!</v>
      </c>
      <c r="Q145" s="98">
        <f>+M143-N143-P143-Q143</f>
        <v>0</v>
      </c>
      <c r="R145" s="98">
        <f>+R143-M143-'A0 BS 1240在建'!V66</f>
        <v>-4030977</v>
      </c>
      <c r="S145" s="98" t="e">
        <f>+N143+'B0 2264預收'!#REF!-S143</f>
        <v>#REF!</v>
      </c>
      <c r="T145" s="98">
        <f>+R143-S143-T143</f>
        <v>0</v>
      </c>
      <c r="U145" s="98" t="e">
        <f>+U143-'B0 2264預收'!#REF!-'B0 2264預收'!#REF!-'B0 2264預收'!#REF!</f>
        <v>#REF!</v>
      </c>
      <c r="V145" s="98">
        <f>+R143-S143-U143-V143</f>
        <v>0</v>
      </c>
      <c r="W145" s="98">
        <f>+W143-R143-'A0 BS 1240在建'!Z66</f>
        <v>-7915922</v>
      </c>
      <c r="X145" s="98" t="e">
        <f>+S143+'B0 2264預收'!#REF!-X143</f>
        <v>#REF!</v>
      </c>
      <c r="Y145" s="98">
        <f>+W143-X143-Y143</f>
        <v>0</v>
      </c>
      <c r="Z145" s="98" t="e">
        <f>+U143+'B0 2264預收'!#REF!-Z143</f>
        <v>#REF!</v>
      </c>
      <c r="AA145" s="98">
        <f>+W143-X143-Z143-AA143</f>
        <v>0</v>
      </c>
      <c r="AB145" s="98">
        <f>+W143+'A0 BS 1240在建'!AD66-AB143</f>
        <v>6872527</v>
      </c>
      <c r="AC145" s="98" t="e">
        <f>+X143+'B0 2264預收'!#REF!-AC143</f>
        <v>#REF!</v>
      </c>
      <c r="AD145" s="98">
        <f>+AB143-AC143-AD143</f>
        <v>0</v>
      </c>
      <c r="AE145" s="98" t="e">
        <f>+Z143+'B0 2264預收'!#REF!-AE143</f>
        <v>#REF!</v>
      </c>
      <c r="AF145" s="98">
        <f>+AB143-AC143-AE143-AF143</f>
        <v>0</v>
      </c>
      <c r="AG145" s="98">
        <f>+AB143+'A0 BS 1240在建'!AH66-AG143</f>
        <v>5826483</v>
      </c>
      <c r="AH145" s="98" t="e">
        <f>+AC143+'B0 2264預收'!#REF!-AH143</f>
        <v>#REF!</v>
      </c>
      <c r="AI145" s="98">
        <f>+AG143-AH143-AI143</f>
        <v>0</v>
      </c>
      <c r="AJ145" s="98" t="e">
        <f>+AE143+'B0 2264預收'!#REF!-AJ143</f>
        <v>#REF!</v>
      </c>
      <c r="AK145" s="98">
        <f>+AG143-AH143-AJ143-AK143</f>
        <v>0</v>
      </c>
      <c r="AL145" s="98">
        <f>+AG143+'A0 BS 1240在建'!AL66-AL143</f>
        <v>5940068</v>
      </c>
      <c r="AM145" s="98" t="e">
        <f>+AH143+'B0 2264預收'!#REF!-AM143</f>
        <v>#REF!</v>
      </c>
      <c r="AN145" s="98">
        <f>+AL143-AM143-AN143</f>
        <v>0</v>
      </c>
      <c r="AO145" s="98" t="e">
        <f>+AJ143+'B0 2264預收'!#REF!-AO143</f>
        <v>#REF!</v>
      </c>
      <c r="AP145" s="98">
        <f>+AL143-AM143-AO143-AP143</f>
        <v>0</v>
      </c>
      <c r="AQ145" s="98">
        <f>+AL143+'A0 BS 1240在建'!AP66-AQ143</f>
        <v>5771855</v>
      </c>
      <c r="AR145" s="98" t="e">
        <f>+AM143+'B0 2264預收'!#REF!-AR143</f>
        <v>#REF!</v>
      </c>
      <c r="AS145" s="98">
        <f>+AQ143-AR143-AS143</f>
        <v>0</v>
      </c>
      <c r="AT145" s="98" t="e">
        <f>+AO143+'B0 2264預收'!#REF!-AT143</f>
        <v>#REF!</v>
      </c>
      <c r="AU145" s="98">
        <f>+AQ143-AR143-AT143-AU143</f>
        <v>0</v>
      </c>
      <c r="AV145" s="98">
        <f>+AQ143+'A0 BS 1240在建'!AT66-AV143</f>
        <v>4476597</v>
      </c>
      <c r="AW145" s="98" t="e">
        <f>+AR143+'B0 2264預收'!#REF!-AW143</f>
        <v>#REF!</v>
      </c>
      <c r="AX145" s="98">
        <f>+AV143-AW143-AX143</f>
        <v>0</v>
      </c>
      <c r="AY145" s="98" t="e">
        <f>+AT143+'B0 2264預收'!#REF!-AY143</f>
        <v>#REF!</v>
      </c>
      <c r="AZ145" s="98">
        <f>+AV143-AW143-AY143-AZ143</f>
        <v>0</v>
      </c>
      <c r="BA145" s="98">
        <f>+AV143+'A0 BS 1240在建'!AX66-BA143</f>
        <v>4212536</v>
      </c>
      <c r="BB145" s="98" t="e">
        <f>+AW143+'B0 2264預收'!#REF!-BB143</f>
        <v>#REF!</v>
      </c>
      <c r="BC145" s="98">
        <f>+BA143-BB143-BC143</f>
        <v>0</v>
      </c>
      <c r="BD145" s="98" t="e">
        <f>+AY143+'B0 2264預收'!#REF!-BD143</f>
        <v>#REF!</v>
      </c>
      <c r="BE145" s="98">
        <f>+BA143-BB143-BD143-BE143</f>
        <v>0</v>
      </c>
      <c r="BF145" s="98">
        <f>+BA143+'A0 BS 1240在建'!BB66-BF143</f>
        <v>7499703</v>
      </c>
      <c r="BG145" s="98" t="e">
        <f>+BB143+'B0 2264預收'!#REF!-BG143</f>
        <v>#REF!</v>
      </c>
      <c r="BH145" s="98">
        <f>+BF143-BG143-BH143</f>
        <v>0</v>
      </c>
      <c r="BI145" s="98" t="e">
        <f>+BD143+'B0 2264預收'!#REF!-BI143</f>
        <v>#REF!</v>
      </c>
      <c r="BJ145" s="98">
        <f>+BF143-BG143-BI143-BJ143</f>
        <v>0</v>
      </c>
      <c r="BK145" s="98">
        <f>+BF143+'A0 BS 1240在建'!BF66-BK143</f>
        <v>5477499</v>
      </c>
      <c r="BL145" s="98" t="e">
        <f>+BG143+'B0 2264預收'!#REF!-BL143</f>
        <v>#REF!</v>
      </c>
      <c r="BM145" s="98">
        <f>+BK143-BL143-BM143</f>
        <v>0</v>
      </c>
      <c r="BN145" s="98" t="e">
        <f>+BI143+'B0 2264預收'!#REF!-BN143</f>
        <v>#REF!</v>
      </c>
      <c r="BO145" s="98">
        <f>+BK143-BL143-BN143-BO143</f>
        <v>0</v>
      </c>
      <c r="BP145" s="98">
        <f>+BK143+'A0 BS 1240在建'!BJ66-BP143</f>
        <v>13550986</v>
      </c>
      <c r="BQ145" s="98" t="e">
        <f>+BL143+'B0 2264預收'!#REF!-BQ143</f>
        <v>#REF!</v>
      </c>
      <c r="BR145" s="99">
        <f>+BP143-BQ143-BR143</f>
        <v>0</v>
      </c>
      <c r="BS145" s="98" t="e">
        <f>+BN143+'B0 2264預收'!#REF!-BS143</f>
        <v>#REF!</v>
      </c>
      <c r="BT145" s="98">
        <f>+BP143-BQ143-BS143-BT143</f>
        <v>0</v>
      </c>
      <c r="BU145" s="98">
        <f>+BU143-'A0 BS 1240在建'!BZ66</f>
        <v>-327099109</v>
      </c>
      <c r="BV145" s="98" t="e">
        <f>+BV143-'B0 2264預收'!#REF!</f>
        <v>#REF!</v>
      </c>
      <c r="BW145" s="98">
        <f>+BU143-BV143-BW143</f>
        <v>0</v>
      </c>
      <c r="BX145" s="98" t="e">
        <f>+BX143-'B0 2264預收'!#REF!</f>
        <v>#REF!</v>
      </c>
      <c r="BY145" s="98">
        <f>+BU143-BV143-BX143-BY143</f>
        <v>0</v>
      </c>
      <c r="BZ145" s="98">
        <f>+BZ143-BU143-'A0 BS 1240在建'!CD66</f>
        <v>-81264186</v>
      </c>
      <c r="CA145" s="98" t="e">
        <f>+CA143-'B0 2264預收'!#REF!</f>
        <v>#REF!</v>
      </c>
      <c r="CB145" s="98">
        <f>+BZ143-CA143-CB143</f>
        <v>0</v>
      </c>
      <c r="CC145" s="98" t="e">
        <f>+CC143-'B0 2264預收'!#REF!</f>
        <v>#REF!</v>
      </c>
      <c r="CD145" s="98">
        <f>+BZ143-CA143-CC143-CD143</f>
        <v>0</v>
      </c>
      <c r="CE145" s="98">
        <f>+CE143-BZ143-'A0 BS 1240在建'!CL66</f>
        <v>-80478460</v>
      </c>
      <c r="CG145" s="98">
        <f>+CE143-CF143-CG143</f>
        <v>0</v>
      </c>
      <c r="CH145" s="98" t="e">
        <f>+CH143-'B0 2264預收'!#REF!</f>
        <v>#REF!</v>
      </c>
      <c r="CI145" s="98">
        <f>+CE143-CF143-CH143-CI143</f>
        <v>0</v>
      </c>
      <c r="CJ145" s="98">
        <f>+CJ143-CE143-'A0 BS 1240在建'!CT66</f>
        <v>-88626486</v>
      </c>
      <c r="CK145" s="98" t="e">
        <f>+CK143-'B0 2264預收'!#REF!</f>
        <v>#REF!</v>
      </c>
      <c r="CL145" s="98">
        <f>+CJ143-CK143-CL143</f>
        <v>0</v>
      </c>
      <c r="CM145" s="98" t="e">
        <f>+CM143-'B0 2264預收'!#REF!</f>
        <v>#REF!</v>
      </c>
      <c r="CN145" s="98">
        <f>+CJ143-CK143-CM143-CN143</f>
        <v>0</v>
      </c>
    </row>
    <row r="146" spans="1:100" ht="16.2">
      <c r="BP146" s="188"/>
    </row>
    <row r="147" spans="1:100">
      <c r="B147" s="189" t="s">
        <v>512</v>
      </c>
      <c r="CP147" s="190" t="s">
        <v>513</v>
      </c>
    </row>
    <row r="148" spans="1:100">
      <c r="B148" s="189" t="s">
        <v>514</v>
      </c>
      <c r="E148" s="98">
        <f>+SUMIF(E$5:E$142,"&gt;0")</f>
        <v>0</v>
      </c>
      <c r="F148" s="105" t="e">
        <f>+E148-#REF!</f>
        <v>#REF!</v>
      </c>
      <c r="G148" s="98">
        <f>+SUMIF(G$5:G$142,"&gt;0")</f>
        <v>0</v>
      </c>
      <c r="J148" s="98">
        <f>+SUMIF(J$5:J$142,"&gt;0")</f>
        <v>0</v>
      </c>
      <c r="L148" s="98">
        <f>+SUMIF(L$5:L$142,"&gt;0")</f>
        <v>0</v>
      </c>
      <c r="O148" s="98">
        <f>+SUMIF(O$5:O$142,"&gt;0")</f>
        <v>0</v>
      </c>
      <c r="Q148" s="98">
        <f>+SUMIF(Q$5:Q$142,"&gt;0")</f>
        <v>0</v>
      </c>
      <c r="T148" s="98">
        <f>+SUMIF(T$5:T$142,"&gt;0")</f>
        <v>0</v>
      </c>
      <c r="V148" s="98">
        <f>+SUMIF(V$5:V$142,"&gt;0")</f>
        <v>0</v>
      </c>
      <c r="Y148" s="98">
        <f>+SUMIF(Y$5:Y$142,"&gt;0")</f>
        <v>0</v>
      </c>
      <c r="AA148" s="98">
        <f>+SUMIF(AA$5:AA$142,"&gt;0")</f>
        <v>0</v>
      </c>
      <c r="AD148" s="98">
        <f>+SUMIF(AD$5:AD$142,"&gt;0")</f>
        <v>0</v>
      </c>
      <c r="AF148" s="98">
        <f>+SUMIF(AF$5:AF$142,"&gt;0")</f>
        <v>0</v>
      </c>
      <c r="AI148" s="98">
        <f>+SUMIF(AI$5:AI$142,"&gt;0")</f>
        <v>0</v>
      </c>
      <c r="AK148" s="98">
        <f>+SUMIF(AK$5:AK$142,"&gt;0")</f>
        <v>0</v>
      </c>
      <c r="AN148" s="98">
        <f>+SUMIF(AN$5:AN$142,"&gt;0")</f>
        <v>0</v>
      </c>
      <c r="AP148" s="98">
        <f>+SUMIF(AP$5:AP$142,"&gt;0")</f>
        <v>0</v>
      </c>
      <c r="AS148" s="98">
        <f>+SUMIF(AS$5:AS$142,"&gt;0")</f>
        <v>0</v>
      </c>
      <c r="AU148" s="98">
        <f>+SUMIF(AU$5:AU$142,"&gt;0")</f>
        <v>0</v>
      </c>
      <c r="AX148" s="98">
        <f>+SUMIF(AX$5:AX$142,"&gt;0")</f>
        <v>0</v>
      </c>
      <c r="AZ148" s="98">
        <f>+SUMIF(AZ$5:AZ$142,"&gt;0")</f>
        <v>0</v>
      </c>
      <c r="BC148" s="98">
        <f>+SUMIF(BC$5:BC$142,"&gt;0")</f>
        <v>0</v>
      </c>
      <c r="BE148" s="98">
        <f>+SUMIF(BE$5:BE$142,"&gt;0")</f>
        <v>0</v>
      </c>
      <c r="BH148" s="98">
        <f>+SUMIF(BH$5:BH$142,"&gt;0")</f>
        <v>0</v>
      </c>
      <c r="BJ148" s="98">
        <f>+SUMIF(BJ$5:BJ$142,"&gt;0")</f>
        <v>0</v>
      </c>
      <c r="BM148" s="98">
        <f>+SUMIF(BM$5:BM$142,"&gt;0")</f>
        <v>0</v>
      </c>
      <c r="BO148" s="98">
        <f>+SUMIF(BO$5:BO$142,"&gt;0")</f>
        <v>0</v>
      </c>
      <c r="BR148" s="99">
        <f>+SUMIF(BR$5:BR$142,"&gt;0")</f>
        <v>0</v>
      </c>
      <c r="BT148" s="98">
        <f>+SUMIF(BT$5:BT$142,"&gt;0")</f>
        <v>0</v>
      </c>
      <c r="BW148" s="98">
        <f>+SUMIF(BW$5:BW$142,"&gt;0")</f>
        <v>0</v>
      </c>
      <c r="BY148" s="98">
        <f>+SUMIF(BY$5:BY$142,"&gt;0")</f>
        <v>0</v>
      </c>
      <c r="CB148" s="98">
        <f>+SUMIF(CB$5:CB$142,"&gt;0")</f>
        <v>0</v>
      </c>
      <c r="CD148" s="98">
        <f>+SUMIF(CD$5:CD$142,"&gt;0")</f>
        <v>0</v>
      </c>
      <c r="CG148" s="98">
        <f>+SUMIF(CG$5:CG$142,"&gt;0")</f>
        <v>0</v>
      </c>
      <c r="CI148" s="98">
        <f>+SUMIF(CI$5:CI$142,"&gt;0")</f>
        <v>0</v>
      </c>
      <c r="CL148" s="98">
        <f>+SUMIF(CL$5:CL$142,"&gt;0")</f>
        <v>0</v>
      </c>
      <c r="CN148" s="98">
        <f>+SUMIF(CN$5:CN$142,"&gt;0")</f>
        <v>0</v>
      </c>
      <c r="CP148" s="190" t="s">
        <v>515</v>
      </c>
      <c r="CQ148" s="118">
        <f>+CQ68*0+CQ36+CQ35+CQ33+CQ31+CQ16+CQ12+CQ9+CQ5</f>
        <v>0</v>
      </c>
      <c r="CU148" s="190" t="s">
        <v>515</v>
      </c>
      <c r="CV148" s="118">
        <f>+CV93+CV64+CV53+CV38+CV30+CV18+CV13+CV8</f>
        <v>0</v>
      </c>
    </row>
    <row r="149" spans="1:100">
      <c r="B149" s="189" t="s">
        <v>516</v>
      </c>
      <c r="E149" s="187">
        <f>-SUMIF(E$5:E$142,"&lt;0")</f>
        <v>0</v>
      </c>
      <c r="F149" s="105" t="e">
        <f>+E149+#REF!</f>
        <v>#REF!</v>
      </c>
      <c r="G149" s="187">
        <f>-SUMIF(G$5:G$142,"&lt;0")</f>
        <v>0</v>
      </c>
      <c r="J149" s="98">
        <f>-SUMIF(J$5:J$142,"&lt;0")</f>
        <v>0</v>
      </c>
      <c r="L149" s="187">
        <f>-SUMIF(L$5:L$142,"&lt;0")</f>
        <v>0</v>
      </c>
      <c r="O149" s="187">
        <f>-SUMIF(O$5:O$142,"&lt;0")</f>
        <v>0</v>
      </c>
      <c r="Q149" s="187">
        <f>-SUMIF(Q$5:Q$142,"&lt;0")</f>
        <v>0</v>
      </c>
      <c r="T149" s="187">
        <f>-SUMIF(T$5:T$142,"&lt;0")</f>
        <v>0</v>
      </c>
      <c r="V149" s="187">
        <f>-SUMIF(V$5:V$142,"&lt;0")</f>
        <v>0</v>
      </c>
      <c r="Y149" s="187">
        <f>-SUMIF(Y$5:Y$142,"&lt;0")</f>
        <v>0</v>
      </c>
      <c r="AA149" s="187">
        <f>-SUMIF(AA$5:AA$142,"&lt;0")</f>
        <v>0</v>
      </c>
      <c r="AD149" s="187">
        <f>-SUMIF(AD$5:AD$142,"&lt;0")</f>
        <v>0</v>
      </c>
      <c r="AF149" s="187">
        <f>-SUMIF(AF$5:AF$142,"&lt;0")</f>
        <v>0</v>
      </c>
      <c r="AI149" s="187">
        <f>-SUMIF(AI$5:AI$142,"&lt;0")</f>
        <v>0</v>
      </c>
      <c r="AK149" s="187">
        <f>-SUMIF(AK$5:AK$142,"&lt;0")</f>
        <v>0</v>
      </c>
      <c r="AN149" s="187">
        <f>-SUMIF(AN$5:AN$142,"&lt;0")</f>
        <v>0</v>
      </c>
      <c r="AP149" s="187">
        <f>-SUMIF(AP$5:AP$142,"&lt;0")</f>
        <v>0</v>
      </c>
      <c r="AS149" s="187">
        <f>-SUMIF(AS$5:AS$142,"&lt;0")</f>
        <v>0</v>
      </c>
      <c r="AU149" s="187">
        <f>-SUMIF(AU$5:AU$142,"&lt;0")</f>
        <v>0</v>
      </c>
      <c r="AX149" s="187">
        <f>-SUMIF(AX$5:AX$142,"&lt;0")</f>
        <v>0</v>
      </c>
      <c r="AZ149" s="187">
        <f>-SUMIF(AZ$5:AZ$142,"&lt;0")</f>
        <v>0</v>
      </c>
      <c r="BC149" s="187">
        <f>-SUMIF(BC$5:BC$142,"&lt;0")</f>
        <v>0</v>
      </c>
      <c r="BE149" s="187">
        <f>-SUMIF(BE$5:BE$142,"&lt;0")</f>
        <v>0</v>
      </c>
      <c r="BH149" s="187">
        <f>-SUMIF(BH$5:BH$142,"&lt;0")</f>
        <v>0</v>
      </c>
      <c r="BJ149" s="187">
        <f>-SUMIF(BJ$5:BJ$142,"&lt;0")</f>
        <v>0</v>
      </c>
      <c r="BM149" s="187">
        <f>-SUMIF(BM$5:BM$142,"&lt;0")</f>
        <v>0</v>
      </c>
      <c r="BO149" s="187">
        <f>-SUMIF(BO$5:BO$142,"&lt;0")</f>
        <v>0</v>
      </c>
      <c r="BR149" s="191">
        <f>-SUMIF(BR$5:BR$142,"&lt;0")</f>
        <v>0</v>
      </c>
      <c r="BT149" s="187">
        <f>-SUMIF(BT$5:BT$142,"&lt;0")</f>
        <v>0</v>
      </c>
      <c r="BW149" s="187">
        <f>-SUMIF(BW$5:BW$142,"&lt;0")</f>
        <v>0</v>
      </c>
      <c r="BY149" s="187">
        <f>-SUMIF(BY$5:BY$142,"&lt;0")</f>
        <v>0</v>
      </c>
      <c r="CB149" s="187">
        <f>-SUMIF(CB$5:CB$142,"&lt;0")</f>
        <v>0</v>
      </c>
      <c r="CD149" s="187">
        <f>-SUMIF(CD$5:CD$142,"&lt;0")</f>
        <v>0</v>
      </c>
      <c r="CG149" s="187">
        <f>-SUMIF(CG$5:CG$142,"&lt;0")</f>
        <v>0</v>
      </c>
      <c r="CI149" s="187">
        <f>-SUMIF(CI$5:CI$142,"&lt;0")</f>
        <v>0</v>
      </c>
      <c r="CL149" s="187">
        <f>-SUMIF(CL$5:CL$142,"&lt;0")</f>
        <v>0</v>
      </c>
      <c r="CN149" s="187">
        <f>-SUMIF(CN$5:CN$142,"&lt;0")</f>
        <v>0</v>
      </c>
      <c r="CU149" s="99"/>
    </row>
    <row r="150" spans="1:100">
      <c r="E150" s="109">
        <f>+E148-E149</f>
        <v>0</v>
      </c>
      <c r="F150" s="105" t="e">
        <f>+E150-#REF!</f>
        <v>#REF!</v>
      </c>
      <c r="G150" s="109">
        <f>+G148-G149</f>
        <v>0</v>
      </c>
      <c r="J150" s="109">
        <f>+J148-J149</f>
        <v>0</v>
      </c>
      <c r="L150" s="109">
        <f>+L148-L149</f>
        <v>0</v>
      </c>
      <c r="O150" s="109">
        <f>+O148-O149</f>
        <v>0</v>
      </c>
      <c r="Q150" s="109">
        <f>+Q148-Q149</f>
        <v>0</v>
      </c>
      <c r="T150" s="109">
        <f>+T148-T149</f>
        <v>0</v>
      </c>
      <c r="V150" s="109">
        <f>+V148-V149</f>
        <v>0</v>
      </c>
      <c r="Y150" s="109">
        <f>+Y148-Y149</f>
        <v>0</v>
      </c>
      <c r="AA150" s="109">
        <f>+AA148-AA149</f>
        <v>0</v>
      </c>
      <c r="AD150" s="109">
        <f>+AD148-AD149</f>
        <v>0</v>
      </c>
      <c r="AF150" s="109">
        <f>+AF148-AF149</f>
        <v>0</v>
      </c>
      <c r="AI150" s="109">
        <f>+AI148-AI149</f>
        <v>0</v>
      </c>
      <c r="AK150" s="109">
        <f>+AK148-AK149</f>
        <v>0</v>
      </c>
      <c r="AN150" s="109">
        <f>+AN148-AN149</f>
        <v>0</v>
      </c>
      <c r="AP150" s="109">
        <f>+AP148-AP149</f>
        <v>0</v>
      </c>
      <c r="AS150" s="109">
        <f>+AS148-AS149</f>
        <v>0</v>
      </c>
      <c r="AU150" s="109">
        <f>+AU148-AU149</f>
        <v>0</v>
      </c>
      <c r="AX150" s="109">
        <f>+AX148-AX149</f>
        <v>0</v>
      </c>
      <c r="AZ150" s="109">
        <f>+AZ148-AZ149</f>
        <v>0</v>
      </c>
      <c r="BC150" s="109">
        <f>+BC148-BC149</f>
        <v>0</v>
      </c>
      <c r="BE150" s="109">
        <f>+BE148-BE149</f>
        <v>0</v>
      </c>
      <c r="BH150" s="109">
        <f>+BH148-BH149</f>
        <v>0</v>
      </c>
      <c r="BJ150" s="109">
        <f>+BJ148-BJ149</f>
        <v>0</v>
      </c>
      <c r="BM150" s="109">
        <f>+BM148-BM149</f>
        <v>0</v>
      </c>
      <c r="BO150" s="109">
        <f>+BO148-BO149</f>
        <v>0</v>
      </c>
      <c r="BR150" s="192">
        <f>+BR148-BR149</f>
        <v>0</v>
      </c>
      <c r="BT150" s="109">
        <f>+BT148-BT149</f>
        <v>0</v>
      </c>
      <c r="BW150" s="109">
        <f>+BW148-BW149</f>
        <v>0</v>
      </c>
      <c r="BY150" s="109">
        <f>+BY148-BY149</f>
        <v>0</v>
      </c>
      <c r="CB150" s="109">
        <f>+CB148-CB149</f>
        <v>0</v>
      </c>
      <c r="CD150" s="109">
        <f>+CD148-CD149</f>
        <v>0</v>
      </c>
      <c r="CG150" s="109">
        <f>+CG148-CG149</f>
        <v>0</v>
      </c>
      <c r="CI150" s="109">
        <f>+CI148-CI149</f>
        <v>0</v>
      </c>
      <c r="CL150" s="109">
        <f>+CL148-CL149</f>
        <v>0</v>
      </c>
      <c r="CN150" s="109">
        <f>+CN148-CN149</f>
        <v>0</v>
      </c>
      <c r="CU150" s="99"/>
    </row>
    <row r="151" spans="1:100">
      <c r="E151" s="98">
        <f>+E143-E150</f>
        <v>0</v>
      </c>
      <c r="G151" s="98">
        <f>+G143-G150</f>
        <v>0</v>
      </c>
      <c r="J151" s="98">
        <f>+J143-J150</f>
        <v>0</v>
      </c>
      <c r="L151" s="98">
        <f>+L143-L150</f>
        <v>0</v>
      </c>
      <c r="O151" s="98">
        <f>+O143-O150</f>
        <v>0</v>
      </c>
      <c r="Q151" s="98">
        <f>+Q143-Q150</f>
        <v>0</v>
      </c>
      <c r="T151" s="98">
        <f>+T143-T150</f>
        <v>0</v>
      </c>
      <c r="V151" s="98">
        <f>+V143-V150</f>
        <v>0</v>
      </c>
      <c r="Y151" s="98">
        <f>+Y143-Y150</f>
        <v>0</v>
      </c>
      <c r="AA151" s="98">
        <f>+AA143-AA150</f>
        <v>0</v>
      </c>
      <c r="AD151" s="98">
        <f>+AD143-AD150</f>
        <v>0</v>
      </c>
      <c r="AF151" s="98">
        <f>+AF143-AF150</f>
        <v>0</v>
      </c>
      <c r="AI151" s="98">
        <f>+AI143-AI150</f>
        <v>0</v>
      </c>
      <c r="AK151" s="98">
        <f>+AK143-AK150</f>
        <v>0</v>
      </c>
      <c r="AN151" s="98">
        <f>+AN143-AN150</f>
        <v>0</v>
      </c>
      <c r="AP151" s="98">
        <f>+AP143-AP150</f>
        <v>0</v>
      </c>
      <c r="AS151" s="98">
        <f>+AS143-AS150</f>
        <v>0</v>
      </c>
      <c r="AU151" s="98">
        <f>+AU143-AU150</f>
        <v>0</v>
      </c>
      <c r="AX151" s="98">
        <f>+AX143-AX150</f>
        <v>0</v>
      </c>
      <c r="AZ151" s="98">
        <f>+AZ143-AZ150</f>
        <v>0</v>
      </c>
      <c r="BC151" s="98">
        <f>+BC143-BC150</f>
        <v>0</v>
      </c>
      <c r="BE151" s="98">
        <f>+BE143-BE150</f>
        <v>0</v>
      </c>
      <c r="BH151" s="98">
        <f>+BH143-BH150</f>
        <v>0</v>
      </c>
      <c r="BJ151" s="98">
        <f>+BJ143-BJ150</f>
        <v>0</v>
      </c>
      <c r="BM151" s="98">
        <f>+BM143-BM150</f>
        <v>0</v>
      </c>
      <c r="BO151" s="98">
        <f>+BO143-BO150</f>
        <v>0</v>
      </c>
      <c r="BR151" s="99">
        <f>+BR143-BR150</f>
        <v>0</v>
      </c>
      <c r="BT151" s="98">
        <f>+BT143-BT150</f>
        <v>0</v>
      </c>
      <c r="BW151" s="98">
        <f>+BW143-BW150</f>
        <v>0</v>
      </c>
      <c r="BY151" s="98">
        <f>+BY143-BY150</f>
        <v>0</v>
      </c>
      <c r="CB151" s="98">
        <f>+CB143-CB150</f>
        <v>0</v>
      </c>
      <c r="CD151" s="98">
        <f>+CD143-CD150</f>
        <v>0</v>
      </c>
      <c r="CG151" s="98">
        <f>+CG143-CG150</f>
        <v>0</v>
      </c>
      <c r="CI151" s="98">
        <f>+CI143-CI150</f>
        <v>0</v>
      </c>
      <c r="CL151" s="98">
        <f>+CL143-CL150</f>
        <v>0</v>
      </c>
      <c r="CN151" s="98">
        <f>+CN143-CN150</f>
        <v>0</v>
      </c>
      <c r="CU151" s="99"/>
    </row>
    <row r="153" spans="1:100">
      <c r="B153" s="97" t="s">
        <v>517</v>
      </c>
      <c r="J153" s="98" t="s">
        <v>518</v>
      </c>
      <c r="L153" s="98" t="s">
        <v>518</v>
      </c>
      <c r="O153" s="102"/>
      <c r="Q153" s="102"/>
      <c r="T153" s="102"/>
      <c r="V153" s="102"/>
      <c r="Y153" s="102"/>
      <c r="AA153" s="102"/>
      <c r="AD153" s="102"/>
      <c r="AF153" s="102"/>
      <c r="AI153" s="102"/>
      <c r="AK153" s="102"/>
      <c r="AN153" s="102"/>
      <c r="AP153" s="102"/>
      <c r="AS153" s="102"/>
      <c r="AU153" s="102"/>
      <c r="AX153" s="102"/>
      <c r="AZ153" s="102"/>
      <c r="BC153" s="102"/>
      <c r="BE153" s="102"/>
      <c r="BH153" s="102"/>
      <c r="BJ153" s="102"/>
      <c r="BM153" s="102"/>
      <c r="BO153" s="102"/>
      <c r="BR153" s="103"/>
      <c r="BT153" s="102"/>
      <c r="BW153" s="102"/>
      <c r="BY153" s="102"/>
      <c r="CB153" s="102"/>
      <c r="CD153" s="102"/>
      <c r="CG153" s="102"/>
      <c r="CI153" s="102"/>
      <c r="CL153" s="102"/>
      <c r="CN153" s="102"/>
    </row>
    <row r="154" spans="1:100">
      <c r="B154" s="189" t="s">
        <v>514</v>
      </c>
      <c r="J154" s="98">
        <f>+J148-E148</f>
        <v>0</v>
      </c>
      <c r="L154" s="98">
        <f>+L148-G148</f>
        <v>0</v>
      </c>
      <c r="O154" s="98">
        <f>+O148-J148</f>
        <v>0</v>
      </c>
      <c r="Q154" s="98">
        <f>+Q148-L148</f>
        <v>0</v>
      </c>
      <c r="T154" s="98">
        <f>+T148-O148</f>
        <v>0</v>
      </c>
      <c r="V154" s="98">
        <f>+V148-Q148</f>
        <v>0</v>
      </c>
      <c r="Y154" s="98">
        <f>+Y148-T148</f>
        <v>0</v>
      </c>
      <c r="AA154" s="98">
        <f>+AA148-V148</f>
        <v>0</v>
      </c>
      <c r="AD154" s="98">
        <f>+AD148-Y148</f>
        <v>0</v>
      </c>
      <c r="AF154" s="98">
        <f>+AF148-AA148</f>
        <v>0</v>
      </c>
      <c r="AI154" s="98">
        <f>+AI148-AD148</f>
        <v>0</v>
      </c>
      <c r="AK154" s="98">
        <f>+AK148-AF148</f>
        <v>0</v>
      </c>
      <c r="AN154" s="98">
        <f>+AN148-AI148</f>
        <v>0</v>
      </c>
      <c r="AP154" s="98">
        <f>+AP148-AK148</f>
        <v>0</v>
      </c>
      <c r="AS154" s="98">
        <f>+AS148-AN148</f>
        <v>0</v>
      </c>
      <c r="AU154" s="98">
        <f>+AU148-AP148</f>
        <v>0</v>
      </c>
      <c r="AX154" s="98">
        <f>+AX148-AS148</f>
        <v>0</v>
      </c>
      <c r="AZ154" s="98">
        <f>+AZ148-AU148</f>
        <v>0</v>
      </c>
      <c r="BC154" s="98">
        <f>+BC148-AX148</f>
        <v>0</v>
      </c>
      <c r="BE154" s="98">
        <f>+BE148-AZ148</f>
        <v>0</v>
      </c>
      <c r="BH154" s="98">
        <f>+BH148-BC148</f>
        <v>0</v>
      </c>
      <c r="BJ154" s="98">
        <f>+BJ148-BE148</f>
        <v>0</v>
      </c>
      <c r="BM154" s="98">
        <f>+BM148-BH148</f>
        <v>0</v>
      </c>
      <c r="BO154" s="98">
        <f>+BO148-BJ148</f>
        <v>0</v>
      </c>
      <c r="BR154" s="99">
        <f>+BR148-J148</f>
        <v>0</v>
      </c>
      <c r="BT154" s="98">
        <f>+BT148-BO148</f>
        <v>0</v>
      </c>
      <c r="BW154" s="98">
        <f>+BW148-BR148</f>
        <v>0</v>
      </c>
      <c r="BY154" s="98">
        <f>+BY148-BT148</f>
        <v>0</v>
      </c>
      <c r="CB154" s="98">
        <f>+CB148-BW148</f>
        <v>0</v>
      </c>
      <c r="CD154" s="98">
        <f>+CD148-BY148</f>
        <v>0</v>
      </c>
      <c r="CG154" s="98">
        <f>+CG148-CB148</f>
        <v>0</v>
      </c>
      <c r="CI154" s="98">
        <f>+CI148-CD148</f>
        <v>0</v>
      </c>
      <c r="CL154" s="98">
        <f>+CL148-CG148</f>
        <v>0</v>
      </c>
      <c r="CN154" s="98">
        <f>+CN148-CI148</f>
        <v>0</v>
      </c>
    </row>
    <row r="155" spans="1:100">
      <c r="B155" s="189" t="s">
        <v>516</v>
      </c>
      <c r="J155" s="98">
        <f>+J149-E149</f>
        <v>0</v>
      </c>
      <c r="L155" s="98">
        <f>+L149-G149</f>
        <v>0</v>
      </c>
      <c r="O155" s="98">
        <f>+O149-J149</f>
        <v>0</v>
      </c>
      <c r="Q155" s="98">
        <f>+Q149-L149</f>
        <v>0</v>
      </c>
      <c r="T155" s="98">
        <f>+T149-O149</f>
        <v>0</v>
      </c>
      <c r="V155" s="98">
        <f>+V149-Q149</f>
        <v>0</v>
      </c>
      <c r="Y155" s="98">
        <f>+Y149-T149</f>
        <v>0</v>
      </c>
      <c r="AA155" s="98">
        <f>+AA149-V149</f>
        <v>0</v>
      </c>
      <c r="AD155" s="98">
        <f>+AD149-Y149</f>
        <v>0</v>
      </c>
      <c r="AF155" s="98">
        <f>+AF149-AA149</f>
        <v>0</v>
      </c>
      <c r="AI155" s="98">
        <f>+AI149-AD149</f>
        <v>0</v>
      </c>
      <c r="AK155" s="98">
        <f>+AK149-AF149</f>
        <v>0</v>
      </c>
      <c r="AN155" s="98">
        <f>+AN149-AI149</f>
        <v>0</v>
      </c>
      <c r="AP155" s="98">
        <f>+AP149-AK149</f>
        <v>0</v>
      </c>
      <c r="AS155" s="98">
        <f>+AS149-AN149</f>
        <v>0</v>
      </c>
      <c r="AU155" s="98">
        <f>+AU149-AP149</f>
        <v>0</v>
      </c>
      <c r="AX155" s="98">
        <f>+AX149-AS149</f>
        <v>0</v>
      </c>
      <c r="AZ155" s="98">
        <f>+AZ149-AU149</f>
        <v>0</v>
      </c>
      <c r="BC155" s="98">
        <f>+BC149-AX149</f>
        <v>0</v>
      </c>
      <c r="BE155" s="98">
        <f>+BE149-AZ149</f>
        <v>0</v>
      </c>
      <c r="BH155" s="98">
        <f>+BH149-BC149</f>
        <v>0</v>
      </c>
      <c r="BJ155" s="98">
        <f>+BJ149-BE149</f>
        <v>0</v>
      </c>
      <c r="BM155" s="98">
        <f>+BM149-BH149</f>
        <v>0</v>
      </c>
      <c r="BO155" s="98">
        <f>+BO149-BJ149</f>
        <v>0</v>
      </c>
      <c r="BR155" s="99">
        <f>+BR149-J149</f>
        <v>0</v>
      </c>
      <c r="BT155" s="98">
        <f>+BT149-BO149</f>
        <v>0</v>
      </c>
      <c r="BW155" s="98">
        <f>+BW149-BR149</f>
        <v>0</v>
      </c>
      <c r="BY155" s="98">
        <f>+BY149-BT149</f>
        <v>0</v>
      </c>
      <c r="CB155" s="98">
        <f>+CB149-BW149</f>
        <v>0</v>
      </c>
      <c r="CD155" s="98">
        <f>+CD149-BY149</f>
        <v>0</v>
      </c>
      <c r="CG155" s="98">
        <f>+CG149-CB149</f>
        <v>0</v>
      </c>
      <c r="CI155" s="98">
        <f>+CI149-CD149</f>
        <v>0</v>
      </c>
      <c r="CL155" s="98">
        <f>+CL149-CG149</f>
        <v>0</v>
      </c>
      <c r="CN155" s="98">
        <f>+CN149-CI149</f>
        <v>0</v>
      </c>
    </row>
    <row r="156" spans="1:100">
      <c r="J156" s="109">
        <f>+J154-J155</f>
        <v>0</v>
      </c>
      <c r="L156" s="109">
        <f>+L154-L155</f>
        <v>0</v>
      </c>
      <c r="O156" s="109">
        <f>+O154-O155</f>
        <v>0</v>
      </c>
      <c r="Q156" s="109">
        <f>+Q154-Q155</f>
        <v>0</v>
      </c>
      <c r="T156" s="109">
        <f>+T154-T155</f>
        <v>0</v>
      </c>
      <c r="V156" s="109">
        <f>+V154-V155</f>
        <v>0</v>
      </c>
      <c r="Y156" s="109">
        <f>+Y154-Y155</f>
        <v>0</v>
      </c>
      <c r="AA156" s="109">
        <f>+AA154-AA155</f>
        <v>0</v>
      </c>
      <c r="AD156" s="109">
        <f>+AD154-AD155</f>
        <v>0</v>
      </c>
      <c r="AF156" s="109">
        <f>+AF154-AF155</f>
        <v>0</v>
      </c>
      <c r="AI156" s="109">
        <f>+AI154-AI155</f>
        <v>0</v>
      </c>
      <c r="AK156" s="109">
        <f>+AK154-AK155</f>
        <v>0</v>
      </c>
      <c r="AN156" s="109">
        <f>+AN154-AN155</f>
        <v>0</v>
      </c>
      <c r="AP156" s="109">
        <f>+AP154-AP155</f>
        <v>0</v>
      </c>
      <c r="AS156" s="109">
        <f>+AS154-AS155</f>
        <v>0</v>
      </c>
      <c r="AU156" s="109">
        <f>+AU154-AU155</f>
        <v>0</v>
      </c>
      <c r="AX156" s="109">
        <f>+AX154-AX155</f>
        <v>0</v>
      </c>
      <c r="AZ156" s="109">
        <f>+AZ154-AZ155</f>
        <v>0</v>
      </c>
      <c r="BC156" s="109">
        <f>+BC154-BC155</f>
        <v>0</v>
      </c>
      <c r="BE156" s="109">
        <f>+BE154-BE155</f>
        <v>0</v>
      </c>
      <c r="BH156" s="109">
        <f>+BH154-BH155</f>
        <v>0</v>
      </c>
      <c r="BJ156" s="109">
        <f>+BJ154-BJ155</f>
        <v>0</v>
      </c>
      <c r="BM156" s="109">
        <f>+BM154-BM155</f>
        <v>0</v>
      </c>
      <c r="BO156" s="109">
        <f>+BO154-BO155</f>
        <v>0</v>
      </c>
      <c r="BR156" s="192">
        <f>+BR154-BR155</f>
        <v>0</v>
      </c>
      <c r="BT156" s="109">
        <f>+BT154-BT155</f>
        <v>0</v>
      </c>
      <c r="BW156" s="109">
        <f>+BW154-BW155</f>
        <v>0</v>
      </c>
      <c r="BY156" s="109">
        <f>+BY154-BY155</f>
        <v>0</v>
      </c>
      <c r="CB156" s="109">
        <f>+CB154-CB155</f>
        <v>0</v>
      </c>
      <c r="CD156" s="109">
        <f>+CD154-CD155</f>
        <v>0</v>
      </c>
      <c r="CG156" s="109">
        <f>+CG154-CG155</f>
        <v>0</v>
      </c>
      <c r="CI156" s="109">
        <f>+CI154-CI155</f>
        <v>0</v>
      </c>
      <c r="CL156" s="109">
        <f>+CL154-CL155</f>
        <v>0</v>
      </c>
      <c r="CN156" s="109">
        <f>+CN154-CN155</f>
        <v>0</v>
      </c>
    </row>
    <row r="157" spans="1:100">
      <c r="J157" s="98">
        <f>+J150-E150-J156</f>
        <v>0</v>
      </c>
      <c r="L157" s="98">
        <f>+L150-G150-L156</f>
        <v>0</v>
      </c>
      <c r="O157" s="98">
        <f>+O150-J150-O156</f>
        <v>0</v>
      </c>
      <c r="Q157" s="98">
        <f>+Q150-L150-Q156</f>
        <v>0</v>
      </c>
      <c r="T157" s="98">
        <f>+T150-O150-T156</f>
        <v>0</v>
      </c>
      <c r="V157" s="98">
        <f>+V150-Q150-V156</f>
        <v>0</v>
      </c>
      <c r="Y157" s="98">
        <f>+Y150-T150-Y156</f>
        <v>0</v>
      </c>
      <c r="AA157" s="98">
        <f>+AA150-V150-AA156</f>
        <v>0</v>
      </c>
      <c r="AD157" s="98">
        <f>+AD150-Y150-AD156</f>
        <v>0</v>
      </c>
      <c r="AF157" s="98">
        <f>+AF150-AA150-AF156</f>
        <v>0</v>
      </c>
      <c r="AI157" s="98">
        <f>+AI150-AD150-AI156</f>
        <v>0</v>
      </c>
      <c r="AK157" s="98">
        <f>+AK150-AF150-AK156</f>
        <v>0</v>
      </c>
      <c r="AN157" s="98">
        <f>+AN150-AI150-AN156</f>
        <v>0</v>
      </c>
      <c r="AP157" s="98">
        <f>+AP150-AK150-AP156</f>
        <v>0</v>
      </c>
      <c r="AS157" s="98">
        <f>+AS150-AN150-AS156</f>
        <v>0</v>
      </c>
      <c r="AU157" s="98">
        <f>+AU150-AP150-AU156</f>
        <v>0</v>
      </c>
      <c r="AX157" s="98">
        <f>+AX150-AS150-AX156</f>
        <v>0</v>
      </c>
      <c r="AZ157" s="98">
        <f>+AZ150-AU150-AZ156</f>
        <v>0</v>
      </c>
      <c r="BC157" s="98">
        <f>+BC150-AX150-BC156</f>
        <v>0</v>
      </c>
      <c r="BE157" s="98">
        <f>+BE150-AZ150-BE156</f>
        <v>0</v>
      </c>
      <c r="BH157" s="98">
        <f>+BH150-BC150-BH156</f>
        <v>0</v>
      </c>
      <c r="BJ157" s="98">
        <f>+BJ150-BE150-BJ156</f>
        <v>0</v>
      </c>
      <c r="BM157" s="98">
        <f>+BM150-BH150-BM156</f>
        <v>0</v>
      </c>
      <c r="BO157" s="98">
        <f>+BO150-BJ150-BO156</f>
        <v>0</v>
      </c>
      <c r="BR157" s="99">
        <f>+BR143-J143-BR156</f>
        <v>0</v>
      </c>
      <c r="BT157" s="98">
        <f>+BT150-BO150-BT156</f>
        <v>0</v>
      </c>
      <c r="BW157" s="98">
        <f>+BW150-BR150-BW156</f>
        <v>0</v>
      </c>
      <c r="BY157" s="98">
        <f>+BY150-BT150-BY156</f>
        <v>0</v>
      </c>
      <c r="CB157" s="98">
        <f>+CB150-BW150-CB156</f>
        <v>0</v>
      </c>
      <c r="CD157" s="98">
        <f>+CD150-BY150-CD156</f>
        <v>0</v>
      </c>
      <c r="CG157" s="98">
        <f>+CG150-CB150-CG156</f>
        <v>0</v>
      </c>
      <c r="CI157" s="98">
        <f>+CI150-CD150-CI156</f>
        <v>0</v>
      </c>
      <c r="CL157" s="98">
        <f>+CL150-CG150-CL156</f>
        <v>0</v>
      </c>
      <c r="CN157" s="98">
        <f>+CN150-CI150-CN156</f>
        <v>0</v>
      </c>
    </row>
    <row r="158" spans="1:100">
      <c r="J158" s="98">
        <f>+J156-'A0 BS 1240在建'!I234</f>
        <v>0</v>
      </c>
      <c r="BR158" s="99" t="e">
        <f>+BR156-'A0 BS 1240在建'!BM235</f>
        <v>#REF!</v>
      </c>
      <c r="BW158" s="98" t="e">
        <f>+BW156-'A0 BS 1240在建'!BU234</f>
        <v>#REF!</v>
      </c>
      <c r="CB158" s="98" t="e">
        <f>+CB156-'A0 BS 1240在建'!CC234</f>
        <v>#REF!</v>
      </c>
      <c r="CG158" s="98" t="e">
        <f>+CG156-'A0 BS 1240在建'!CK234</f>
        <v>#REF!</v>
      </c>
      <c r="CL158" s="98" t="e">
        <f>+CL156-'A0 BS 1240在建'!CS234</f>
        <v>#REF!</v>
      </c>
    </row>
    <row r="159" spans="1:100">
      <c r="A159" s="193"/>
      <c r="B159" s="98"/>
    </row>
    <row r="160" spans="1:100">
      <c r="A160" s="193"/>
      <c r="J160" s="105"/>
      <c r="K160" s="105"/>
    </row>
    <row r="161" spans="1:99">
      <c r="A161" s="194"/>
      <c r="J161" s="105"/>
      <c r="K161" s="105"/>
    </row>
    <row r="162" spans="1:99">
      <c r="A162" s="193"/>
    </row>
    <row r="163" spans="1:99">
      <c r="A163" s="194"/>
      <c r="B163" s="193"/>
    </row>
    <row r="164" spans="1:99">
      <c r="A164" s="193"/>
      <c r="B164" s="193"/>
    </row>
    <row r="165" spans="1:99">
      <c r="A165" s="193"/>
      <c r="B165" s="193"/>
    </row>
    <row r="166" spans="1:99">
      <c r="A166" s="195" t="s">
        <v>519</v>
      </c>
      <c r="B166" s="193"/>
    </row>
    <row r="167" spans="1:99">
      <c r="A167" s="171" t="s">
        <v>520</v>
      </c>
      <c r="B167" s="172" t="s">
        <v>521</v>
      </c>
      <c r="C167" s="157">
        <f>IFERROR(VLOOKUP($A167,'A0 BS 1240在建'!$1:$1048576,5,0),0)</f>
        <v>0</v>
      </c>
      <c r="D167" s="157">
        <f>IFERROR(VLOOKUP($A167,'B0 2264預收'!$1:$1048576,5,0),0)</f>
        <v>0</v>
      </c>
      <c r="E167" s="157">
        <f>+C167-D167</f>
        <v>0</v>
      </c>
      <c r="F167" s="157">
        <f>IFERROR(VLOOKUP($A167,'B0 2264預收'!$1:$1048576,6,0),0)</f>
        <v>0</v>
      </c>
      <c r="G167" s="157">
        <f>+E167-F167</f>
        <v>0</v>
      </c>
      <c r="H167" s="158">
        <f>IFERROR(VLOOKUP($A167,'A0 BS 1240在建'!$1:$1048576,13,0),0)</f>
        <v>0</v>
      </c>
      <c r="I167" s="158">
        <f>IFERROR(VLOOKUP($A167,'B0 2264預收'!$1:$1048576,13,0),0)</f>
        <v>0</v>
      </c>
      <c r="J167" s="158">
        <f>+H167-I167</f>
        <v>0</v>
      </c>
      <c r="K167" s="158">
        <f>IFERROR(VLOOKUP($A167,'B0 2264預收'!$1:$1048576,14,0),0)</f>
        <v>0</v>
      </c>
      <c r="L167" s="158">
        <f>+H167-I167-K167</f>
        <v>0</v>
      </c>
      <c r="M167" s="157">
        <f>H167+IFERROR(VLOOKUP($A167,'A0 BS 1240在建'!$1:$1048576,17,0),0)</f>
        <v>0</v>
      </c>
      <c r="N167" s="157">
        <f>I167+IFERROR(VLOOKUP($A167,'B0 2264預收'!$1:$1048576,17,0),0)</f>
        <v>0</v>
      </c>
      <c r="O167" s="157">
        <f>+M167-N167</f>
        <v>0</v>
      </c>
      <c r="P167" s="157">
        <f>K167+IFERROR(+VLOOKUP($A167,'B0 2264預收'!$1:$1048576,18,0),0)</f>
        <v>0</v>
      </c>
      <c r="Q167" s="157">
        <f>+O167-P167</f>
        <v>0</v>
      </c>
      <c r="R167" s="158">
        <f>M167+IFERROR(VLOOKUP($A167,'A0 BS 1240在建'!$1:$1048576,21,0),0)</f>
        <v>0</v>
      </c>
      <c r="S167" s="158">
        <f>+N167+IFERROR(VLOOKUP($A167,'B0 2264預收'!$1:$1048576,21,0),0)</f>
        <v>0</v>
      </c>
      <c r="T167" s="158">
        <f>+R167-S167</f>
        <v>0</v>
      </c>
      <c r="U167" s="158">
        <f>+P167+IFERROR(+VLOOKUP($A167,'B0 2264預收'!$1:$1048576,22,0),0)</f>
        <v>0</v>
      </c>
      <c r="V167" s="158">
        <f>+T167-U167</f>
        <v>0</v>
      </c>
      <c r="W167" s="157">
        <f>+R167+IFERROR(VLOOKUP($A167,'A0 BS 1240在建'!$1:$1048576,25,0),0)</f>
        <v>0</v>
      </c>
      <c r="X167" s="157">
        <f>+S167+IFERROR(VLOOKUP($A167,'B0 2264預收'!$1:$1048576,25,0),0)</f>
        <v>0</v>
      </c>
      <c r="Y167" s="157">
        <f>+W167-X167</f>
        <v>0</v>
      </c>
      <c r="Z167" s="157">
        <f>+U167+IFERROR(+VLOOKUP($A167,'B0 2264預收'!$1:$1048576,26,0),0)</f>
        <v>0</v>
      </c>
      <c r="AA167" s="157">
        <f>+Y167-Z167</f>
        <v>0</v>
      </c>
      <c r="AB167" s="158">
        <f>+W167+IFERROR(VLOOKUP($A167,'A0 BS 1240在建'!$1:$1048576,29,0),0)</f>
        <v>0</v>
      </c>
      <c r="AC167" s="158">
        <f>+X167+IFERROR(VLOOKUP($A167,'B0 2264預收'!$1:$1048576,29,0),0)</f>
        <v>0</v>
      </c>
      <c r="AD167" s="158">
        <f>+AB167-AC167</f>
        <v>0</v>
      </c>
      <c r="AE167" s="158">
        <f>+Z167+IFERROR(+VLOOKUP($A167,'B0 2264預收'!$1:$1048576,30,0),0)</f>
        <v>0</v>
      </c>
      <c r="AF167" s="158">
        <f>+AD167-AE167</f>
        <v>0</v>
      </c>
      <c r="AG167" s="157">
        <f>+AB167+IFERROR(VLOOKUP($A167,'A0 BS 1240在建'!$1:$1048576,33,0),0)</f>
        <v>0</v>
      </c>
      <c r="AH167" s="157">
        <f>+AC167+IFERROR(VLOOKUP($A167,'B0 2264預收'!$1:$1048576,33,0),0)</f>
        <v>0</v>
      </c>
      <c r="AI167" s="157">
        <f>+AG167-AH167</f>
        <v>0</v>
      </c>
      <c r="AJ167" s="157">
        <f>+AE167+IFERROR(+VLOOKUP($A167,'B0 2264預收'!$1:$1048576,34,0),0)</f>
        <v>0</v>
      </c>
      <c r="AK167" s="157">
        <f>+AI167-AJ167</f>
        <v>0</v>
      </c>
      <c r="AL167" s="158">
        <f>+AG167+IFERROR(VLOOKUP($A167,'A0 BS 1240在建'!$1:$1048576,37,0),0)</f>
        <v>0</v>
      </c>
      <c r="AM167" s="158">
        <f>+AH167+IFERROR(VLOOKUP($A167,'B0 2264預收'!$1:$1048576,37,0),0)</f>
        <v>0</v>
      </c>
      <c r="AN167" s="158">
        <f>+AL167-AM167</f>
        <v>0</v>
      </c>
      <c r="AO167" s="158">
        <f>+AJ167+IFERROR(+VLOOKUP($A167,'B0 2264預收'!$1:$1048576,38,0),0)</f>
        <v>0</v>
      </c>
      <c r="AP167" s="158">
        <f>+AN167-AO167</f>
        <v>0</v>
      </c>
      <c r="AQ167" s="157">
        <f>+AL167+IFERROR(VLOOKUP($A167,'A0 BS 1240在建'!$1:$1048576,41,0),0)</f>
        <v>0</v>
      </c>
      <c r="AR167" s="157">
        <f>+AM167+IFERROR(VLOOKUP($A167,'B0 2264預收'!$1:$1048576,41,0),0)</f>
        <v>0</v>
      </c>
      <c r="AS167" s="157">
        <f>+AQ167-AR167</f>
        <v>0</v>
      </c>
      <c r="AT167" s="157">
        <f>+AO167+IFERROR(+VLOOKUP($A167,'B0 2264預收'!$1:$1048576,42,0),0)</f>
        <v>0</v>
      </c>
      <c r="AU167" s="157">
        <f>+AS167-AT167</f>
        <v>0</v>
      </c>
      <c r="AV167" s="158">
        <f>+AQ167+IFERROR(VLOOKUP($A167,'A0 BS 1240在建'!$1:$1048576,45,0),0)</f>
        <v>0</v>
      </c>
      <c r="AW167" s="158">
        <f>+AR167+IFERROR(VLOOKUP($A167,'B0 2264預收'!$1:$1048576,45,0),0)</f>
        <v>0</v>
      </c>
      <c r="AX167" s="158">
        <f>+AV167-AW167</f>
        <v>0</v>
      </c>
      <c r="AY167" s="158">
        <f>+AT167+IFERROR(+VLOOKUP($A167,'B0 2264預收'!$1:$1048576,46,0),0)</f>
        <v>0</v>
      </c>
      <c r="AZ167" s="158">
        <f>+AX167-AY167</f>
        <v>0</v>
      </c>
      <c r="BA167" s="157">
        <f>+AV167+IFERROR(VLOOKUP($A167,'A0 BS 1240在建'!$1:$1048576,49,0),0)</f>
        <v>0</v>
      </c>
      <c r="BB167" s="157">
        <f>+AW167+IFERROR(VLOOKUP($A167,'B0 2264預收'!$1:$1048576,49,0),0)</f>
        <v>0</v>
      </c>
      <c r="BC167" s="157">
        <f>+BA167-BB167</f>
        <v>0</v>
      </c>
      <c r="BD167" s="157">
        <f>+AY167+IFERROR(+VLOOKUP($A167,'B0 2264預收'!$1:$1048576,50,0),0)</f>
        <v>0</v>
      </c>
      <c r="BE167" s="157">
        <f>+BC167-BD167</f>
        <v>0</v>
      </c>
      <c r="BF167" s="158">
        <f>+BA167+IFERROR(VLOOKUP($A167,'A0 BS 1240在建'!$1:$1048576,53,0),0)</f>
        <v>0</v>
      </c>
      <c r="BG167" s="158">
        <f>+BB167+IFERROR(VLOOKUP($A167,'B0 2264預收'!$1:$1048576,53,0),0)</f>
        <v>0</v>
      </c>
      <c r="BH167" s="158">
        <f>+BF167-BG167</f>
        <v>0</v>
      </c>
      <c r="BI167" s="158">
        <f>+BD167+IFERROR(+VLOOKUP($A167,'B0 2264預收'!$1:$1048576,54,0),0)</f>
        <v>0</v>
      </c>
      <c r="BJ167" s="158">
        <f>+BH167-BI167</f>
        <v>0</v>
      </c>
      <c r="BK167" s="157">
        <f>+BF167+IFERROR(VLOOKUP($A167,'A0 BS 1240在建'!$1:$1048576,57,0),0)</f>
        <v>0</v>
      </c>
      <c r="BL167" s="157">
        <f>+BG167+IFERROR(VLOOKUP($A167,'B0 2264預收'!$1:$1048576,57,0),0)</f>
        <v>0</v>
      </c>
      <c r="BM167" s="157">
        <f>+BK167-BL167</f>
        <v>0</v>
      </c>
      <c r="BN167" s="157">
        <f>+BI167+IFERROR(+VLOOKUP($A167,'B0 2264預收'!$1:$1048576,58,0),0)</f>
        <v>0</v>
      </c>
      <c r="BO167" s="157">
        <f>+BM167-BN167</f>
        <v>0</v>
      </c>
      <c r="BP167" s="158">
        <f>+BK167+IFERROR(VLOOKUP($A167,'A0 BS 1240在建'!$1:$1048576,61,0),0)</f>
        <v>0</v>
      </c>
      <c r="BQ167" s="158">
        <f>+BL167+IFERROR(VLOOKUP($A167,'B0 2264預收'!$1:$1048576,61,0),0)</f>
        <v>0</v>
      </c>
      <c r="BR167" s="159">
        <f>+BP167-BQ167</f>
        <v>0</v>
      </c>
      <c r="BS167" s="158">
        <f>+BN167+IFERROR(+VLOOKUP($A167,'B0 2264預收'!$1:$1048576,62,0),0)</f>
        <v>0</v>
      </c>
      <c r="BT167" s="158">
        <f>+BR167-BS167</f>
        <v>0</v>
      </c>
      <c r="BU167" s="157">
        <f>+IFERROR(VLOOKUP($A167,'A0 BS 1240在建'!$1:$1048576,77,0),0)</f>
        <v>0</v>
      </c>
      <c r="BV167" s="157">
        <f>+IFERROR(VLOOKUP($A167,'B0 2264預收'!$1:$1048576,77,0),0)</f>
        <v>0</v>
      </c>
      <c r="BW167" s="157">
        <f>+BU167-BV167</f>
        <v>0</v>
      </c>
      <c r="BX167" s="157">
        <f>+IFERROR(+VLOOKUP($A167,'B0 2264預收'!$1:$1048576,78,0),0)</f>
        <v>0</v>
      </c>
      <c r="BY167" s="157">
        <f>+BW167-BX167</f>
        <v>0</v>
      </c>
      <c r="BZ167" s="158">
        <f>IFERROR(+VLOOKUP($A167,'A0 BS 1240在建'!$1:$1048576,85,0),0)</f>
        <v>0</v>
      </c>
      <c r="CA167" s="158">
        <f>IFERROR(+VLOOKUP($A167,'B0 2264預收'!$1:$1048576,85,0),0)</f>
        <v>0</v>
      </c>
      <c r="CB167" s="158">
        <f>+BZ167-CA167</f>
        <v>0</v>
      </c>
      <c r="CC167" s="158">
        <f>+IFERROR(+VLOOKUP($A167,'B0 2264預收'!$1:$1048576,86,0),0)</f>
        <v>0</v>
      </c>
      <c r="CD167" s="158">
        <f>+CB167-CC167</f>
        <v>0</v>
      </c>
      <c r="CE167" s="157">
        <f>+IFERROR(VLOOKUP($A167,'A0 BS 1240在建'!$1:$1048576,93,0),0)</f>
        <v>0</v>
      </c>
      <c r="CF167" s="157">
        <f>+IFERROR(VLOOKUP($A167,'B0 2264預收'!$1:$1048576,93,0),0)</f>
        <v>0</v>
      </c>
      <c r="CG167" s="157">
        <f>+CE167-CF167</f>
        <v>0</v>
      </c>
      <c r="CH167" s="157">
        <f>+IFERROR(+VLOOKUP($A167,'B0 2264預收'!$1:$1048576,94,0),0)</f>
        <v>0</v>
      </c>
      <c r="CI167" s="157">
        <f>+CG167-CH167</f>
        <v>0</v>
      </c>
      <c r="CJ167" s="158">
        <f>IFERROR(+VLOOKUP($A167,'A0 BS 1240在建'!$1:$1048576,101,0),0)</f>
        <v>0</v>
      </c>
      <c r="CK167" s="158">
        <f>IFERROR(+VLOOKUP($A167,'B0 2264預收'!$1:$1048576,101,0),0)</f>
        <v>0</v>
      </c>
      <c r="CL167" s="158">
        <f>+CJ167-CK167</f>
        <v>0</v>
      </c>
      <c r="CM167" s="158">
        <f>+IFERROR(+VLOOKUP($A167,'B0 2264預收'!$1:$1048576,102,0),0)</f>
        <v>0</v>
      </c>
      <c r="CN167" s="158">
        <f>+CL167-CM167</f>
        <v>0</v>
      </c>
    </row>
    <row r="168" spans="1:99">
      <c r="A168" s="171" t="s">
        <v>522</v>
      </c>
      <c r="B168" s="180" t="s">
        <v>523</v>
      </c>
      <c r="C168" s="157">
        <f>IFERROR(VLOOKUP($A168,'A0 BS 1240在建'!$1:$1048576,5,0),0)</f>
        <v>0</v>
      </c>
      <c r="D168" s="157">
        <f>IFERROR(VLOOKUP($A168,'B0 2264預收'!$1:$1048576,5,0),0)</f>
        <v>0</v>
      </c>
      <c r="E168" s="157">
        <f>+C168-D168</f>
        <v>0</v>
      </c>
      <c r="F168" s="157">
        <f>IFERROR(VLOOKUP($A168,'B0 2264預收'!$1:$1048576,6,0),0)</f>
        <v>0</v>
      </c>
      <c r="G168" s="157">
        <f>+E168-F168</f>
        <v>0</v>
      </c>
      <c r="H168" s="158">
        <f>IFERROR(VLOOKUP($A168,'A0 BS 1240在建'!$1:$1048576,13,0),0)</f>
        <v>0</v>
      </c>
      <c r="I168" s="158">
        <f>IFERROR(VLOOKUP($A168,'B0 2264預收'!$1:$1048576,13,0),0)</f>
        <v>0</v>
      </c>
      <c r="J168" s="158">
        <f>+H168-I168</f>
        <v>0</v>
      </c>
      <c r="K168" s="158">
        <f>IFERROR(VLOOKUP($A168,'B0 2264預收'!$1:$1048576,14,0),0)</f>
        <v>0</v>
      </c>
      <c r="L168" s="158">
        <f>+H168-I168-K168</f>
        <v>0</v>
      </c>
      <c r="M168" s="157">
        <f>H168+IFERROR(VLOOKUP($A168,'A0 BS 1240在建'!$1:$1048576,17,0),0)</f>
        <v>0</v>
      </c>
      <c r="N168" s="157">
        <f>I168+IFERROR(VLOOKUP($A168,'B0 2264預收'!$1:$1048576,17,0),0)</f>
        <v>0</v>
      </c>
      <c r="O168" s="157">
        <f>+M168-N168</f>
        <v>0</v>
      </c>
      <c r="P168" s="157">
        <f>K168+IFERROR(+VLOOKUP($A168,'B0 2264預收'!$1:$1048576,18,0),0)</f>
        <v>0</v>
      </c>
      <c r="Q168" s="157">
        <f>+O168-P168</f>
        <v>0</v>
      </c>
      <c r="R168" s="158">
        <f>M168+IFERROR(VLOOKUP($A168,'A0 BS 1240在建'!$1:$1048576,21,0),0)</f>
        <v>0</v>
      </c>
      <c r="S168" s="158">
        <f>+N168+IFERROR(VLOOKUP($A168,'B0 2264預收'!$1:$1048576,21,0),0)</f>
        <v>0</v>
      </c>
      <c r="T168" s="158">
        <f>+R168-S168</f>
        <v>0</v>
      </c>
      <c r="U168" s="158">
        <f>+P168+IFERROR(+VLOOKUP($A168,'B0 2264預收'!$1:$1048576,22,0),0)</f>
        <v>0</v>
      </c>
      <c r="V168" s="158">
        <f>+T168-U168</f>
        <v>0</v>
      </c>
      <c r="W168" s="157">
        <f>+R168+IFERROR(VLOOKUP($A168,'A0 BS 1240在建'!$1:$1048576,25,0),0)</f>
        <v>0</v>
      </c>
      <c r="X168" s="157">
        <f>+S168+IFERROR(VLOOKUP($A168,'B0 2264預收'!$1:$1048576,25,0),0)</f>
        <v>0</v>
      </c>
      <c r="Y168" s="157">
        <f>+W168-X168</f>
        <v>0</v>
      </c>
      <c r="Z168" s="157">
        <f>+U168+IFERROR(+VLOOKUP($A168,'B0 2264預收'!$1:$1048576,26,0),0)</f>
        <v>0</v>
      </c>
      <c r="AA168" s="157">
        <f>+Y168-Z168</f>
        <v>0</v>
      </c>
      <c r="AB168" s="158">
        <f>+W168+IFERROR(VLOOKUP($A168,'A0 BS 1240在建'!$1:$1048576,29,0),0)</f>
        <v>0</v>
      </c>
      <c r="AC168" s="158">
        <f>+X168+IFERROR(VLOOKUP($A168,'B0 2264預收'!$1:$1048576,29,0),0)</f>
        <v>0</v>
      </c>
      <c r="AD168" s="158">
        <f>+AB168-AC168</f>
        <v>0</v>
      </c>
      <c r="AE168" s="158">
        <f>+Z168+IFERROR(+VLOOKUP($A168,'B0 2264預收'!$1:$1048576,30,0),0)</f>
        <v>0</v>
      </c>
      <c r="AF168" s="158">
        <f>+AD168-AE168</f>
        <v>0</v>
      </c>
      <c r="AG168" s="157">
        <f>+AB168+IFERROR(VLOOKUP($A168,'A0 BS 1240在建'!$1:$1048576,33,0),0)</f>
        <v>0</v>
      </c>
      <c r="AH168" s="157">
        <f>+AC168+IFERROR(VLOOKUP($A168,'B0 2264預收'!$1:$1048576,33,0),0)</f>
        <v>0</v>
      </c>
      <c r="AI168" s="157">
        <f>+AG168-AH168</f>
        <v>0</v>
      </c>
      <c r="AJ168" s="157">
        <f>+AE168+IFERROR(+VLOOKUP($A168,'B0 2264預收'!$1:$1048576,34,0),0)</f>
        <v>0</v>
      </c>
      <c r="AK168" s="157">
        <f>+AI168-AJ168</f>
        <v>0</v>
      </c>
      <c r="AL168" s="158">
        <f>+AG168+IFERROR(VLOOKUP($A168,'A0 BS 1240在建'!$1:$1048576,37,0),0)</f>
        <v>0</v>
      </c>
      <c r="AM168" s="158">
        <f>+AH168+IFERROR(VLOOKUP($A168,'B0 2264預收'!$1:$1048576,37,0),0)</f>
        <v>0</v>
      </c>
      <c r="AN168" s="158">
        <f>+AL168-AM168</f>
        <v>0</v>
      </c>
      <c r="AO168" s="158">
        <f>+AJ168+IFERROR(+VLOOKUP($A168,'B0 2264預收'!$1:$1048576,38,0),0)</f>
        <v>0</v>
      </c>
      <c r="AP168" s="158">
        <f>+AN168-AO168</f>
        <v>0</v>
      </c>
      <c r="AQ168" s="157">
        <f>+AL168+IFERROR(VLOOKUP($A168,'A0 BS 1240在建'!$1:$1048576,41,0),0)</f>
        <v>0</v>
      </c>
      <c r="AR168" s="157">
        <f>+AM168+IFERROR(VLOOKUP($A168,'B0 2264預收'!$1:$1048576,41,0),0)</f>
        <v>0</v>
      </c>
      <c r="AS168" s="157">
        <f>+AQ168-AR168</f>
        <v>0</v>
      </c>
      <c r="AT168" s="157">
        <f>+AO168+IFERROR(+VLOOKUP($A168,'B0 2264預收'!$1:$1048576,42,0),0)</f>
        <v>0</v>
      </c>
      <c r="AU168" s="157">
        <f>+AS168-AT168</f>
        <v>0</v>
      </c>
      <c r="AV168" s="158">
        <f>+AQ168+IFERROR(VLOOKUP($A168,'A0 BS 1240在建'!$1:$1048576,45,0),0)</f>
        <v>0</v>
      </c>
      <c r="AW168" s="158">
        <f>+AR168+IFERROR(VLOOKUP($A168,'B0 2264預收'!$1:$1048576,45,0),0)</f>
        <v>0</v>
      </c>
      <c r="AX168" s="158">
        <f>+AV168-AW168</f>
        <v>0</v>
      </c>
      <c r="AY168" s="158">
        <f>+AT168+IFERROR(+VLOOKUP($A168,'B0 2264預收'!$1:$1048576,46,0),0)</f>
        <v>0</v>
      </c>
      <c r="AZ168" s="158">
        <f>+AX168-AY168</f>
        <v>0</v>
      </c>
      <c r="BA168" s="157">
        <f>+AV168+IFERROR(VLOOKUP($A168,'A0 BS 1240在建'!$1:$1048576,49,0),0)</f>
        <v>0</v>
      </c>
      <c r="BB168" s="157">
        <f>+AW168+IFERROR(VLOOKUP($A168,'B0 2264預收'!$1:$1048576,49,0),0)</f>
        <v>0</v>
      </c>
      <c r="BC168" s="157">
        <f>+BA168-BB168</f>
        <v>0</v>
      </c>
      <c r="BD168" s="157">
        <f>+AY168+IFERROR(+VLOOKUP($A168,'B0 2264預收'!$1:$1048576,50,0),0)</f>
        <v>0</v>
      </c>
      <c r="BE168" s="157">
        <f>+BC168-BD168</f>
        <v>0</v>
      </c>
      <c r="BF168" s="158">
        <f>+BA168+IFERROR(VLOOKUP($A168,'A0 BS 1240在建'!$1:$1048576,53,0),0)</f>
        <v>0</v>
      </c>
      <c r="BG168" s="158">
        <f>+BB168+IFERROR(VLOOKUP($A168,'B0 2264預收'!$1:$1048576,53,0),0)</f>
        <v>0</v>
      </c>
      <c r="BH168" s="158">
        <f>+BF168-BG168</f>
        <v>0</v>
      </c>
      <c r="BI168" s="158">
        <f>+BD168+IFERROR(+VLOOKUP($A168,'B0 2264預收'!$1:$1048576,54,0),0)</f>
        <v>0</v>
      </c>
      <c r="BJ168" s="158">
        <f>+BH168-BI168</f>
        <v>0</v>
      </c>
      <c r="BK168" s="157">
        <f>+BF168+IFERROR(VLOOKUP($A168,'A0 BS 1240在建'!$1:$1048576,57,0),0)</f>
        <v>0</v>
      </c>
      <c r="BL168" s="157">
        <f>+BG168+IFERROR(VLOOKUP($A168,'B0 2264預收'!$1:$1048576,57,0),0)</f>
        <v>0</v>
      </c>
      <c r="BM168" s="157">
        <f>+BK168-BL168</f>
        <v>0</v>
      </c>
      <c r="BN168" s="157">
        <f>+BI168+IFERROR(+VLOOKUP($A168,'B0 2264預收'!$1:$1048576,58,0),0)</f>
        <v>0</v>
      </c>
      <c r="BO168" s="157">
        <f>+BM168-BN168</f>
        <v>0</v>
      </c>
      <c r="BP168" s="158">
        <f>+BK168+IFERROR(VLOOKUP($A168,'A0 BS 1240在建'!$1:$1048576,61,0),0)</f>
        <v>0</v>
      </c>
      <c r="BQ168" s="158">
        <f>+BL168+IFERROR(VLOOKUP($A168,'B0 2264預收'!$1:$1048576,61,0),0)</f>
        <v>0</v>
      </c>
      <c r="BR168" s="159">
        <f>+BP168-BQ168</f>
        <v>0</v>
      </c>
      <c r="BS168" s="158">
        <f>+BN168+IFERROR(+VLOOKUP($A168,'B0 2264預收'!$1:$1048576,62,0),0)</f>
        <v>0</v>
      </c>
      <c r="BT168" s="158">
        <f>+BR168-BS168</f>
        <v>0</v>
      </c>
      <c r="BU168" s="157">
        <f>+IFERROR(VLOOKUP($A168,'A0 BS 1240在建'!$1:$1048576,77,0),0)</f>
        <v>0</v>
      </c>
      <c r="BV168" s="157">
        <f>+IFERROR(VLOOKUP($A168,'B0 2264預收'!$1:$1048576,77,0),0)</f>
        <v>0</v>
      </c>
      <c r="BW168" s="157">
        <f>+BU168-BV168</f>
        <v>0</v>
      </c>
      <c r="BX168" s="157">
        <f>+IFERROR(+VLOOKUP($A168,'B0 2264預收'!$1:$1048576,78,0),0)</f>
        <v>0</v>
      </c>
      <c r="BY168" s="157">
        <f>+BW168-BX168</f>
        <v>0</v>
      </c>
      <c r="BZ168" s="158">
        <f>IFERROR(+VLOOKUP($A168,'A0 BS 1240在建'!$1:$1048576,85,0),0)</f>
        <v>0</v>
      </c>
      <c r="CA168" s="158">
        <f>IFERROR(+VLOOKUP($A168,'B0 2264預收'!$1:$1048576,85,0),0)</f>
        <v>0</v>
      </c>
      <c r="CB168" s="158">
        <f>+BZ168-CA168</f>
        <v>0</v>
      </c>
      <c r="CC168" s="158">
        <f>+IFERROR(+VLOOKUP($A168,'B0 2264預收'!$1:$1048576,86,0),0)</f>
        <v>0</v>
      </c>
      <c r="CD168" s="158">
        <f>+CB168-CC168</f>
        <v>0</v>
      </c>
      <c r="CE168" s="157">
        <f>+IFERROR(VLOOKUP($A168,'A0 BS 1240在建'!$1:$1048576,93,0),0)</f>
        <v>0</v>
      </c>
      <c r="CF168" s="157">
        <f>+IFERROR(VLOOKUP($A168,'B0 2264預收'!$1:$1048576,93,0),0)</f>
        <v>0</v>
      </c>
      <c r="CG168" s="157">
        <f>+CE168-CF168</f>
        <v>0</v>
      </c>
      <c r="CH168" s="157">
        <f>+IFERROR(+VLOOKUP($A168,'B0 2264預收'!$1:$1048576,94,0),0)</f>
        <v>0</v>
      </c>
      <c r="CI168" s="157">
        <f>+CG168-CH168</f>
        <v>0</v>
      </c>
      <c r="CJ168" s="158">
        <f>IFERROR(+VLOOKUP($A168,'A0 BS 1240在建'!$1:$1048576,101,0),0)</f>
        <v>0</v>
      </c>
      <c r="CK168" s="158">
        <f>IFERROR(+VLOOKUP($A168,'B0 2264預收'!$1:$1048576,101,0),0)</f>
        <v>0</v>
      </c>
      <c r="CL168" s="158">
        <f>+CJ168-CK168</f>
        <v>0</v>
      </c>
      <c r="CM168" s="158">
        <f>+IFERROR(+VLOOKUP($A168,'B0 2264預收'!$1:$1048576,102,0),0)</f>
        <v>0</v>
      </c>
      <c r="CN168" s="158">
        <f>+CL168-CM168</f>
        <v>0</v>
      </c>
    </row>
    <row r="169" spans="1:99">
      <c r="A169" s="193"/>
      <c r="B169" s="193"/>
    </row>
    <row r="170" spans="1:99">
      <c r="A170" s="193"/>
      <c r="B170" s="193"/>
    </row>
    <row r="171" spans="1:99">
      <c r="A171" s="193"/>
      <c r="B171" s="193"/>
    </row>
    <row r="172" spans="1:99">
      <c r="A172" s="179" t="s">
        <v>524</v>
      </c>
      <c r="B172" s="172" t="s">
        <v>525</v>
      </c>
      <c r="C172" s="157">
        <f>IFERROR(VLOOKUP($A172,'A0 BS 1240在建'!$1:$1048576,5,0),0)</f>
        <v>0</v>
      </c>
      <c r="D172" s="157">
        <f>IFERROR(VLOOKUP($A172,'B0 2264預收'!$1:$1048576,5,0),0)</f>
        <v>0</v>
      </c>
      <c r="E172" s="157">
        <f>+C172-D172</f>
        <v>0</v>
      </c>
      <c r="F172" s="157">
        <f>IFERROR(VLOOKUP($A172,'B0 2264預收'!$1:$1048576,6,0),0)</f>
        <v>0</v>
      </c>
      <c r="G172" s="157">
        <f>+E172-F172</f>
        <v>0</v>
      </c>
      <c r="H172" s="158">
        <f>IFERROR(VLOOKUP($A172,'A0 BS 1240在建'!$1:$1048576,13,0),0)</f>
        <v>0</v>
      </c>
      <c r="I172" s="158">
        <f>IFERROR(VLOOKUP($A172,'B0 2264預收'!$1:$1048576,13,0),0)</f>
        <v>0</v>
      </c>
      <c r="J172" s="158">
        <f>+H172-I172</f>
        <v>0</v>
      </c>
      <c r="K172" s="158">
        <f>IFERROR(VLOOKUP($A172,'B0 2264預收'!$1:$1048576,14,0),0)</f>
        <v>0</v>
      </c>
      <c r="L172" s="158">
        <f>+H172-I172-K172</f>
        <v>0</v>
      </c>
      <c r="M172" s="157">
        <f>H172+IFERROR(VLOOKUP($A172,'A0 BS 1240在建'!$1:$1048576,17,0),0)</f>
        <v>0</v>
      </c>
      <c r="N172" s="157">
        <f>I172+IFERROR(VLOOKUP($A172,'B0 2264預收'!$1:$1048576,17,0),0)</f>
        <v>0</v>
      </c>
      <c r="O172" s="157">
        <f>+M172-N172</f>
        <v>0</v>
      </c>
      <c r="P172" s="157">
        <f>K172+IFERROR(+VLOOKUP($A172,'B0 2264預收'!$1:$1048576,18,0),0)</f>
        <v>0</v>
      </c>
      <c r="Q172" s="157">
        <f>+O172-P172</f>
        <v>0</v>
      </c>
      <c r="R172" s="158">
        <f>M172+IFERROR(VLOOKUP($A172,'A0 BS 1240在建'!$1:$1048576,21,0),0)</f>
        <v>0</v>
      </c>
      <c r="S172" s="158">
        <f>+N172+IFERROR(VLOOKUP($A172,'B0 2264預收'!$1:$1048576,21,0),0)</f>
        <v>0</v>
      </c>
      <c r="T172" s="158">
        <f>+R172-S172</f>
        <v>0</v>
      </c>
      <c r="U172" s="158">
        <f>+P172+IFERROR(+VLOOKUP($A172,'B0 2264預收'!$1:$1048576,22,0),0)</f>
        <v>0</v>
      </c>
      <c r="V172" s="158">
        <f>+T172-U172</f>
        <v>0</v>
      </c>
      <c r="W172" s="157">
        <f>+R172+IFERROR(VLOOKUP($A172,'A0 BS 1240在建'!$1:$1048576,25,0),0)</f>
        <v>0</v>
      </c>
      <c r="X172" s="157">
        <f>+S172+IFERROR(VLOOKUP($A172,'B0 2264預收'!$1:$1048576,25,0),0)</f>
        <v>0</v>
      </c>
      <c r="Y172" s="157">
        <f>+W172-X172</f>
        <v>0</v>
      </c>
      <c r="Z172" s="157">
        <f>+U172+IFERROR(+VLOOKUP($A172,'B0 2264預收'!$1:$1048576,26,0),0)</f>
        <v>0</v>
      </c>
      <c r="AA172" s="157">
        <f>+Y172-Z172</f>
        <v>0</v>
      </c>
      <c r="AB172" s="158">
        <f>+W172+IFERROR(VLOOKUP($A172,'A0 BS 1240在建'!$1:$1048576,29,0),0)</f>
        <v>0</v>
      </c>
      <c r="AC172" s="158">
        <f>+X172+IFERROR(VLOOKUP($A172,'B0 2264預收'!$1:$1048576,29,0),0)</f>
        <v>0</v>
      </c>
      <c r="AD172" s="158">
        <f>+AB172-AC172</f>
        <v>0</v>
      </c>
      <c r="AE172" s="158">
        <f>+Z172+IFERROR(+VLOOKUP($A172,'B0 2264預收'!$1:$1048576,30,0),0)</f>
        <v>0</v>
      </c>
      <c r="AF172" s="158">
        <f>+AD172-AE172</f>
        <v>0</v>
      </c>
      <c r="AG172" s="157">
        <f>+AB172+IFERROR(VLOOKUP($A172,'A0 BS 1240在建'!$1:$1048576,33,0),0)</f>
        <v>0</v>
      </c>
      <c r="AH172" s="157">
        <f>+AC172+IFERROR(VLOOKUP($A172,'B0 2264預收'!$1:$1048576,33,0),0)</f>
        <v>0</v>
      </c>
      <c r="AI172" s="157">
        <f>+AG172-AH172</f>
        <v>0</v>
      </c>
      <c r="AJ172" s="157">
        <f>+AE172+IFERROR(+VLOOKUP($A172,'B0 2264預收'!$1:$1048576,34,0),0)</f>
        <v>0</v>
      </c>
      <c r="AK172" s="157">
        <f>+AI172-AJ172</f>
        <v>0</v>
      </c>
      <c r="AL172" s="158">
        <f>+AG172+IFERROR(VLOOKUP($A172,'A0 BS 1240在建'!$1:$1048576,37,0),0)</f>
        <v>0</v>
      </c>
      <c r="AM172" s="158">
        <f>+AH172+IFERROR(VLOOKUP($A172,'B0 2264預收'!$1:$1048576,37,0),0)</f>
        <v>0</v>
      </c>
      <c r="AN172" s="158">
        <f>+AL172-AM172</f>
        <v>0</v>
      </c>
      <c r="AO172" s="158">
        <f>+AJ172+IFERROR(+VLOOKUP($A172,'B0 2264預收'!$1:$1048576,38,0),0)</f>
        <v>0</v>
      </c>
      <c r="AP172" s="158">
        <f>+AN172-AO172</f>
        <v>0</v>
      </c>
      <c r="AQ172" s="157">
        <f>+AL172+IFERROR(VLOOKUP($A172,'A0 BS 1240在建'!$1:$1048576,41,0),0)</f>
        <v>0</v>
      </c>
      <c r="AR172" s="157">
        <f>+AM172+IFERROR(VLOOKUP($A172,'B0 2264預收'!$1:$1048576,41,0),0)</f>
        <v>0</v>
      </c>
      <c r="AS172" s="157">
        <f>+AQ172-AR172</f>
        <v>0</v>
      </c>
      <c r="AT172" s="157">
        <f>+AO172+IFERROR(+VLOOKUP($A172,'B0 2264預收'!$1:$1048576,42,0),0)</f>
        <v>0</v>
      </c>
      <c r="AU172" s="157">
        <f>+AS172-AT172</f>
        <v>0</v>
      </c>
      <c r="AV172" s="158">
        <f>+AQ172+IFERROR(VLOOKUP($A172,'A0 BS 1240在建'!$1:$1048576,45,0),0)</f>
        <v>0</v>
      </c>
      <c r="AW172" s="158">
        <f>+AR172+IFERROR(VLOOKUP($A172,'B0 2264預收'!$1:$1048576,45,0),0)</f>
        <v>0</v>
      </c>
      <c r="AX172" s="158">
        <f>+AV172-AW172</f>
        <v>0</v>
      </c>
      <c r="AY172" s="158">
        <f>+AT172+IFERROR(+VLOOKUP($A172,'B0 2264預收'!$1:$1048576,46,0),0)</f>
        <v>0</v>
      </c>
      <c r="AZ172" s="158">
        <f>+AX172-AY172</f>
        <v>0</v>
      </c>
      <c r="BA172" s="157">
        <f>+AV172+IFERROR(VLOOKUP($A172,'A0 BS 1240在建'!$1:$1048576,49,0),0)</f>
        <v>0</v>
      </c>
      <c r="BB172" s="157">
        <f>+AW172+IFERROR(VLOOKUP($A172,'B0 2264預收'!$1:$1048576,49,0),0)</f>
        <v>0</v>
      </c>
      <c r="BC172" s="157">
        <f>+BA172-BB172</f>
        <v>0</v>
      </c>
      <c r="BD172" s="157">
        <f>+AY172+IFERROR(+VLOOKUP($A172,'B0 2264預收'!$1:$1048576,50,0),0)</f>
        <v>0</v>
      </c>
      <c r="BE172" s="157">
        <f>+BC172-BD172</f>
        <v>0</v>
      </c>
      <c r="BF172" s="158">
        <f>+BA172+IFERROR(VLOOKUP($A172,'A0 BS 1240在建'!$1:$1048576,53,0),0)</f>
        <v>0</v>
      </c>
      <c r="BG172" s="158">
        <f>+BB172+IFERROR(VLOOKUP($A172,'B0 2264預收'!$1:$1048576,53,0),0)</f>
        <v>0</v>
      </c>
      <c r="BH172" s="158">
        <f>+BF172-BG172</f>
        <v>0</v>
      </c>
      <c r="BI172" s="158">
        <f>+BD172+IFERROR(+VLOOKUP($A172,'B0 2264預收'!$1:$1048576,54,0),0)</f>
        <v>0</v>
      </c>
      <c r="BJ172" s="158">
        <f>+BH172-BI172</f>
        <v>0</v>
      </c>
      <c r="BK172" s="157">
        <f>+BF172+IFERROR(VLOOKUP($A172,'A0 BS 1240在建'!$1:$1048576,57,0),0)</f>
        <v>0</v>
      </c>
      <c r="BL172" s="157">
        <f>+BG172+IFERROR(VLOOKUP($A172,'B0 2264預收'!$1:$1048576,57,0),0)</f>
        <v>0</v>
      </c>
      <c r="BM172" s="157">
        <f>+BK172-BL172</f>
        <v>0</v>
      </c>
      <c r="BN172" s="157">
        <f>+BI172+IFERROR(+VLOOKUP($A172,'B0 2264預收'!$1:$1048576,58,0),0)</f>
        <v>0</v>
      </c>
      <c r="BO172" s="157">
        <f>+BM172-BN172</f>
        <v>0</v>
      </c>
      <c r="BP172" s="158">
        <f>+BK172+IFERROR(VLOOKUP($A172,'A0 BS 1240在建'!$1:$1048576,61,0),0)</f>
        <v>0</v>
      </c>
      <c r="BQ172" s="158">
        <f>+BL172+IFERROR(VLOOKUP($A172,'B0 2264預收'!$1:$1048576,61,0),0)</f>
        <v>0</v>
      </c>
      <c r="BR172" s="159">
        <f>+BP172-BQ172</f>
        <v>0</v>
      </c>
      <c r="BS172" s="158">
        <f>+BN172+IFERROR(+VLOOKUP($A172,'B0 2264預收'!$1:$1048576,62,0),0)</f>
        <v>0</v>
      </c>
      <c r="BT172" s="158">
        <f>+BR172-BS172</f>
        <v>0</v>
      </c>
      <c r="BU172" s="157">
        <f>+IFERROR(VLOOKUP($A172,'A0 BS 1240在建'!$1:$1048576,77,0),0)</f>
        <v>0</v>
      </c>
      <c r="BV172" s="157">
        <f>+IFERROR(VLOOKUP($A172,'B0 2264預收'!$1:$1048576,77,0),0)</f>
        <v>0</v>
      </c>
      <c r="BW172" s="157">
        <f>+BU172-BV172</f>
        <v>0</v>
      </c>
      <c r="BX172" s="157">
        <f>+IFERROR(+VLOOKUP($A172,'B0 2264預收'!$1:$1048576,78,0),0)</f>
        <v>0</v>
      </c>
      <c r="BY172" s="157">
        <f>+BW172-BX172</f>
        <v>0</v>
      </c>
      <c r="BZ172" s="158">
        <f>IFERROR(+VLOOKUP($A172,'A0 BS 1240在建'!$1:$1048576,85,0),0)</f>
        <v>0</v>
      </c>
      <c r="CA172" s="158">
        <f>IFERROR(+VLOOKUP($A172,'B0 2264預收'!$1:$1048576,85,0),0)</f>
        <v>0</v>
      </c>
      <c r="CB172" s="158">
        <f>+BZ172-CA172</f>
        <v>0</v>
      </c>
      <c r="CC172" s="158">
        <f>+IFERROR(+VLOOKUP($A172,'B0 2264預收'!$1:$1048576,86,0),0)</f>
        <v>0</v>
      </c>
      <c r="CD172" s="158">
        <f>+CB172-CC172</f>
        <v>0</v>
      </c>
      <c r="CE172" s="157">
        <f>+IFERROR(VLOOKUP($A172,'A0 BS 1240在建'!$1:$1048576,93,0),0)</f>
        <v>0</v>
      </c>
      <c r="CF172" s="157">
        <f>+IFERROR(VLOOKUP($A172,'B0 2264預收'!$1:$1048576,93,0),0)</f>
        <v>0</v>
      </c>
      <c r="CG172" s="157">
        <f>+CE172-CF172</f>
        <v>0</v>
      </c>
      <c r="CH172" s="157">
        <f>+IFERROR(+VLOOKUP($A172,'B0 2264預收'!$1:$1048576,94,0),0)</f>
        <v>0</v>
      </c>
      <c r="CI172" s="157">
        <f>+CG172-CH172</f>
        <v>0</v>
      </c>
      <c r="CJ172" s="158">
        <f>IFERROR(+VLOOKUP($A172,'A0 BS 1240在建'!$1:$1048576,101,0),0)</f>
        <v>0</v>
      </c>
      <c r="CK172" s="158">
        <f>IFERROR(+VLOOKUP($A172,'B0 2264預收'!$1:$1048576,101,0),0)</f>
        <v>0</v>
      </c>
      <c r="CL172" s="158">
        <f>+CJ172-CK172</f>
        <v>0</v>
      </c>
      <c r="CM172" s="158">
        <f>+IFERROR(+VLOOKUP($A172,'B0 2264預收'!$1:$1048576,102,0),0)</f>
        <v>0</v>
      </c>
      <c r="CN172" s="158">
        <f>+CL172-CM172</f>
        <v>0</v>
      </c>
      <c r="CP172" s="165">
        <f>+J172-E172</f>
        <v>0</v>
      </c>
      <c r="CR172" s="98">
        <f>+CP172</f>
        <v>0</v>
      </c>
      <c r="CU172" s="98">
        <f>+BR172-J172</f>
        <v>0</v>
      </c>
    </row>
    <row r="173" spans="1:99">
      <c r="A173" s="194"/>
      <c r="B173" s="193"/>
    </row>
    <row r="174" spans="1:99">
      <c r="A174" s="194"/>
      <c r="B174" s="193"/>
    </row>
    <row r="175" spans="1:99">
      <c r="A175" s="193"/>
      <c r="B175" s="193"/>
    </row>
    <row r="176" spans="1:99">
      <c r="A176" s="193"/>
      <c r="B176" s="193"/>
    </row>
    <row r="177" spans="1:2">
      <c r="A177" s="193"/>
      <c r="B177" s="193"/>
    </row>
    <row r="178" spans="1:2">
      <c r="A178" s="193"/>
      <c r="B178" s="193"/>
    </row>
    <row r="179" spans="1:2">
      <c r="A179" s="193"/>
      <c r="B179" s="193"/>
    </row>
    <row r="180" spans="1:2">
      <c r="A180" s="193"/>
      <c r="B180" s="193"/>
    </row>
    <row r="181" spans="1:2">
      <c r="A181" s="194"/>
      <c r="B181" s="193"/>
    </row>
    <row r="182" spans="1:2">
      <c r="A182" s="194"/>
      <c r="B182" s="193"/>
    </row>
    <row r="183" spans="1:2">
      <c r="A183" s="193"/>
      <c r="B183" s="193"/>
    </row>
    <row r="184" spans="1:2">
      <c r="A184" s="193"/>
      <c r="B184" s="193"/>
    </row>
    <row r="204" spans="1:1">
      <c r="A204" s="98"/>
    </row>
    <row r="205" spans="1:1">
      <c r="A205" s="98"/>
    </row>
    <row r="206" spans="1:1">
      <c r="A206" s="98"/>
    </row>
    <row r="207" spans="1:1">
      <c r="A207" s="98"/>
    </row>
    <row r="208" spans="1:1">
      <c r="A208" s="98"/>
    </row>
    <row r="209" spans="1:1">
      <c r="A209" s="98"/>
    </row>
    <row r="210" spans="1:1">
      <c r="A210" s="98"/>
    </row>
    <row r="211" spans="1:1">
      <c r="A211" s="98"/>
    </row>
    <row r="212" spans="1:1">
      <c r="A212" s="98"/>
    </row>
    <row r="213" spans="1:1">
      <c r="A213" s="98"/>
    </row>
  </sheetData>
  <mergeCells count="2">
    <mergeCell ref="CY2:DC2"/>
    <mergeCell ref="DD2:DH2"/>
  </mergeCells>
  <phoneticPr fontId="101" type="noConversion"/>
  <pageMargins left="0.70833333333333304" right="0.70833333333333304" top="0.74791666666666701" bottom="0.74791666666666701" header="0.511811023622047" footer="0.511811023622047"/>
  <pageSetup paperSize="8" scale="55" orientation="landscape" horizontalDpi="300" verticalDpi="300"/>
  <colBreaks count="3" manualBreakCount="3">
    <brk id="22" max="1048575" man="1"/>
    <brk id="42" max="1048575" man="1"/>
    <brk id="62" max="1048575" man="1"/>
  </colBreak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CU209"/>
  <sheetViews>
    <sheetView showGridLines="0" zoomScale="80" zoomScaleNormal="80" workbookViewId="0">
      <pane xSplit="2" ySplit="4" topLeftCell="CI106" activePane="bottomRight" state="frozen"/>
      <selection pane="topRight" activeCell="CI1" sqref="CI1"/>
      <selection pane="bottomLeft" activeCell="A106" sqref="A106"/>
      <selection pane="bottomRight" activeCell="CT2" sqref="CT2"/>
    </sheetView>
  </sheetViews>
  <sheetFormatPr defaultColWidth="9" defaultRowHeight="15.6" outlineLevelCol="1"/>
  <cols>
    <col min="1" max="1" width="12.44140625" style="97" customWidth="1"/>
    <col min="2" max="2" width="29.44140625" style="97" customWidth="1"/>
    <col min="3" max="5" width="15.44140625" style="98" customWidth="1"/>
    <col min="6" max="6" width="16.6640625" style="98" customWidth="1"/>
    <col min="7" max="7" width="18.109375" style="98" customWidth="1"/>
    <col min="8" max="10" width="15.21875" style="98" customWidth="1"/>
    <col min="11" max="11" width="14.109375" style="98" customWidth="1"/>
    <col min="12" max="12" width="14.88671875" style="98" customWidth="1"/>
    <col min="13" max="14" width="17.44140625" style="98" customWidth="1" outlineLevel="1"/>
    <col min="15" max="15" width="14.88671875" style="98" customWidth="1" outlineLevel="1"/>
    <col min="16" max="16" width="16.21875" style="98" customWidth="1" outlineLevel="1"/>
    <col min="17" max="17" width="15.44140625" style="98" customWidth="1" outlineLevel="1"/>
    <col min="18" max="19" width="17.44140625" style="98" customWidth="1" outlineLevel="1"/>
    <col min="20" max="20" width="14.88671875" style="98" customWidth="1" outlineLevel="1"/>
    <col min="21" max="21" width="13.44140625" style="98" customWidth="1" outlineLevel="1"/>
    <col min="22" max="22" width="14.88671875" style="98" customWidth="1" outlineLevel="1"/>
    <col min="23" max="24" width="17.44140625" style="98" customWidth="1" outlineLevel="1"/>
    <col min="25" max="25" width="14.88671875" style="98" customWidth="1" outlineLevel="1"/>
    <col min="26" max="26" width="16.21875" style="98" customWidth="1" outlineLevel="1"/>
    <col min="27" max="27" width="15.44140625" style="98" customWidth="1" outlineLevel="1"/>
    <col min="28" max="29" width="17.44140625" style="98" customWidth="1" outlineLevel="1"/>
    <col min="30" max="30" width="14.88671875" style="98" customWidth="1" outlineLevel="1"/>
    <col min="31" max="31" width="13.44140625" style="98" customWidth="1" outlineLevel="1"/>
    <col min="32" max="32" width="14.88671875" style="98" customWidth="1" outlineLevel="1"/>
    <col min="33" max="34" width="17.44140625" style="98" customWidth="1" outlineLevel="1"/>
    <col min="35" max="35" width="14.88671875" style="98" customWidth="1" outlineLevel="1"/>
    <col min="36" max="36" width="16.21875" style="98" customWidth="1" outlineLevel="1"/>
    <col min="37" max="37" width="15.44140625" style="98" customWidth="1" outlineLevel="1"/>
    <col min="38" max="39" width="17.44140625" style="98" customWidth="1" outlineLevel="1"/>
    <col min="40" max="40" width="14.88671875" style="98" customWidth="1" outlineLevel="1"/>
    <col min="41" max="41" width="13.44140625" style="98" customWidth="1" outlineLevel="1"/>
    <col min="42" max="42" width="14.88671875" style="98" customWidth="1" outlineLevel="1"/>
    <col min="43" max="44" width="17.44140625" style="98" customWidth="1" outlineLevel="1"/>
    <col min="45" max="45" width="14.88671875" style="98" customWidth="1" outlineLevel="1"/>
    <col min="46" max="46" width="16.21875" style="98" customWidth="1" outlineLevel="1"/>
    <col min="47" max="47" width="15.44140625" style="98" customWidth="1" outlineLevel="1"/>
    <col min="48" max="49" width="17.44140625" style="98" customWidth="1" outlineLevel="1"/>
    <col min="50" max="50" width="14.88671875" style="98" customWidth="1" outlineLevel="1"/>
    <col min="51" max="51" width="13.44140625" style="98" customWidth="1" outlineLevel="1"/>
    <col min="52" max="52" width="14.88671875" style="98" customWidth="1" outlineLevel="1"/>
    <col min="53" max="54" width="17.44140625" style="98" customWidth="1" outlineLevel="1"/>
    <col min="55" max="55" width="14.88671875" style="98" customWidth="1" outlineLevel="1"/>
    <col min="56" max="56" width="16.21875" style="98" customWidth="1" outlineLevel="1"/>
    <col min="57" max="57" width="15.44140625" style="98" customWidth="1" outlineLevel="1"/>
    <col min="58" max="59" width="17.44140625" style="98" customWidth="1" outlineLevel="1"/>
    <col min="60" max="60" width="14.88671875" style="98" customWidth="1" outlineLevel="1"/>
    <col min="61" max="61" width="13.44140625" style="98" customWidth="1" outlineLevel="1"/>
    <col min="62" max="62" width="14.88671875" style="98" customWidth="1" outlineLevel="1"/>
    <col min="63" max="64" width="17.44140625" style="98" customWidth="1" outlineLevel="1"/>
    <col min="65" max="65" width="14.88671875" style="98" customWidth="1" outlineLevel="1"/>
    <col min="66" max="66" width="16.21875" style="98" customWidth="1" outlineLevel="1"/>
    <col min="67" max="67" width="15.44140625" style="98" customWidth="1" outlineLevel="1"/>
    <col min="68" max="69" width="17.44140625" style="98" customWidth="1" outlineLevel="1"/>
    <col min="70" max="70" width="14.88671875" style="98" customWidth="1" outlineLevel="1"/>
    <col min="71" max="71" width="13.44140625" style="98" customWidth="1" outlineLevel="1"/>
    <col min="72" max="72" width="14.88671875" style="98" customWidth="1" outlineLevel="1"/>
    <col min="73" max="74" width="17.44140625" style="98" customWidth="1"/>
    <col min="75" max="75" width="14.88671875" style="98" customWidth="1"/>
    <col min="76" max="76" width="16.21875" style="98" customWidth="1"/>
    <col min="77" max="77" width="15.44140625" style="98" customWidth="1"/>
    <col min="78" max="79" width="17.44140625" style="98" customWidth="1"/>
    <col min="80" max="80" width="14.88671875" style="98" customWidth="1"/>
    <col min="81" max="81" width="13.44140625" style="98" customWidth="1"/>
    <col min="82" max="82" width="14.88671875" style="98" customWidth="1"/>
    <col min="83" max="83" width="17.44140625" style="98" customWidth="1"/>
    <col min="84" max="85" width="14.88671875" style="98" customWidth="1"/>
    <col min="86" max="86" width="16.21875" style="98" customWidth="1"/>
    <col min="87" max="87" width="15.44140625" style="98" customWidth="1"/>
    <col min="88" max="89" width="17.44140625" style="98" customWidth="1"/>
    <col min="90" max="90" width="14.88671875" style="98" customWidth="1"/>
    <col min="91" max="91" width="13.44140625" style="98" customWidth="1"/>
    <col min="92" max="92" width="14.88671875" style="98" customWidth="1"/>
    <col min="93" max="94" width="17.44140625" style="98" customWidth="1"/>
    <col min="95" max="95" width="14.88671875" style="98" customWidth="1"/>
    <col min="96" max="96" width="15.44140625" style="98" customWidth="1"/>
    <col min="97" max="97" width="14.88671875" style="98" customWidth="1"/>
    <col min="98" max="16384" width="9" style="98"/>
  </cols>
  <sheetData>
    <row r="1" spans="1:99">
      <c r="A1" s="100" t="s">
        <v>250</v>
      </c>
      <c r="B1" s="101" t="s">
        <v>22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  <c r="U1" s="102">
        <v>21</v>
      </c>
      <c r="V1" s="102">
        <v>22</v>
      </c>
      <c r="W1" s="102">
        <v>23</v>
      </c>
      <c r="X1" s="102">
        <v>24</v>
      </c>
      <c r="Y1" s="102">
        <v>25</v>
      </c>
      <c r="Z1" s="102">
        <v>26</v>
      </c>
      <c r="AA1" s="102">
        <v>27</v>
      </c>
      <c r="AB1" s="102">
        <v>28</v>
      </c>
      <c r="AC1" s="102">
        <v>29</v>
      </c>
      <c r="AD1" s="102">
        <v>30</v>
      </c>
      <c r="AE1" s="102">
        <v>31</v>
      </c>
      <c r="AF1" s="102">
        <v>32</v>
      </c>
      <c r="AG1" s="102">
        <v>33</v>
      </c>
      <c r="AH1" s="102">
        <v>34</v>
      </c>
      <c r="AI1" s="102">
        <v>35</v>
      </c>
      <c r="AJ1" s="102">
        <v>36</v>
      </c>
      <c r="AK1" s="102">
        <v>37</v>
      </c>
      <c r="AL1" s="102">
        <v>38</v>
      </c>
      <c r="AM1" s="102">
        <v>39</v>
      </c>
      <c r="AN1" s="102">
        <v>40</v>
      </c>
      <c r="AO1" s="102">
        <v>41</v>
      </c>
      <c r="AP1" s="102">
        <v>42</v>
      </c>
      <c r="AQ1" s="102">
        <v>43</v>
      </c>
      <c r="AR1" s="102">
        <v>44</v>
      </c>
      <c r="AS1" s="102">
        <v>45</v>
      </c>
      <c r="AT1" s="102">
        <v>46</v>
      </c>
      <c r="AU1" s="102">
        <v>47</v>
      </c>
      <c r="AV1" s="102">
        <v>48</v>
      </c>
      <c r="AW1" s="102">
        <v>49</v>
      </c>
      <c r="AX1" s="102">
        <v>50</v>
      </c>
      <c r="AY1" s="102">
        <v>51</v>
      </c>
      <c r="AZ1" s="102">
        <v>52</v>
      </c>
      <c r="BA1" s="102">
        <v>53</v>
      </c>
      <c r="BB1" s="102">
        <v>54</v>
      </c>
      <c r="BC1" s="102">
        <v>55</v>
      </c>
      <c r="BD1" s="102">
        <v>56</v>
      </c>
      <c r="BE1" s="102">
        <v>57</v>
      </c>
      <c r="BF1" s="102">
        <v>58</v>
      </c>
      <c r="BG1" s="102">
        <v>59</v>
      </c>
      <c r="BH1" s="102">
        <v>60</v>
      </c>
      <c r="BI1" s="102">
        <v>61</v>
      </c>
      <c r="BJ1" s="102">
        <v>62</v>
      </c>
      <c r="BK1" s="102">
        <v>63</v>
      </c>
      <c r="BL1" s="102">
        <v>64</v>
      </c>
      <c r="BM1" s="102">
        <v>65</v>
      </c>
      <c r="BN1" s="102">
        <v>66</v>
      </c>
      <c r="BO1" s="102">
        <v>67</v>
      </c>
      <c r="BP1" s="102">
        <v>68</v>
      </c>
      <c r="BQ1" s="102">
        <v>69</v>
      </c>
      <c r="BR1" s="102">
        <v>70</v>
      </c>
      <c r="BS1" s="102">
        <v>71</v>
      </c>
      <c r="BT1" s="102">
        <v>72</v>
      </c>
      <c r="BU1" s="102">
        <v>73</v>
      </c>
      <c r="BV1" s="102">
        <v>74</v>
      </c>
      <c r="BW1" s="102">
        <v>75</v>
      </c>
      <c r="BX1" s="102">
        <v>76</v>
      </c>
      <c r="BY1" s="102">
        <v>77</v>
      </c>
      <c r="BZ1" s="102">
        <v>78</v>
      </c>
      <c r="CA1" s="102">
        <v>79</v>
      </c>
      <c r="CB1" s="102">
        <v>80</v>
      </c>
      <c r="CC1" s="102">
        <v>81</v>
      </c>
      <c r="CD1" s="102">
        <v>82</v>
      </c>
      <c r="CE1" s="102">
        <v>83</v>
      </c>
      <c r="CF1" s="102">
        <v>84</v>
      </c>
      <c r="CG1" s="102">
        <v>85</v>
      </c>
      <c r="CH1" s="102">
        <v>86</v>
      </c>
      <c r="CI1" s="102">
        <v>87</v>
      </c>
      <c r="CJ1" s="102">
        <v>88</v>
      </c>
      <c r="CK1" s="102">
        <v>89</v>
      </c>
      <c r="CL1" s="102">
        <v>90</v>
      </c>
      <c r="CM1" s="102">
        <v>91</v>
      </c>
      <c r="CN1" s="102">
        <v>92</v>
      </c>
      <c r="CO1" s="102">
        <v>93</v>
      </c>
      <c r="CP1" s="102">
        <v>94</v>
      </c>
      <c r="CQ1" s="102">
        <v>95</v>
      </c>
      <c r="CR1" s="102">
        <v>96</v>
      </c>
      <c r="CS1" s="102">
        <v>97</v>
      </c>
      <c r="CT1" s="102"/>
      <c r="CU1" s="102"/>
    </row>
    <row r="2" spans="1:99" ht="16.2">
      <c r="A2" s="106" t="s">
        <v>253</v>
      </c>
      <c r="B2" s="188"/>
      <c r="C2" s="108"/>
      <c r="D2" s="109"/>
      <c r="E2" s="110" t="s">
        <v>255</v>
      </c>
      <c r="F2" s="109"/>
      <c r="G2" s="111"/>
      <c r="H2" s="112"/>
      <c r="I2" s="113"/>
      <c r="J2" s="113" t="s">
        <v>526</v>
      </c>
      <c r="K2" s="113"/>
      <c r="L2" s="116"/>
      <c r="M2" s="108"/>
      <c r="N2" s="109"/>
      <c r="O2" s="109" t="s">
        <v>527</v>
      </c>
      <c r="P2" s="109"/>
      <c r="Q2" s="111"/>
      <c r="R2" s="112"/>
      <c r="S2" s="113"/>
      <c r="T2" s="113" t="s">
        <v>528</v>
      </c>
      <c r="U2" s="113"/>
      <c r="V2" s="116"/>
      <c r="W2" s="108"/>
      <c r="X2" s="109"/>
      <c r="Y2" s="109" t="s">
        <v>529</v>
      </c>
      <c r="Z2" s="109"/>
      <c r="AA2" s="111"/>
      <c r="AB2" s="112"/>
      <c r="AC2" s="113"/>
      <c r="AD2" s="113" t="s">
        <v>530</v>
      </c>
      <c r="AE2" s="113"/>
      <c r="AF2" s="116"/>
      <c r="AG2" s="108"/>
      <c r="AH2" s="109"/>
      <c r="AI2" s="109" t="s">
        <v>531</v>
      </c>
      <c r="AJ2" s="109"/>
      <c r="AK2" s="111"/>
      <c r="AL2" s="112"/>
      <c r="AM2" s="113"/>
      <c r="AN2" s="113" t="s">
        <v>532</v>
      </c>
      <c r="AO2" s="113"/>
      <c r="AP2" s="116"/>
      <c r="AQ2" s="108"/>
      <c r="AR2" s="109"/>
      <c r="AS2" s="109" t="s">
        <v>533</v>
      </c>
      <c r="AT2" s="109"/>
      <c r="AU2" s="111"/>
      <c r="AV2" s="112"/>
      <c r="AW2" s="113"/>
      <c r="AX2" s="113" t="s">
        <v>534</v>
      </c>
      <c r="AY2" s="113"/>
      <c r="AZ2" s="116"/>
      <c r="BA2" s="108"/>
      <c r="BB2" s="109"/>
      <c r="BC2" s="109" t="s">
        <v>535</v>
      </c>
      <c r="BD2" s="109"/>
      <c r="BE2" s="111"/>
      <c r="BF2" s="112"/>
      <c r="BG2" s="113"/>
      <c r="BH2" s="113" t="s">
        <v>536</v>
      </c>
      <c r="BI2" s="113"/>
      <c r="BJ2" s="116"/>
      <c r="BK2" s="108"/>
      <c r="BL2" s="109"/>
      <c r="BM2" s="109" t="s">
        <v>537</v>
      </c>
      <c r="BN2" s="109"/>
      <c r="BO2" s="111"/>
      <c r="BP2" s="112"/>
      <c r="BQ2" s="113"/>
      <c r="BR2" s="113" t="s">
        <v>538</v>
      </c>
      <c r="BS2" s="113"/>
      <c r="BT2" s="116"/>
      <c r="BU2" s="108"/>
      <c r="BV2" s="109"/>
      <c r="BW2" s="109" t="s">
        <v>23</v>
      </c>
      <c r="BX2" s="109"/>
      <c r="BY2" s="111"/>
      <c r="BZ2" s="112"/>
      <c r="CA2" s="113"/>
      <c r="CB2" s="113" t="s">
        <v>24</v>
      </c>
      <c r="CC2" s="113"/>
      <c r="CD2" s="116"/>
      <c r="CE2" s="108"/>
      <c r="CF2" s="109"/>
      <c r="CG2" s="109" t="s">
        <v>25</v>
      </c>
      <c r="CH2" s="109"/>
      <c r="CI2" s="111"/>
      <c r="CJ2" s="112"/>
      <c r="CK2" s="113"/>
      <c r="CL2" s="113" t="s">
        <v>26</v>
      </c>
      <c r="CM2" s="113"/>
      <c r="CN2" s="116"/>
      <c r="CO2" s="108"/>
      <c r="CP2" s="109"/>
      <c r="CQ2" s="109" t="s">
        <v>27</v>
      </c>
      <c r="CR2" s="109"/>
      <c r="CS2" s="111"/>
    </row>
    <row r="3" spans="1:99">
      <c r="A3" s="120"/>
      <c r="B3" s="120"/>
      <c r="C3" s="121" t="s">
        <v>277</v>
      </c>
      <c r="D3" s="122" t="s">
        <v>278</v>
      </c>
      <c r="E3" s="123" t="s">
        <v>279</v>
      </c>
      <c r="F3" s="121" t="s">
        <v>280</v>
      </c>
      <c r="G3" s="124" t="s">
        <v>281</v>
      </c>
      <c r="H3" s="125" t="s">
        <v>277</v>
      </c>
      <c r="I3" s="126" t="s">
        <v>278</v>
      </c>
      <c r="J3" s="127" t="s">
        <v>282</v>
      </c>
      <c r="K3" s="125" t="s">
        <v>280</v>
      </c>
      <c r="L3" s="128" t="s">
        <v>281</v>
      </c>
      <c r="M3" s="121" t="s">
        <v>277</v>
      </c>
      <c r="N3" s="122" t="s">
        <v>278</v>
      </c>
      <c r="O3" s="124" t="s">
        <v>283</v>
      </c>
      <c r="P3" s="121" t="s">
        <v>280</v>
      </c>
      <c r="Q3" s="124" t="s">
        <v>281</v>
      </c>
      <c r="R3" s="125" t="s">
        <v>277</v>
      </c>
      <c r="S3" s="126" t="s">
        <v>278</v>
      </c>
      <c r="T3" s="128" t="s">
        <v>282</v>
      </c>
      <c r="U3" s="125" t="s">
        <v>280</v>
      </c>
      <c r="V3" s="128" t="s">
        <v>281</v>
      </c>
      <c r="W3" s="121" t="s">
        <v>277</v>
      </c>
      <c r="X3" s="122" t="s">
        <v>278</v>
      </c>
      <c r="Y3" s="124" t="s">
        <v>283</v>
      </c>
      <c r="Z3" s="121" t="s">
        <v>280</v>
      </c>
      <c r="AA3" s="124" t="s">
        <v>281</v>
      </c>
      <c r="AB3" s="125" t="s">
        <v>277</v>
      </c>
      <c r="AC3" s="126" t="s">
        <v>278</v>
      </c>
      <c r="AD3" s="128" t="s">
        <v>282</v>
      </c>
      <c r="AE3" s="125" t="s">
        <v>280</v>
      </c>
      <c r="AF3" s="128" t="s">
        <v>281</v>
      </c>
      <c r="AG3" s="121" t="s">
        <v>277</v>
      </c>
      <c r="AH3" s="122" t="s">
        <v>278</v>
      </c>
      <c r="AI3" s="124" t="s">
        <v>283</v>
      </c>
      <c r="AJ3" s="121" t="s">
        <v>280</v>
      </c>
      <c r="AK3" s="124" t="s">
        <v>281</v>
      </c>
      <c r="AL3" s="125" t="s">
        <v>277</v>
      </c>
      <c r="AM3" s="126" t="s">
        <v>278</v>
      </c>
      <c r="AN3" s="128" t="s">
        <v>282</v>
      </c>
      <c r="AO3" s="125" t="s">
        <v>280</v>
      </c>
      <c r="AP3" s="128" t="s">
        <v>281</v>
      </c>
      <c r="AQ3" s="121" t="s">
        <v>277</v>
      </c>
      <c r="AR3" s="122" t="s">
        <v>278</v>
      </c>
      <c r="AS3" s="124" t="s">
        <v>283</v>
      </c>
      <c r="AT3" s="121" t="s">
        <v>280</v>
      </c>
      <c r="AU3" s="124" t="s">
        <v>281</v>
      </c>
      <c r="AV3" s="125" t="s">
        <v>277</v>
      </c>
      <c r="AW3" s="126" t="s">
        <v>278</v>
      </c>
      <c r="AX3" s="128" t="s">
        <v>282</v>
      </c>
      <c r="AY3" s="125" t="s">
        <v>280</v>
      </c>
      <c r="AZ3" s="128" t="s">
        <v>281</v>
      </c>
      <c r="BA3" s="121" t="s">
        <v>277</v>
      </c>
      <c r="BB3" s="122" t="s">
        <v>278</v>
      </c>
      <c r="BC3" s="124" t="s">
        <v>283</v>
      </c>
      <c r="BD3" s="121" t="s">
        <v>280</v>
      </c>
      <c r="BE3" s="124" t="s">
        <v>281</v>
      </c>
      <c r="BF3" s="125" t="s">
        <v>277</v>
      </c>
      <c r="BG3" s="126" t="s">
        <v>278</v>
      </c>
      <c r="BH3" s="128" t="s">
        <v>282</v>
      </c>
      <c r="BI3" s="125" t="s">
        <v>280</v>
      </c>
      <c r="BJ3" s="128" t="s">
        <v>281</v>
      </c>
      <c r="BK3" s="121" t="s">
        <v>277</v>
      </c>
      <c r="BL3" s="122" t="s">
        <v>278</v>
      </c>
      <c r="BM3" s="124" t="s">
        <v>283</v>
      </c>
      <c r="BN3" s="121" t="s">
        <v>280</v>
      </c>
      <c r="BO3" s="124" t="s">
        <v>281</v>
      </c>
      <c r="BP3" s="125" t="s">
        <v>277</v>
      </c>
      <c r="BQ3" s="126" t="s">
        <v>278</v>
      </c>
      <c r="BR3" s="128" t="s">
        <v>282</v>
      </c>
      <c r="BS3" s="125" t="s">
        <v>280</v>
      </c>
      <c r="BT3" s="128" t="s">
        <v>281</v>
      </c>
      <c r="BU3" s="121" t="s">
        <v>277</v>
      </c>
      <c r="BV3" s="122" t="s">
        <v>278</v>
      </c>
      <c r="BW3" s="124" t="s">
        <v>283</v>
      </c>
      <c r="BX3" s="121" t="s">
        <v>280</v>
      </c>
      <c r="BY3" s="124" t="s">
        <v>281</v>
      </c>
      <c r="BZ3" s="125" t="s">
        <v>277</v>
      </c>
      <c r="CA3" s="126" t="s">
        <v>278</v>
      </c>
      <c r="CB3" s="128" t="s">
        <v>282</v>
      </c>
      <c r="CC3" s="125" t="s">
        <v>280</v>
      </c>
      <c r="CD3" s="128" t="s">
        <v>281</v>
      </c>
      <c r="CE3" s="121" t="s">
        <v>277</v>
      </c>
      <c r="CF3" s="122" t="s">
        <v>278</v>
      </c>
      <c r="CG3" s="124" t="s">
        <v>283</v>
      </c>
      <c r="CH3" s="121" t="s">
        <v>280</v>
      </c>
      <c r="CI3" s="124" t="s">
        <v>281</v>
      </c>
      <c r="CJ3" s="125" t="s">
        <v>277</v>
      </c>
      <c r="CK3" s="126" t="s">
        <v>278</v>
      </c>
      <c r="CL3" s="128" t="s">
        <v>282</v>
      </c>
      <c r="CM3" s="125" t="s">
        <v>280</v>
      </c>
      <c r="CN3" s="128" t="s">
        <v>281</v>
      </c>
      <c r="CO3" s="121" t="s">
        <v>277</v>
      </c>
      <c r="CP3" s="122" t="s">
        <v>278</v>
      </c>
      <c r="CQ3" s="124" t="s">
        <v>282</v>
      </c>
      <c r="CR3" s="121" t="s">
        <v>280</v>
      </c>
      <c r="CS3" s="124" t="s">
        <v>281</v>
      </c>
    </row>
    <row r="4" spans="1:99">
      <c r="A4" s="144" t="s">
        <v>292</v>
      </c>
      <c r="B4" s="144" t="s">
        <v>293</v>
      </c>
      <c r="C4" s="132" t="s">
        <v>294</v>
      </c>
      <c r="D4" s="132" t="s">
        <v>295</v>
      </c>
      <c r="E4" s="132" t="s">
        <v>296</v>
      </c>
      <c r="F4" s="145" t="s">
        <v>297</v>
      </c>
      <c r="G4" s="132" t="s">
        <v>298</v>
      </c>
      <c r="H4" s="129" t="s">
        <v>294</v>
      </c>
      <c r="I4" s="129" t="s">
        <v>295</v>
      </c>
      <c r="J4" s="129" t="s">
        <v>296</v>
      </c>
      <c r="K4" s="129" t="s">
        <v>297</v>
      </c>
      <c r="L4" s="129" t="s">
        <v>298</v>
      </c>
      <c r="M4" s="132" t="s">
        <v>294</v>
      </c>
      <c r="N4" s="132" t="s">
        <v>295</v>
      </c>
      <c r="O4" s="132" t="s">
        <v>296</v>
      </c>
      <c r="P4" s="132" t="s">
        <v>297</v>
      </c>
      <c r="Q4" s="132" t="s">
        <v>298</v>
      </c>
      <c r="R4" s="129" t="s">
        <v>294</v>
      </c>
      <c r="S4" s="129" t="s">
        <v>295</v>
      </c>
      <c r="T4" s="129" t="s">
        <v>296</v>
      </c>
      <c r="U4" s="129" t="s">
        <v>297</v>
      </c>
      <c r="V4" s="129" t="s">
        <v>298</v>
      </c>
      <c r="W4" s="132" t="s">
        <v>294</v>
      </c>
      <c r="X4" s="132" t="s">
        <v>295</v>
      </c>
      <c r="Y4" s="132" t="s">
        <v>296</v>
      </c>
      <c r="Z4" s="132" t="s">
        <v>297</v>
      </c>
      <c r="AA4" s="132" t="s">
        <v>298</v>
      </c>
      <c r="AB4" s="129" t="s">
        <v>294</v>
      </c>
      <c r="AC4" s="129" t="s">
        <v>295</v>
      </c>
      <c r="AD4" s="129" t="s">
        <v>296</v>
      </c>
      <c r="AE4" s="129" t="s">
        <v>297</v>
      </c>
      <c r="AF4" s="129" t="s">
        <v>298</v>
      </c>
      <c r="AG4" s="132" t="s">
        <v>294</v>
      </c>
      <c r="AH4" s="132" t="s">
        <v>295</v>
      </c>
      <c r="AI4" s="132" t="s">
        <v>296</v>
      </c>
      <c r="AJ4" s="132" t="s">
        <v>297</v>
      </c>
      <c r="AK4" s="132" t="s">
        <v>298</v>
      </c>
      <c r="AL4" s="129" t="s">
        <v>294</v>
      </c>
      <c r="AM4" s="129" t="s">
        <v>295</v>
      </c>
      <c r="AN4" s="129" t="s">
        <v>296</v>
      </c>
      <c r="AO4" s="129" t="s">
        <v>297</v>
      </c>
      <c r="AP4" s="129" t="s">
        <v>298</v>
      </c>
      <c r="AQ4" s="132" t="s">
        <v>294</v>
      </c>
      <c r="AR4" s="132" t="s">
        <v>295</v>
      </c>
      <c r="AS4" s="132" t="s">
        <v>296</v>
      </c>
      <c r="AT4" s="132" t="s">
        <v>297</v>
      </c>
      <c r="AU4" s="132" t="s">
        <v>298</v>
      </c>
      <c r="AV4" s="129" t="s">
        <v>294</v>
      </c>
      <c r="AW4" s="129" t="s">
        <v>295</v>
      </c>
      <c r="AX4" s="129" t="s">
        <v>296</v>
      </c>
      <c r="AY4" s="129" t="s">
        <v>297</v>
      </c>
      <c r="AZ4" s="129" t="s">
        <v>298</v>
      </c>
      <c r="BA4" s="132" t="s">
        <v>294</v>
      </c>
      <c r="BB4" s="132" t="s">
        <v>295</v>
      </c>
      <c r="BC4" s="132" t="s">
        <v>296</v>
      </c>
      <c r="BD4" s="132" t="s">
        <v>297</v>
      </c>
      <c r="BE4" s="132" t="s">
        <v>298</v>
      </c>
      <c r="BF4" s="129" t="s">
        <v>294</v>
      </c>
      <c r="BG4" s="129" t="s">
        <v>295</v>
      </c>
      <c r="BH4" s="129" t="s">
        <v>296</v>
      </c>
      <c r="BI4" s="129" t="s">
        <v>297</v>
      </c>
      <c r="BJ4" s="129" t="s">
        <v>298</v>
      </c>
      <c r="BK4" s="132" t="s">
        <v>294</v>
      </c>
      <c r="BL4" s="132" t="s">
        <v>295</v>
      </c>
      <c r="BM4" s="132" t="s">
        <v>296</v>
      </c>
      <c r="BN4" s="132" t="s">
        <v>297</v>
      </c>
      <c r="BO4" s="132" t="s">
        <v>298</v>
      </c>
      <c r="BP4" s="129" t="s">
        <v>294</v>
      </c>
      <c r="BQ4" s="129" t="s">
        <v>295</v>
      </c>
      <c r="BR4" s="129" t="s">
        <v>296</v>
      </c>
      <c r="BS4" s="129" t="s">
        <v>297</v>
      </c>
      <c r="BT4" s="129" t="s">
        <v>298</v>
      </c>
      <c r="BU4" s="132" t="s">
        <v>294</v>
      </c>
      <c r="BV4" s="132" t="s">
        <v>295</v>
      </c>
      <c r="BW4" s="132" t="s">
        <v>296</v>
      </c>
      <c r="BX4" s="132" t="s">
        <v>297</v>
      </c>
      <c r="BY4" s="132" t="s">
        <v>298</v>
      </c>
      <c r="BZ4" s="129" t="s">
        <v>294</v>
      </c>
      <c r="CA4" s="129" t="s">
        <v>295</v>
      </c>
      <c r="CB4" s="129" t="s">
        <v>296</v>
      </c>
      <c r="CC4" s="129" t="s">
        <v>297</v>
      </c>
      <c r="CD4" s="129" t="s">
        <v>298</v>
      </c>
      <c r="CE4" s="132" t="s">
        <v>294</v>
      </c>
      <c r="CF4" s="132" t="s">
        <v>295</v>
      </c>
      <c r="CG4" s="132" t="s">
        <v>296</v>
      </c>
      <c r="CH4" s="132" t="s">
        <v>297</v>
      </c>
      <c r="CI4" s="132" t="s">
        <v>298</v>
      </c>
      <c r="CJ4" s="129" t="s">
        <v>294</v>
      </c>
      <c r="CK4" s="129" t="s">
        <v>295</v>
      </c>
      <c r="CL4" s="129" t="s">
        <v>296</v>
      </c>
      <c r="CM4" s="129" t="s">
        <v>297</v>
      </c>
      <c r="CN4" s="129" t="s">
        <v>298</v>
      </c>
      <c r="CO4" s="132" t="s">
        <v>294</v>
      </c>
      <c r="CP4" s="132" t="s">
        <v>295</v>
      </c>
      <c r="CQ4" s="132" t="s">
        <v>296</v>
      </c>
      <c r="CR4" s="132" t="s">
        <v>297</v>
      </c>
      <c r="CS4" s="132" t="s">
        <v>298</v>
      </c>
    </row>
    <row r="5" spans="1:99">
      <c r="A5" s="155" t="s">
        <v>307</v>
      </c>
      <c r="B5" s="156" t="s">
        <v>308</v>
      </c>
      <c r="C5" s="157">
        <f>IFERROR(VLOOKUP($A5,'A0 BS 1240在建'!$1:$1048576,5,0),0)</f>
        <v>0</v>
      </c>
      <c r="D5" s="157">
        <f>IFERROR(VLOOKUP($A5,'B0 2264預收'!$1:$1048576,5,0),0)</f>
        <v>0</v>
      </c>
      <c r="E5" s="157">
        <f t="shared" ref="E5:E36" si="0">+C5-D5</f>
        <v>0</v>
      </c>
      <c r="F5" s="157">
        <f>IFERROR(VLOOKUP($A5,'B0 2264預收'!$1:$1048576,6,0),0)</f>
        <v>0</v>
      </c>
      <c r="G5" s="157">
        <f t="shared" ref="G5:G36" si="1">+C5-D5-F5</f>
        <v>0</v>
      </c>
      <c r="H5" s="158">
        <f>IFERROR(VLOOKUP($A5,'A0 BS 1240在建'!$1:$1048576,13,0),0)-C5</f>
        <v>0</v>
      </c>
      <c r="I5" s="158">
        <f>IFERROR(VLOOKUP($A5,'B0 2264預收'!$1:$1048576,13,0),0)-D5</f>
        <v>0</v>
      </c>
      <c r="J5" s="158">
        <f t="shared" ref="J5:J36" si="2">+H5-I5</f>
        <v>0</v>
      </c>
      <c r="K5" s="158">
        <f>IFERROR(VLOOKUP($A5,'B0 2264預收'!$1:$1048576,14,0),0)-F5</f>
        <v>0</v>
      </c>
      <c r="L5" s="158">
        <f t="shared" ref="L5:L36" si="3">+J5-K5</f>
        <v>0</v>
      </c>
      <c r="M5" s="157">
        <f>VLOOKUP($A5,'Over Under Bill 1 COPY 到CO欄位'!$1:$1048576,'Over Under Bill 1 COPY 到CO欄位'!M$1,0)-VLOOKUP($A5,'Over Under Bill 1 COPY 到CO欄位'!$1:$1048576,'Over Under Bill 1 COPY 到CO欄位'!H$1,0)</f>
        <v>0</v>
      </c>
      <c r="N5" s="157">
        <f>VLOOKUP($A5,'Over Under Bill 1 COPY 到CO欄位'!$1:$1048576,'Over Under Bill 1 COPY 到CO欄位'!N$1,0)-VLOOKUP($A5,'Over Under Bill 1 COPY 到CO欄位'!$1:$1048576,'Over Under Bill 1 COPY 到CO欄位'!I$1,0)</f>
        <v>0</v>
      </c>
      <c r="O5" s="157">
        <f t="shared" ref="O5:O36" si="4">+M5-N5</f>
        <v>0</v>
      </c>
      <c r="P5" s="157">
        <f>VLOOKUP($A5,'Over Under Bill 1 COPY 到CO欄位'!$1:$1048576,'Over Under Bill 1 COPY 到CO欄位'!P$1,0)-VLOOKUP($A5,'Over Under Bill 1 COPY 到CO欄位'!$1:$1048576,'Over Under Bill 1 COPY 到CO欄位'!K$1,0)</f>
        <v>0</v>
      </c>
      <c r="Q5" s="157">
        <f t="shared" ref="Q5:Q36" si="5">+O5-P5</f>
        <v>0</v>
      </c>
      <c r="R5" s="158">
        <f>VLOOKUP($A5,'Over Under Bill 1 COPY 到CO欄位'!$1:$1048576,'Over Under Bill 1 COPY 到CO欄位'!R$1,0)-VLOOKUP($A5,'Over Under Bill 1 COPY 到CO欄位'!$1:$1048576,'Over Under Bill 1 COPY 到CO欄位'!M$1,0)</f>
        <v>0</v>
      </c>
      <c r="S5" s="158">
        <f>VLOOKUP($A5,'Over Under Bill 1 COPY 到CO欄位'!$1:$1048576,'Over Under Bill 1 COPY 到CO欄位'!S$1,0)-VLOOKUP($A5,'Over Under Bill 1 COPY 到CO欄位'!$1:$1048576,'Over Under Bill 1 COPY 到CO欄位'!N$1,0)</f>
        <v>0</v>
      </c>
      <c r="T5" s="158">
        <f t="shared" ref="T5:T36" si="6">+R5-S5</f>
        <v>0</v>
      </c>
      <c r="U5" s="158">
        <f>VLOOKUP($A5,'Over Under Bill 1 COPY 到CO欄位'!$1:$1048576,'Over Under Bill 1 COPY 到CO欄位'!U$1,0)-VLOOKUP($A5,'Over Under Bill 1 COPY 到CO欄位'!$1:$1048576,'Over Under Bill 1 COPY 到CO欄位'!P$1,0)</f>
        <v>0</v>
      </c>
      <c r="V5" s="158">
        <f t="shared" ref="V5:V36" si="7">+T5-U5</f>
        <v>0</v>
      </c>
      <c r="W5" s="157">
        <f>VLOOKUP($A5,'Over Under Bill 1 COPY 到CO欄位'!$1:$1048576,'Over Under Bill 1 COPY 到CO欄位'!W$1,0)-VLOOKUP($A5,'Over Under Bill 1 COPY 到CO欄位'!$1:$1048576,'Over Under Bill 1 COPY 到CO欄位'!R$1,0)</f>
        <v>0</v>
      </c>
      <c r="X5" s="157">
        <f>VLOOKUP($A5,'Over Under Bill 1 COPY 到CO欄位'!$1:$1048576,'Over Under Bill 1 COPY 到CO欄位'!X$1,0)-VLOOKUP($A5,'Over Under Bill 1 COPY 到CO欄位'!$1:$1048576,'Over Under Bill 1 COPY 到CO欄位'!S$1,0)</f>
        <v>0</v>
      </c>
      <c r="Y5" s="157">
        <f t="shared" ref="Y5:Y36" si="8">+W5-X5</f>
        <v>0</v>
      </c>
      <c r="Z5" s="157">
        <f>VLOOKUP($A5,'Over Under Bill 1 COPY 到CO欄位'!$1:$1048576,'Over Under Bill 1 COPY 到CO欄位'!Z$1,0)-VLOOKUP($A5,'Over Under Bill 1 COPY 到CO欄位'!$1:$1048576,'Over Under Bill 1 COPY 到CO欄位'!U$1,0)</f>
        <v>0</v>
      </c>
      <c r="AA5" s="157">
        <f t="shared" ref="AA5:AA36" si="9">+Y5-Z5</f>
        <v>0</v>
      </c>
      <c r="AB5" s="158">
        <f>VLOOKUP($A5,'Over Under Bill 1 COPY 到CO欄位'!$1:$1048576,'Over Under Bill 1 COPY 到CO欄位'!AB$1,0)-VLOOKUP($A5,'Over Under Bill 1 COPY 到CO欄位'!$1:$1048576,'Over Under Bill 1 COPY 到CO欄位'!W$1,0)</f>
        <v>0</v>
      </c>
      <c r="AC5" s="158">
        <f>VLOOKUP($A5,'Over Under Bill 1 COPY 到CO欄位'!$1:$1048576,'Over Under Bill 1 COPY 到CO欄位'!AC$1,0)-VLOOKUP($A5,'Over Under Bill 1 COPY 到CO欄位'!$1:$1048576,'Over Under Bill 1 COPY 到CO欄位'!X$1,0)</f>
        <v>0</v>
      </c>
      <c r="AD5" s="158">
        <f t="shared" ref="AD5:AD36" si="10">+AB5-AC5</f>
        <v>0</v>
      </c>
      <c r="AE5" s="158">
        <f>VLOOKUP($A5,'Over Under Bill 1 COPY 到CO欄位'!$1:$1048576,'Over Under Bill 1 COPY 到CO欄位'!AE$1,0)-VLOOKUP($A5,'Over Under Bill 1 COPY 到CO欄位'!$1:$1048576,'Over Under Bill 1 COPY 到CO欄位'!Z$1,0)</f>
        <v>0</v>
      </c>
      <c r="AF5" s="158">
        <f t="shared" ref="AF5:AF36" si="11">+AD5-AE5</f>
        <v>0</v>
      </c>
      <c r="AG5" s="157">
        <f>VLOOKUP($A5,'Over Under Bill 1 COPY 到CO欄位'!$1:$1048576,'Over Under Bill 1 COPY 到CO欄位'!AG$1,0)-VLOOKUP($A5,'Over Under Bill 1 COPY 到CO欄位'!$1:$1048576,'Over Under Bill 1 COPY 到CO欄位'!AB$1,0)</f>
        <v>0</v>
      </c>
      <c r="AH5" s="157">
        <f>VLOOKUP($A5,'Over Under Bill 1 COPY 到CO欄位'!$1:$1048576,'Over Under Bill 1 COPY 到CO欄位'!AH$1,0)-VLOOKUP($A5,'Over Under Bill 1 COPY 到CO欄位'!$1:$1048576,'Over Under Bill 1 COPY 到CO欄位'!AC$1,0)</f>
        <v>0</v>
      </c>
      <c r="AI5" s="157">
        <f t="shared" ref="AI5:AI36" si="12">+AG5-AH5</f>
        <v>0</v>
      </c>
      <c r="AJ5" s="157">
        <f>VLOOKUP($A5,'Over Under Bill 1 COPY 到CO欄位'!$1:$1048576,'Over Under Bill 1 COPY 到CO欄位'!AJ$1,0)-VLOOKUP($A5,'Over Under Bill 1 COPY 到CO欄位'!$1:$1048576,'Over Under Bill 1 COPY 到CO欄位'!AE$1,0)</f>
        <v>0</v>
      </c>
      <c r="AK5" s="157">
        <f t="shared" ref="AK5:AK36" si="13">+AI5-AJ5</f>
        <v>0</v>
      </c>
      <c r="AL5" s="158">
        <f>VLOOKUP($A5,'Over Under Bill 1 COPY 到CO欄位'!$1:$1048576,'Over Under Bill 1 COPY 到CO欄位'!AL$1,0)-VLOOKUP($A5,'Over Under Bill 1 COPY 到CO欄位'!$1:$1048576,'Over Under Bill 1 COPY 到CO欄位'!AG$1,0)</f>
        <v>0</v>
      </c>
      <c r="AM5" s="158">
        <f>VLOOKUP($A5,'Over Under Bill 1 COPY 到CO欄位'!$1:$1048576,'Over Under Bill 1 COPY 到CO欄位'!AM$1,0)-VLOOKUP($A5,'Over Under Bill 1 COPY 到CO欄位'!$1:$1048576,'Over Under Bill 1 COPY 到CO欄位'!AH$1,0)</f>
        <v>0</v>
      </c>
      <c r="AN5" s="158">
        <f t="shared" ref="AN5:AN36" si="14">+AL5-AM5</f>
        <v>0</v>
      </c>
      <c r="AO5" s="158">
        <f>VLOOKUP($A5,'Over Under Bill 1 COPY 到CO欄位'!$1:$1048576,'Over Under Bill 1 COPY 到CO欄位'!AO$1,0)-VLOOKUP($A5,'Over Under Bill 1 COPY 到CO欄位'!$1:$1048576,'Over Under Bill 1 COPY 到CO欄位'!AJ$1,0)</f>
        <v>0</v>
      </c>
      <c r="AP5" s="158">
        <f t="shared" ref="AP5:AP36" si="15">+AN5-AO5</f>
        <v>0</v>
      </c>
      <c r="AQ5" s="157">
        <f>VLOOKUP($A5,'Over Under Bill 1 COPY 到CO欄位'!$1:$1048576,'Over Under Bill 1 COPY 到CO欄位'!AQ$1,0)-VLOOKUP($A5,'Over Under Bill 1 COPY 到CO欄位'!$1:$1048576,'Over Under Bill 1 COPY 到CO欄位'!AL$1,0)</f>
        <v>0</v>
      </c>
      <c r="AR5" s="157">
        <f>VLOOKUP($A5,'Over Under Bill 1 COPY 到CO欄位'!$1:$1048576,'Over Under Bill 1 COPY 到CO欄位'!AR$1,0)-VLOOKUP($A5,'Over Under Bill 1 COPY 到CO欄位'!$1:$1048576,'Over Under Bill 1 COPY 到CO欄位'!AM$1,0)</f>
        <v>0</v>
      </c>
      <c r="AS5" s="157">
        <f t="shared" ref="AS5:AS36" si="16">+AQ5-AR5</f>
        <v>0</v>
      </c>
      <c r="AT5" s="157">
        <f>VLOOKUP($A5,'Over Under Bill 1 COPY 到CO欄位'!$1:$1048576,'Over Under Bill 1 COPY 到CO欄位'!AT$1,0)-VLOOKUP($A5,'Over Under Bill 1 COPY 到CO欄位'!$1:$1048576,'Over Under Bill 1 COPY 到CO欄位'!AO$1,0)</f>
        <v>0</v>
      </c>
      <c r="AU5" s="157">
        <f t="shared" ref="AU5:AU36" si="17">+AS5-AT5</f>
        <v>0</v>
      </c>
      <c r="AV5" s="158">
        <f>VLOOKUP($A5,'Over Under Bill 1 COPY 到CO欄位'!$1:$1048576,'Over Under Bill 1 COPY 到CO欄位'!AV$1,0)-VLOOKUP($A5,'Over Under Bill 1 COPY 到CO欄位'!$1:$1048576,'Over Under Bill 1 COPY 到CO欄位'!AQ$1,0)</f>
        <v>0</v>
      </c>
      <c r="AW5" s="158">
        <f>VLOOKUP($A5,'Over Under Bill 1 COPY 到CO欄位'!$1:$1048576,'Over Under Bill 1 COPY 到CO欄位'!AW$1,0)-VLOOKUP($A5,'Over Under Bill 1 COPY 到CO欄位'!$1:$1048576,'Over Under Bill 1 COPY 到CO欄位'!AR$1,0)</f>
        <v>0</v>
      </c>
      <c r="AX5" s="158">
        <f t="shared" ref="AX5:AX36" si="18">+AV5-AW5</f>
        <v>0</v>
      </c>
      <c r="AY5" s="158">
        <f>VLOOKUP($A5,'Over Under Bill 1 COPY 到CO欄位'!$1:$1048576,'Over Under Bill 1 COPY 到CO欄位'!AY$1,0)-VLOOKUP($A5,'Over Under Bill 1 COPY 到CO欄位'!$1:$1048576,'Over Under Bill 1 COPY 到CO欄位'!AT$1,0)</f>
        <v>0</v>
      </c>
      <c r="AZ5" s="158">
        <f t="shared" ref="AZ5:AZ36" si="19">+AX5-AY5</f>
        <v>0</v>
      </c>
      <c r="BA5" s="157">
        <f>VLOOKUP($A5,'Over Under Bill 1 COPY 到CO欄位'!$1:$1048576,'Over Under Bill 1 COPY 到CO欄位'!BA$1,0)-VLOOKUP($A5,'Over Under Bill 1 COPY 到CO欄位'!$1:$1048576,'Over Under Bill 1 COPY 到CO欄位'!AV$1,0)</f>
        <v>0</v>
      </c>
      <c r="BB5" s="157">
        <f>VLOOKUP($A5,'Over Under Bill 1 COPY 到CO欄位'!$1:$1048576,'Over Under Bill 1 COPY 到CO欄位'!BB$1,0)-VLOOKUP($A5,'Over Under Bill 1 COPY 到CO欄位'!$1:$1048576,'Over Under Bill 1 COPY 到CO欄位'!AW$1,0)</f>
        <v>0</v>
      </c>
      <c r="BC5" s="157">
        <f t="shared" ref="BC5:BC36" si="20">+BA5-BB5</f>
        <v>0</v>
      </c>
      <c r="BD5" s="157">
        <f>VLOOKUP($A5,'Over Under Bill 1 COPY 到CO欄位'!$1:$1048576,'Over Under Bill 1 COPY 到CO欄位'!BD$1,0)-VLOOKUP($A5,'Over Under Bill 1 COPY 到CO欄位'!$1:$1048576,'Over Under Bill 1 COPY 到CO欄位'!AY$1,0)</f>
        <v>0</v>
      </c>
      <c r="BE5" s="157">
        <f t="shared" ref="BE5:BE36" si="21">+BC5-BD5</f>
        <v>0</v>
      </c>
      <c r="BF5" s="158">
        <f>VLOOKUP($A5,'Over Under Bill 1 COPY 到CO欄位'!$1:$1048576,'Over Under Bill 1 COPY 到CO欄位'!BF$1,0)-VLOOKUP($A5,'Over Under Bill 1 COPY 到CO欄位'!$1:$1048576,'Over Under Bill 1 COPY 到CO欄位'!BA$1,0)</f>
        <v>0</v>
      </c>
      <c r="BG5" s="158">
        <f>VLOOKUP($A5,'Over Under Bill 1 COPY 到CO欄位'!$1:$1048576,'Over Under Bill 1 COPY 到CO欄位'!BG$1,0)-VLOOKUP($A5,'Over Under Bill 1 COPY 到CO欄位'!$1:$1048576,'Over Under Bill 1 COPY 到CO欄位'!BB$1,0)</f>
        <v>0</v>
      </c>
      <c r="BH5" s="158">
        <f t="shared" ref="BH5:BH36" si="22">+BF5-BG5</f>
        <v>0</v>
      </c>
      <c r="BI5" s="158">
        <f>VLOOKUP($A5,'Over Under Bill 1 COPY 到CO欄位'!$1:$1048576,'Over Under Bill 1 COPY 到CO欄位'!BI$1,0)-VLOOKUP($A5,'Over Under Bill 1 COPY 到CO欄位'!$1:$1048576,'Over Under Bill 1 COPY 到CO欄位'!BD$1,0)</f>
        <v>0</v>
      </c>
      <c r="BJ5" s="158">
        <f t="shared" ref="BJ5:BJ36" si="23">+BH5-BI5</f>
        <v>0</v>
      </c>
      <c r="BK5" s="157">
        <f>VLOOKUP($A5,'Over Under Bill 1 COPY 到CO欄位'!$1:$1048576,'Over Under Bill 1 COPY 到CO欄位'!BK$1,0)-VLOOKUP($A5,'Over Under Bill 1 COPY 到CO欄位'!$1:$1048576,'Over Under Bill 1 COPY 到CO欄位'!BF$1,0)</f>
        <v>0</v>
      </c>
      <c r="BL5" s="157">
        <f>VLOOKUP($A5,'Over Under Bill 1 COPY 到CO欄位'!$1:$1048576,'Over Under Bill 1 COPY 到CO欄位'!BL$1,0)-VLOOKUP($A5,'Over Under Bill 1 COPY 到CO欄位'!$1:$1048576,'Over Under Bill 1 COPY 到CO欄位'!BG$1,0)</f>
        <v>0</v>
      </c>
      <c r="BM5" s="157">
        <f t="shared" ref="BM5:BM36" si="24">+BK5-BL5</f>
        <v>0</v>
      </c>
      <c r="BN5" s="157">
        <f>VLOOKUP($A5,'Over Under Bill 1 COPY 到CO欄位'!$1:$1048576,'Over Under Bill 1 COPY 到CO欄位'!BN$1,0)-VLOOKUP($A5,'Over Under Bill 1 COPY 到CO欄位'!$1:$1048576,'Over Under Bill 1 COPY 到CO欄位'!BI$1,0)</f>
        <v>0</v>
      </c>
      <c r="BO5" s="157">
        <f t="shared" ref="BO5:BO36" si="25">+BM5-BN5</f>
        <v>0</v>
      </c>
      <c r="BP5" s="158">
        <f>VLOOKUP($A5,'Over Under Bill 1 COPY 到CO欄位'!$1:$1048576,'Over Under Bill 1 COPY 到CO欄位'!BP$1,0)-VLOOKUP($A5,'Over Under Bill 1 COPY 到CO欄位'!$1:$1048576,'Over Under Bill 1 COPY 到CO欄位'!BK$1,0)</f>
        <v>0</v>
      </c>
      <c r="BQ5" s="158">
        <f>VLOOKUP($A5,'Over Under Bill 1 COPY 到CO欄位'!$1:$1048576,'Over Under Bill 1 COPY 到CO欄位'!BQ$1,0)-VLOOKUP($A5,'Over Under Bill 1 COPY 到CO欄位'!$1:$1048576,'Over Under Bill 1 COPY 到CO欄位'!BL$1,0)</f>
        <v>0</v>
      </c>
      <c r="BR5" s="158">
        <f t="shared" ref="BR5:BR36" si="26">+BP5-BQ5</f>
        <v>0</v>
      </c>
      <c r="BS5" s="158">
        <f>VLOOKUP($A5,'Over Under Bill 1 COPY 到CO欄位'!$1:$1048576,'Over Under Bill 1 COPY 到CO欄位'!BS$1,0)-VLOOKUP($A5,'Over Under Bill 1 COPY 到CO欄位'!$1:$1048576,'Over Under Bill 1 COPY 到CO欄位'!BN$1,0)</f>
        <v>0</v>
      </c>
      <c r="BT5" s="158">
        <f t="shared" ref="BT5:BT36" si="27">+BR5-BS5</f>
        <v>0</v>
      </c>
      <c r="BU5" s="157">
        <f>VLOOKUP($A5,'Over Under Bill 1 COPY 到CO欄位'!$1:$1048576,'Over Under Bill 1 COPY 到CO欄位'!BP$1,0)-VLOOKUP($A5,'Over Under Bill 1 COPY 到CO欄位'!$1:$1048576,'Over Under Bill 1 COPY 到CO欄位'!H$1,0)</f>
        <v>0</v>
      </c>
      <c r="BV5" s="157">
        <f>VLOOKUP($A5,'Over Under Bill 1 COPY 到CO欄位'!$1:$1048576,'Over Under Bill 1 COPY 到CO欄位'!BQ$1,0)-VLOOKUP($A5,'Over Under Bill 1 COPY 到CO欄位'!$1:$1048576,'Over Under Bill 1 COPY 到CO欄位'!I$1,0)</f>
        <v>0</v>
      </c>
      <c r="BW5" s="157">
        <f t="shared" ref="BW5:BW36" si="28">+BU5-BV5</f>
        <v>0</v>
      </c>
      <c r="BX5" s="157">
        <f>VLOOKUP($A5,'Over Under Bill 1 COPY 到CO欄位'!$1:$1048576,'Over Under Bill 1 COPY 到CO欄位'!BS$1,0)-VLOOKUP($A5,'Over Under Bill 1 COPY 到CO欄位'!$1:$1048576,'Over Under Bill 1 COPY 到CO欄位'!K$1,0)</f>
        <v>0</v>
      </c>
      <c r="BY5" s="157">
        <f t="shared" ref="BY5:BY36" si="29">+BW5-BX5</f>
        <v>0</v>
      </c>
      <c r="BZ5" s="158">
        <f>VLOOKUP($A5,'Over Under Bill 1 COPY 到CO欄位'!$1:$1048576,'Over Under Bill 1 COPY 到CO欄位'!BU$1,0)-VLOOKUP($A5,'Over Under Bill 1 COPY 到CO欄位'!$1:$1048576,'Over Under Bill 1 COPY 到CO欄位'!BP$1,0)</f>
        <v>0</v>
      </c>
      <c r="CA5" s="158">
        <f>VLOOKUP($A5,'Over Under Bill 1 COPY 到CO欄位'!$1:$1048576,'Over Under Bill 1 COPY 到CO欄位'!BV$1,0)-VLOOKUP($A5,'Over Under Bill 1 COPY 到CO欄位'!$1:$1048576,'Over Under Bill 1 COPY 到CO欄位'!BQ$1,0)</f>
        <v>0</v>
      </c>
      <c r="CB5" s="158">
        <f t="shared" ref="CB5:CB36" si="30">+BZ5-CA5</f>
        <v>0</v>
      </c>
      <c r="CC5" s="158">
        <f>VLOOKUP($A5,'Over Under Bill 1 COPY 到CO欄位'!$1:$1048576,'Over Under Bill 1 COPY 到CO欄位'!BX$1,0)-VLOOKUP($A5,'Over Under Bill 1 COPY 到CO欄位'!$1:$1048576,'Over Under Bill 1 COPY 到CO欄位'!BS$1,0)</f>
        <v>0</v>
      </c>
      <c r="CD5" s="158">
        <f t="shared" ref="CD5:CD36" si="31">+CB5-CC5</f>
        <v>0</v>
      </c>
      <c r="CE5" s="157">
        <f>VLOOKUP($A5,'Over Under Bill 1 COPY 到CO欄位'!$1:$1048576,'Over Under Bill 1 COPY 到CO欄位'!BZ$1,0)-VLOOKUP($A5,'Over Under Bill 1 COPY 到CO欄位'!$1:$1048576,'Over Under Bill 1 COPY 到CO欄位'!BU$1,0)</f>
        <v>0</v>
      </c>
      <c r="CF5" s="157">
        <f>VLOOKUP($A5,'Over Under Bill 1 COPY 到CO欄位'!$1:$1048576,'Over Under Bill 1 COPY 到CO欄位'!CA$1,0)-VLOOKUP($A5,'Over Under Bill 1 COPY 到CO欄位'!$1:$1048576,'Over Under Bill 1 COPY 到CO欄位'!BV$1,0)</f>
        <v>0</v>
      </c>
      <c r="CG5" s="157">
        <f t="shared" ref="CG5:CG36" si="32">+CE5-CF5</f>
        <v>0</v>
      </c>
      <c r="CH5" s="157">
        <f>VLOOKUP($A5,'Over Under Bill 1 COPY 到CO欄位'!$1:$1048576,'Over Under Bill 1 COPY 到CO欄位'!CC$1,0)-VLOOKUP($A5,'Over Under Bill 1 COPY 到CO欄位'!$1:$1048576,'Over Under Bill 1 COPY 到CO欄位'!BX$1,0)</f>
        <v>0</v>
      </c>
      <c r="CI5" s="157">
        <f t="shared" ref="CI5:CI36" si="33">+CG5-CH5</f>
        <v>0</v>
      </c>
      <c r="CJ5" s="158">
        <f>VLOOKUP($A5,'Over Under Bill 1 COPY 到CO欄位'!$1:$1048576,'Over Under Bill 1 COPY 到CO欄位'!CE$1,0)-VLOOKUP($A5,'Over Under Bill 1 COPY 到CO欄位'!$1:$1048576,'Over Under Bill 1 COPY 到CO欄位'!BZ$1,0)</f>
        <v>0</v>
      </c>
      <c r="CK5" s="158">
        <f>VLOOKUP($A5,'Over Under Bill 1 COPY 到CO欄位'!$1:$1048576,'Over Under Bill 1 COPY 到CO欄位'!CF$1,0)-VLOOKUP($A5,'Over Under Bill 1 COPY 到CO欄位'!$1:$1048576,'Over Under Bill 1 COPY 到CO欄位'!CA$1,0)</f>
        <v>0</v>
      </c>
      <c r="CL5" s="158">
        <f t="shared" ref="CL5:CL36" si="34">+CJ5-CK5</f>
        <v>0</v>
      </c>
      <c r="CM5" s="158">
        <f>VLOOKUP($A5,'Over Under Bill 1 COPY 到CO欄位'!$1:$1048576,'Over Under Bill 1 COPY 到CO欄位'!CH$1,0)-VLOOKUP($A5,'Over Under Bill 1 COPY 到CO欄位'!$1:$1048576,'Over Under Bill 1 COPY 到CO欄位'!CC$1,0)</f>
        <v>0</v>
      </c>
      <c r="CN5" s="158">
        <f t="shared" ref="CN5:CN36" si="35">+CL5-CM5</f>
        <v>0</v>
      </c>
      <c r="CO5" s="157">
        <f>VLOOKUP($A5,'Over Under Bill 1 COPY 到CO欄位'!$1:$1048576,'Over Under Bill 1 COPY 到CO欄位'!CJ$1,0)-VLOOKUP($A5,'Over Under Bill 1 COPY 到CO欄位'!$1:$1048576,'Over Under Bill 1 COPY 到CO欄位'!CE$1,0)</f>
        <v>0</v>
      </c>
      <c r="CP5" s="157">
        <f>VLOOKUP($A5,'Over Under Bill 1 COPY 到CO欄位'!$1:$1048576,'Over Under Bill 1 COPY 到CO欄位'!CK$1,0)-VLOOKUP($A5,'Over Under Bill 1 COPY 到CO欄位'!$1:$1048576,'Over Under Bill 1 COPY 到CO欄位'!CF$1,0)</f>
        <v>0</v>
      </c>
      <c r="CQ5" s="157">
        <f t="shared" ref="CQ5:CQ36" si="36">+CO5-CP5</f>
        <v>0</v>
      </c>
      <c r="CR5" s="157">
        <f>VLOOKUP($A5,'Over Under Bill 1 COPY 到CO欄位'!$1:$1048576,'Over Under Bill 1 COPY 到CO欄位'!CM$1,0)-VLOOKUP($A5,'Over Under Bill 1 COPY 到CO欄位'!$1:$1048576,'Over Under Bill 1 COPY 到CO欄位'!CH$1,0)</f>
        <v>0</v>
      </c>
      <c r="CS5" s="157">
        <f t="shared" ref="CS5:CS36" si="37">+CQ5-CR5</f>
        <v>0</v>
      </c>
    </row>
    <row r="6" spans="1:99">
      <c r="A6" s="155" t="s">
        <v>309</v>
      </c>
      <c r="B6" s="164" t="s">
        <v>310</v>
      </c>
      <c r="C6" s="157">
        <f>IFERROR(VLOOKUP($A6,'A0 BS 1240在建'!$1:$1048576,5,0),0)</f>
        <v>0</v>
      </c>
      <c r="D6" s="157">
        <f>IFERROR(VLOOKUP($A6,'B0 2264預收'!$1:$1048576,5,0),0)</f>
        <v>0</v>
      </c>
      <c r="E6" s="157">
        <f t="shared" si="0"/>
        <v>0</v>
      </c>
      <c r="F6" s="157">
        <f>IFERROR(VLOOKUP($A6,'B0 2264預收'!$1:$1048576,6,0),0)</f>
        <v>0</v>
      </c>
      <c r="G6" s="157">
        <f t="shared" si="1"/>
        <v>0</v>
      </c>
      <c r="H6" s="158">
        <f>IFERROR(VLOOKUP($A6,'A0 BS 1240在建'!$1:$1048576,13,0),0)-C6</f>
        <v>0</v>
      </c>
      <c r="I6" s="158">
        <f>IFERROR(VLOOKUP($A6,'B0 2264預收'!$1:$1048576,13,0),0)-D6</f>
        <v>0</v>
      </c>
      <c r="J6" s="158">
        <f t="shared" si="2"/>
        <v>0</v>
      </c>
      <c r="K6" s="158">
        <f>IFERROR(VLOOKUP($A6,'B0 2264預收'!$1:$1048576,14,0),0)-F6</f>
        <v>0</v>
      </c>
      <c r="L6" s="158">
        <f t="shared" si="3"/>
        <v>0</v>
      </c>
      <c r="M6" s="157">
        <f>VLOOKUP($A6,'Over Under Bill 1 COPY 到CO欄位'!$1:$1048576,'Over Under Bill 1 COPY 到CO欄位'!M$1,0)-VLOOKUP($A6,'Over Under Bill 1 COPY 到CO欄位'!$1:$1048576,'Over Under Bill 1 COPY 到CO欄位'!H$1,0)</f>
        <v>0</v>
      </c>
      <c r="N6" s="157">
        <f>VLOOKUP($A6,'Over Under Bill 1 COPY 到CO欄位'!$1:$1048576,'Over Under Bill 1 COPY 到CO欄位'!N$1,0)-VLOOKUP($A6,'Over Under Bill 1 COPY 到CO欄位'!$1:$1048576,'Over Under Bill 1 COPY 到CO欄位'!I$1,0)</f>
        <v>0</v>
      </c>
      <c r="O6" s="157">
        <f t="shared" si="4"/>
        <v>0</v>
      </c>
      <c r="P6" s="157">
        <f>VLOOKUP($A6,'Over Under Bill 1 COPY 到CO欄位'!$1:$1048576,'Over Under Bill 1 COPY 到CO欄位'!P$1,0)-VLOOKUP($A6,'Over Under Bill 1 COPY 到CO欄位'!$1:$1048576,'Over Under Bill 1 COPY 到CO欄位'!K$1,0)</f>
        <v>0</v>
      </c>
      <c r="Q6" s="157">
        <f t="shared" si="5"/>
        <v>0</v>
      </c>
      <c r="R6" s="158">
        <f>VLOOKUP($A6,'Over Under Bill 1 COPY 到CO欄位'!$1:$1048576,'Over Under Bill 1 COPY 到CO欄位'!R$1,0)-VLOOKUP($A6,'Over Under Bill 1 COPY 到CO欄位'!$1:$1048576,'Over Under Bill 1 COPY 到CO欄位'!M$1,0)</f>
        <v>0</v>
      </c>
      <c r="S6" s="158">
        <f>VLOOKUP($A6,'Over Under Bill 1 COPY 到CO欄位'!$1:$1048576,'Over Under Bill 1 COPY 到CO欄位'!S$1,0)-VLOOKUP($A6,'Over Under Bill 1 COPY 到CO欄位'!$1:$1048576,'Over Under Bill 1 COPY 到CO欄位'!N$1,0)</f>
        <v>0</v>
      </c>
      <c r="T6" s="158">
        <f t="shared" si="6"/>
        <v>0</v>
      </c>
      <c r="U6" s="158">
        <f>VLOOKUP($A6,'Over Under Bill 1 COPY 到CO欄位'!$1:$1048576,'Over Under Bill 1 COPY 到CO欄位'!U$1,0)-VLOOKUP($A6,'Over Under Bill 1 COPY 到CO欄位'!$1:$1048576,'Over Under Bill 1 COPY 到CO欄位'!P$1,0)</f>
        <v>0</v>
      </c>
      <c r="V6" s="158">
        <f t="shared" si="7"/>
        <v>0</v>
      </c>
      <c r="W6" s="157">
        <f>VLOOKUP($A6,'Over Under Bill 1 COPY 到CO欄位'!$1:$1048576,'Over Under Bill 1 COPY 到CO欄位'!W$1,0)-VLOOKUP($A6,'Over Under Bill 1 COPY 到CO欄位'!$1:$1048576,'Over Under Bill 1 COPY 到CO欄位'!R$1,0)</f>
        <v>0</v>
      </c>
      <c r="X6" s="157">
        <f>VLOOKUP($A6,'Over Under Bill 1 COPY 到CO欄位'!$1:$1048576,'Over Under Bill 1 COPY 到CO欄位'!X$1,0)-VLOOKUP($A6,'Over Under Bill 1 COPY 到CO欄位'!$1:$1048576,'Over Under Bill 1 COPY 到CO欄位'!S$1,0)</f>
        <v>0</v>
      </c>
      <c r="Y6" s="157">
        <f t="shared" si="8"/>
        <v>0</v>
      </c>
      <c r="Z6" s="157">
        <f>VLOOKUP($A6,'Over Under Bill 1 COPY 到CO欄位'!$1:$1048576,'Over Under Bill 1 COPY 到CO欄位'!Z$1,0)-VLOOKUP($A6,'Over Under Bill 1 COPY 到CO欄位'!$1:$1048576,'Over Under Bill 1 COPY 到CO欄位'!U$1,0)</f>
        <v>0</v>
      </c>
      <c r="AA6" s="157">
        <f t="shared" si="9"/>
        <v>0</v>
      </c>
      <c r="AB6" s="158">
        <f>VLOOKUP($A6,'Over Under Bill 1 COPY 到CO欄位'!$1:$1048576,'Over Under Bill 1 COPY 到CO欄位'!AB$1,0)-VLOOKUP($A6,'Over Under Bill 1 COPY 到CO欄位'!$1:$1048576,'Over Under Bill 1 COPY 到CO欄位'!W$1,0)</f>
        <v>0</v>
      </c>
      <c r="AC6" s="158">
        <f>VLOOKUP($A6,'Over Under Bill 1 COPY 到CO欄位'!$1:$1048576,'Over Under Bill 1 COPY 到CO欄位'!AC$1,0)-VLOOKUP($A6,'Over Under Bill 1 COPY 到CO欄位'!$1:$1048576,'Over Under Bill 1 COPY 到CO欄位'!X$1,0)</f>
        <v>0</v>
      </c>
      <c r="AD6" s="158">
        <f t="shared" si="10"/>
        <v>0</v>
      </c>
      <c r="AE6" s="158">
        <f>VLOOKUP($A6,'Over Under Bill 1 COPY 到CO欄位'!$1:$1048576,'Over Under Bill 1 COPY 到CO欄位'!AE$1,0)-VLOOKUP($A6,'Over Under Bill 1 COPY 到CO欄位'!$1:$1048576,'Over Under Bill 1 COPY 到CO欄位'!Z$1,0)</f>
        <v>0</v>
      </c>
      <c r="AF6" s="158">
        <f t="shared" si="11"/>
        <v>0</v>
      </c>
      <c r="AG6" s="157">
        <f>VLOOKUP($A6,'Over Under Bill 1 COPY 到CO欄位'!$1:$1048576,'Over Under Bill 1 COPY 到CO欄位'!AG$1,0)-VLOOKUP($A6,'Over Under Bill 1 COPY 到CO欄位'!$1:$1048576,'Over Under Bill 1 COPY 到CO欄位'!AB$1,0)</f>
        <v>0</v>
      </c>
      <c r="AH6" s="157">
        <f>VLOOKUP($A6,'Over Under Bill 1 COPY 到CO欄位'!$1:$1048576,'Over Under Bill 1 COPY 到CO欄位'!AH$1,0)-VLOOKUP($A6,'Over Under Bill 1 COPY 到CO欄位'!$1:$1048576,'Over Under Bill 1 COPY 到CO欄位'!AC$1,0)</f>
        <v>0</v>
      </c>
      <c r="AI6" s="157">
        <f t="shared" si="12"/>
        <v>0</v>
      </c>
      <c r="AJ6" s="157">
        <f>VLOOKUP($A6,'Over Under Bill 1 COPY 到CO欄位'!$1:$1048576,'Over Under Bill 1 COPY 到CO欄位'!AJ$1,0)-VLOOKUP($A6,'Over Under Bill 1 COPY 到CO欄位'!$1:$1048576,'Over Under Bill 1 COPY 到CO欄位'!AE$1,0)</f>
        <v>0</v>
      </c>
      <c r="AK6" s="157">
        <f t="shared" si="13"/>
        <v>0</v>
      </c>
      <c r="AL6" s="158">
        <f>VLOOKUP($A6,'Over Under Bill 1 COPY 到CO欄位'!$1:$1048576,'Over Under Bill 1 COPY 到CO欄位'!AL$1,0)-VLOOKUP($A6,'Over Under Bill 1 COPY 到CO欄位'!$1:$1048576,'Over Under Bill 1 COPY 到CO欄位'!AG$1,0)</f>
        <v>0</v>
      </c>
      <c r="AM6" s="158">
        <f>VLOOKUP($A6,'Over Under Bill 1 COPY 到CO欄位'!$1:$1048576,'Over Under Bill 1 COPY 到CO欄位'!AM$1,0)-VLOOKUP($A6,'Over Under Bill 1 COPY 到CO欄位'!$1:$1048576,'Over Under Bill 1 COPY 到CO欄位'!AH$1,0)</f>
        <v>0</v>
      </c>
      <c r="AN6" s="158">
        <f t="shared" si="14"/>
        <v>0</v>
      </c>
      <c r="AO6" s="158">
        <f>VLOOKUP($A6,'Over Under Bill 1 COPY 到CO欄位'!$1:$1048576,'Over Under Bill 1 COPY 到CO欄位'!AO$1,0)-VLOOKUP($A6,'Over Under Bill 1 COPY 到CO欄位'!$1:$1048576,'Over Under Bill 1 COPY 到CO欄位'!AJ$1,0)</f>
        <v>0</v>
      </c>
      <c r="AP6" s="158">
        <f t="shared" si="15"/>
        <v>0</v>
      </c>
      <c r="AQ6" s="157">
        <f>VLOOKUP($A6,'Over Under Bill 1 COPY 到CO欄位'!$1:$1048576,'Over Under Bill 1 COPY 到CO欄位'!AQ$1,0)-VLOOKUP($A6,'Over Under Bill 1 COPY 到CO欄位'!$1:$1048576,'Over Under Bill 1 COPY 到CO欄位'!AL$1,0)</f>
        <v>0</v>
      </c>
      <c r="AR6" s="157">
        <f>VLOOKUP($A6,'Over Under Bill 1 COPY 到CO欄位'!$1:$1048576,'Over Under Bill 1 COPY 到CO欄位'!AR$1,0)-VLOOKUP($A6,'Over Under Bill 1 COPY 到CO欄位'!$1:$1048576,'Over Under Bill 1 COPY 到CO欄位'!AM$1,0)</f>
        <v>0</v>
      </c>
      <c r="AS6" s="157">
        <f t="shared" si="16"/>
        <v>0</v>
      </c>
      <c r="AT6" s="157">
        <f>VLOOKUP($A6,'Over Under Bill 1 COPY 到CO欄位'!$1:$1048576,'Over Under Bill 1 COPY 到CO欄位'!AT$1,0)-VLOOKUP($A6,'Over Under Bill 1 COPY 到CO欄位'!$1:$1048576,'Over Under Bill 1 COPY 到CO欄位'!AO$1,0)</f>
        <v>0</v>
      </c>
      <c r="AU6" s="157">
        <f t="shared" si="17"/>
        <v>0</v>
      </c>
      <c r="AV6" s="158">
        <f>VLOOKUP($A6,'Over Under Bill 1 COPY 到CO欄位'!$1:$1048576,'Over Under Bill 1 COPY 到CO欄位'!AV$1,0)-VLOOKUP($A6,'Over Under Bill 1 COPY 到CO欄位'!$1:$1048576,'Over Under Bill 1 COPY 到CO欄位'!AQ$1,0)</f>
        <v>0</v>
      </c>
      <c r="AW6" s="158">
        <f>VLOOKUP($A6,'Over Under Bill 1 COPY 到CO欄位'!$1:$1048576,'Over Under Bill 1 COPY 到CO欄位'!AW$1,0)-VLOOKUP($A6,'Over Under Bill 1 COPY 到CO欄位'!$1:$1048576,'Over Under Bill 1 COPY 到CO欄位'!AR$1,0)</f>
        <v>0</v>
      </c>
      <c r="AX6" s="158">
        <f t="shared" si="18"/>
        <v>0</v>
      </c>
      <c r="AY6" s="158">
        <f>VLOOKUP($A6,'Over Under Bill 1 COPY 到CO欄位'!$1:$1048576,'Over Under Bill 1 COPY 到CO欄位'!AY$1,0)-VLOOKUP($A6,'Over Under Bill 1 COPY 到CO欄位'!$1:$1048576,'Over Under Bill 1 COPY 到CO欄位'!AT$1,0)</f>
        <v>0</v>
      </c>
      <c r="AZ6" s="158">
        <f t="shared" si="19"/>
        <v>0</v>
      </c>
      <c r="BA6" s="157">
        <f>VLOOKUP($A6,'Over Under Bill 1 COPY 到CO欄位'!$1:$1048576,'Over Under Bill 1 COPY 到CO欄位'!BA$1,0)-VLOOKUP($A6,'Over Under Bill 1 COPY 到CO欄位'!$1:$1048576,'Over Under Bill 1 COPY 到CO欄位'!AV$1,0)</f>
        <v>0</v>
      </c>
      <c r="BB6" s="157">
        <f>VLOOKUP($A6,'Over Under Bill 1 COPY 到CO欄位'!$1:$1048576,'Over Under Bill 1 COPY 到CO欄位'!BB$1,0)-VLOOKUP($A6,'Over Under Bill 1 COPY 到CO欄位'!$1:$1048576,'Over Under Bill 1 COPY 到CO欄位'!AW$1,0)</f>
        <v>0</v>
      </c>
      <c r="BC6" s="157">
        <f t="shared" si="20"/>
        <v>0</v>
      </c>
      <c r="BD6" s="157">
        <f>VLOOKUP($A6,'Over Under Bill 1 COPY 到CO欄位'!$1:$1048576,'Over Under Bill 1 COPY 到CO欄位'!BD$1,0)-VLOOKUP($A6,'Over Under Bill 1 COPY 到CO欄位'!$1:$1048576,'Over Under Bill 1 COPY 到CO欄位'!AY$1,0)</f>
        <v>0</v>
      </c>
      <c r="BE6" s="157">
        <f t="shared" si="21"/>
        <v>0</v>
      </c>
      <c r="BF6" s="158">
        <f>VLOOKUP($A6,'Over Under Bill 1 COPY 到CO欄位'!$1:$1048576,'Over Under Bill 1 COPY 到CO欄位'!BF$1,0)-VLOOKUP($A6,'Over Under Bill 1 COPY 到CO欄位'!$1:$1048576,'Over Under Bill 1 COPY 到CO欄位'!BA$1,0)</f>
        <v>0</v>
      </c>
      <c r="BG6" s="158">
        <f>VLOOKUP($A6,'Over Under Bill 1 COPY 到CO欄位'!$1:$1048576,'Over Under Bill 1 COPY 到CO欄位'!BG$1,0)-VLOOKUP($A6,'Over Under Bill 1 COPY 到CO欄位'!$1:$1048576,'Over Under Bill 1 COPY 到CO欄位'!BB$1,0)</f>
        <v>0</v>
      </c>
      <c r="BH6" s="158">
        <f t="shared" si="22"/>
        <v>0</v>
      </c>
      <c r="BI6" s="158">
        <f>VLOOKUP($A6,'Over Under Bill 1 COPY 到CO欄位'!$1:$1048576,'Over Under Bill 1 COPY 到CO欄位'!BI$1,0)-VLOOKUP($A6,'Over Under Bill 1 COPY 到CO欄位'!$1:$1048576,'Over Under Bill 1 COPY 到CO欄位'!BD$1,0)</f>
        <v>0</v>
      </c>
      <c r="BJ6" s="158">
        <f t="shared" si="23"/>
        <v>0</v>
      </c>
      <c r="BK6" s="157">
        <f>VLOOKUP($A6,'Over Under Bill 1 COPY 到CO欄位'!$1:$1048576,'Over Under Bill 1 COPY 到CO欄位'!BK$1,0)-VLOOKUP($A6,'Over Under Bill 1 COPY 到CO欄位'!$1:$1048576,'Over Under Bill 1 COPY 到CO欄位'!BF$1,0)</f>
        <v>0</v>
      </c>
      <c r="BL6" s="157">
        <f>VLOOKUP($A6,'Over Under Bill 1 COPY 到CO欄位'!$1:$1048576,'Over Under Bill 1 COPY 到CO欄位'!BL$1,0)-VLOOKUP($A6,'Over Under Bill 1 COPY 到CO欄位'!$1:$1048576,'Over Under Bill 1 COPY 到CO欄位'!BG$1,0)</f>
        <v>0</v>
      </c>
      <c r="BM6" s="157">
        <f t="shared" si="24"/>
        <v>0</v>
      </c>
      <c r="BN6" s="157">
        <f>VLOOKUP($A6,'Over Under Bill 1 COPY 到CO欄位'!$1:$1048576,'Over Under Bill 1 COPY 到CO欄位'!BN$1,0)-VLOOKUP($A6,'Over Under Bill 1 COPY 到CO欄位'!$1:$1048576,'Over Under Bill 1 COPY 到CO欄位'!BI$1,0)</f>
        <v>0</v>
      </c>
      <c r="BO6" s="157">
        <f t="shared" si="25"/>
        <v>0</v>
      </c>
      <c r="BP6" s="158">
        <f>VLOOKUP($A6,'Over Under Bill 1 COPY 到CO欄位'!$1:$1048576,'Over Under Bill 1 COPY 到CO欄位'!BP$1,0)-VLOOKUP($A6,'Over Under Bill 1 COPY 到CO欄位'!$1:$1048576,'Over Under Bill 1 COPY 到CO欄位'!BK$1,0)</f>
        <v>0</v>
      </c>
      <c r="BQ6" s="158">
        <f>VLOOKUP($A6,'Over Under Bill 1 COPY 到CO欄位'!$1:$1048576,'Over Under Bill 1 COPY 到CO欄位'!BQ$1,0)-VLOOKUP($A6,'Over Under Bill 1 COPY 到CO欄位'!$1:$1048576,'Over Under Bill 1 COPY 到CO欄位'!BL$1,0)</f>
        <v>0</v>
      </c>
      <c r="BR6" s="158">
        <f t="shared" si="26"/>
        <v>0</v>
      </c>
      <c r="BS6" s="158">
        <f>VLOOKUP($A6,'Over Under Bill 1 COPY 到CO欄位'!$1:$1048576,'Over Under Bill 1 COPY 到CO欄位'!BS$1,0)-VLOOKUP($A6,'Over Under Bill 1 COPY 到CO欄位'!$1:$1048576,'Over Under Bill 1 COPY 到CO欄位'!BN$1,0)</f>
        <v>0</v>
      </c>
      <c r="BT6" s="158">
        <f t="shared" si="27"/>
        <v>0</v>
      </c>
      <c r="BU6" s="157">
        <f>VLOOKUP($A6,'Over Under Bill 1 COPY 到CO欄位'!$1:$1048576,'Over Under Bill 1 COPY 到CO欄位'!BP$1,0)-VLOOKUP($A6,'Over Under Bill 1 COPY 到CO欄位'!$1:$1048576,'Over Under Bill 1 COPY 到CO欄位'!H$1,0)</f>
        <v>0</v>
      </c>
      <c r="BV6" s="157">
        <f>VLOOKUP($A6,'Over Under Bill 1 COPY 到CO欄位'!$1:$1048576,'Over Under Bill 1 COPY 到CO欄位'!BQ$1,0)-VLOOKUP($A6,'Over Under Bill 1 COPY 到CO欄位'!$1:$1048576,'Over Under Bill 1 COPY 到CO欄位'!I$1,0)</f>
        <v>0</v>
      </c>
      <c r="BW6" s="157">
        <f t="shared" si="28"/>
        <v>0</v>
      </c>
      <c r="BX6" s="157">
        <f>VLOOKUP($A6,'Over Under Bill 1 COPY 到CO欄位'!$1:$1048576,'Over Under Bill 1 COPY 到CO欄位'!BS$1,0)-VLOOKUP($A6,'Over Under Bill 1 COPY 到CO欄位'!$1:$1048576,'Over Under Bill 1 COPY 到CO欄位'!K$1,0)</f>
        <v>0</v>
      </c>
      <c r="BY6" s="157">
        <f t="shared" si="29"/>
        <v>0</v>
      </c>
      <c r="BZ6" s="158">
        <f>VLOOKUP($A6,'Over Under Bill 1 COPY 到CO欄位'!$1:$1048576,'Over Under Bill 1 COPY 到CO欄位'!BU$1,0)-VLOOKUP($A6,'Over Under Bill 1 COPY 到CO欄位'!$1:$1048576,'Over Under Bill 1 COPY 到CO欄位'!BP$1,0)</f>
        <v>0</v>
      </c>
      <c r="CA6" s="158">
        <f>VLOOKUP($A6,'Over Under Bill 1 COPY 到CO欄位'!$1:$1048576,'Over Under Bill 1 COPY 到CO欄位'!BV$1,0)-VLOOKUP($A6,'Over Under Bill 1 COPY 到CO欄位'!$1:$1048576,'Over Under Bill 1 COPY 到CO欄位'!BQ$1,0)</f>
        <v>0</v>
      </c>
      <c r="CB6" s="158">
        <f t="shared" si="30"/>
        <v>0</v>
      </c>
      <c r="CC6" s="158">
        <f>VLOOKUP($A6,'Over Under Bill 1 COPY 到CO欄位'!$1:$1048576,'Over Under Bill 1 COPY 到CO欄位'!BX$1,0)-VLOOKUP($A6,'Over Under Bill 1 COPY 到CO欄位'!$1:$1048576,'Over Under Bill 1 COPY 到CO欄位'!BS$1,0)</f>
        <v>0</v>
      </c>
      <c r="CD6" s="158">
        <f t="shared" si="31"/>
        <v>0</v>
      </c>
      <c r="CE6" s="157">
        <f>VLOOKUP($A6,'Over Under Bill 1 COPY 到CO欄位'!$1:$1048576,'Over Under Bill 1 COPY 到CO欄位'!BZ$1,0)-VLOOKUP($A6,'Over Under Bill 1 COPY 到CO欄位'!$1:$1048576,'Over Under Bill 1 COPY 到CO欄位'!BU$1,0)</f>
        <v>0</v>
      </c>
      <c r="CF6" s="157">
        <f>VLOOKUP($A6,'Over Under Bill 1 COPY 到CO欄位'!$1:$1048576,'Over Under Bill 1 COPY 到CO欄位'!CA$1,0)-VLOOKUP($A6,'Over Under Bill 1 COPY 到CO欄位'!$1:$1048576,'Over Under Bill 1 COPY 到CO欄位'!BV$1,0)</f>
        <v>0</v>
      </c>
      <c r="CG6" s="157">
        <f t="shared" si="32"/>
        <v>0</v>
      </c>
      <c r="CH6" s="157">
        <f>VLOOKUP($A6,'Over Under Bill 1 COPY 到CO欄位'!$1:$1048576,'Over Under Bill 1 COPY 到CO欄位'!CC$1,0)-VLOOKUP($A6,'Over Under Bill 1 COPY 到CO欄位'!$1:$1048576,'Over Under Bill 1 COPY 到CO欄位'!BX$1,0)</f>
        <v>0</v>
      </c>
      <c r="CI6" s="157">
        <f t="shared" si="33"/>
        <v>0</v>
      </c>
      <c r="CJ6" s="158">
        <f>VLOOKUP($A6,'Over Under Bill 1 COPY 到CO欄位'!$1:$1048576,'Over Under Bill 1 COPY 到CO欄位'!CE$1,0)-VLOOKUP($A6,'Over Under Bill 1 COPY 到CO欄位'!$1:$1048576,'Over Under Bill 1 COPY 到CO欄位'!BZ$1,0)</f>
        <v>0</v>
      </c>
      <c r="CK6" s="158">
        <f>VLOOKUP($A6,'Over Under Bill 1 COPY 到CO欄位'!$1:$1048576,'Over Under Bill 1 COPY 到CO欄位'!CF$1,0)-VLOOKUP($A6,'Over Under Bill 1 COPY 到CO欄位'!$1:$1048576,'Over Under Bill 1 COPY 到CO欄位'!CA$1,0)</f>
        <v>0</v>
      </c>
      <c r="CL6" s="158">
        <f t="shared" si="34"/>
        <v>0</v>
      </c>
      <c r="CM6" s="158">
        <f>VLOOKUP($A6,'Over Under Bill 1 COPY 到CO欄位'!$1:$1048576,'Over Under Bill 1 COPY 到CO欄位'!CH$1,0)-VLOOKUP($A6,'Over Under Bill 1 COPY 到CO欄位'!$1:$1048576,'Over Under Bill 1 COPY 到CO欄位'!CC$1,0)</f>
        <v>0</v>
      </c>
      <c r="CN6" s="158">
        <f t="shared" si="35"/>
        <v>0</v>
      </c>
      <c r="CO6" s="157">
        <f>VLOOKUP($A6,'Over Under Bill 1 COPY 到CO欄位'!$1:$1048576,'Over Under Bill 1 COPY 到CO欄位'!CJ$1,0)-VLOOKUP($A6,'Over Under Bill 1 COPY 到CO欄位'!$1:$1048576,'Over Under Bill 1 COPY 到CO欄位'!CE$1,0)</f>
        <v>0</v>
      </c>
      <c r="CP6" s="157">
        <f>VLOOKUP($A6,'Over Under Bill 1 COPY 到CO欄位'!$1:$1048576,'Over Under Bill 1 COPY 到CO欄位'!CK$1,0)-VLOOKUP($A6,'Over Under Bill 1 COPY 到CO欄位'!$1:$1048576,'Over Under Bill 1 COPY 到CO欄位'!CF$1,0)</f>
        <v>0</v>
      </c>
      <c r="CQ6" s="157">
        <f t="shared" si="36"/>
        <v>0</v>
      </c>
      <c r="CR6" s="157">
        <f>VLOOKUP($A6,'Over Under Bill 1 COPY 到CO欄位'!$1:$1048576,'Over Under Bill 1 COPY 到CO欄位'!CM$1,0)-VLOOKUP($A6,'Over Under Bill 1 COPY 到CO欄位'!$1:$1048576,'Over Under Bill 1 COPY 到CO欄位'!CH$1,0)</f>
        <v>0</v>
      </c>
      <c r="CS6" s="157">
        <f t="shared" si="37"/>
        <v>0</v>
      </c>
    </row>
    <row r="7" spans="1:99">
      <c r="A7" s="155" t="s">
        <v>311</v>
      </c>
      <c r="B7" s="164" t="s">
        <v>312</v>
      </c>
      <c r="C7" s="157">
        <f>IFERROR(VLOOKUP($A7,'A0 BS 1240在建'!$1:$1048576,5,0),0)</f>
        <v>0</v>
      </c>
      <c r="D7" s="157">
        <f>IFERROR(VLOOKUP($A7,'B0 2264預收'!$1:$1048576,5,0),0)</f>
        <v>0</v>
      </c>
      <c r="E7" s="157">
        <f t="shared" si="0"/>
        <v>0</v>
      </c>
      <c r="F7" s="157">
        <f>IFERROR(VLOOKUP($A7,'B0 2264預收'!$1:$1048576,6,0),0)</f>
        <v>0</v>
      </c>
      <c r="G7" s="157">
        <f t="shared" si="1"/>
        <v>0</v>
      </c>
      <c r="H7" s="158">
        <f>IFERROR(VLOOKUP($A7,'A0 BS 1240在建'!$1:$1048576,13,0),0)-C7</f>
        <v>0</v>
      </c>
      <c r="I7" s="158">
        <f>IFERROR(VLOOKUP($A7,'B0 2264預收'!$1:$1048576,13,0),0)-D7</f>
        <v>0</v>
      </c>
      <c r="J7" s="158">
        <f t="shared" si="2"/>
        <v>0</v>
      </c>
      <c r="K7" s="158">
        <f>IFERROR(VLOOKUP($A7,'B0 2264預收'!$1:$1048576,14,0),0)-F7</f>
        <v>0</v>
      </c>
      <c r="L7" s="158">
        <f t="shared" si="3"/>
        <v>0</v>
      </c>
      <c r="M7" s="157">
        <f>VLOOKUP($A7,'Over Under Bill 1 COPY 到CO欄位'!$1:$1048576,'Over Under Bill 1 COPY 到CO欄位'!M$1,0)-VLOOKUP($A7,'Over Under Bill 1 COPY 到CO欄位'!$1:$1048576,'Over Under Bill 1 COPY 到CO欄位'!H$1,0)</f>
        <v>0</v>
      </c>
      <c r="N7" s="157">
        <f>VLOOKUP($A7,'Over Under Bill 1 COPY 到CO欄位'!$1:$1048576,'Over Under Bill 1 COPY 到CO欄位'!N$1,0)-VLOOKUP($A7,'Over Under Bill 1 COPY 到CO欄位'!$1:$1048576,'Over Under Bill 1 COPY 到CO欄位'!I$1,0)</f>
        <v>0</v>
      </c>
      <c r="O7" s="157">
        <f t="shared" si="4"/>
        <v>0</v>
      </c>
      <c r="P7" s="157">
        <f>VLOOKUP($A7,'Over Under Bill 1 COPY 到CO欄位'!$1:$1048576,'Over Under Bill 1 COPY 到CO欄位'!P$1,0)-VLOOKUP($A7,'Over Under Bill 1 COPY 到CO欄位'!$1:$1048576,'Over Under Bill 1 COPY 到CO欄位'!K$1,0)</f>
        <v>0</v>
      </c>
      <c r="Q7" s="157">
        <f t="shared" si="5"/>
        <v>0</v>
      </c>
      <c r="R7" s="158">
        <f>VLOOKUP($A7,'Over Under Bill 1 COPY 到CO欄位'!$1:$1048576,'Over Under Bill 1 COPY 到CO欄位'!R$1,0)-VLOOKUP($A7,'Over Under Bill 1 COPY 到CO欄位'!$1:$1048576,'Over Under Bill 1 COPY 到CO欄位'!M$1,0)</f>
        <v>0</v>
      </c>
      <c r="S7" s="158">
        <f>VLOOKUP($A7,'Over Under Bill 1 COPY 到CO欄位'!$1:$1048576,'Over Under Bill 1 COPY 到CO欄位'!S$1,0)-VLOOKUP($A7,'Over Under Bill 1 COPY 到CO欄位'!$1:$1048576,'Over Under Bill 1 COPY 到CO欄位'!N$1,0)</f>
        <v>0</v>
      </c>
      <c r="T7" s="158">
        <f t="shared" si="6"/>
        <v>0</v>
      </c>
      <c r="U7" s="158">
        <f>VLOOKUP($A7,'Over Under Bill 1 COPY 到CO欄位'!$1:$1048576,'Over Under Bill 1 COPY 到CO欄位'!U$1,0)-VLOOKUP($A7,'Over Under Bill 1 COPY 到CO欄位'!$1:$1048576,'Over Under Bill 1 COPY 到CO欄位'!P$1,0)</f>
        <v>0</v>
      </c>
      <c r="V7" s="158">
        <f t="shared" si="7"/>
        <v>0</v>
      </c>
      <c r="W7" s="157">
        <f>VLOOKUP($A7,'Over Under Bill 1 COPY 到CO欄位'!$1:$1048576,'Over Under Bill 1 COPY 到CO欄位'!W$1,0)-VLOOKUP($A7,'Over Under Bill 1 COPY 到CO欄位'!$1:$1048576,'Over Under Bill 1 COPY 到CO欄位'!R$1,0)</f>
        <v>0</v>
      </c>
      <c r="X7" s="157">
        <f>VLOOKUP($A7,'Over Under Bill 1 COPY 到CO欄位'!$1:$1048576,'Over Under Bill 1 COPY 到CO欄位'!X$1,0)-VLOOKUP($A7,'Over Under Bill 1 COPY 到CO欄位'!$1:$1048576,'Over Under Bill 1 COPY 到CO欄位'!S$1,0)</f>
        <v>0</v>
      </c>
      <c r="Y7" s="157">
        <f t="shared" si="8"/>
        <v>0</v>
      </c>
      <c r="Z7" s="157">
        <f>VLOOKUP($A7,'Over Under Bill 1 COPY 到CO欄位'!$1:$1048576,'Over Under Bill 1 COPY 到CO欄位'!Z$1,0)-VLOOKUP($A7,'Over Under Bill 1 COPY 到CO欄位'!$1:$1048576,'Over Under Bill 1 COPY 到CO欄位'!U$1,0)</f>
        <v>0</v>
      </c>
      <c r="AA7" s="157">
        <f t="shared" si="9"/>
        <v>0</v>
      </c>
      <c r="AB7" s="158">
        <f>VLOOKUP($A7,'Over Under Bill 1 COPY 到CO欄位'!$1:$1048576,'Over Under Bill 1 COPY 到CO欄位'!AB$1,0)-VLOOKUP($A7,'Over Under Bill 1 COPY 到CO欄位'!$1:$1048576,'Over Under Bill 1 COPY 到CO欄位'!W$1,0)</f>
        <v>0</v>
      </c>
      <c r="AC7" s="158">
        <f>VLOOKUP($A7,'Over Under Bill 1 COPY 到CO欄位'!$1:$1048576,'Over Under Bill 1 COPY 到CO欄位'!AC$1,0)-VLOOKUP($A7,'Over Under Bill 1 COPY 到CO欄位'!$1:$1048576,'Over Under Bill 1 COPY 到CO欄位'!X$1,0)</f>
        <v>0</v>
      </c>
      <c r="AD7" s="158">
        <f t="shared" si="10"/>
        <v>0</v>
      </c>
      <c r="AE7" s="158">
        <f>VLOOKUP($A7,'Over Under Bill 1 COPY 到CO欄位'!$1:$1048576,'Over Under Bill 1 COPY 到CO欄位'!AE$1,0)-VLOOKUP($A7,'Over Under Bill 1 COPY 到CO欄位'!$1:$1048576,'Over Under Bill 1 COPY 到CO欄位'!Z$1,0)</f>
        <v>0</v>
      </c>
      <c r="AF7" s="158">
        <f t="shared" si="11"/>
        <v>0</v>
      </c>
      <c r="AG7" s="157">
        <f>VLOOKUP($A7,'Over Under Bill 1 COPY 到CO欄位'!$1:$1048576,'Over Under Bill 1 COPY 到CO欄位'!AG$1,0)-VLOOKUP($A7,'Over Under Bill 1 COPY 到CO欄位'!$1:$1048576,'Over Under Bill 1 COPY 到CO欄位'!AB$1,0)</f>
        <v>0</v>
      </c>
      <c r="AH7" s="157">
        <f>VLOOKUP($A7,'Over Under Bill 1 COPY 到CO欄位'!$1:$1048576,'Over Under Bill 1 COPY 到CO欄位'!AH$1,0)-VLOOKUP($A7,'Over Under Bill 1 COPY 到CO欄位'!$1:$1048576,'Over Under Bill 1 COPY 到CO欄位'!AC$1,0)</f>
        <v>0</v>
      </c>
      <c r="AI7" s="157">
        <f t="shared" si="12"/>
        <v>0</v>
      </c>
      <c r="AJ7" s="157">
        <f>VLOOKUP($A7,'Over Under Bill 1 COPY 到CO欄位'!$1:$1048576,'Over Under Bill 1 COPY 到CO欄位'!AJ$1,0)-VLOOKUP($A7,'Over Under Bill 1 COPY 到CO欄位'!$1:$1048576,'Over Under Bill 1 COPY 到CO欄位'!AE$1,0)</f>
        <v>0</v>
      </c>
      <c r="AK7" s="157">
        <f t="shared" si="13"/>
        <v>0</v>
      </c>
      <c r="AL7" s="158">
        <f>VLOOKUP($A7,'Over Under Bill 1 COPY 到CO欄位'!$1:$1048576,'Over Under Bill 1 COPY 到CO欄位'!AL$1,0)-VLOOKUP($A7,'Over Under Bill 1 COPY 到CO欄位'!$1:$1048576,'Over Under Bill 1 COPY 到CO欄位'!AG$1,0)</f>
        <v>0</v>
      </c>
      <c r="AM7" s="158">
        <f>VLOOKUP($A7,'Over Under Bill 1 COPY 到CO欄位'!$1:$1048576,'Over Under Bill 1 COPY 到CO欄位'!AM$1,0)-VLOOKUP($A7,'Over Under Bill 1 COPY 到CO欄位'!$1:$1048576,'Over Under Bill 1 COPY 到CO欄位'!AH$1,0)</f>
        <v>0</v>
      </c>
      <c r="AN7" s="158">
        <f t="shared" si="14"/>
        <v>0</v>
      </c>
      <c r="AO7" s="158">
        <f>VLOOKUP($A7,'Over Under Bill 1 COPY 到CO欄位'!$1:$1048576,'Over Under Bill 1 COPY 到CO欄位'!AO$1,0)-VLOOKUP($A7,'Over Under Bill 1 COPY 到CO欄位'!$1:$1048576,'Over Under Bill 1 COPY 到CO欄位'!AJ$1,0)</f>
        <v>0</v>
      </c>
      <c r="AP7" s="158">
        <f t="shared" si="15"/>
        <v>0</v>
      </c>
      <c r="AQ7" s="157">
        <f>VLOOKUP($A7,'Over Under Bill 1 COPY 到CO欄位'!$1:$1048576,'Over Under Bill 1 COPY 到CO欄位'!AQ$1,0)-VLOOKUP($A7,'Over Under Bill 1 COPY 到CO欄位'!$1:$1048576,'Over Under Bill 1 COPY 到CO欄位'!AL$1,0)</f>
        <v>0</v>
      </c>
      <c r="AR7" s="157">
        <f>VLOOKUP($A7,'Over Under Bill 1 COPY 到CO欄位'!$1:$1048576,'Over Under Bill 1 COPY 到CO欄位'!AR$1,0)-VLOOKUP($A7,'Over Under Bill 1 COPY 到CO欄位'!$1:$1048576,'Over Under Bill 1 COPY 到CO欄位'!AM$1,0)</f>
        <v>0</v>
      </c>
      <c r="AS7" s="157">
        <f t="shared" si="16"/>
        <v>0</v>
      </c>
      <c r="AT7" s="157">
        <f>VLOOKUP($A7,'Over Under Bill 1 COPY 到CO欄位'!$1:$1048576,'Over Under Bill 1 COPY 到CO欄位'!AT$1,0)-VLOOKUP($A7,'Over Under Bill 1 COPY 到CO欄位'!$1:$1048576,'Over Under Bill 1 COPY 到CO欄位'!AO$1,0)</f>
        <v>0</v>
      </c>
      <c r="AU7" s="157">
        <f t="shared" si="17"/>
        <v>0</v>
      </c>
      <c r="AV7" s="158">
        <f>VLOOKUP($A7,'Over Under Bill 1 COPY 到CO欄位'!$1:$1048576,'Over Under Bill 1 COPY 到CO欄位'!AV$1,0)-VLOOKUP($A7,'Over Under Bill 1 COPY 到CO欄位'!$1:$1048576,'Over Under Bill 1 COPY 到CO欄位'!AQ$1,0)</f>
        <v>0</v>
      </c>
      <c r="AW7" s="158">
        <f>VLOOKUP($A7,'Over Under Bill 1 COPY 到CO欄位'!$1:$1048576,'Over Under Bill 1 COPY 到CO欄位'!AW$1,0)-VLOOKUP($A7,'Over Under Bill 1 COPY 到CO欄位'!$1:$1048576,'Over Under Bill 1 COPY 到CO欄位'!AR$1,0)</f>
        <v>0</v>
      </c>
      <c r="AX7" s="158">
        <f t="shared" si="18"/>
        <v>0</v>
      </c>
      <c r="AY7" s="158">
        <f>VLOOKUP($A7,'Over Under Bill 1 COPY 到CO欄位'!$1:$1048576,'Over Under Bill 1 COPY 到CO欄位'!AY$1,0)-VLOOKUP($A7,'Over Under Bill 1 COPY 到CO欄位'!$1:$1048576,'Over Under Bill 1 COPY 到CO欄位'!AT$1,0)</f>
        <v>0</v>
      </c>
      <c r="AZ7" s="158">
        <f t="shared" si="19"/>
        <v>0</v>
      </c>
      <c r="BA7" s="157">
        <f>VLOOKUP($A7,'Over Under Bill 1 COPY 到CO欄位'!$1:$1048576,'Over Under Bill 1 COPY 到CO欄位'!BA$1,0)-VLOOKUP($A7,'Over Under Bill 1 COPY 到CO欄位'!$1:$1048576,'Over Under Bill 1 COPY 到CO欄位'!AV$1,0)</f>
        <v>0</v>
      </c>
      <c r="BB7" s="157">
        <f>VLOOKUP($A7,'Over Under Bill 1 COPY 到CO欄位'!$1:$1048576,'Over Under Bill 1 COPY 到CO欄位'!BB$1,0)-VLOOKUP($A7,'Over Under Bill 1 COPY 到CO欄位'!$1:$1048576,'Over Under Bill 1 COPY 到CO欄位'!AW$1,0)</f>
        <v>0</v>
      </c>
      <c r="BC7" s="157">
        <f t="shared" si="20"/>
        <v>0</v>
      </c>
      <c r="BD7" s="157">
        <f>VLOOKUP($A7,'Over Under Bill 1 COPY 到CO欄位'!$1:$1048576,'Over Under Bill 1 COPY 到CO欄位'!BD$1,0)-VLOOKUP($A7,'Over Under Bill 1 COPY 到CO欄位'!$1:$1048576,'Over Under Bill 1 COPY 到CO欄位'!AY$1,0)</f>
        <v>0</v>
      </c>
      <c r="BE7" s="157">
        <f t="shared" si="21"/>
        <v>0</v>
      </c>
      <c r="BF7" s="158">
        <f>VLOOKUP($A7,'Over Under Bill 1 COPY 到CO欄位'!$1:$1048576,'Over Under Bill 1 COPY 到CO欄位'!BF$1,0)-VLOOKUP($A7,'Over Under Bill 1 COPY 到CO欄位'!$1:$1048576,'Over Under Bill 1 COPY 到CO欄位'!BA$1,0)</f>
        <v>0</v>
      </c>
      <c r="BG7" s="158">
        <f>VLOOKUP($A7,'Over Under Bill 1 COPY 到CO欄位'!$1:$1048576,'Over Under Bill 1 COPY 到CO欄位'!BG$1,0)-VLOOKUP($A7,'Over Under Bill 1 COPY 到CO欄位'!$1:$1048576,'Over Under Bill 1 COPY 到CO欄位'!BB$1,0)</f>
        <v>0</v>
      </c>
      <c r="BH7" s="158">
        <f t="shared" si="22"/>
        <v>0</v>
      </c>
      <c r="BI7" s="158">
        <f>VLOOKUP($A7,'Over Under Bill 1 COPY 到CO欄位'!$1:$1048576,'Over Under Bill 1 COPY 到CO欄位'!BI$1,0)-VLOOKUP($A7,'Over Under Bill 1 COPY 到CO欄位'!$1:$1048576,'Over Under Bill 1 COPY 到CO欄位'!BD$1,0)</f>
        <v>0</v>
      </c>
      <c r="BJ7" s="158">
        <f t="shared" si="23"/>
        <v>0</v>
      </c>
      <c r="BK7" s="157">
        <f>VLOOKUP($A7,'Over Under Bill 1 COPY 到CO欄位'!$1:$1048576,'Over Under Bill 1 COPY 到CO欄位'!BK$1,0)-VLOOKUP($A7,'Over Under Bill 1 COPY 到CO欄位'!$1:$1048576,'Over Under Bill 1 COPY 到CO欄位'!BF$1,0)</f>
        <v>0</v>
      </c>
      <c r="BL7" s="157">
        <f>VLOOKUP($A7,'Over Under Bill 1 COPY 到CO欄位'!$1:$1048576,'Over Under Bill 1 COPY 到CO欄位'!BL$1,0)-VLOOKUP($A7,'Over Under Bill 1 COPY 到CO欄位'!$1:$1048576,'Over Under Bill 1 COPY 到CO欄位'!BG$1,0)</f>
        <v>0</v>
      </c>
      <c r="BM7" s="157">
        <f t="shared" si="24"/>
        <v>0</v>
      </c>
      <c r="BN7" s="157">
        <f>VLOOKUP($A7,'Over Under Bill 1 COPY 到CO欄位'!$1:$1048576,'Over Under Bill 1 COPY 到CO欄位'!BN$1,0)-VLOOKUP($A7,'Over Under Bill 1 COPY 到CO欄位'!$1:$1048576,'Over Under Bill 1 COPY 到CO欄位'!BI$1,0)</f>
        <v>0</v>
      </c>
      <c r="BO7" s="157">
        <f t="shared" si="25"/>
        <v>0</v>
      </c>
      <c r="BP7" s="158">
        <f>VLOOKUP($A7,'Over Under Bill 1 COPY 到CO欄位'!$1:$1048576,'Over Under Bill 1 COPY 到CO欄位'!BP$1,0)-VLOOKUP($A7,'Over Under Bill 1 COPY 到CO欄位'!$1:$1048576,'Over Under Bill 1 COPY 到CO欄位'!BK$1,0)</f>
        <v>0</v>
      </c>
      <c r="BQ7" s="158">
        <f>VLOOKUP($A7,'Over Under Bill 1 COPY 到CO欄位'!$1:$1048576,'Over Under Bill 1 COPY 到CO欄位'!BQ$1,0)-VLOOKUP($A7,'Over Under Bill 1 COPY 到CO欄位'!$1:$1048576,'Over Under Bill 1 COPY 到CO欄位'!BL$1,0)</f>
        <v>0</v>
      </c>
      <c r="BR7" s="158">
        <f t="shared" si="26"/>
        <v>0</v>
      </c>
      <c r="BS7" s="158">
        <f>VLOOKUP($A7,'Over Under Bill 1 COPY 到CO欄位'!$1:$1048576,'Over Under Bill 1 COPY 到CO欄位'!BS$1,0)-VLOOKUP($A7,'Over Under Bill 1 COPY 到CO欄位'!$1:$1048576,'Over Under Bill 1 COPY 到CO欄位'!BN$1,0)</f>
        <v>0</v>
      </c>
      <c r="BT7" s="158">
        <f t="shared" si="27"/>
        <v>0</v>
      </c>
      <c r="BU7" s="157">
        <f>VLOOKUP($A7,'Over Under Bill 1 COPY 到CO欄位'!$1:$1048576,'Over Under Bill 1 COPY 到CO欄位'!BP$1,0)-VLOOKUP($A7,'Over Under Bill 1 COPY 到CO欄位'!$1:$1048576,'Over Under Bill 1 COPY 到CO欄位'!H$1,0)</f>
        <v>0</v>
      </c>
      <c r="BV7" s="157">
        <f>VLOOKUP($A7,'Over Under Bill 1 COPY 到CO欄位'!$1:$1048576,'Over Under Bill 1 COPY 到CO欄位'!BQ$1,0)-VLOOKUP($A7,'Over Under Bill 1 COPY 到CO欄位'!$1:$1048576,'Over Under Bill 1 COPY 到CO欄位'!I$1,0)</f>
        <v>0</v>
      </c>
      <c r="BW7" s="157">
        <f t="shared" si="28"/>
        <v>0</v>
      </c>
      <c r="BX7" s="157">
        <f>VLOOKUP($A7,'Over Under Bill 1 COPY 到CO欄位'!$1:$1048576,'Over Under Bill 1 COPY 到CO欄位'!BS$1,0)-VLOOKUP($A7,'Over Under Bill 1 COPY 到CO欄位'!$1:$1048576,'Over Under Bill 1 COPY 到CO欄位'!K$1,0)</f>
        <v>0</v>
      </c>
      <c r="BY7" s="157">
        <f t="shared" si="29"/>
        <v>0</v>
      </c>
      <c r="BZ7" s="158">
        <f>VLOOKUP($A7,'Over Under Bill 1 COPY 到CO欄位'!$1:$1048576,'Over Under Bill 1 COPY 到CO欄位'!BU$1,0)-VLOOKUP($A7,'Over Under Bill 1 COPY 到CO欄位'!$1:$1048576,'Over Under Bill 1 COPY 到CO欄位'!BP$1,0)</f>
        <v>0</v>
      </c>
      <c r="CA7" s="158">
        <f>VLOOKUP($A7,'Over Under Bill 1 COPY 到CO欄位'!$1:$1048576,'Over Under Bill 1 COPY 到CO欄位'!BV$1,0)-VLOOKUP($A7,'Over Under Bill 1 COPY 到CO欄位'!$1:$1048576,'Over Under Bill 1 COPY 到CO欄位'!BQ$1,0)</f>
        <v>0</v>
      </c>
      <c r="CB7" s="158">
        <f t="shared" si="30"/>
        <v>0</v>
      </c>
      <c r="CC7" s="158">
        <f>VLOOKUP($A7,'Over Under Bill 1 COPY 到CO欄位'!$1:$1048576,'Over Under Bill 1 COPY 到CO欄位'!BX$1,0)-VLOOKUP($A7,'Over Under Bill 1 COPY 到CO欄位'!$1:$1048576,'Over Under Bill 1 COPY 到CO欄位'!BS$1,0)</f>
        <v>0</v>
      </c>
      <c r="CD7" s="158">
        <f t="shared" si="31"/>
        <v>0</v>
      </c>
      <c r="CE7" s="157">
        <f>VLOOKUP($A7,'Over Under Bill 1 COPY 到CO欄位'!$1:$1048576,'Over Under Bill 1 COPY 到CO欄位'!BZ$1,0)-VLOOKUP($A7,'Over Under Bill 1 COPY 到CO欄位'!$1:$1048576,'Over Under Bill 1 COPY 到CO欄位'!BU$1,0)</f>
        <v>0</v>
      </c>
      <c r="CF7" s="157">
        <f>VLOOKUP($A7,'Over Under Bill 1 COPY 到CO欄位'!$1:$1048576,'Over Under Bill 1 COPY 到CO欄位'!CA$1,0)-VLOOKUP($A7,'Over Under Bill 1 COPY 到CO欄位'!$1:$1048576,'Over Under Bill 1 COPY 到CO欄位'!BV$1,0)</f>
        <v>0</v>
      </c>
      <c r="CG7" s="157">
        <f t="shared" si="32"/>
        <v>0</v>
      </c>
      <c r="CH7" s="157">
        <f>VLOOKUP($A7,'Over Under Bill 1 COPY 到CO欄位'!$1:$1048576,'Over Under Bill 1 COPY 到CO欄位'!CC$1,0)-VLOOKUP($A7,'Over Under Bill 1 COPY 到CO欄位'!$1:$1048576,'Over Under Bill 1 COPY 到CO欄位'!BX$1,0)</f>
        <v>0</v>
      </c>
      <c r="CI7" s="157">
        <f t="shared" si="33"/>
        <v>0</v>
      </c>
      <c r="CJ7" s="158">
        <f>VLOOKUP($A7,'Over Under Bill 1 COPY 到CO欄位'!$1:$1048576,'Over Under Bill 1 COPY 到CO欄位'!CE$1,0)-VLOOKUP($A7,'Over Under Bill 1 COPY 到CO欄位'!$1:$1048576,'Over Under Bill 1 COPY 到CO欄位'!BZ$1,0)</f>
        <v>0</v>
      </c>
      <c r="CK7" s="158">
        <f>VLOOKUP($A7,'Over Under Bill 1 COPY 到CO欄位'!$1:$1048576,'Over Under Bill 1 COPY 到CO欄位'!CF$1,0)-VLOOKUP($A7,'Over Under Bill 1 COPY 到CO欄位'!$1:$1048576,'Over Under Bill 1 COPY 到CO欄位'!CA$1,0)</f>
        <v>0</v>
      </c>
      <c r="CL7" s="158">
        <f t="shared" si="34"/>
        <v>0</v>
      </c>
      <c r="CM7" s="158">
        <f>VLOOKUP($A7,'Over Under Bill 1 COPY 到CO欄位'!$1:$1048576,'Over Under Bill 1 COPY 到CO欄位'!CH$1,0)-VLOOKUP($A7,'Over Under Bill 1 COPY 到CO欄位'!$1:$1048576,'Over Under Bill 1 COPY 到CO欄位'!CC$1,0)</f>
        <v>0</v>
      </c>
      <c r="CN7" s="158">
        <f t="shared" si="35"/>
        <v>0</v>
      </c>
      <c r="CO7" s="157">
        <f>VLOOKUP($A7,'Over Under Bill 1 COPY 到CO欄位'!$1:$1048576,'Over Under Bill 1 COPY 到CO欄位'!CJ$1,0)-VLOOKUP($A7,'Over Under Bill 1 COPY 到CO欄位'!$1:$1048576,'Over Under Bill 1 COPY 到CO欄位'!CE$1,0)</f>
        <v>0</v>
      </c>
      <c r="CP7" s="157">
        <f>VLOOKUP($A7,'Over Under Bill 1 COPY 到CO欄位'!$1:$1048576,'Over Under Bill 1 COPY 到CO欄位'!CK$1,0)-VLOOKUP($A7,'Over Under Bill 1 COPY 到CO欄位'!$1:$1048576,'Over Under Bill 1 COPY 到CO欄位'!CF$1,0)</f>
        <v>0</v>
      </c>
      <c r="CQ7" s="157">
        <f t="shared" si="36"/>
        <v>0</v>
      </c>
      <c r="CR7" s="157">
        <f>VLOOKUP($A7,'Over Under Bill 1 COPY 到CO欄位'!$1:$1048576,'Over Under Bill 1 COPY 到CO欄位'!CM$1,0)-VLOOKUP($A7,'Over Under Bill 1 COPY 到CO欄位'!$1:$1048576,'Over Under Bill 1 COPY 到CO欄位'!CH$1,0)</f>
        <v>0</v>
      </c>
      <c r="CS7" s="157">
        <f t="shared" si="37"/>
        <v>0</v>
      </c>
    </row>
    <row r="8" spans="1:99">
      <c r="A8" s="155" t="s">
        <v>313</v>
      </c>
      <c r="B8" s="164" t="s">
        <v>314</v>
      </c>
      <c r="C8" s="157">
        <f>IFERROR(VLOOKUP($A8,'A0 BS 1240在建'!$1:$1048576,5,0),0)</f>
        <v>0</v>
      </c>
      <c r="D8" s="157">
        <f>IFERROR(VLOOKUP($A8,'B0 2264預收'!$1:$1048576,5,0),0)</f>
        <v>0</v>
      </c>
      <c r="E8" s="157">
        <f t="shared" si="0"/>
        <v>0</v>
      </c>
      <c r="F8" s="157">
        <f>IFERROR(VLOOKUP($A8,'B0 2264預收'!$1:$1048576,6,0),0)</f>
        <v>0</v>
      </c>
      <c r="G8" s="157">
        <f t="shared" si="1"/>
        <v>0</v>
      </c>
      <c r="H8" s="158">
        <f>IFERROR(VLOOKUP($A8,'A0 BS 1240在建'!$1:$1048576,13,0),0)-C8</f>
        <v>0</v>
      </c>
      <c r="I8" s="158">
        <f>IFERROR(VLOOKUP($A8,'B0 2264預收'!$1:$1048576,13,0),0)-D8</f>
        <v>0</v>
      </c>
      <c r="J8" s="158">
        <f t="shared" si="2"/>
        <v>0</v>
      </c>
      <c r="K8" s="158">
        <f>IFERROR(VLOOKUP($A8,'B0 2264預收'!$1:$1048576,14,0),0)-F8</f>
        <v>0</v>
      </c>
      <c r="L8" s="158">
        <f t="shared" si="3"/>
        <v>0</v>
      </c>
      <c r="M8" s="157">
        <f>VLOOKUP($A8,'Over Under Bill 1 COPY 到CO欄位'!$1:$1048576,'Over Under Bill 1 COPY 到CO欄位'!M$1,0)-VLOOKUP($A8,'Over Under Bill 1 COPY 到CO欄位'!$1:$1048576,'Over Under Bill 1 COPY 到CO欄位'!H$1,0)</f>
        <v>0</v>
      </c>
      <c r="N8" s="157">
        <f>VLOOKUP($A8,'Over Under Bill 1 COPY 到CO欄位'!$1:$1048576,'Over Under Bill 1 COPY 到CO欄位'!N$1,0)-VLOOKUP($A8,'Over Under Bill 1 COPY 到CO欄位'!$1:$1048576,'Over Under Bill 1 COPY 到CO欄位'!I$1,0)</f>
        <v>0</v>
      </c>
      <c r="O8" s="157">
        <f t="shared" si="4"/>
        <v>0</v>
      </c>
      <c r="P8" s="157">
        <f>VLOOKUP($A8,'Over Under Bill 1 COPY 到CO欄位'!$1:$1048576,'Over Under Bill 1 COPY 到CO欄位'!P$1,0)-VLOOKUP($A8,'Over Under Bill 1 COPY 到CO欄位'!$1:$1048576,'Over Under Bill 1 COPY 到CO欄位'!K$1,0)</f>
        <v>0</v>
      </c>
      <c r="Q8" s="157">
        <f t="shared" si="5"/>
        <v>0</v>
      </c>
      <c r="R8" s="158">
        <f>VLOOKUP($A8,'Over Under Bill 1 COPY 到CO欄位'!$1:$1048576,'Over Under Bill 1 COPY 到CO欄位'!R$1,0)-VLOOKUP($A8,'Over Under Bill 1 COPY 到CO欄位'!$1:$1048576,'Over Under Bill 1 COPY 到CO欄位'!M$1,0)</f>
        <v>0</v>
      </c>
      <c r="S8" s="158">
        <f>VLOOKUP($A8,'Over Under Bill 1 COPY 到CO欄位'!$1:$1048576,'Over Under Bill 1 COPY 到CO欄位'!S$1,0)-VLOOKUP($A8,'Over Under Bill 1 COPY 到CO欄位'!$1:$1048576,'Over Under Bill 1 COPY 到CO欄位'!N$1,0)</f>
        <v>0</v>
      </c>
      <c r="T8" s="158">
        <f t="shared" si="6"/>
        <v>0</v>
      </c>
      <c r="U8" s="158">
        <f>VLOOKUP($A8,'Over Under Bill 1 COPY 到CO欄位'!$1:$1048576,'Over Under Bill 1 COPY 到CO欄位'!U$1,0)-VLOOKUP($A8,'Over Under Bill 1 COPY 到CO欄位'!$1:$1048576,'Over Under Bill 1 COPY 到CO欄位'!P$1,0)</f>
        <v>0</v>
      </c>
      <c r="V8" s="158">
        <f t="shared" si="7"/>
        <v>0</v>
      </c>
      <c r="W8" s="157">
        <f>VLOOKUP($A8,'Over Under Bill 1 COPY 到CO欄位'!$1:$1048576,'Over Under Bill 1 COPY 到CO欄位'!W$1,0)-VLOOKUP($A8,'Over Under Bill 1 COPY 到CO欄位'!$1:$1048576,'Over Under Bill 1 COPY 到CO欄位'!R$1,0)</f>
        <v>0</v>
      </c>
      <c r="X8" s="157">
        <f>VLOOKUP($A8,'Over Under Bill 1 COPY 到CO欄位'!$1:$1048576,'Over Under Bill 1 COPY 到CO欄位'!X$1,0)-VLOOKUP($A8,'Over Under Bill 1 COPY 到CO欄位'!$1:$1048576,'Over Under Bill 1 COPY 到CO欄位'!S$1,0)</f>
        <v>0</v>
      </c>
      <c r="Y8" s="157">
        <f t="shared" si="8"/>
        <v>0</v>
      </c>
      <c r="Z8" s="157">
        <f>VLOOKUP($A8,'Over Under Bill 1 COPY 到CO欄位'!$1:$1048576,'Over Under Bill 1 COPY 到CO欄位'!Z$1,0)-VLOOKUP($A8,'Over Under Bill 1 COPY 到CO欄位'!$1:$1048576,'Over Under Bill 1 COPY 到CO欄位'!U$1,0)</f>
        <v>0</v>
      </c>
      <c r="AA8" s="157">
        <f t="shared" si="9"/>
        <v>0</v>
      </c>
      <c r="AB8" s="158">
        <f>VLOOKUP($A8,'Over Under Bill 1 COPY 到CO欄位'!$1:$1048576,'Over Under Bill 1 COPY 到CO欄位'!AB$1,0)-VLOOKUP($A8,'Over Under Bill 1 COPY 到CO欄位'!$1:$1048576,'Over Under Bill 1 COPY 到CO欄位'!W$1,0)</f>
        <v>0</v>
      </c>
      <c r="AC8" s="158">
        <f>VLOOKUP($A8,'Over Under Bill 1 COPY 到CO欄位'!$1:$1048576,'Over Under Bill 1 COPY 到CO欄位'!AC$1,0)-VLOOKUP($A8,'Over Under Bill 1 COPY 到CO欄位'!$1:$1048576,'Over Under Bill 1 COPY 到CO欄位'!X$1,0)</f>
        <v>0</v>
      </c>
      <c r="AD8" s="158">
        <f t="shared" si="10"/>
        <v>0</v>
      </c>
      <c r="AE8" s="158">
        <f>VLOOKUP($A8,'Over Under Bill 1 COPY 到CO欄位'!$1:$1048576,'Over Under Bill 1 COPY 到CO欄位'!AE$1,0)-VLOOKUP($A8,'Over Under Bill 1 COPY 到CO欄位'!$1:$1048576,'Over Under Bill 1 COPY 到CO欄位'!Z$1,0)</f>
        <v>0</v>
      </c>
      <c r="AF8" s="158">
        <f t="shared" si="11"/>
        <v>0</v>
      </c>
      <c r="AG8" s="157">
        <f>VLOOKUP($A8,'Over Under Bill 1 COPY 到CO欄位'!$1:$1048576,'Over Under Bill 1 COPY 到CO欄位'!AG$1,0)-VLOOKUP($A8,'Over Under Bill 1 COPY 到CO欄位'!$1:$1048576,'Over Under Bill 1 COPY 到CO欄位'!AB$1,0)</f>
        <v>0</v>
      </c>
      <c r="AH8" s="157">
        <f>VLOOKUP($A8,'Over Under Bill 1 COPY 到CO欄位'!$1:$1048576,'Over Under Bill 1 COPY 到CO欄位'!AH$1,0)-VLOOKUP($A8,'Over Under Bill 1 COPY 到CO欄位'!$1:$1048576,'Over Under Bill 1 COPY 到CO欄位'!AC$1,0)</f>
        <v>0</v>
      </c>
      <c r="AI8" s="157">
        <f t="shared" si="12"/>
        <v>0</v>
      </c>
      <c r="AJ8" s="157">
        <f>VLOOKUP($A8,'Over Under Bill 1 COPY 到CO欄位'!$1:$1048576,'Over Under Bill 1 COPY 到CO欄位'!AJ$1,0)-VLOOKUP($A8,'Over Under Bill 1 COPY 到CO欄位'!$1:$1048576,'Over Under Bill 1 COPY 到CO欄位'!AE$1,0)</f>
        <v>0</v>
      </c>
      <c r="AK8" s="157">
        <f t="shared" si="13"/>
        <v>0</v>
      </c>
      <c r="AL8" s="158">
        <f>VLOOKUP($A8,'Over Under Bill 1 COPY 到CO欄位'!$1:$1048576,'Over Under Bill 1 COPY 到CO欄位'!AL$1,0)-VLOOKUP($A8,'Over Under Bill 1 COPY 到CO欄位'!$1:$1048576,'Over Under Bill 1 COPY 到CO欄位'!AG$1,0)</f>
        <v>0</v>
      </c>
      <c r="AM8" s="158">
        <f>VLOOKUP($A8,'Over Under Bill 1 COPY 到CO欄位'!$1:$1048576,'Over Under Bill 1 COPY 到CO欄位'!AM$1,0)-VLOOKUP($A8,'Over Under Bill 1 COPY 到CO欄位'!$1:$1048576,'Over Under Bill 1 COPY 到CO欄位'!AH$1,0)</f>
        <v>0</v>
      </c>
      <c r="AN8" s="158">
        <f t="shared" si="14"/>
        <v>0</v>
      </c>
      <c r="AO8" s="158">
        <f>VLOOKUP($A8,'Over Under Bill 1 COPY 到CO欄位'!$1:$1048576,'Over Under Bill 1 COPY 到CO欄位'!AO$1,0)-VLOOKUP($A8,'Over Under Bill 1 COPY 到CO欄位'!$1:$1048576,'Over Under Bill 1 COPY 到CO欄位'!AJ$1,0)</f>
        <v>0</v>
      </c>
      <c r="AP8" s="158">
        <f t="shared" si="15"/>
        <v>0</v>
      </c>
      <c r="AQ8" s="157">
        <f>VLOOKUP($A8,'Over Under Bill 1 COPY 到CO欄位'!$1:$1048576,'Over Under Bill 1 COPY 到CO欄位'!AQ$1,0)-VLOOKUP($A8,'Over Under Bill 1 COPY 到CO欄位'!$1:$1048576,'Over Under Bill 1 COPY 到CO欄位'!AL$1,0)</f>
        <v>0</v>
      </c>
      <c r="AR8" s="157">
        <f>VLOOKUP($A8,'Over Under Bill 1 COPY 到CO欄位'!$1:$1048576,'Over Under Bill 1 COPY 到CO欄位'!AR$1,0)-VLOOKUP($A8,'Over Under Bill 1 COPY 到CO欄位'!$1:$1048576,'Over Under Bill 1 COPY 到CO欄位'!AM$1,0)</f>
        <v>0</v>
      </c>
      <c r="AS8" s="157">
        <f t="shared" si="16"/>
        <v>0</v>
      </c>
      <c r="AT8" s="157">
        <f>VLOOKUP($A8,'Over Under Bill 1 COPY 到CO欄位'!$1:$1048576,'Over Under Bill 1 COPY 到CO欄位'!AT$1,0)-VLOOKUP($A8,'Over Under Bill 1 COPY 到CO欄位'!$1:$1048576,'Over Under Bill 1 COPY 到CO欄位'!AO$1,0)</f>
        <v>0</v>
      </c>
      <c r="AU8" s="157">
        <f t="shared" si="17"/>
        <v>0</v>
      </c>
      <c r="AV8" s="158">
        <f>VLOOKUP($A8,'Over Under Bill 1 COPY 到CO欄位'!$1:$1048576,'Over Under Bill 1 COPY 到CO欄位'!AV$1,0)-VLOOKUP($A8,'Over Under Bill 1 COPY 到CO欄位'!$1:$1048576,'Over Under Bill 1 COPY 到CO欄位'!AQ$1,0)</f>
        <v>0</v>
      </c>
      <c r="AW8" s="158">
        <f>VLOOKUP($A8,'Over Under Bill 1 COPY 到CO欄位'!$1:$1048576,'Over Under Bill 1 COPY 到CO欄位'!AW$1,0)-VLOOKUP($A8,'Over Under Bill 1 COPY 到CO欄位'!$1:$1048576,'Over Under Bill 1 COPY 到CO欄位'!AR$1,0)</f>
        <v>0</v>
      </c>
      <c r="AX8" s="158">
        <f t="shared" si="18"/>
        <v>0</v>
      </c>
      <c r="AY8" s="158">
        <f>VLOOKUP($A8,'Over Under Bill 1 COPY 到CO欄位'!$1:$1048576,'Over Under Bill 1 COPY 到CO欄位'!AY$1,0)-VLOOKUP($A8,'Over Under Bill 1 COPY 到CO欄位'!$1:$1048576,'Over Under Bill 1 COPY 到CO欄位'!AT$1,0)</f>
        <v>0</v>
      </c>
      <c r="AZ8" s="158">
        <f t="shared" si="19"/>
        <v>0</v>
      </c>
      <c r="BA8" s="157">
        <f>VLOOKUP($A8,'Over Under Bill 1 COPY 到CO欄位'!$1:$1048576,'Over Under Bill 1 COPY 到CO欄位'!BA$1,0)-VLOOKUP($A8,'Over Under Bill 1 COPY 到CO欄位'!$1:$1048576,'Over Under Bill 1 COPY 到CO欄位'!AV$1,0)</f>
        <v>0</v>
      </c>
      <c r="BB8" s="157">
        <f>VLOOKUP($A8,'Over Under Bill 1 COPY 到CO欄位'!$1:$1048576,'Over Under Bill 1 COPY 到CO欄位'!BB$1,0)-VLOOKUP($A8,'Over Under Bill 1 COPY 到CO欄位'!$1:$1048576,'Over Under Bill 1 COPY 到CO欄位'!AW$1,0)</f>
        <v>0</v>
      </c>
      <c r="BC8" s="157">
        <f t="shared" si="20"/>
        <v>0</v>
      </c>
      <c r="BD8" s="157">
        <f>VLOOKUP($A8,'Over Under Bill 1 COPY 到CO欄位'!$1:$1048576,'Over Under Bill 1 COPY 到CO欄位'!BD$1,0)-VLOOKUP($A8,'Over Under Bill 1 COPY 到CO欄位'!$1:$1048576,'Over Under Bill 1 COPY 到CO欄位'!AY$1,0)</f>
        <v>0</v>
      </c>
      <c r="BE8" s="157">
        <f t="shared" si="21"/>
        <v>0</v>
      </c>
      <c r="BF8" s="158">
        <f>VLOOKUP($A8,'Over Under Bill 1 COPY 到CO欄位'!$1:$1048576,'Over Under Bill 1 COPY 到CO欄位'!BF$1,0)-VLOOKUP($A8,'Over Under Bill 1 COPY 到CO欄位'!$1:$1048576,'Over Under Bill 1 COPY 到CO欄位'!BA$1,0)</f>
        <v>0</v>
      </c>
      <c r="BG8" s="158">
        <f>VLOOKUP($A8,'Over Under Bill 1 COPY 到CO欄位'!$1:$1048576,'Over Under Bill 1 COPY 到CO欄位'!BG$1,0)-VLOOKUP($A8,'Over Under Bill 1 COPY 到CO欄位'!$1:$1048576,'Over Under Bill 1 COPY 到CO欄位'!BB$1,0)</f>
        <v>0</v>
      </c>
      <c r="BH8" s="158">
        <f t="shared" si="22"/>
        <v>0</v>
      </c>
      <c r="BI8" s="158">
        <f>VLOOKUP($A8,'Over Under Bill 1 COPY 到CO欄位'!$1:$1048576,'Over Under Bill 1 COPY 到CO欄位'!BI$1,0)-VLOOKUP($A8,'Over Under Bill 1 COPY 到CO欄位'!$1:$1048576,'Over Under Bill 1 COPY 到CO欄位'!BD$1,0)</f>
        <v>0</v>
      </c>
      <c r="BJ8" s="158">
        <f t="shared" si="23"/>
        <v>0</v>
      </c>
      <c r="BK8" s="157">
        <f>VLOOKUP($A8,'Over Under Bill 1 COPY 到CO欄位'!$1:$1048576,'Over Under Bill 1 COPY 到CO欄位'!BK$1,0)-VLOOKUP($A8,'Over Under Bill 1 COPY 到CO欄位'!$1:$1048576,'Over Under Bill 1 COPY 到CO欄位'!BF$1,0)</f>
        <v>0</v>
      </c>
      <c r="BL8" s="157">
        <f>VLOOKUP($A8,'Over Under Bill 1 COPY 到CO欄位'!$1:$1048576,'Over Under Bill 1 COPY 到CO欄位'!BL$1,0)-VLOOKUP($A8,'Over Under Bill 1 COPY 到CO欄位'!$1:$1048576,'Over Under Bill 1 COPY 到CO欄位'!BG$1,0)</f>
        <v>0</v>
      </c>
      <c r="BM8" s="157">
        <f t="shared" si="24"/>
        <v>0</v>
      </c>
      <c r="BN8" s="157">
        <f>VLOOKUP($A8,'Over Under Bill 1 COPY 到CO欄位'!$1:$1048576,'Over Under Bill 1 COPY 到CO欄位'!BN$1,0)-VLOOKUP($A8,'Over Under Bill 1 COPY 到CO欄位'!$1:$1048576,'Over Under Bill 1 COPY 到CO欄位'!BI$1,0)</f>
        <v>0</v>
      </c>
      <c r="BO8" s="157">
        <f t="shared" si="25"/>
        <v>0</v>
      </c>
      <c r="BP8" s="158">
        <f>VLOOKUP($A8,'Over Under Bill 1 COPY 到CO欄位'!$1:$1048576,'Over Under Bill 1 COPY 到CO欄位'!BP$1,0)-VLOOKUP($A8,'Over Under Bill 1 COPY 到CO欄位'!$1:$1048576,'Over Under Bill 1 COPY 到CO欄位'!BK$1,0)</f>
        <v>0</v>
      </c>
      <c r="BQ8" s="158">
        <f>VLOOKUP($A8,'Over Under Bill 1 COPY 到CO欄位'!$1:$1048576,'Over Under Bill 1 COPY 到CO欄位'!BQ$1,0)-VLOOKUP($A8,'Over Under Bill 1 COPY 到CO欄位'!$1:$1048576,'Over Under Bill 1 COPY 到CO欄位'!BL$1,0)</f>
        <v>0</v>
      </c>
      <c r="BR8" s="158">
        <f t="shared" si="26"/>
        <v>0</v>
      </c>
      <c r="BS8" s="158">
        <f>VLOOKUP($A8,'Over Under Bill 1 COPY 到CO欄位'!$1:$1048576,'Over Under Bill 1 COPY 到CO欄位'!BS$1,0)-VLOOKUP($A8,'Over Under Bill 1 COPY 到CO欄位'!$1:$1048576,'Over Under Bill 1 COPY 到CO欄位'!BN$1,0)</f>
        <v>0</v>
      </c>
      <c r="BT8" s="158">
        <f t="shared" si="27"/>
        <v>0</v>
      </c>
      <c r="BU8" s="157">
        <f>VLOOKUP($A8,'Over Under Bill 1 COPY 到CO欄位'!$1:$1048576,'Over Under Bill 1 COPY 到CO欄位'!BP$1,0)-VLOOKUP($A8,'Over Under Bill 1 COPY 到CO欄位'!$1:$1048576,'Over Under Bill 1 COPY 到CO欄位'!H$1,0)</f>
        <v>0</v>
      </c>
      <c r="BV8" s="157">
        <f>VLOOKUP($A8,'Over Under Bill 1 COPY 到CO欄位'!$1:$1048576,'Over Under Bill 1 COPY 到CO欄位'!BQ$1,0)-VLOOKUP($A8,'Over Under Bill 1 COPY 到CO欄位'!$1:$1048576,'Over Under Bill 1 COPY 到CO欄位'!I$1,0)</f>
        <v>0</v>
      </c>
      <c r="BW8" s="157">
        <f t="shared" si="28"/>
        <v>0</v>
      </c>
      <c r="BX8" s="157">
        <f>VLOOKUP($A8,'Over Under Bill 1 COPY 到CO欄位'!$1:$1048576,'Over Under Bill 1 COPY 到CO欄位'!BS$1,0)-VLOOKUP($A8,'Over Under Bill 1 COPY 到CO欄位'!$1:$1048576,'Over Under Bill 1 COPY 到CO欄位'!K$1,0)</f>
        <v>0</v>
      </c>
      <c r="BY8" s="157">
        <f t="shared" si="29"/>
        <v>0</v>
      </c>
      <c r="BZ8" s="158">
        <f>VLOOKUP($A8,'Over Under Bill 1 COPY 到CO欄位'!$1:$1048576,'Over Under Bill 1 COPY 到CO欄位'!BU$1,0)-VLOOKUP($A8,'Over Under Bill 1 COPY 到CO欄位'!$1:$1048576,'Over Under Bill 1 COPY 到CO欄位'!BP$1,0)</f>
        <v>0</v>
      </c>
      <c r="CA8" s="158">
        <f>VLOOKUP($A8,'Over Under Bill 1 COPY 到CO欄位'!$1:$1048576,'Over Under Bill 1 COPY 到CO欄位'!BV$1,0)-VLOOKUP($A8,'Over Under Bill 1 COPY 到CO欄位'!$1:$1048576,'Over Under Bill 1 COPY 到CO欄位'!BQ$1,0)</f>
        <v>0</v>
      </c>
      <c r="CB8" s="158">
        <f t="shared" si="30"/>
        <v>0</v>
      </c>
      <c r="CC8" s="158">
        <f>VLOOKUP($A8,'Over Under Bill 1 COPY 到CO欄位'!$1:$1048576,'Over Under Bill 1 COPY 到CO欄位'!BX$1,0)-VLOOKUP($A8,'Over Under Bill 1 COPY 到CO欄位'!$1:$1048576,'Over Under Bill 1 COPY 到CO欄位'!BS$1,0)</f>
        <v>0</v>
      </c>
      <c r="CD8" s="158">
        <f t="shared" si="31"/>
        <v>0</v>
      </c>
      <c r="CE8" s="157">
        <f>VLOOKUP($A8,'Over Under Bill 1 COPY 到CO欄位'!$1:$1048576,'Over Under Bill 1 COPY 到CO欄位'!BZ$1,0)-VLOOKUP($A8,'Over Under Bill 1 COPY 到CO欄位'!$1:$1048576,'Over Under Bill 1 COPY 到CO欄位'!BU$1,0)</f>
        <v>0</v>
      </c>
      <c r="CF8" s="157">
        <f>VLOOKUP($A8,'Over Under Bill 1 COPY 到CO欄位'!$1:$1048576,'Over Under Bill 1 COPY 到CO欄位'!CA$1,0)-VLOOKUP($A8,'Over Under Bill 1 COPY 到CO欄位'!$1:$1048576,'Over Under Bill 1 COPY 到CO欄位'!BV$1,0)</f>
        <v>0</v>
      </c>
      <c r="CG8" s="157">
        <f t="shared" si="32"/>
        <v>0</v>
      </c>
      <c r="CH8" s="157">
        <f>VLOOKUP($A8,'Over Under Bill 1 COPY 到CO欄位'!$1:$1048576,'Over Under Bill 1 COPY 到CO欄位'!CC$1,0)-VLOOKUP($A8,'Over Under Bill 1 COPY 到CO欄位'!$1:$1048576,'Over Under Bill 1 COPY 到CO欄位'!BX$1,0)</f>
        <v>0</v>
      </c>
      <c r="CI8" s="157">
        <f t="shared" si="33"/>
        <v>0</v>
      </c>
      <c r="CJ8" s="158">
        <f>VLOOKUP($A8,'Over Under Bill 1 COPY 到CO欄位'!$1:$1048576,'Over Under Bill 1 COPY 到CO欄位'!CE$1,0)-VLOOKUP($A8,'Over Under Bill 1 COPY 到CO欄位'!$1:$1048576,'Over Under Bill 1 COPY 到CO欄位'!BZ$1,0)</f>
        <v>0</v>
      </c>
      <c r="CK8" s="158">
        <f>VLOOKUP($A8,'Over Under Bill 1 COPY 到CO欄位'!$1:$1048576,'Over Under Bill 1 COPY 到CO欄位'!CF$1,0)-VLOOKUP($A8,'Over Under Bill 1 COPY 到CO欄位'!$1:$1048576,'Over Under Bill 1 COPY 到CO欄位'!CA$1,0)</f>
        <v>0</v>
      </c>
      <c r="CL8" s="158">
        <f t="shared" si="34"/>
        <v>0</v>
      </c>
      <c r="CM8" s="158">
        <f>VLOOKUP($A8,'Over Under Bill 1 COPY 到CO欄位'!$1:$1048576,'Over Under Bill 1 COPY 到CO欄位'!CH$1,0)-VLOOKUP($A8,'Over Under Bill 1 COPY 到CO欄位'!$1:$1048576,'Over Under Bill 1 COPY 到CO欄位'!CC$1,0)</f>
        <v>0</v>
      </c>
      <c r="CN8" s="158">
        <f t="shared" si="35"/>
        <v>0</v>
      </c>
      <c r="CO8" s="157">
        <f>VLOOKUP($A8,'Over Under Bill 1 COPY 到CO欄位'!$1:$1048576,'Over Under Bill 1 COPY 到CO欄位'!CJ$1,0)-VLOOKUP($A8,'Over Under Bill 1 COPY 到CO欄位'!$1:$1048576,'Over Under Bill 1 COPY 到CO欄位'!CE$1,0)</f>
        <v>0</v>
      </c>
      <c r="CP8" s="157">
        <f>VLOOKUP($A8,'Over Under Bill 1 COPY 到CO欄位'!$1:$1048576,'Over Under Bill 1 COPY 到CO欄位'!CK$1,0)-VLOOKUP($A8,'Over Under Bill 1 COPY 到CO欄位'!$1:$1048576,'Over Under Bill 1 COPY 到CO欄位'!CF$1,0)</f>
        <v>0</v>
      </c>
      <c r="CQ8" s="157">
        <f t="shared" si="36"/>
        <v>0</v>
      </c>
      <c r="CR8" s="157">
        <f>VLOOKUP($A8,'Over Under Bill 1 COPY 到CO欄位'!$1:$1048576,'Over Under Bill 1 COPY 到CO欄位'!CM$1,0)-VLOOKUP($A8,'Over Under Bill 1 COPY 到CO欄位'!$1:$1048576,'Over Under Bill 1 COPY 到CO欄位'!CH$1,0)</f>
        <v>0</v>
      </c>
      <c r="CS8" s="157">
        <f t="shared" si="37"/>
        <v>0</v>
      </c>
    </row>
    <row r="9" spans="1:99">
      <c r="A9" s="155" t="s">
        <v>315</v>
      </c>
      <c r="B9" s="164" t="s">
        <v>316</v>
      </c>
      <c r="C9" s="157">
        <f>IFERROR(VLOOKUP($A9,'A0 BS 1240在建'!$1:$1048576,5,0),0)</f>
        <v>0</v>
      </c>
      <c r="D9" s="157">
        <f>IFERROR(VLOOKUP($A9,'B0 2264預收'!$1:$1048576,5,0),0)</f>
        <v>0</v>
      </c>
      <c r="E9" s="157">
        <f t="shared" si="0"/>
        <v>0</v>
      </c>
      <c r="F9" s="157">
        <f>IFERROR(VLOOKUP($A9,'B0 2264預收'!$1:$1048576,6,0),0)</f>
        <v>0</v>
      </c>
      <c r="G9" s="157">
        <f t="shared" si="1"/>
        <v>0</v>
      </c>
      <c r="H9" s="158">
        <f>IFERROR(VLOOKUP($A9,'A0 BS 1240在建'!$1:$1048576,13,0),0)-C9</f>
        <v>0</v>
      </c>
      <c r="I9" s="158">
        <f>IFERROR(VLOOKUP($A9,'B0 2264預收'!$1:$1048576,13,0),0)-D9</f>
        <v>0</v>
      </c>
      <c r="J9" s="158">
        <f t="shared" si="2"/>
        <v>0</v>
      </c>
      <c r="K9" s="158">
        <f>IFERROR(VLOOKUP($A9,'B0 2264預收'!$1:$1048576,14,0),0)-F9</f>
        <v>0</v>
      </c>
      <c r="L9" s="158">
        <f t="shared" si="3"/>
        <v>0</v>
      </c>
      <c r="M9" s="157">
        <f>VLOOKUP($A9,'Over Under Bill 1 COPY 到CO欄位'!$1:$1048576,'Over Under Bill 1 COPY 到CO欄位'!M$1,0)-VLOOKUP($A9,'Over Under Bill 1 COPY 到CO欄位'!$1:$1048576,'Over Under Bill 1 COPY 到CO欄位'!H$1,0)</f>
        <v>0</v>
      </c>
      <c r="N9" s="157">
        <f>VLOOKUP($A9,'Over Under Bill 1 COPY 到CO欄位'!$1:$1048576,'Over Under Bill 1 COPY 到CO欄位'!N$1,0)-VLOOKUP($A9,'Over Under Bill 1 COPY 到CO欄位'!$1:$1048576,'Over Under Bill 1 COPY 到CO欄位'!I$1,0)</f>
        <v>0</v>
      </c>
      <c r="O9" s="157">
        <f t="shared" si="4"/>
        <v>0</v>
      </c>
      <c r="P9" s="157">
        <f>VLOOKUP($A9,'Over Under Bill 1 COPY 到CO欄位'!$1:$1048576,'Over Under Bill 1 COPY 到CO欄位'!P$1,0)-VLOOKUP($A9,'Over Under Bill 1 COPY 到CO欄位'!$1:$1048576,'Over Under Bill 1 COPY 到CO欄位'!K$1,0)</f>
        <v>0</v>
      </c>
      <c r="Q9" s="157">
        <f t="shared" si="5"/>
        <v>0</v>
      </c>
      <c r="R9" s="158">
        <f>VLOOKUP($A9,'Over Under Bill 1 COPY 到CO欄位'!$1:$1048576,'Over Under Bill 1 COPY 到CO欄位'!R$1,0)-VLOOKUP($A9,'Over Under Bill 1 COPY 到CO欄位'!$1:$1048576,'Over Under Bill 1 COPY 到CO欄位'!M$1,0)</f>
        <v>0</v>
      </c>
      <c r="S9" s="158">
        <f>VLOOKUP($A9,'Over Under Bill 1 COPY 到CO欄位'!$1:$1048576,'Over Under Bill 1 COPY 到CO欄位'!S$1,0)-VLOOKUP($A9,'Over Under Bill 1 COPY 到CO欄位'!$1:$1048576,'Over Under Bill 1 COPY 到CO欄位'!N$1,0)</f>
        <v>0</v>
      </c>
      <c r="T9" s="158">
        <f t="shared" si="6"/>
        <v>0</v>
      </c>
      <c r="U9" s="158">
        <f>VLOOKUP($A9,'Over Under Bill 1 COPY 到CO欄位'!$1:$1048576,'Over Under Bill 1 COPY 到CO欄位'!U$1,0)-VLOOKUP($A9,'Over Under Bill 1 COPY 到CO欄位'!$1:$1048576,'Over Under Bill 1 COPY 到CO欄位'!P$1,0)</f>
        <v>0</v>
      </c>
      <c r="V9" s="158">
        <f t="shared" si="7"/>
        <v>0</v>
      </c>
      <c r="W9" s="157">
        <f>VLOOKUP($A9,'Over Under Bill 1 COPY 到CO欄位'!$1:$1048576,'Over Under Bill 1 COPY 到CO欄位'!W$1,0)-VLOOKUP($A9,'Over Under Bill 1 COPY 到CO欄位'!$1:$1048576,'Over Under Bill 1 COPY 到CO欄位'!R$1,0)</f>
        <v>0</v>
      </c>
      <c r="X9" s="157">
        <f>VLOOKUP($A9,'Over Under Bill 1 COPY 到CO欄位'!$1:$1048576,'Over Under Bill 1 COPY 到CO欄位'!X$1,0)-VLOOKUP($A9,'Over Under Bill 1 COPY 到CO欄位'!$1:$1048576,'Over Under Bill 1 COPY 到CO欄位'!S$1,0)</f>
        <v>0</v>
      </c>
      <c r="Y9" s="157">
        <f t="shared" si="8"/>
        <v>0</v>
      </c>
      <c r="Z9" s="157">
        <f>VLOOKUP($A9,'Over Under Bill 1 COPY 到CO欄位'!$1:$1048576,'Over Under Bill 1 COPY 到CO欄位'!Z$1,0)-VLOOKUP($A9,'Over Under Bill 1 COPY 到CO欄位'!$1:$1048576,'Over Under Bill 1 COPY 到CO欄位'!U$1,0)</f>
        <v>0</v>
      </c>
      <c r="AA9" s="157">
        <f t="shared" si="9"/>
        <v>0</v>
      </c>
      <c r="AB9" s="158">
        <f>VLOOKUP($A9,'Over Under Bill 1 COPY 到CO欄位'!$1:$1048576,'Over Under Bill 1 COPY 到CO欄位'!AB$1,0)-VLOOKUP($A9,'Over Under Bill 1 COPY 到CO欄位'!$1:$1048576,'Over Under Bill 1 COPY 到CO欄位'!W$1,0)</f>
        <v>0</v>
      </c>
      <c r="AC9" s="158">
        <f>VLOOKUP($A9,'Over Under Bill 1 COPY 到CO欄位'!$1:$1048576,'Over Under Bill 1 COPY 到CO欄位'!AC$1,0)-VLOOKUP($A9,'Over Under Bill 1 COPY 到CO欄位'!$1:$1048576,'Over Under Bill 1 COPY 到CO欄位'!X$1,0)</f>
        <v>0</v>
      </c>
      <c r="AD9" s="158">
        <f t="shared" si="10"/>
        <v>0</v>
      </c>
      <c r="AE9" s="158">
        <f>VLOOKUP($A9,'Over Under Bill 1 COPY 到CO欄位'!$1:$1048576,'Over Under Bill 1 COPY 到CO欄位'!AE$1,0)-VLOOKUP($A9,'Over Under Bill 1 COPY 到CO欄位'!$1:$1048576,'Over Under Bill 1 COPY 到CO欄位'!Z$1,0)</f>
        <v>0</v>
      </c>
      <c r="AF9" s="158">
        <f t="shared" si="11"/>
        <v>0</v>
      </c>
      <c r="AG9" s="157">
        <f>VLOOKUP($A9,'Over Under Bill 1 COPY 到CO欄位'!$1:$1048576,'Over Under Bill 1 COPY 到CO欄位'!AG$1,0)-VLOOKUP($A9,'Over Under Bill 1 COPY 到CO欄位'!$1:$1048576,'Over Under Bill 1 COPY 到CO欄位'!AB$1,0)</f>
        <v>0</v>
      </c>
      <c r="AH9" s="157">
        <f>VLOOKUP($A9,'Over Under Bill 1 COPY 到CO欄位'!$1:$1048576,'Over Under Bill 1 COPY 到CO欄位'!AH$1,0)-VLOOKUP($A9,'Over Under Bill 1 COPY 到CO欄位'!$1:$1048576,'Over Under Bill 1 COPY 到CO欄位'!AC$1,0)</f>
        <v>0</v>
      </c>
      <c r="AI9" s="157">
        <f t="shared" si="12"/>
        <v>0</v>
      </c>
      <c r="AJ9" s="157">
        <f>VLOOKUP($A9,'Over Under Bill 1 COPY 到CO欄位'!$1:$1048576,'Over Under Bill 1 COPY 到CO欄位'!AJ$1,0)-VLOOKUP($A9,'Over Under Bill 1 COPY 到CO欄位'!$1:$1048576,'Over Under Bill 1 COPY 到CO欄位'!AE$1,0)</f>
        <v>0</v>
      </c>
      <c r="AK9" s="157">
        <f t="shared" si="13"/>
        <v>0</v>
      </c>
      <c r="AL9" s="158">
        <f>VLOOKUP($A9,'Over Under Bill 1 COPY 到CO欄位'!$1:$1048576,'Over Under Bill 1 COPY 到CO欄位'!AL$1,0)-VLOOKUP($A9,'Over Under Bill 1 COPY 到CO欄位'!$1:$1048576,'Over Under Bill 1 COPY 到CO欄位'!AG$1,0)</f>
        <v>0</v>
      </c>
      <c r="AM9" s="158">
        <f>VLOOKUP($A9,'Over Under Bill 1 COPY 到CO欄位'!$1:$1048576,'Over Under Bill 1 COPY 到CO欄位'!AM$1,0)-VLOOKUP($A9,'Over Under Bill 1 COPY 到CO欄位'!$1:$1048576,'Over Under Bill 1 COPY 到CO欄位'!AH$1,0)</f>
        <v>0</v>
      </c>
      <c r="AN9" s="158">
        <f t="shared" si="14"/>
        <v>0</v>
      </c>
      <c r="AO9" s="158">
        <f>VLOOKUP($A9,'Over Under Bill 1 COPY 到CO欄位'!$1:$1048576,'Over Under Bill 1 COPY 到CO欄位'!AO$1,0)-VLOOKUP($A9,'Over Under Bill 1 COPY 到CO欄位'!$1:$1048576,'Over Under Bill 1 COPY 到CO欄位'!AJ$1,0)</f>
        <v>0</v>
      </c>
      <c r="AP9" s="158">
        <f t="shared" si="15"/>
        <v>0</v>
      </c>
      <c r="AQ9" s="157">
        <f>VLOOKUP($A9,'Over Under Bill 1 COPY 到CO欄位'!$1:$1048576,'Over Under Bill 1 COPY 到CO欄位'!AQ$1,0)-VLOOKUP($A9,'Over Under Bill 1 COPY 到CO欄位'!$1:$1048576,'Over Under Bill 1 COPY 到CO欄位'!AL$1,0)</f>
        <v>0</v>
      </c>
      <c r="AR9" s="157">
        <f>VLOOKUP($A9,'Over Under Bill 1 COPY 到CO欄位'!$1:$1048576,'Over Under Bill 1 COPY 到CO欄位'!AR$1,0)-VLOOKUP($A9,'Over Under Bill 1 COPY 到CO欄位'!$1:$1048576,'Over Under Bill 1 COPY 到CO欄位'!AM$1,0)</f>
        <v>0</v>
      </c>
      <c r="AS9" s="157">
        <f t="shared" si="16"/>
        <v>0</v>
      </c>
      <c r="AT9" s="157">
        <f>VLOOKUP($A9,'Over Under Bill 1 COPY 到CO欄位'!$1:$1048576,'Over Under Bill 1 COPY 到CO欄位'!AT$1,0)-VLOOKUP($A9,'Over Under Bill 1 COPY 到CO欄位'!$1:$1048576,'Over Under Bill 1 COPY 到CO欄位'!AO$1,0)</f>
        <v>0</v>
      </c>
      <c r="AU9" s="157">
        <f t="shared" si="17"/>
        <v>0</v>
      </c>
      <c r="AV9" s="158">
        <f>VLOOKUP($A9,'Over Under Bill 1 COPY 到CO欄位'!$1:$1048576,'Over Under Bill 1 COPY 到CO欄位'!AV$1,0)-VLOOKUP($A9,'Over Under Bill 1 COPY 到CO欄位'!$1:$1048576,'Over Under Bill 1 COPY 到CO欄位'!AQ$1,0)</f>
        <v>0</v>
      </c>
      <c r="AW9" s="158">
        <f>VLOOKUP($A9,'Over Under Bill 1 COPY 到CO欄位'!$1:$1048576,'Over Under Bill 1 COPY 到CO欄位'!AW$1,0)-VLOOKUP($A9,'Over Under Bill 1 COPY 到CO欄位'!$1:$1048576,'Over Under Bill 1 COPY 到CO欄位'!AR$1,0)</f>
        <v>0</v>
      </c>
      <c r="AX9" s="158">
        <f t="shared" si="18"/>
        <v>0</v>
      </c>
      <c r="AY9" s="158">
        <f>VLOOKUP($A9,'Over Under Bill 1 COPY 到CO欄位'!$1:$1048576,'Over Under Bill 1 COPY 到CO欄位'!AY$1,0)-VLOOKUP($A9,'Over Under Bill 1 COPY 到CO欄位'!$1:$1048576,'Over Under Bill 1 COPY 到CO欄位'!AT$1,0)</f>
        <v>0</v>
      </c>
      <c r="AZ9" s="158">
        <f t="shared" si="19"/>
        <v>0</v>
      </c>
      <c r="BA9" s="157">
        <f>VLOOKUP($A9,'Over Under Bill 1 COPY 到CO欄位'!$1:$1048576,'Over Under Bill 1 COPY 到CO欄位'!BA$1,0)-VLOOKUP($A9,'Over Under Bill 1 COPY 到CO欄位'!$1:$1048576,'Over Under Bill 1 COPY 到CO欄位'!AV$1,0)</f>
        <v>0</v>
      </c>
      <c r="BB9" s="157">
        <f>VLOOKUP($A9,'Over Under Bill 1 COPY 到CO欄位'!$1:$1048576,'Over Under Bill 1 COPY 到CO欄位'!BB$1,0)-VLOOKUP($A9,'Over Under Bill 1 COPY 到CO欄位'!$1:$1048576,'Over Under Bill 1 COPY 到CO欄位'!AW$1,0)</f>
        <v>0</v>
      </c>
      <c r="BC9" s="157">
        <f t="shared" si="20"/>
        <v>0</v>
      </c>
      <c r="BD9" s="157">
        <f>VLOOKUP($A9,'Over Under Bill 1 COPY 到CO欄位'!$1:$1048576,'Over Under Bill 1 COPY 到CO欄位'!BD$1,0)-VLOOKUP($A9,'Over Under Bill 1 COPY 到CO欄位'!$1:$1048576,'Over Under Bill 1 COPY 到CO欄位'!AY$1,0)</f>
        <v>0</v>
      </c>
      <c r="BE9" s="157">
        <f t="shared" si="21"/>
        <v>0</v>
      </c>
      <c r="BF9" s="158">
        <f>VLOOKUP($A9,'Over Under Bill 1 COPY 到CO欄位'!$1:$1048576,'Over Under Bill 1 COPY 到CO欄位'!BF$1,0)-VLOOKUP($A9,'Over Under Bill 1 COPY 到CO欄位'!$1:$1048576,'Over Under Bill 1 COPY 到CO欄位'!BA$1,0)</f>
        <v>0</v>
      </c>
      <c r="BG9" s="158">
        <f>VLOOKUP($A9,'Over Under Bill 1 COPY 到CO欄位'!$1:$1048576,'Over Under Bill 1 COPY 到CO欄位'!BG$1,0)-VLOOKUP($A9,'Over Under Bill 1 COPY 到CO欄位'!$1:$1048576,'Over Under Bill 1 COPY 到CO欄位'!BB$1,0)</f>
        <v>0</v>
      </c>
      <c r="BH9" s="158">
        <f t="shared" si="22"/>
        <v>0</v>
      </c>
      <c r="BI9" s="158">
        <f>VLOOKUP($A9,'Over Under Bill 1 COPY 到CO欄位'!$1:$1048576,'Over Under Bill 1 COPY 到CO欄位'!BI$1,0)-VLOOKUP($A9,'Over Under Bill 1 COPY 到CO欄位'!$1:$1048576,'Over Under Bill 1 COPY 到CO欄位'!BD$1,0)</f>
        <v>0</v>
      </c>
      <c r="BJ9" s="158">
        <f t="shared" si="23"/>
        <v>0</v>
      </c>
      <c r="BK9" s="157">
        <f>VLOOKUP($A9,'Over Under Bill 1 COPY 到CO欄位'!$1:$1048576,'Over Under Bill 1 COPY 到CO欄位'!BK$1,0)-VLOOKUP($A9,'Over Under Bill 1 COPY 到CO欄位'!$1:$1048576,'Over Under Bill 1 COPY 到CO欄位'!BF$1,0)</f>
        <v>0</v>
      </c>
      <c r="BL9" s="157">
        <f>VLOOKUP($A9,'Over Under Bill 1 COPY 到CO欄位'!$1:$1048576,'Over Under Bill 1 COPY 到CO欄位'!BL$1,0)-VLOOKUP($A9,'Over Under Bill 1 COPY 到CO欄位'!$1:$1048576,'Over Under Bill 1 COPY 到CO欄位'!BG$1,0)</f>
        <v>0</v>
      </c>
      <c r="BM9" s="157">
        <f t="shared" si="24"/>
        <v>0</v>
      </c>
      <c r="BN9" s="157">
        <f>VLOOKUP($A9,'Over Under Bill 1 COPY 到CO欄位'!$1:$1048576,'Over Under Bill 1 COPY 到CO欄位'!BN$1,0)-VLOOKUP($A9,'Over Under Bill 1 COPY 到CO欄位'!$1:$1048576,'Over Under Bill 1 COPY 到CO欄位'!BI$1,0)</f>
        <v>0</v>
      </c>
      <c r="BO9" s="157">
        <f t="shared" si="25"/>
        <v>0</v>
      </c>
      <c r="BP9" s="158">
        <f>VLOOKUP($A9,'Over Under Bill 1 COPY 到CO欄位'!$1:$1048576,'Over Under Bill 1 COPY 到CO欄位'!BP$1,0)-VLOOKUP($A9,'Over Under Bill 1 COPY 到CO欄位'!$1:$1048576,'Over Under Bill 1 COPY 到CO欄位'!BK$1,0)</f>
        <v>0</v>
      </c>
      <c r="BQ9" s="158">
        <f>VLOOKUP($A9,'Over Under Bill 1 COPY 到CO欄位'!$1:$1048576,'Over Under Bill 1 COPY 到CO欄位'!BQ$1,0)-VLOOKUP($A9,'Over Under Bill 1 COPY 到CO欄位'!$1:$1048576,'Over Under Bill 1 COPY 到CO欄位'!BL$1,0)</f>
        <v>0</v>
      </c>
      <c r="BR9" s="158">
        <f t="shared" si="26"/>
        <v>0</v>
      </c>
      <c r="BS9" s="158">
        <f>VLOOKUP($A9,'Over Under Bill 1 COPY 到CO欄位'!$1:$1048576,'Over Under Bill 1 COPY 到CO欄位'!BS$1,0)-VLOOKUP($A9,'Over Under Bill 1 COPY 到CO欄位'!$1:$1048576,'Over Under Bill 1 COPY 到CO欄位'!BN$1,0)</f>
        <v>0</v>
      </c>
      <c r="BT9" s="158">
        <f t="shared" si="27"/>
        <v>0</v>
      </c>
      <c r="BU9" s="157">
        <f>VLOOKUP($A9,'Over Under Bill 1 COPY 到CO欄位'!$1:$1048576,'Over Under Bill 1 COPY 到CO欄位'!BP$1,0)-VLOOKUP($A9,'Over Under Bill 1 COPY 到CO欄位'!$1:$1048576,'Over Under Bill 1 COPY 到CO欄位'!H$1,0)</f>
        <v>0</v>
      </c>
      <c r="BV9" s="157">
        <f>VLOOKUP($A9,'Over Under Bill 1 COPY 到CO欄位'!$1:$1048576,'Over Under Bill 1 COPY 到CO欄位'!BQ$1,0)-VLOOKUP($A9,'Over Under Bill 1 COPY 到CO欄位'!$1:$1048576,'Over Under Bill 1 COPY 到CO欄位'!I$1,0)</f>
        <v>0</v>
      </c>
      <c r="BW9" s="157">
        <f t="shared" si="28"/>
        <v>0</v>
      </c>
      <c r="BX9" s="157">
        <f>VLOOKUP($A9,'Over Under Bill 1 COPY 到CO欄位'!$1:$1048576,'Over Under Bill 1 COPY 到CO欄位'!BS$1,0)-VLOOKUP($A9,'Over Under Bill 1 COPY 到CO欄位'!$1:$1048576,'Over Under Bill 1 COPY 到CO欄位'!K$1,0)</f>
        <v>0</v>
      </c>
      <c r="BY9" s="157">
        <f t="shared" si="29"/>
        <v>0</v>
      </c>
      <c r="BZ9" s="158">
        <f>VLOOKUP($A9,'Over Under Bill 1 COPY 到CO欄位'!$1:$1048576,'Over Under Bill 1 COPY 到CO欄位'!BU$1,0)-VLOOKUP($A9,'Over Under Bill 1 COPY 到CO欄位'!$1:$1048576,'Over Under Bill 1 COPY 到CO欄位'!BP$1,0)</f>
        <v>0</v>
      </c>
      <c r="CA9" s="158">
        <f>VLOOKUP($A9,'Over Under Bill 1 COPY 到CO欄位'!$1:$1048576,'Over Under Bill 1 COPY 到CO欄位'!BV$1,0)-VLOOKUP($A9,'Over Under Bill 1 COPY 到CO欄位'!$1:$1048576,'Over Under Bill 1 COPY 到CO欄位'!BQ$1,0)</f>
        <v>0</v>
      </c>
      <c r="CB9" s="158">
        <f t="shared" si="30"/>
        <v>0</v>
      </c>
      <c r="CC9" s="158">
        <f>VLOOKUP($A9,'Over Under Bill 1 COPY 到CO欄位'!$1:$1048576,'Over Under Bill 1 COPY 到CO欄位'!BX$1,0)-VLOOKUP($A9,'Over Under Bill 1 COPY 到CO欄位'!$1:$1048576,'Over Under Bill 1 COPY 到CO欄位'!BS$1,0)</f>
        <v>0</v>
      </c>
      <c r="CD9" s="158">
        <f t="shared" si="31"/>
        <v>0</v>
      </c>
      <c r="CE9" s="157">
        <f>VLOOKUP($A9,'Over Under Bill 1 COPY 到CO欄位'!$1:$1048576,'Over Under Bill 1 COPY 到CO欄位'!BZ$1,0)-VLOOKUP($A9,'Over Under Bill 1 COPY 到CO欄位'!$1:$1048576,'Over Under Bill 1 COPY 到CO欄位'!BU$1,0)</f>
        <v>0</v>
      </c>
      <c r="CF9" s="157">
        <f>VLOOKUP($A9,'Over Under Bill 1 COPY 到CO欄位'!$1:$1048576,'Over Under Bill 1 COPY 到CO欄位'!CA$1,0)-VLOOKUP($A9,'Over Under Bill 1 COPY 到CO欄位'!$1:$1048576,'Over Under Bill 1 COPY 到CO欄位'!BV$1,0)</f>
        <v>0</v>
      </c>
      <c r="CG9" s="157">
        <f t="shared" si="32"/>
        <v>0</v>
      </c>
      <c r="CH9" s="157">
        <f>VLOOKUP($A9,'Over Under Bill 1 COPY 到CO欄位'!$1:$1048576,'Over Under Bill 1 COPY 到CO欄位'!CC$1,0)-VLOOKUP($A9,'Over Under Bill 1 COPY 到CO欄位'!$1:$1048576,'Over Under Bill 1 COPY 到CO欄位'!BX$1,0)</f>
        <v>0</v>
      </c>
      <c r="CI9" s="157">
        <f t="shared" si="33"/>
        <v>0</v>
      </c>
      <c r="CJ9" s="158">
        <f>VLOOKUP($A9,'Over Under Bill 1 COPY 到CO欄位'!$1:$1048576,'Over Under Bill 1 COPY 到CO欄位'!CE$1,0)-VLOOKUP($A9,'Over Under Bill 1 COPY 到CO欄位'!$1:$1048576,'Over Under Bill 1 COPY 到CO欄位'!BZ$1,0)</f>
        <v>0</v>
      </c>
      <c r="CK9" s="158">
        <f>VLOOKUP($A9,'Over Under Bill 1 COPY 到CO欄位'!$1:$1048576,'Over Under Bill 1 COPY 到CO欄位'!CF$1,0)-VLOOKUP($A9,'Over Under Bill 1 COPY 到CO欄位'!$1:$1048576,'Over Under Bill 1 COPY 到CO欄位'!CA$1,0)</f>
        <v>0</v>
      </c>
      <c r="CL9" s="158">
        <f t="shared" si="34"/>
        <v>0</v>
      </c>
      <c r="CM9" s="158">
        <f>VLOOKUP($A9,'Over Under Bill 1 COPY 到CO欄位'!$1:$1048576,'Over Under Bill 1 COPY 到CO欄位'!CH$1,0)-VLOOKUP($A9,'Over Under Bill 1 COPY 到CO欄位'!$1:$1048576,'Over Under Bill 1 COPY 到CO欄位'!CC$1,0)</f>
        <v>0</v>
      </c>
      <c r="CN9" s="158">
        <f t="shared" si="35"/>
        <v>0</v>
      </c>
      <c r="CO9" s="157">
        <f>VLOOKUP($A9,'Over Under Bill 1 COPY 到CO欄位'!$1:$1048576,'Over Under Bill 1 COPY 到CO欄位'!CJ$1,0)-VLOOKUP($A9,'Over Under Bill 1 COPY 到CO欄位'!$1:$1048576,'Over Under Bill 1 COPY 到CO欄位'!CE$1,0)</f>
        <v>0</v>
      </c>
      <c r="CP9" s="157">
        <f>VLOOKUP($A9,'Over Under Bill 1 COPY 到CO欄位'!$1:$1048576,'Over Under Bill 1 COPY 到CO欄位'!CK$1,0)-VLOOKUP($A9,'Over Under Bill 1 COPY 到CO欄位'!$1:$1048576,'Over Under Bill 1 COPY 到CO欄位'!CF$1,0)</f>
        <v>0</v>
      </c>
      <c r="CQ9" s="157">
        <f t="shared" si="36"/>
        <v>0</v>
      </c>
      <c r="CR9" s="157">
        <f>VLOOKUP($A9,'Over Under Bill 1 COPY 到CO欄位'!$1:$1048576,'Over Under Bill 1 COPY 到CO欄位'!CM$1,0)-VLOOKUP($A9,'Over Under Bill 1 COPY 到CO欄位'!$1:$1048576,'Over Under Bill 1 COPY 到CO欄位'!CH$1,0)</f>
        <v>0</v>
      </c>
      <c r="CS9" s="157">
        <f t="shared" si="37"/>
        <v>0</v>
      </c>
    </row>
    <row r="10" spans="1:99">
      <c r="A10" s="155" t="s">
        <v>317</v>
      </c>
      <c r="B10" s="164" t="s">
        <v>318</v>
      </c>
      <c r="C10" s="157">
        <f>IFERROR(VLOOKUP($A10,'A0 BS 1240在建'!$1:$1048576,5,0),0)</f>
        <v>0</v>
      </c>
      <c r="D10" s="157">
        <f>IFERROR(VLOOKUP($A10,'B0 2264預收'!$1:$1048576,5,0),0)</f>
        <v>0</v>
      </c>
      <c r="E10" s="157">
        <f t="shared" si="0"/>
        <v>0</v>
      </c>
      <c r="F10" s="157">
        <f>IFERROR(VLOOKUP($A10,'B0 2264預收'!$1:$1048576,6,0),0)</f>
        <v>0</v>
      </c>
      <c r="G10" s="157">
        <f t="shared" si="1"/>
        <v>0</v>
      </c>
      <c r="H10" s="158">
        <f>IFERROR(VLOOKUP($A10,'A0 BS 1240在建'!$1:$1048576,13,0),0)-C10</f>
        <v>0</v>
      </c>
      <c r="I10" s="158">
        <f>IFERROR(VLOOKUP($A10,'B0 2264預收'!$1:$1048576,13,0),0)-D10</f>
        <v>0</v>
      </c>
      <c r="J10" s="158">
        <f t="shared" si="2"/>
        <v>0</v>
      </c>
      <c r="K10" s="158">
        <f>IFERROR(VLOOKUP($A10,'B0 2264預收'!$1:$1048576,14,0),0)-F10</f>
        <v>0</v>
      </c>
      <c r="L10" s="158">
        <f t="shared" si="3"/>
        <v>0</v>
      </c>
      <c r="M10" s="157">
        <f>VLOOKUP($A10,'Over Under Bill 1 COPY 到CO欄位'!$1:$1048576,'Over Under Bill 1 COPY 到CO欄位'!M$1,0)-VLOOKUP($A10,'Over Under Bill 1 COPY 到CO欄位'!$1:$1048576,'Over Under Bill 1 COPY 到CO欄位'!H$1,0)</f>
        <v>0</v>
      </c>
      <c r="N10" s="157">
        <f>VLOOKUP($A10,'Over Under Bill 1 COPY 到CO欄位'!$1:$1048576,'Over Under Bill 1 COPY 到CO欄位'!N$1,0)-VLOOKUP($A10,'Over Under Bill 1 COPY 到CO欄位'!$1:$1048576,'Over Under Bill 1 COPY 到CO欄位'!I$1,0)</f>
        <v>0</v>
      </c>
      <c r="O10" s="157">
        <f t="shared" si="4"/>
        <v>0</v>
      </c>
      <c r="P10" s="157">
        <f>VLOOKUP($A10,'Over Under Bill 1 COPY 到CO欄位'!$1:$1048576,'Over Under Bill 1 COPY 到CO欄位'!P$1,0)-VLOOKUP($A10,'Over Under Bill 1 COPY 到CO欄位'!$1:$1048576,'Over Under Bill 1 COPY 到CO欄位'!K$1,0)</f>
        <v>0</v>
      </c>
      <c r="Q10" s="157">
        <f t="shared" si="5"/>
        <v>0</v>
      </c>
      <c r="R10" s="158">
        <f>VLOOKUP($A10,'Over Under Bill 1 COPY 到CO欄位'!$1:$1048576,'Over Under Bill 1 COPY 到CO欄位'!R$1,0)-VLOOKUP($A10,'Over Under Bill 1 COPY 到CO欄位'!$1:$1048576,'Over Under Bill 1 COPY 到CO欄位'!M$1,0)</f>
        <v>0</v>
      </c>
      <c r="S10" s="158">
        <f>VLOOKUP($A10,'Over Under Bill 1 COPY 到CO欄位'!$1:$1048576,'Over Under Bill 1 COPY 到CO欄位'!S$1,0)-VLOOKUP($A10,'Over Under Bill 1 COPY 到CO欄位'!$1:$1048576,'Over Under Bill 1 COPY 到CO欄位'!N$1,0)</f>
        <v>0</v>
      </c>
      <c r="T10" s="158">
        <f t="shared" si="6"/>
        <v>0</v>
      </c>
      <c r="U10" s="158">
        <f>VLOOKUP($A10,'Over Under Bill 1 COPY 到CO欄位'!$1:$1048576,'Over Under Bill 1 COPY 到CO欄位'!U$1,0)-VLOOKUP($A10,'Over Under Bill 1 COPY 到CO欄位'!$1:$1048576,'Over Under Bill 1 COPY 到CO欄位'!P$1,0)</f>
        <v>0</v>
      </c>
      <c r="V10" s="158">
        <f t="shared" si="7"/>
        <v>0</v>
      </c>
      <c r="W10" s="157">
        <f>VLOOKUP($A10,'Over Under Bill 1 COPY 到CO欄位'!$1:$1048576,'Over Under Bill 1 COPY 到CO欄位'!W$1,0)-VLOOKUP($A10,'Over Under Bill 1 COPY 到CO欄位'!$1:$1048576,'Over Under Bill 1 COPY 到CO欄位'!R$1,0)</f>
        <v>0</v>
      </c>
      <c r="X10" s="157">
        <f>VLOOKUP($A10,'Over Under Bill 1 COPY 到CO欄位'!$1:$1048576,'Over Under Bill 1 COPY 到CO欄位'!X$1,0)-VLOOKUP($A10,'Over Under Bill 1 COPY 到CO欄位'!$1:$1048576,'Over Under Bill 1 COPY 到CO欄位'!S$1,0)</f>
        <v>0</v>
      </c>
      <c r="Y10" s="157">
        <f t="shared" si="8"/>
        <v>0</v>
      </c>
      <c r="Z10" s="157">
        <f>VLOOKUP($A10,'Over Under Bill 1 COPY 到CO欄位'!$1:$1048576,'Over Under Bill 1 COPY 到CO欄位'!Z$1,0)-VLOOKUP($A10,'Over Under Bill 1 COPY 到CO欄位'!$1:$1048576,'Over Under Bill 1 COPY 到CO欄位'!U$1,0)</f>
        <v>0</v>
      </c>
      <c r="AA10" s="157">
        <f t="shared" si="9"/>
        <v>0</v>
      </c>
      <c r="AB10" s="158">
        <f>VLOOKUP($A10,'Over Under Bill 1 COPY 到CO欄位'!$1:$1048576,'Over Under Bill 1 COPY 到CO欄位'!AB$1,0)-VLOOKUP($A10,'Over Under Bill 1 COPY 到CO欄位'!$1:$1048576,'Over Under Bill 1 COPY 到CO欄位'!W$1,0)</f>
        <v>0</v>
      </c>
      <c r="AC10" s="158">
        <f>VLOOKUP($A10,'Over Under Bill 1 COPY 到CO欄位'!$1:$1048576,'Over Under Bill 1 COPY 到CO欄位'!AC$1,0)-VLOOKUP($A10,'Over Under Bill 1 COPY 到CO欄位'!$1:$1048576,'Over Under Bill 1 COPY 到CO欄位'!X$1,0)</f>
        <v>0</v>
      </c>
      <c r="AD10" s="158">
        <f t="shared" si="10"/>
        <v>0</v>
      </c>
      <c r="AE10" s="158">
        <f>VLOOKUP($A10,'Over Under Bill 1 COPY 到CO欄位'!$1:$1048576,'Over Under Bill 1 COPY 到CO欄位'!AE$1,0)-VLOOKUP($A10,'Over Under Bill 1 COPY 到CO欄位'!$1:$1048576,'Over Under Bill 1 COPY 到CO欄位'!Z$1,0)</f>
        <v>0</v>
      </c>
      <c r="AF10" s="158">
        <f t="shared" si="11"/>
        <v>0</v>
      </c>
      <c r="AG10" s="157">
        <f>VLOOKUP($A10,'Over Under Bill 1 COPY 到CO欄位'!$1:$1048576,'Over Under Bill 1 COPY 到CO欄位'!AG$1,0)-VLOOKUP($A10,'Over Under Bill 1 COPY 到CO欄位'!$1:$1048576,'Over Under Bill 1 COPY 到CO欄位'!AB$1,0)</f>
        <v>0</v>
      </c>
      <c r="AH10" s="157">
        <f>VLOOKUP($A10,'Over Under Bill 1 COPY 到CO欄位'!$1:$1048576,'Over Under Bill 1 COPY 到CO欄位'!AH$1,0)-VLOOKUP($A10,'Over Under Bill 1 COPY 到CO欄位'!$1:$1048576,'Over Under Bill 1 COPY 到CO欄位'!AC$1,0)</f>
        <v>0</v>
      </c>
      <c r="AI10" s="157">
        <f t="shared" si="12"/>
        <v>0</v>
      </c>
      <c r="AJ10" s="157">
        <f>VLOOKUP($A10,'Over Under Bill 1 COPY 到CO欄位'!$1:$1048576,'Over Under Bill 1 COPY 到CO欄位'!AJ$1,0)-VLOOKUP($A10,'Over Under Bill 1 COPY 到CO欄位'!$1:$1048576,'Over Under Bill 1 COPY 到CO欄位'!AE$1,0)</f>
        <v>0</v>
      </c>
      <c r="AK10" s="157">
        <f t="shared" si="13"/>
        <v>0</v>
      </c>
      <c r="AL10" s="158">
        <f>VLOOKUP($A10,'Over Under Bill 1 COPY 到CO欄位'!$1:$1048576,'Over Under Bill 1 COPY 到CO欄位'!AL$1,0)-VLOOKUP($A10,'Over Under Bill 1 COPY 到CO欄位'!$1:$1048576,'Over Under Bill 1 COPY 到CO欄位'!AG$1,0)</f>
        <v>0</v>
      </c>
      <c r="AM10" s="158">
        <f>VLOOKUP($A10,'Over Under Bill 1 COPY 到CO欄位'!$1:$1048576,'Over Under Bill 1 COPY 到CO欄位'!AM$1,0)-VLOOKUP($A10,'Over Under Bill 1 COPY 到CO欄位'!$1:$1048576,'Over Under Bill 1 COPY 到CO欄位'!AH$1,0)</f>
        <v>0</v>
      </c>
      <c r="AN10" s="158">
        <f t="shared" si="14"/>
        <v>0</v>
      </c>
      <c r="AO10" s="158">
        <f>VLOOKUP($A10,'Over Under Bill 1 COPY 到CO欄位'!$1:$1048576,'Over Under Bill 1 COPY 到CO欄位'!AO$1,0)-VLOOKUP($A10,'Over Under Bill 1 COPY 到CO欄位'!$1:$1048576,'Over Under Bill 1 COPY 到CO欄位'!AJ$1,0)</f>
        <v>0</v>
      </c>
      <c r="AP10" s="158">
        <f t="shared" si="15"/>
        <v>0</v>
      </c>
      <c r="AQ10" s="157">
        <f>VLOOKUP($A10,'Over Under Bill 1 COPY 到CO欄位'!$1:$1048576,'Over Under Bill 1 COPY 到CO欄位'!AQ$1,0)-VLOOKUP($A10,'Over Under Bill 1 COPY 到CO欄位'!$1:$1048576,'Over Under Bill 1 COPY 到CO欄位'!AL$1,0)</f>
        <v>0</v>
      </c>
      <c r="AR10" s="157">
        <f>VLOOKUP($A10,'Over Under Bill 1 COPY 到CO欄位'!$1:$1048576,'Over Under Bill 1 COPY 到CO欄位'!AR$1,0)-VLOOKUP($A10,'Over Under Bill 1 COPY 到CO欄位'!$1:$1048576,'Over Under Bill 1 COPY 到CO欄位'!AM$1,0)</f>
        <v>0</v>
      </c>
      <c r="AS10" s="157">
        <f t="shared" si="16"/>
        <v>0</v>
      </c>
      <c r="AT10" s="157">
        <f>VLOOKUP($A10,'Over Under Bill 1 COPY 到CO欄位'!$1:$1048576,'Over Under Bill 1 COPY 到CO欄位'!AT$1,0)-VLOOKUP($A10,'Over Under Bill 1 COPY 到CO欄位'!$1:$1048576,'Over Under Bill 1 COPY 到CO欄位'!AO$1,0)</f>
        <v>0</v>
      </c>
      <c r="AU10" s="157">
        <f t="shared" si="17"/>
        <v>0</v>
      </c>
      <c r="AV10" s="158">
        <f>VLOOKUP($A10,'Over Under Bill 1 COPY 到CO欄位'!$1:$1048576,'Over Under Bill 1 COPY 到CO欄位'!AV$1,0)-VLOOKUP($A10,'Over Under Bill 1 COPY 到CO欄位'!$1:$1048576,'Over Under Bill 1 COPY 到CO欄位'!AQ$1,0)</f>
        <v>0</v>
      </c>
      <c r="AW10" s="158">
        <f>VLOOKUP($A10,'Over Under Bill 1 COPY 到CO欄位'!$1:$1048576,'Over Under Bill 1 COPY 到CO欄位'!AW$1,0)-VLOOKUP($A10,'Over Under Bill 1 COPY 到CO欄位'!$1:$1048576,'Over Under Bill 1 COPY 到CO欄位'!AR$1,0)</f>
        <v>0</v>
      </c>
      <c r="AX10" s="158">
        <f t="shared" si="18"/>
        <v>0</v>
      </c>
      <c r="AY10" s="158">
        <f>VLOOKUP($A10,'Over Under Bill 1 COPY 到CO欄位'!$1:$1048576,'Over Under Bill 1 COPY 到CO欄位'!AY$1,0)-VLOOKUP($A10,'Over Under Bill 1 COPY 到CO欄位'!$1:$1048576,'Over Under Bill 1 COPY 到CO欄位'!AT$1,0)</f>
        <v>0</v>
      </c>
      <c r="AZ10" s="158">
        <f t="shared" si="19"/>
        <v>0</v>
      </c>
      <c r="BA10" s="157">
        <f>VLOOKUP($A10,'Over Under Bill 1 COPY 到CO欄位'!$1:$1048576,'Over Under Bill 1 COPY 到CO欄位'!BA$1,0)-VLOOKUP($A10,'Over Under Bill 1 COPY 到CO欄位'!$1:$1048576,'Over Under Bill 1 COPY 到CO欄位'!AV$1,0)</f>
        <v>0</v>
      </c>
      <c r="BB10" s="157">
        <f>VLOOKUP($A10,'Over Under Bill 1 COPY 到CO欄位'!$1:$1048576,'Over Under Bill 1 COPY 到CO欄位'!BB$1,0)-VLOOKUP($A10,'Over Under Bill 1 COPY 到CO欄位'!$1:$1048576,'Over Under Bill 1 COPY 到CO欄位'!AW$1,0)</f>
        <v>0</v>
      </c>
      <c r="BC10" s="157">
        <f t="shared" si="20"/>
        <v>0</v>
      </c>
      <c r="BD10" s="157">
        <f>VLOOKUP($A10,'Over Under Bill 1 COPY 到CO欄位'!$1:$1048576,'Over Under Bill 1 COPY 到CO欄位'!BD$1,0)-VLOOKUP($A10,'Over Under Bill 1 COPY 到CO欄位'!$1:$1048576,'Over Under Bill 1 COPY 到CO欄位'!AY$1,0)</f>
        <v>0</v>
      </c>
      <c r="BE10" s="157">
        <f t="shared" si="21"/>
        <v>0</v>
      </c>
      <c r="BF10" s="158">
        <f>VLOOKUP($A10,'Over Under Bill 1 COPY 到CO欄位'!$1:$1048576,'Over Under Bill 1 COPY 到CO欄位'!BF$1,0)-VLOOKUP($A10,'Over Under Bill 1 COPY 到CO欄位'!$1:$1048576,'Over Under Bill 1 COPY 到CO欄位'!BA$1,0)</f>
        <v>0</v>
      </c>
      <c r="BG10" s="158">
        <f>VLOOKUP($A10,'Over Under Bill 1 COPY 到CO欄位'!$1:$1048576,'Over Under Bill 1 COPY 到CO欄位'!BG$1,0)-VLOOKUP($A10,'Over Under Bill 1 COPY 到CO欄位'!$1:$1048576,'Over Under Bill 1 COPY 到CO欄位'!BB$1,0)</f>
        <v>0</v>
      </c>
      <c r="BH10" s="158">
        <f t="shared" si="22"/>
        <v>0</v>
      </c>
      <c r="BI10" s="158">
        <f>VLOOKUP($A10,'Over Under Bill 1 COPY 到CO欄位'!$1:$1048576,'Over Under Bill 1 COPY 到CO欄位'!BI$1,0)-VLOOKUP($A10,'Over Under Bill 1 COPY 到CO欄位'!$1:$1048576,'Over Under Bill 1 COPY 到CO欄位'!BD$1,0)</f>
        <v>0</v>
      </c>
      <c r="BJ10" s="158">
        <f t="shared" si="23"/>
        <v>0</v>
      </c>
      <c r="BK10" s="157">
        <f>VLOOKUP($A10,'Over Under Bill 1 COPY 到CO欄位'!$1:$1048576,'Over Under Bill 1 COPY 到CO欄位'!BK$1,0)-VLOOKUP($A10,'Over Under Bill 1 COPY 到CO欄位'!$1:$1048576,'Over Under Bill 1 COPY 到CO欄位'!BF$1,0)</f>
        <v>0</v>
      </c>
      <c r="BL10" s="157">
        <f>VLOOKUP($A10,'Over Under Bill 1 COPY 到CO欄位'!$1:$1048576,'Over Under Bill 1 COPY 到CO欄位'!BL$1,0)-VLOOKUP($A10,'Over Under Bill 1 COPY 到CO欄位'!$1:$1048576,'Over Under Bill 1 COPY 到CO欄位'!BG$1,0)</f>
        <v>0</v>
      </c>
      <c r="BM10" s="157">
        <f t="shared" si="24"/>
        <v>0</v>
      </c>
      <c r="BN10" s="157">
        <f>VLOOKUP($A10,'Over Under Bill 1 COPY 到CO欄位'!$1:$1048576,'Over Under Bill 1 COPY 到CO欄位'!BN$1,0)-VLOOKUP($A10,'Over Under Bill 1 COPY 到CO欄位'!$1:$1048576,'Over Under Bill 1 COPY 到CO欄位'!BI$1,0)</f>
        <v>0</v>
      </c>
      <c r="BO10" s="157">
        <f t="shared" si="25"/>
        <v>0</v>
      </c>
      <c r="BP10" s="158">
        <f>VLOOKUP($A10,'Over Under Bill 1 COPY 到CO欄位'!$1:$1048576,'Over Under Bill 1 COPY 到CO欄位'!BP$1,0)-VLOOKUP($A10,'Over Under Bill 1 COPY 到CO欄位'!$1:$1048576,'Over Under Bill 1 COPY 到CO欄位'!BK$1,0)</f>
        <v>0</v>
      </c>
      <c r="BQ10" s="158">
        <f>VLOOKUP($A10,'Over Under Bill 1 COPY 到CO欄位'!$1:$1048576,'Over Under Bill 1 COPY 到CO欄位'!BQ$1,0)-VLOOKUP($A10,'Over Under Bill 1 COPY 到CO欄位'!$1:$1048576,'Over Under Bill 1 COPY 到CO欄位'!BL$1,0)</f>
        <v>0</v>
      </c>
      <c r="BR10" s="158">
        <f t="shared" si="26"/>
        <v>0</v>
      </c>
      <c r="BS10" s="158">
        <f>VLOOKUP($A10,'Over Under Bill 1 COPY 到CO欄位'!$1:$1048576,'Over Under Bill 1 COPY 到CO欄位'!BS$1,0)-VLOOKUP($A10,'Over Under Bill 1 COPY 到CO欄位'!$1:$1048576,'Over Under Bill 1 COPY 到CO欄位'!BN$1,0)</f>
        <v>0</v>
      </c>
      <c r="BT10" s="158">
        <f t="shared" si="27"/>
        <v>0</v>
      </c>
      <c r="BU10" s="157">
        <f>VLOOKUP($A10,'Over Under Bill 1 COPY 到CO欄位'!$1:$1048576,'Over Under Bill 1 COPY 到CO欄位'!BP$1,0)-VLOOKUP($A10,'Over Under Bill 1 COPY 到CO欄位'!$1:$1048576,'Over Under Bill 1 COPY 到CO欄位'!H$1,0)</f>
        <v>0</v>
      </c>
      <c r="BV10" s="157">
        <f>VLOOKUP($A10,'Over Under Bill 1 COPY 到CO欄位'!$1:$1048576,'Over Under Bill 1 COPY 到CO欄位'!BQ$1,0)-VLOOKUP($A10,'Over Under Bill 1 COPY 到CO欄位'!$1:$1048576,'Over Under Bill 1 COPY 到CO欄位'!I$1,0)</f>
        <v>0</v>
      </c>
      <c r="BW10" s="157">
        <f t="shared" si="28"/>
        <v>0</v>
      </c>
      <c r="BX10" s="157">
        <f>VLOOKUP($A10,'Over Under Bill 1 COPY 到CO欄位'!$1:$1048576,'Over Under Bill 1 COPY 到CO欄位'!BS$1,0)-VLOOKUP($A10,'Over Under Bill 1 COPY 到CO欄位'!$1:$1048576,'Over Under Bill 1 COPY 到CO欄位'!K$1,0)</f>
        <v>0</v>
      </c>
      <c r="BY10" s="157">
        <f t="shared" si="29"/>
        <v>0</v>
      </c>
      <c r="BZ10" s="158">
        <f>VLOOKUP($A10,'Over Under Bill 1 COPY 到CO欄位'!$1:$1048576,'Over Under Bill 1 COPY 到CO欄位'!BU$1,0)-VLOOKUP($A10,'Over Under Bill 1 COPY 到CO欄位'!$1:$1048576,'Over Under Bill 1 COPY 到CO欄位'!BP$1,0)</f>
        <v>0</v>
      </c>
      <c r="CA10" s="158">
        <f>VLOOKUP($A10,'Over Under Bill 1 COPY 到CO欄位'!$1:$1048576,'Over Under Bill 1 COPY 到CO欄位'!BV$1,0)-VLOOKUP($A10,'Over Under Bill 1 COPY 到CO欄位'!$1:$1048576,'Over Under Bill 1 COPY 到CO欄位'!BQ$1,0)</f>
        <v>0</v>
      </c>
      <c r="CB10" s="158">
        <f t="shared" si="30"/>
        <v>0</v>
      </c>
      <c r="CC10" s="158">
        <f>VLOOKUP($A10,'Over Under Bill 1 COPY 到CO欄位'!$1:$1048576,'Over Under Bill 1 COPY 到CO欄位'!BX$1,0)-VLOOKUP($A10,'Over Under Bill 1 COPY 到CO欄位'!$1:$1048576,'Over Under Bill 1 COPY 到CO欄位'!BS$1,0)</f>
        <v>0</v>
      </c>
      <c r="CD10" s="158">
        <f t="shared" si="31"/>
        <v>0</v>
      </c>
      <c r="CE10" s="157">
        <f>VLOOKUP($A10,'Over Under Bill 1 COPY 到CO欄位'!$1:$1048576,'Over Under Bill 1 COPY 到CO欄位'!BZ$1,0)-VLOOKUP($A10,'Over Under Bill 1 COPY 到CO欄位'!$1:$1048576,'Over Under Bill 1 COPY 到CO欄位'!BU$1,0)</f>
        <v>0</v>
      </c>
      <c r="CF10" s="157">
        <f>VLOOKUP($A10,'Over Under Bill 1 COPY 到CO欄位'!$1:$1048576,'Over Under Bill 1 COPY 到CO欄位'!CA$1,0)-VLOOKUP($A10,'Over Under Bill 1 COPY 到CO欄位'!$1:$1048576,'Over Under Bill 1 COPY 到CO欄位'!BV$1,0)</f>
        <v>0</v>
      </c>
      <c r="CG10" s="157">
        <f t="shared" si="32"/>
        <v>0</v>
      </c>
      <c r="CH10" s="157">
        <f>VLOOKUP($A10,'Over Under Bill 1 COPY 到CO欄位'!$1:$1048576,'Over Under Bill 1 COPY 到CO欄位'!CC$1,0)-VLOOKUP($A10,'Over Under Bill 1 COPY 到CO欄位'!$1:$1048576,'Over Under Bill 1 COPY 到CO欄位'!BX$1,0)</f>
        <v>0</v>
      </c>
      <c r="CI10" s="157">
        <f t="shared" si="33"/>
        <v>0</v>
      </c>
      <c r="CJ10" s="158">
        <f>VLOOKUP($A10,'Over Under Bill 1 COPY 到CO欄位'!$1:$1048576,'Over Under Bill 1 COPY 到CO欄位'!CE$1,0)-VLOOKUP($A10,'Over Under Bill 1 COPY 到CO欄位'!$1:$1048576,'Over Under Bill 1 COPY 到CO欄位'!BZ$1,0)</f>
        <v>0</v>
      </c>
      <c r="CK10" s="158">
        <f>VLOOKUP($A10,'Over Under Bill 1 COPY 到CO欄位'!$1:$1048576,'Over Under Bill 1 COPY 到CO欄位'!CF$1,0)-VLOOKUP($A10,'Over Under Bill 1 COPY 到CO欄位'!$1:$1048576,'Over Under Bill 1 COPY 到CO欄位'!CA$1,0)</f>
        <v>0</v>
      </c>
      <c r="CL10" s="158">
        <f t="shared" si="34"/>
        <v>0</v>
      </c>
      <c r="CM10" s="158">
        <f>VLOOKUP($A10,'Over Under Bill 1 COPY 到CO欄位'!$1:$1048576,'Over Under Bill 1 COPY 到CO欄位'!CH$1,0)-VLOOKUP($A10,'Over Under Bill 1 COPY 到CO欄位'!$1:$1048576,'Over Under Bill 1 COPY 到CO欄位'!CC$1,0)</f>
        <v>0</v>
      </c>
      <c r="CN10" s="158">
        <f t="shared" si="35"/>
        <v>0</v>
      </c>
      <c r="CO10" s="157">
        <f>VLOOKUP($A10,'Over Under Bill 1 COPY 到CO欄位'!$1:$1048576,'Over Under Bill 1 COPY 到CO欄位'!CJ$1,0)-VLOOKUP($A10,'Over Under Bill 1 COPY 到CO欄位'!$1:$1048576,'Over Under Bill 1 COPY 到CO欄位'!CE$1,0)</f>
        <v>0</v>
      </c>
      <c r="CP10" s="157">
        <f>VLOOKUP($A10,'Over Under Bill 1 COPY 到CO欄位'!$1:$1048576,'Over Under Bill 1 COPY 到CO欄位'!CK$1,0)-VLOOKUP($A10,'Over Under Bill 1 COPY 到CO欄位'!$1:$1048576,'Over Under Bill 1 COPY 到CO欄位'!CF$1,0)</f>
        <v>0</v>
      </c>
      <c r="CQ10" s="157">
        <f t="shared" si="36"/>
        <v>0</v>
      </c>
      <c r="CR10" s="157">
        <f>VLOOKUP($A10,'Over Under Bill 1 COPY 到CO欄位'!$1:$1048576,'Over Under Bill 1 COPY 到CO欄位'!CM$1,0)-VLOOKUP($A10,'Over Under Bill 1 COPY 到CO欄位'!$1:$1048576,'Over Under Bill 1 COPY 到CO欄位'!CH$1,0)</f>
        <v>0</v>
      </c>
      <c r="CS10" s="157">
        <f t="shared" si="37"/>
        <v>0</v>
      </c>
    </row>
    <row r="11" spans="1:99">
      <c r="A11" s="155" t="s">
        <v>319</v>
      </c>
      <c r="B11" s="164" t="s">
        <v>320</v>
      </c>
      <c r="C11" s="157">
        <f>IFERROR(VLOOKUP($A11,'A0 BS 1240在建'!$1:$1048576,5,0),0)</f>
        <v>0</v>
      </c>
      <c r="D11" s="157">
        <f>IFERROR(VLOOKUP($A11,'B0 2264預收'!$1:$1048576,5,0),0)</f>
        <v>0</v>
      </c>
      <c r="E11" s="157">
        <f t="shared" si="0"/>
        <v>0</v>
      </c>
      <c r="F11" s="157">
        <f>IFERROR(VLOOKUP($A11,'B0 2264預收'!$1:$1048576,6,0),0)</f>
        <v>0</v>
      </c>
      <c r="G11" s="157">
        <f t="shared" si="1"/>
        <v>0</v>
      </c>
      <c r="H11" s="158">
        <f>IFERROR(VLOOKUP($A11,'A0 BS 1240在建'!$1:$1048576,13,0),0)-C11</f>
        <v>0</v>
      </c>
      <c r="I11" s="158">
        <f>IFERROR(VLOOKUP($A11,'B0 2264預收'!$1:$1048576,13,0),0)-D11</f>
        <v>0</v>
      </c>
      <c r="J11" s="158">
        <f t="shared" si="2"/>
        <v>0</v>
      </c>
      <c r="K11" s="158">
        <f>IFERROR(VLOOKUP($A11,'B0 2264預收'!$1:$1048576,14,0),0)-F11</f>
        <v>0</v>
      </c>
      <c r="L11" s="158">
        <f t="shared" si="3"/>
        <v>0</v>
      </c>
      <c r="M11" s="157">
        <f>VLOOKUP($A11,'Over Under Bill 1 COPY 到CO欄位'!$1:$1048576,'Over Under Bill 1 COPY 到CO欄位'!M$1,0)-VLOOKUP($A11,'Over Under Bill 1 COPY 到CO欄位'!$1:$1048576,'Over Under Bill 1 COPY 到CO欄位'!H$1,0)</f>
        <v>0</v>
      </c>
      <c r="N11" s="157">
        <f>VLOOKUP($A11,'Over Under Bill 1 COPY 到CO欄位'!$1:$1048576,'Over Under Bill 1 COPY 到CO欄位'!N$1,0)-VLOOKUP($A11,'Over Under Bill 1 COPY 到CO欄位'!$1:$1048576,'Over Under Bill 1 COPY 到CO欄位'!I$1,0)</f>
        <v>0</v>
      </c>
      <c r="O11" s="157">
        <f t="shared" si="4"/>
        <v>0</v>
      </c>
      <c r="P11" s="157">
        <f>VLOOKUP($A11,'Over Under Bill 1 COPY 到CO欄位'!$1:$1048576,'Over Under Bill 1 COPY 到CO欄位'!P$1,0)-VLOOKUP($A11,'Over Under Bill 1 COPY 到CO欄位'!$1:$1048576,'Over Under Bill 1 COPY 到CO欄位'!K$1,0)</f>
        <v>0</v>
      </c>
      <c r="Q11" s="157">
        <f t="shared" si="5"/>
        <v>0</v>
      </c>
      <c r="R11" s="158">
        <f>VLOOKUP($A11,'Over Under Bill 1 COPY 到CO欄位'!$1:$1048576,'Over Under Bill 1 COPY 到CO欄位'!R$1,0)-VLOOKUP($A11,'Over Under Bill 1 COPY 到CO欄位'!$1:$1048576,'Over Under Bill 1 COPY 到CO欄位'!M$1,0)</f>
        <v>0</v>
      </c>
      <c r="S11" s="158">
        <f>VLOOKUP($A11,'Over Under Bill 1 COPY 到CO欄位'!$1:$1048576,'Over Under Bill 1 COPY 到CO欄位'!S$1,0)-VLOOKUP($A11,'Over Under Bill 1 COPY 到CO欄位'!$1:$1048576,'Over Under Bill 1 COPY 到CO欄位'!N$1,0)</f>
        <v>0</v>
      </c>
      <c r="T11" s="158">
        <f t="shared" si="6"/>
        <v>0</v>
      </c>
      <c r="U11" s="158">
        <f>VLOOKUP($A11,'Over Under Bill 1 COPY 到CO欄位'!$1:$1048576,'Over Under Bill 1 COPY 到CO欄位'!U$1,0)-VLOOKUP($A11,'Over Under Bill 1 COPY 到CO欄位'!$1:$1048576,'Over Under Bill 1 COPY 到CO欄位'!P$1,0)</f>
        <v>0</v>
      </c>
      <c r="V11" s="158">
        <f t="shared" si="7"/>
        <v>0</v>
      </c>
      <c r="W11" s="157">
        <f>VLOOKUP($A11,'Over Under Bill 1 COPY 到CO欄位'!$1:$1048576,'Over Under Bill 1 COPY 到CO欄位'!W$1,0)-VLOOKUP($A11,'Over Under Bill 1 COPY 到CO欄位'!$1:$1048576,'Over Under Bill 1 COPY 到CO欄位'!R$1,0)</f>
        <v>0</v>
      </c>
      <c r="X11" s="157">
        <f>VLOOKUP($A11,'Over Under Bill 1 COPY 到CO欄位'!$1:$1048576,'Over Under Bill 1 COPY 到CO欄位'!X$1,0)-VLOOKUP($A11,'Over Under Bill 1 COPY 到CO欄位'!$1:$1048576,'Over Under Bill 1 COPY 到CO欄位'!S$1,0)</f>
        <v>0</v>
      </c>
      <c r="Y11" s="157">
        <f t="shared" si="8"/>
        <v>0</v>
      </c>
      <c r="Z11" s="157">
        <f>VLOOKUP($A11,'Over Under Bill 1 COPY 到CO欄位'!$1:$1048576,'Over Under Bill 1 COPY 到CO欄位'!Z$1,0)-VLOOKUP($A11,'Over Under Bill 1 COPY 到CO欄位'!$1:$1048576,'Over Under Bill 1 COPY 到CO欄位'!U$1,0)</f>
        <v>0</v>
      </c>
      <c r="AA11" s="157">
        <f t="shared" si="9"/>
        <v>0</v>
      </c>
      <c r="AB11" s="158">
        <f>VLOOKUP($A11,'Over Under Bill 1 COPY 到CO欄位'!$1:$1048576,'Over Under Bill 1 COPY 到CO欄位'!AB$1,0)-VLOOKUP($A11,'Over Under Bill 1 COPY 到CO欄位'!$1:$1048576,'Over Under Bill 1 COPY 到CO欄位'!W$1,0)</f>
        <v>0</v>
      </c>
      <c r="AC11" s="158">
        <f>VLOOKUP($A11,'Over Under Bill 1 COPY 到CO欄位'!$1:$1048576,'Over Under Bill 1 COPY 到CO欄位'!AC$1,0)-VLOOKUP($A11,'Over Under Bill 1 COPY 到CO欄位'!$1:$1048576,'Over Under Bill 1 COPY 到CO欄位'!X$1,0)</f>
        <v>0</v>
      </c>
      <c r="AD11" s="158">
        <f t="shared" si="10"/>
        <v>0</v>
      </c>
      <c r="AE11" s="158">
        <f>VLOOKUP($A11,'Over Under Bill 1 COPY 到CO欄位'!$1:$1048576,'Over Under Bill 1 COPY 到CO欄位'!AE$1,0)-VLOOKUP($A11,'Over Under Bill 1 COPY 到CO欄位'!$1:$1048576,'Over Under Bill 1 COPY 到CO欄位'!Z$1,0)</f>
        <v>0</v>
      </c>
      <c r="AF11" s="158">
        <f t="shared" si="11"/>
        <v>0</v>
      </c>
      <c r="AG11" s="157">
        <f>VLOOKUP($A11,'Over Under Bill 1 COPY 到CO欄位'!$1:$1048576,'Over Under Bill 1 COPY 到CO欄位'!AG$1,0)-VLOOKUP($A11,'Over Under Bill 1 COPY 到CO欄位'!$1:$1048576,'Over Under Bill 1 COPY 到CO欄位'!AB$1,0)</f>
        <v>0</v>
      </c>
      <c r="AH11" s="157">
        <f>VLOOKUP($A11,'Over Under Bill 1 COPY 到CO欄位'!$1:$1048576,'Over Under Bill 1 COPY 到CO欄位'!AH$1,0)-VLOOKUP($A11,'Over Under Bill 1 COPY 到CO欄位'!$1:$1048576,'Over Under Bill 1 COPY 到CO欄位'!AC$1,0)</f>
        <v>0</v>
      </c>
      <c r="AI11" s="157">
        <f t="shared" si="12"/>
        <v>0</v>
      </c>
      <c r="AJ11" s="157">
        <f>VLOOKUP($A11,'Over Under Bill 1 COPY 到CO欄位'!$1:$1048576,'Over Under Bill 1 COPY 到CO欄位'!AJ$1,0)-VLOOKUP($A11,'Over Under Bill 1 COPY 到CO欄位'!$1:$1048576,'Over Under Bill 1 COPY 到CO欄位'!AE$1,0)</f>
        <v>0</v>
      </c>
      <c r="AK11" s="157">
        <f t="shared" si="13"/>
        <v>0</v>
      </c>
      <c r="AL11" s="158">
        <f>VLOOKUP($A11,'Over Under Bill 1 COPY 到CO欄位'!$1:$1048576,'Over Under Bill 1 COPY 到CO欄位'!AL$1,0)-VLOOKUP($A11,'Over Under Bill 1 COPY 到CO欄位'!$1:$1048576,'Over Under Bill 1 COPY 到CO欄位'!AG$1,0)</f>
        <v>0</v>
      </c>
      <c r="AM11" s="158">
        <f>VLOOKUP($A11,'Over Under Bill 1 COPY 到CO欄位'!$1:$1048576,'Over Under Bill 1 COPY 到CO欄位'!AM$1,0)-VLOOKUP($A11,'Over Under Bill 1 COPY 到CO欄位'!$1:$1048576,'Over Under Bill 1 COPY 到CO欄位'!AH$1,0)</f>
        <v>0</v>
      </c>
      <c r="AN11" s="158">
        <f t="shared" si="14"/>
        <v>0</v>
      </c>
      <c r="AO11" s="158">
        <f>VLOOKUP($A11,'Over Under Bill 1 COPY 到CO欄位'!$1:$1048576,'Over Under Bill 1 COPY 到CO欄位'!AO$1,0)-VLOOKUP($A11,'Over Under Bill 1 COPY 到CO欄位'!$1:$1048576,'Over Under Bill 1 COPY 到CO欄位'!AJ$1,0)</f>
        <v>0</v>
      </c>
      <c r="AP11" s="158">
        <f t="shared" si="15"/>
        <v>0</v>
      </c>
      <c r="AQ11" s="157">
        <f>VLOOKUP($A11,'Over Under Bill 1 COPY 到CO欄位'!$1:$1048576,'Over Under Bill 1 COPY 到CO欄位'!AQ$1,0)-VLOOKUP($A11,'Over Under Bill 1 COPY 到CO欄位'!$1:$1048576,'Over Under Bill 1 COPY 到CO欄位'!AL$1,0)</f>
        <v>0</v>
      </c>
      <c r="AR11" s="157">
        <f>VLOOKUP($A11,'Over Under Bill 1 COPY 到CO欄位'!$1:$1048576,'Over Under Bill 1 COPY 到CO欄位'!AR$1,0)-VLOOKUP($A11,'Over Under Bill 1 COPY 到CO欄位'!$1:$1048576,'Over Under Bill 1 COPY 到CO欄位'!AM$1,0)</f>
        <v>0</v>
      </c>
      <c r="AS11" s="157">
        <f t="shared" si="16"/>
        <v>0</v>
      </c>
      <c r="AT11" s="157">
        <f>VLOOKUP($A11,'Over Under Bill 1 COPY 到CO欄位'!$1:$1048576,'Over Under Bill 1 COPY 到CO欄位'!AT$1,0)-VLOOKUP($A11,'Over Under Bill 1 COPY 到CO欄位'!$1:$1048576,'Over Under Bill 1 COPY 到CO欄位'!AO$1,0)</f>
        <v>0</v>
      </c>
      <c r="AU11" s="157">
        <f t="shared" si="17"/>
        <v>0</v>
      </c>
      <c r="AV11" s="158">
        <f>VLOOKUP($A11,'Over Under Bill 1 COPY 到CO欄位'!$1:$1048576,'Over Under Bill 1 COPY 到CO欄位'!AV$1,0)-VLOOKUP($A11,'Over Under Bill 1 COPY 到CO欄位'!$1:$1048576,'Over Under Bill 1 COPY 到CO欄位'!AQ$1,0)</f>
        <v>0</v>
      </c>
      <c r="AW11" s="158">
        <f>VLOOKUP($A11,'Over Under Bill 1 COPY 到CO欄位'!$1:$1048576,'Over Under Bill 1 COPY 到CO欄位'!AW$1,0)-VLOOKUP($A11,'Over Under Bill 1 COPY 到CO欄位'!$1:$1048576,'Over Under Bill 1 COPY 到CO欄位'!AR$1,0)</f>
        <v>0</v>
      </c>
      <c r="AX11" s="158">
        <f t="shared" si="18"/>
        <v>0</v>
      </c>
      <c r="AY11" s="158">
        <f>VLOOKUP($A11,'Over Under Bill 1 COPY 到CO欄位'!$1:$1048576,'Over Under Bill 1 COPY 到CO欄位'!AY$1,0)-VLOOKUP($A11,'Over Under Bill 1 COPY 到CO欄位'!$1:$1048576,'Over Under Bill 1 COPY 到CO欄位'!AT$1,0)</f>
        <v>0</v>
      </c>
      <c r="AZ11" s="158">
        <f t="shared" si="19"/>
        <v>0</v>
      </c>
      <c r="BA11" s="157">
        <f>VLOOKUP($A11,'Over Under Bill 1 COPY 到CO欄位'!$1:$1048576,'Over Under Bill 1 COPY 到CO欄位'!BA$1,0)-VLOOKUP($A11,'Over Under Bill 1 COPY 到CO欄位'!$1:$1048576,'Over Under Bill 1 COPY 到CO欄位'!AV$1,0)</f>
        <v>0</v>
      </c>
      <c r="BB11" s="157">
        <f>VLOOKUP($A11,'Over Under Bill 1 COPY 到CO欄位'!$1:$1048576,'Over Under Bill 1 COPY 到CO欄位'!BB$1,0)-VLOOKUP($A11,'Over Under Bill 1 COPY 到CO欄位'!$1:$1048576,'Over Under Bill 1 COPY 到CO欄位'!AW$1,0)</f>
        <v>0</v>
      </c>
      <c r="BC11" s="157">
        <f t="shared" si="20"/>
        <v>0</v>
      </c>
      <c r="BD11" s="157">
        <f>VLOOKUP($A11,'Over Under Bill 1 COPY 到CO欄位'!$1:$1048576,'Over Under Bill 1 COPY 到CO欄位'!BD$1,0)-VLOOKUP($A11,'Over Under Bill 1 COPY 到CO欄位'!$1:$1048576,'Over Under Bill 1 COPY 到CO欄位'!AY$1,0)</f>
        <v>0</v>
      </c>
      <c r="BE11" s="157">
        <f t="shared" si="21"/>
        <v>0</v>
      </c>
      <c r="BF11" s="158">
        <f>VLOOKUP($A11,'Over Under Bill 1 COPY 到CO欄位'!$1:$1048576,'Over Under Bill 1 COPY 到CO欄位'!BF$1,0)-VLOOKUP($A11,'Over Under Bill 1 COPY 到CO欄位'!$1:$1048576,'Over Under Bill 1 COPY 到CO欄位'!BA$1,0)</f>
        <v>0</v>
      </c>
      <c r="BG11" s="158">
        <f>VLOOKUP($A11,'Over Under Bill 1 COPY 到CO欄位'!$1:$1048576,'Over Under Bill 1 COPY 到CO欄位'!BG$1,0)-VLOOKUP($A11,'Over Under Bill 1 COPY 到CO欄位'!$1:$1048576,'Over Under Bill 1 COPY 到CO欄位'!BB$1,0)</f>
        <v>0</v>
      </c>
      <c r="BH11" s="158">
        <f t="shared" si="22"/>
        <v>0</v>
      </c>
      <c r="BI11" s="158">
        <f>VLOOKUP($A11,'Over Under Bill 1 COPY 到CO欄位'!$1:$1048576,'Over Under Bill 1 COPY 到CO欄位'!BI$1,0)-VLOOKUP($A11,'Over Under Bill 1 COPY 到CO欄位'!$1:$1048576,'Over Under Bill 1 COPY 到CO欄位'!BD$1,0)</f>
        <v>0</v>
      </c>
      <c r="BJ11" s="158">
        <f t="shared" si="23"/>
        <v>0</v>
      </c>
      <c r="BK11" s="157">
        <f>VLOOKUP($A11,'Over Under Bill 1 COPY 到CO欄位'!$1:$1048576,'Over Under Bill 1 COPY 到CO欄位'!BK$1,0)-VLOOKUP($A11,'Over Under Bill 1 COPY 到CO欄位'!$1:$1048576,'Over Under Bill 1 COPY 到CO欄位'!BF$1,0)</f>
        <v>0</v>
      </c>
      <c r="BL11" s="157">
        <f>VLOOKUP($A11,'Over Under Bill 1 COPY 到CO欄位'!$1:$1048576,'Over Under Bill 1 COPY 到CO欄位'!BL$1,0)-VLOOKUP($A11,'Over Under Bill 1 COPY 到CO欄位'!$1:$1048576,'Over Under Bill 1 COPY 到CO欄位'!BG$1,0)</f>
        <v>0</v>
      </c>
      <c r="BM11" s="157">
        <f t="shared" si="24"/>
        <v>0</v>
      </c>
      <c r="BN11" s="157">
        <f>VLOOKUP($A11,'Over Under Bill 1 COPY 到CO欄位'!$1:$1048576,'Over Under Bill 1 COPY 到CO欄位'!BN$1,0)-VLOOKUP($A11,'Over Under Bill 1 COPY 到CO欄位'!$1:$1048576,'Over Under Bill 1 COPY 到CO欄位'!BI$1,0)</f>
        <v>0</v>
      </c>
      <c r="BO11" s="157">
        <f t="shared" si="25"/>
        <v>0</v>
      </c>
      <c r="BP11" s="158">
        <f>VLOOKUP($A11,'Over Under Bill 1 COPY 到CO欄位'!$1:$1048576,'Over Under Bill 1 COPY 到CO欄位'!BP$1,0)-VLOOKUP($A11,'Over Under Bill 1 COPY 到CO欄位'!$1:$1048576,'Over Under Bill 1 COPY 到CO欄位'!BK$1,0)</f>
        <v>0</v>
      </c>
      <c r="BQ11" s="158">
        <f>VLOOKUP($A11,'Over Under Bill 1 COPY 到CO欄位'!$1:$1048576,'Over Under Bill 1 COPY 到CO欄位'!BQ$1,0)-VLOOKUP($A11,'Over Under Bill 1 COPY 到CO欄位'!$1:$1048576,'Over Under Bill 1 COPY 到CO欄位'!BL$1,0)</f>
        <v>0</v>
      </c>
      <c r="BR11" s="158">
        <f t="shared" si="26"/>
        <v>0</v>
      </c>
      <c r="BS11" s="158">
        <f>VLOOKUP($A11,'Over Under Bill 1 COPY 到CO欄位'!$1:$1048576,'Over Under Bill 1 COPY 到CO欄位'!BS$1,0)-VLOOKUP($A11,'Over Under Bill 1 COPY 到CO欄位'!$1:$1048576,'Over Under Bill 1 COPY 到CO欄位'!BN$1,0)</f>
        <v>0</v>
      </c>
      <c r="BT11" s="158">
        <f t="shared" si="27"/>
        <v>0</v>
      </c>
      <c r="BU11" s="157">
        <f>VLOOKUP($A11,'Over Under Bill 1 COPY 到CO欄位'!$1:$1048576,'Over Under Bill 1 COPY 到CO欄位'!BP$1,0)-VLOOKUP($A11,'Over Under Bill 1 COPY 到CO欄位'!$1:$1048576,'Over Under Bill 1 COPY 到CO欄位'!H$1,0)</f>
        <v>0</v>
      </c>
      <c r="BV11" s="157">
        <f>VLOOKUP($A11,'Over Under Bill 1 COPY 到CO欄位'!$1:$1048576,'Over Under Bill 1 COPY 到CO欄位'!BQ$1,0)-VLOOKUP($A11,'Over Under Bill 1 COPY 到CO欄位'!$1:$1048576,'Over Under Bill 1 COPY 到CO欄位'!I$1,0)</f>
        <v>0</v>
      </c>
      <c r="BW11" s="157">
        <f t="shared" si="28"/>
        <v>0</v>
      </c>
      <c r="BX11" s="157">
        <f>VLOOKUP($A11,'Over Under Bill 1 COPY 到CO欄位'!$1:$1048576,'Over Under Bill 1 COPY 到CO欄位'!BS$1,0)-VLOOKUP($A11,'Over Under Bill 1 COPY 到CO欄位'!$1:$1048576,'Over Under Bill 1 COPY 到CO欄位'!K$1,0)</f>
        <v>0</v>
      </c>
      <c r="BY11" s="157">
        <f t="shared" si="29"/>
        <v>0</v>
      </c>
      <c r="BZ11" s="158">
        <f>VLOOKUP($A11,'Over Under Bill 1 COPY 到CO欄位'!$1:$1048576,'Over Under Bill 1 COPY 到CO欄位'!BU$1,0)-VLOOKUP($A11,'Over Under Bill 1 COPY 到CO欄位'!$1:$1048576,'Over Under Bill 1 COPY 到CO欄位'!BP$1,0)</f>
        <v>0</v>
      </c>
      <c r="CA11" s="158">
        <f>VLOOKUP($A11,'Over Under Bill 1 COPY 到CO欄位'!$1:$1048576,'Over Under Bill 1 COPY 到CO欄位'!BV$1,0)-VLOOKUP($A11,'Over Under Bill 1 COPY 到CO欄位'!$1:$1048576,'Over Under Bill 1 COPY 到CO欄位'!BQ$1,0)</f>
        <v>0</v>
      </c>
      <c r="CB11" s="158">
        <f t="shared" si="30"/>
        <v>0</v>
      </c>
      <c r="CC11" s="158">
        <f>VLOOKUP($A11,'Over Under Bill 1 COPY 到CO欄位'!$1:$1048576,'Over Under Bill 1 COPY 到CO欄位'!BX$1,0)-VLOOKUP($A11,'Over Under Bill 1 COPY 到CO欄位'!$1:$1048576,'Over Under Bill 1 COPY 到CO欄位'!BS$1,0)</f>
        <v>0</v>
      </c>
      <c r="CD11" s="158">
        <f t="shared" si="31"/>
        <v>0</v>
      </c>
      <c r="CE11" s="157">
        <f>VLOOKUP($A11,'Over Under Bill 1 COPY 到CO欄位'!$1:$1048576,'Over Under Bill 1 COPY 到CO欄位'!BZ$1,0)-VLOOKUP($A11,'Over Under Bill 1 COPY 到CO欄位'!$1:$1048576,'Over Under Bill 1 COPY 到CO欄位'!BU$1,0)</f>
        <v>0</v>
      </c>
      <c r="CF11" s="157">
        <f>VLOOKUP($A11,'Over Under Bill 1 COPY 到CO欄位'!$1:$1048576,'Over Under Bill 1 COPY 到CO欄位'!CA$1,0)-VLOOKUP($A11,'Over Under Bill 1 COPY 到CO欄位'!$1:$1048576,'Over Under Bill 1 COPY 到CO欄位'!BV$1,0)</f>
        <v>0</v>
      </c>
      <c r="CG11" s="157">
        <f t="shared" si="32"/>
        <v>0</v>
      </c>
      <c r="CH11" s="157">
        <f>VLOOKUP($A11,'Over Under Bill 1 COPY 到CO欄位'!$1:$1048576,'Over Under Bill 1 COPY 到CO欄位'!CC$1,0)-VLOOKUP($A11,'Over Under Bill 1 COPY 到CO欄位'!$1:$1048576,'Over Under Bill 1 COPY 到CO欄位'!BX$1,0)</f>
        <v>0</v>
      </c>
      <c r="CI11" s="157">
        <f t="shared" si="33"/>
        <v>0</v>
      </c>
      <c r="CJ11" s="158">
        <f>VLOOKUP($A11,'Over Under Bill 1 COPY 到CO欄位'!$1:$1048576,'Over Under Bill 1 COPY 到CO欄位'!CE$1,0)-VLOOKUP($A11,'Over Under Bill 1 COPY 到CO欄位'!$1:$1048576,'Over Under Bill 1 COPY 到CO欄位'!BZ$1,0)</f>
        <v>0</v>
      </c>
      <c r="CK11" s="158">
        <f>VLOOKUP($A11,'Over Under Bill 1 COPY 到CO欄位'!$1:$1048576,'Over Under Bill 1 COPY 到CO欄位'!CF$1,0)-VLOOKUP($A11,'Over Under Bill 1 COPY 到CO欄位'!$1:$1048576,'Over Under Bill 1 COPY 到CO欄位'!CA$1,0)</f>
        <v>0</v>
      </c>
      <c r="CL11" s="158">
        <f t="shared" si="34"/>
        <v>0</v>
      </c>
      <c r="CM11" s="158">
        <f>VLOOKUP($A11,'Over Under Bill 1 COPY 到CO欄位'!$1:$1048576,'Over Under Bill 1 COPY 到CO欄位'!CH$1,0)-VLOOKUP($A11,'Over Under Bill 1 COPY 到CO欄位'!$1:$1048576,'Over Under Bill 1 COPY 到CO欄位'!CC$1,0)</f>
        <v>0</v>
      </c>
      <c r="CN11" s="158">
        <f t="shared" si="35"/>
        <v>0</v>
      </c>
      <c r="CO11" s="157">
        <f>VLOOKUP($A11,'Over Under Bill 1 COPY 到CO欄位'!$1:$1048576,'Over Under Bill 1 COPY 到CO欄位'!CJ$1,0)-VLOOKUP($A11,'Over Under Bill 1 COPY 到CO欄位'!$1:$1048576,'Over Under Bill 1 COPY 到CO欄位'!CE$1,0)</f>
        <v>0</v>
      </c>
      <c r="CP11" s="157">
        <f>VLOOKUP($A11,'Over Under Bill 1 COPY 到CO欄位'!$1:$1048576,'Over Under Bill 1 COPY 到CO欄位'!CK$1,0)-VLOOKUP($A11,'Over Under Bill 1 COPY 到CO欄位'!$1:$1048576,'Over Under Bill 1 COPY 到CO欄位'!CF$1,0)</f>
        <v>0</v>
      </c>
      <c r="CQ11" s="157">
        <f t="shared" si="36"/>
        <v>0</v>
      </c>
      <c r="CR11" s="157">
        <f>VLOOKUP($A11,'Over Under Bill 1 COPY 到CO欄位'!$1:$1048576,'Over Under Bill 1 COPY 到CO欄位'!CM$1,0)-VLOOKUP($A11,'Over Under Bill 1 COPY 到CO欄位'!$1:$1048576,'Over Under Bill 1 COPY 到CO欄位'!CH$1,0)</f>
        <v>0</v>
      </c>
      <c r="CS11" s="157">
        <f t="shared" si="37"/>
        <v>0</v>
      </c>
    </row>
    <row r="12" spans="1:99">
      <c r="A12" s="155" t="s">
        <v>321</v>
      </c>
      <c r="B12" s="156" t="s">
        <v>322</v>
      </c>
      <c r="C12" s="157">
        <f>IFERROR(VLOOKUP($A12,'A0 BS 1240在建'!$1:$1048576,5,0),0)</f>
        <v>0</v>
      </c>
      <c r="D12" s="157">
        <f>IFERROR(VLOOKUP($A12,'B0 2264預收'!$1:$1048576,5,0),0)</f>
        <v>0</v>
      </c>
      <c r="E12" s="157">
        <f t="shared" si="0"/>
        <v>0</v>
      </c>
      <c r="F12" s="157">
        <f>IFERROR(VLOOKUP($A12,'B0 2264預收'!$1:$1048576,6,0),0)</f>
        <v>0</v>
      </c>
      <c r="G12" s="157">
        <f t="shared" si="1"/>
        <v>0</v>
      </c>
      <c r="H12" s="158">
        <f>IFERROR(VLOOKUP($A12,'A0 BS 1240在建'!$1:$1048576,13,0),0)-C12</f>
        <v>0</v>
      </c>
      <c r="I12" s="158">
        <f>IFERROR(VLOOKUP($A12,'B0 2264預收'!$1:$1048576,13,0),0)-D12</f>
        <v>0</v>
      </c>
      <c r="J12" s="158">
        <f t="shared" si="2"/>
        <v>0</v>
      </c>
      <c r="K12" s="158">
        <f>IFERROR(VLOOKUP($A12,'B0 2264預收'!$1:$1048576,14,0),0)-F12</f>
        <v>0</v>
      </c>
      <c r="L12" s="158">
        <f t="shared" si="3"/>
        <v>0</v>
      </c>
      <c r="M12" s="157">
        <f>VLOOKUP($A12,'Over Under Bill 1 COPY 到CO欄位'!$1:$1048576,'Over Under Bill 1 COPY 到CO欄位'!M$1,0)-VLOOKUP($A12,'Over Under Bill 1 COPY 到CO欄位'!$1:$1048576,'Over Under Bill 1 COPY 到CO欄位'!H$1,0)</f>
        <v>0</v>
      </c>
      <c r="N12" s="157">
        <f>VLOOKUP($A12,'Over Under Bill 1 COPY 到CO欄位'!$1:$1048576,'Over Under Bill 1 COPY 到CO欄位'!N$1,0)-VLOOKUP($A12,'Over Under Bill 1 COPY 到CO欄位'!$1:$1048576,'Over Under Bill 1 COPY 到CO欄位'!I$1,0)</f>
        <v>0</v>
      </c>
      <c r="O12" s="157">
        <f t="shared" si="4"/>
        <v>0</v>
      </c>
      <c r="P12" s="157">
        <f>VLOOKUP($A12,'Over Under Bill 1 COPY 到CO欄位'!$1:$1048576,'Over Under Bill 1 COPY 到CO欄位'!P$1,0)-VLOOKUP($A12,'Over Under Bill 1 COPY 到CO欄位'!$1:$1048576,'Over Under Bill 1 COPY 到CO欄位'!K$1,0)</f>
        <v>0</v>
      </c>
      <c r="Q12" s="157">
        <f t="shared" si="5"/>
        <v>0</v>
      </c>
      <c r="R12" s="158">
        <f>VLOOKUP($A12,'Over Under Bill 1 COPY 到CO欄位'!$1:$1048576,'Over Under Bill 1 COPY 到CO欄位'!R$1,0)-VLOOKUP($A12,'Over Under Bill 1 COPY 到CO欄位'!$1:$1048576,'Over Under Bill 1 COPY 到CO欄位'!M$1,0)</f>
        <v>0</v>
      </c>
      <c r="S12" s="158">
        <f>VLOOKUP($A12,'Over Under Bill 1 COPY 到CO欄位'!$1:$1048576,'Over Under Bill 1 COPY 到CO欄位'!S$1,0)-VLOOKUP($A12,'Over Under Bill 1 COPY 到CO欄位'!$1:$1048576,'Over Under Bill 1 COPY 到CO欄位'!N$1,0)</f>
        <v>0</v>
      </c>
      <c r="T12" s="158">
        <f t="shared" si="6"/>
        <v>0</v>
      </c>
      <c r="U12" s="158">
        <f>VLOOKUP($A12,'Over Under Bill 1 COPY 到CO欄位'!$1:$1048576,'Over Under Bill 1 COPY 到CO欄位'!U$1,0)-VLOOKUP($A12,'Over Under Bill 1 COPY 到CO欄位'!$1:$1048576,'Over Under Bill 1 COPY 到CO欄位'!P$1,0)</f>
        <v>0</v>
      </c>
      <c r="V12" s="158">
        <f t="shared" si="7"/>
        <v>0</v>
      </c>
      <c r="W12" s="157">
        <f>VLOOKUP($A12,'Over Under Bill 1 COPY 到CO欄位'!$1:$1048576,'Over Under Bill 1 COPY 到CO欄位'!W$1,0)-VLOOKUP($A12,'Over Under Bill 1 COPY 到CO欄位'!$1:$1048576,'Over Under Bill 1 COPY 到CO欄位'!R$1,0)</f>
        <v>0</v>
      </c>
      <c r="X12" s="157">
        <f>VLOOKUP($A12,'Over Under Bill 1 COPY 到CO欄位'!$1:$1048576,'Over Under Bill 1 COPY 到CO欄位'!X$1,0)-VLOOKUP($A12,'Over Under Bill 1 COPY 到CO欄位'!$1:$1048576,'Over Under Bill 1 COPY 到CO欄位'!S$1,0)</f>
        <v>0</v>
      </c>
      <c r="Y12" s="157">
        <f t="shared" si="8"/>
        <v>0</v>
      </c>
      <c r="Z12" s="157">
        <f>VLOOKUP($A12,'Over Under Bill 1 COPY 到CO欄位'!$1:$1048576,'Over Under Bill 1 COPY 到CO欄位'!Z$1,0)-VLOOKUP($A12,'Over Under Bill 1 COPY 到CO欄位'!$1:$1048576,'Over Under Bill 1 COPY 到CO欄位'!U$1,0)</f>
        <v>0</v>
      </c>
      <c r="AA12" s="157">
        <f t="shared" si="9"/>
        <v>0</v>
      </c>
      <c r="AB12" s="158">
        <f>VLOOKUP($A12,'Over Under Bill 1 COPY 到CO欄位'!$1:$1048576,'Over Under Bill 1 COPY 到CO欄位'!AB$1,0)-VLOOKUP($A12,'Over Under Bill 1 COPY 到CO欄位'!$1:$1048576,'Over Under Bill 1 COPY 到CO欄位'!W$1,0)</f>
        <v>0</v>
      </c>
      <c r="AC12" s="158">
        <f>VLOOKUP($A12,'Over Under Bill 1 COPY 到CO欄位'!$1:$1048576,'Over Under Bill 1 COPY 到CO欄位'!AC$1,0)-VLOOKUP($A12,'Over Under Bill 1 COPY 到CO欄位'!$1:$1048576,'Over Under Bill 1 COPY 到CO欄位'!X$1,0)</f>
        <v>0</v>
      </c>
      <c r="AD12" s="158">
        <f t="shared" si="10"/>
        <v>0</v>
      </c>
      <c r="AE12" s="158">
        <f>VLOOKUP($A12,'Over Under Bill 1 COPY 到CO欄位'!$1:$1048576,'Over Under Bill 1 COPY 到CO欄位'!AE$1,0)-VLOOKUP($A12,'Over Under Bill 1 COPY 到CO欄位'!$1:$1048576,'Over Under Bill 1 COPY 到CO欄位'!Z$1,0)</f>
        <v>0</v>
      </c>
      <c r="AF12" s="158">
        <f t="shared" si="11"/>
        <v>0</v>
      </c>
      <c r="AG12" s="157">
        <f>VLOOKUP($A12,'Over Under Bill 1 COPY 到CO欄位'!$1:$1048576,'Over Under Bill 1 COPY 到CO欄位'!AG$1,0)-VLOOKUP($A12,'Over Under Bill 1 COPY 到CO欄位'!$1:$1048576,'Over Under Bill 1 COPY 到CO欄位'!AB$1,0)</f>
        <v>0</v>
      </c>
      <c r="AH12" s="157">
        <f>VLOOKUP($A12,'Over Under Bill 1 COPY 到CO欄位'!$1:$1048576,'Over Under Bill 1 COPY 到CO欄位'!AH$1,0)-VLOOKUP($A12,'Over Under Bill 1 COPY 到CO欄位'!$1:$1048576,'Over Under Bill 1 COPY 到CO欄位'!AC$1,0)</f>
        <v>0</v>
      </c>
      <c r="AI12" s="157">
        <f t="shared" si="12"/>
        <v>0</v>
      </c>
      <c r="AJ12" s="157">
        <f>VLOOKUP($A12,'Over Under Bill 1 COPY 到CO欄位'!$1:$1048576,'Over Under Bill 1 COPY 到CO欄位'!AJ$1,0)-VLOOKUP($A12,'Over Under Bill 1 COPY 到CO欄位'!$1:$1048576,'Over Under Bill 1 COPY 到CO欄位'!AE$1,0)</f>
        <v>0</v>
      </c>
      <c r="AK12" s="157">
        <f t="shared" si="13"/>
        <v>0</v>
      </c>
      <c r="AL12" s="158">
        <f>VLOOKUP($A12,'Over Under Bill 1 COPY 到CO欄位'!$1:$1048576,'Over Under Bill 1 COPY 到CO欄位'!AL$1,0)-VLOOKUP($A12,'Over Under Bill 1 COPY 到CO欄位'!$1:$1048576,'Over Under Bill 1 COPY 到CO欄位'!AG$1,0)</f>
        <v>0</v>
      </c>
      <c r="AM12" s="158">
        <f>VLOOKUP($A12,'Over Under Bill 1 COPY 到CO欄位'!$1:$1048576,'Over Under Bill 1 COPY 到CO欄位'!AM$1,0)-VLOOKUP($A12,'Over Under Bill 1 COPY 到CO欄位'!$1:$1048576,'Over Under Bill 1 COPY 到CO欄位'!AH$1,0)</f>
        <v>0</v>
      </c>
      <c r="AN12" s="158">
        <f t="shared" si="14"/>
        <v>0</v>
      </c>
      <c r="AO12" s="158">
        <f>VLOOKUP($A12,'Over Under Bill 1 COPY 到CO欄位'!$1:$1048576,'Over Under Bill 1 COPY 到CO欄位'!AO$1,0)-VLOOKUP($A12,'Over Under Bill 1 COPY 到CO欄位'!$1:$1048576,'Over Under Bill 1 COPY 到CO欄位'!AJ$1,0)</f>
        <v>0</v>
      </c>
      <c r="AP12" s="158">
        <f t="shared" si="15"/>
        <v>0</v>
      </c>
      <c r="AQ12" s="157">
        <f>VLOOKUP($A12,'Over Under Bill 1 COPY 到CO欄位'!$1:$1048576,'Over Under Bill 1 COPY 到CO欄位'!AQ$1,0)-VLOOKUP($A12,'Over Under Bill 1 COPY 到CO欄位'!$1:$1048576,'Over Under Bill 1 COPY 到CO欄位'!AL$1,0)</f>
        <v>0</v>
      </c>
      <c r="AR12" s="157">
        <f>VLOOKUP($A12,'Over Under Bill 1 COPY 到CO欄位'!$1:$1048576,'Over Under Bill 1 COPY 到CO欄位'!AR$1,0)-VLOOKUP($A12,'Over Under Bill 1 COPY 到CO欄位'!$1:$1048576,'Over Under Bill 1 COPY 到CO欄位'!AM$1,0)</f>
        <v>0</v>
      </c>
      <c r="AS12" s="157">
        <f t="shared" si="16"/>
        <v>0</v>
      </c>
      <c r="AT12" s="157">
        <f>VLOOKUP($A12,'Over Under Bill 1 COPY 到CO欄位'!$1:$1048576,'Over Under Bill 1 COPY 到CO欄位'!AT$1,0)-VLOOKUP($A12,'Over Under Bill 1 COPY 到CO欄位'!$1:$1048576,'Over Under Bill 1 COPY 到CO欄位'!AO$1,0)</f>
        <v>0</v>
      </c>
      <c r="AU12" s="157">
        <f t="shared" si="17"/>
        <v>0</v>
      </c>
      <c r="AV12" s="158">
        <f>VLOOKUP($A12,'Over Under Bill 1 COPY 到CO欄位'!$1:$1048576,'Over Under Bill 1 COPY 到CO欄位'!AV$1,0)-VLOOKUP($A12,'Over Under Bill 1 COPY 到CO欄位'!$1:$1048576,'Over Under Bill 1 COPY 到CO欄位'!AQ$1,0)</f>
        <v>0</v>
      </c>
      <c r="AW12" s="158">
        <f>VLOOKUP($A12,'Over Under Bill 1 COPY 到CO欄位'!$1:$1048576,'Over Under Bill 1 COPY 到CO欄位'!AW$1,0)-VLOOKUP($A12,'Over Under Bill 1 COPY 到CO欄位'!$1:$1048576,'Over Under Bill 1 COPY 到CO欄位'!AR$1,0)</f>
        <v>0</v>
      </c>
      <c r="AX12" s="158">
        <f t="shared" si="18"/>
        <v>0</v>
      </c>
      <c r="AY12" s="158">
        <f>VLOOKUP($A12,'Over Under Bill 1 COPY 到CO欄位'!$1:$1048576,'Over Under Bill 1 COPY 到CO欄位'!AY$1,0)-VLOOKUP($A12,'Over Under Bill 1 COPY 到CO欄位'!$1:$1048576,'Over Under Bill 1 COPY 到CO欄位'!AT$1,0)</f>
        <v>0</v>
      </c>
      <c r="AZ12" s="158">
        <f t="shared" si="19"/>
        <v>0</v>
      </c>
      <c r="BA12" s="157">
        <f>VLOOKUP($A12,'Over Under Bill 1 COPY 到CO欄位'!$1:$1048576,'Over Under Bill 1 COPY 到CO欄位'!BA$1,0)-VLOOKUP($A12,'Over Under Bill 1 COPY 到CO欄位'!$1:$1048576,'Over Under Bill 1 COPY 到CO欄位'!AV$1,0)</f>
        <v>0</v>
      </c>
      <c r="BB12" s="157">
        <f>VLOOKUP($A12,'Over Under Bill 1 COPY 到CO欄位'!$1:$1048576,'Over Under Bill 1 COPY 到CO欄位'!BB$1,0)-VLOOKUP($A12,'Over Under Bill 1 COPY 到CO欄位'!$1:$1048576,'Over Under Bill 1 COPY 到CO欄位'!AW$1,0)</f>
        <v>0</v>
      </c>
      <c r="BC12" s="157">
        <f t="shared" si="20"/>
        <v>0</v>
      </c>
      <c r="BD12" s="157">
        <f>VLOOKUP($A12,'Over Under Bill 1 COPY 到CO欄位'!$1:$1048576,'Over Under Bill 1 COPY 到CO欄位'!BD$1,0)-VLOOKUP($A12,'Over Under Bill 1 COPY 到CO欄位'!$1:$1048576,'Over Under Bill 1 COPY 到CO欄位'!AY$1,0)</f>
        <v>0</v>
      </c>
      <c r="BE12" s="157">
        <f t="shared" si="21"/>
        <v>0</v>
      </c>
      <c r="BF12" s="158">
        <f>VLOOKUP($A12,'Over Under Bill 1 COPY 到CO欄位'!$1:$1048576,'Over Under Bill 1 COPY 到CO欄位'!BF$1,0)-VLOOKUP($A12,'Over Under Bill 1 COPY 到CO欄位'!$1:$1048576,'Over Under Bill 1 COPY 到CO欄位'!BA$1,0)</f>
        <v>0</v>
      </c>
      <c r="BG12" s="158">
        <f>VLOOKUP($A12,'Over Under Bill 1 COPY 到CO欄位'!$1:$1048576,'Over Under Bill 1 COPY 到CO欄位'!BG$1,0)-VLOOKUP($A12,'Over Under Bill 1 COPY 到CO欄位'!$1:$1048576,'Over Under Bill 1 COPY 到CO欄位'!BB$1,0)</f>
        <v>0</v>
      </c>
      <c r="BH12" s="158">
        <f t="shared" si="22"/>
        <v>0</v>
      </c>
      <c r="BI12" s="158">
        <f>VLOOKUP($A12,'Over Under Bill 1 COPY 到CO欄位'!$1:$1048576,'Over Under Bill 1 COPY 到CO欄位'!BI$1,0)-VLOOKUP($A12,'Over Under Bill 1 COPY 到CO欄位'!$1:$1048576,'Over Under Bill 1 COPY 到CO欄位'!BD$1,0)</f>
        <v>0</v>
      </c>
      <c r="BJ12" s="158">
        <f t="shared" si="23"/>
        <v>0</v>
      </c>
      <c r="BK12" s="157">
        <f>VLOOKUP($A12,'Over Under Bill 1 COPY 到CO欄位'!$1:$1048576,'Over Under Bill 1 COPY 到CO欄位'!BK$1,0)-VLOOKUP($A12,'Over Under Bill 1 COPY 到CO欄位'!$1:$1048576,'Over Under Bill 1 COPY 到CO欄位'!BF$1,0)</f>
        <v>0</v>
      </c>
      <c r="BL12" s="157">
        <f>VLOOKUP($A12,'Over Under Bill 1 COPY 到CO欄位'!$1:$1048576,'Over Under Bill 1 COPY 到CO欄位'!BL$1,0)-VLOOKUP($A12,'Over Under Bill 1 COPY 到CO欄位'!$1:$1048576,'Over Under Bill 1 COPY 到CO欄位'!BG$1,0)</f>
        <v>0</v>
      </c>
      <c r="BM12" s="157">
        <f t="shared" si="24"/>
        <v>0</v>
      </c>
      <c r="BN12" s="157">
        <f>VLOOKUP($A12,'Over Under Bill 1 COPY 到CO欄位'!$1:$1048576,'Over Under Bill 1 COPY 到CO欄位'!BN$1,0)-VLOOKUP($A12,'Over Under Bill 1 COPY 到CO欄位'!$1:$1048576,'Over Under Bill 1 COPY 到CO欄位'!BI$1,0)</f>
        <v>0</v>
      </c>
      <c r="BO12" s="157">
        <f t="shared" si="25"/>
        <v>0</v>
      </c>
      <c r="BP12" s="158">
        <f>VLOOKUP($A12,'Over Under Bill 1 COPY 到CO欄位'!$1:$1048576,'Over Under Bill 1 COPY 到CO欄位'!BP$1,0)-VLOOKUP($A12,'Over Under Bill 1 COPY 到CO欄位'!$1:$1048576,'Over Under Bill 1 COPY 到CO欄位'!BK$1,0)</f>
        <v>0</v>
      </c>
      <c r="BQ12" s="158">
        <f>VLOOKUP($A12,'Over Under Bill 1 COPY 到CO欄位'!$1:$1048576,'Over Under Bill 1 COPY 到CO欄位'!BQ$1,0)-VLOOKUP($A12,'Over Under Bill 1 COPY 到CO欄位'!$1:$1048576,'Over Under Bill 1 COPY 到CO欄位'!BL$1,0)</f>
        <v>0</v>
      </c>
      <c r="BR12" s="158">
        <f t="shared" si="26"/>
        <v>0</v>
      </c>
      <c r="BS12" s="158">
        <f>VLOOKUP($A12,'Over Under Bill 1 COPY 到CO欄位'!$1:$1048576,'Over Under Bill 1 COPY 到CO欄位'!BS$1,0)-VLOOKUP($A12,'Over Under Bill 1 COPY 到CO欄位'!$1:$1048576,'Over Under Bill 1 COPY 到CO欄位'!BN$1,0)</f>
        <v>0</v>
      </c>
      <c r="BT12" s="158">
        <f t="shared" si="27"/>
        <v>0</v>
      </c>
      <c r="BU12" s="157">
        <f>VLOOKUP($A12,'Over Under Bill 1 COPY 到CO欄位'!$1:$1048576,'Over Under Bill 1 COPY 到CO欄位'!BP$1,0)-VLOOKUP($A12,'Over Under Bill 1 COPY 到CO欄位'!$1:$1048576,'Over Under Bill 1 COPY 到CO欄位'!H$1,0)</f>
        <v>0</v>
      </c>
      <c r="BV12" s="157">
        <f>VLOOKUP($A12,'Over Under Bill 1 COPY 到CO欄位'!$1:$1048576,'Over Under Bill 1 COPY 到CO欄位'!BQ$1,0)-VLOOKUP($A12,'Over Under Bill 1 COPY 到CO欄位'!$1:$1048576,'Over Under Bill 1 COPY 到CO欄位'!I$1,0)</f>
        <v>0</v>
      </c>
      <c r="BW12" s="157">
        <f t="shared" si="28"/>
        <v>0</v>
      </c>
      <c r="BX12" s="157">
        <f>VLOOKUP($A12,'Over Under Bill 1 COPY 到CO欄位'!$1:$1048576,'Over Under Bill 1 COPY 到CO欄位'!BS$1,0)-VLOOKUP($A12,'Over Under Bill 1 COPY 到CO欄位'!$1:$1048576,'Over Under Bill 1 COPY 到CO欄位'!K$1,0)</f>
        <v>0</v>
      </c>
      <c r="BY12" s="157">
        <f t="shared" si="29"/>
        <v>0</v>
      </c>
      <c r="BZ12" s="158">
        <f>VLOOKUP($A12,'Over Under Bill 1 COPY 到CO欄位'!$1:$1048576,'Over Under Bill 1 COPY 到CO欄位'!BU$1,0)-VLOOKUP($A12,'Over Under Bill 1 COPY 到CO欄位'!$1:$1048576,'Over Under Bill 1 COPY 到CO欄位'!BP$1,0)</f>
        <v>0</v>
      </c>
      <c r="CA12" s="158">
        <f>VLOOKUP($A12,'Over Under Bill 1 COPY 到CO欄位'!$1:$1048576,'Over Under Bill 1 COPY 到CO欄位'!BV$1,0)-VLOOKUP($A12,'Over Under Bill 1 COPY 到CO欄位'!$1:$1048576,'Over Under Bill 1 COPY 到CO欄位'!BQ$1,0)</f>
        <v>0</v>
      </c>
      <c r="CB12" s="158">
        <f t="shared" si="30"/>
        <v>0</v>
      </c>
      <c r="CC12" s="158">
        <f>VLOOKUP($A12,'Over Under Bill 1 COPY 到CO欄位'!$1:$1048576,'Over Under Bill 1 COPY 到CO欄位'!BX$1,0)-VLOOKUP($A12,'Over Under Bill 1 COPY 到CO欄位'!$1:$1048576,'Over Under Bill 1 COPY 到CO欄位'!BS$1,0)</f>
        <v>0</v>
      </c>
      <c r="CD12" s="158">
        <f t="shared" si="31"/>
        <v>0</v>
      </c>
      <c r="CE12" s="157">
        <f>VLOOKUP($A12,'Over Under Bill 1 COPY 到CO欄位'!$1:$1048576,'Over Under Bill 1 COPY 到CO欄位'!BZ$1,0)-VLOOKUP($A12,'Over Under Bill 1 COPY 到CO欄位'!$1:$1048576,'Over Under Bill 1 COPY 到CO欄位'!BU$1,0)</f>
        <v>0</v>
      </c>
      <c r="CF12" s="157">
        <f>VLOOKUP($A12,'Over Under Bill 1 COPY 到CO欄位'!$1:$1048576,'Over Under Bill 1 COPY 到CO欄位'!CA$1,0)-VLOOKUP($A12,'Over Under Bill 1 COPY 到CO欄位'!$1:$1048576,'Over Under Bill 1 COPY 到CO欄位'!BV$1,0)</f>
        <v>0</v>
      </c>
      <c r="CG12" s="157">
        <f t="shared" si="32"/>
        <v>0</v>
      </c>
      <c r="CH12" s="157">
        <f>VLOOKUP($A12,'Over Under Bill 1 COPY 到CO欄位'!$1:$1048576,'Over Under Bill 1 COPY 到CO欄位'!CC$1,0)-VLOOKUP($A12,'Over Under Bill 1 COPY 到CO欄位'!$1:$1048576,'Over Under Bill 1 COPY 到CO欄位'!BX$1,0)</f>
        <v>0</v>
      </c>
      <c r="CI12" s="157">
        <f t="shared" si="33"/>
        <v>0</v>
      </c>
      <c r="CJ12" s="158">
        <f>VLOOKUP($A12,'Over Under Bill 1 COPY 到CO欄位'!$1:$1048576,'Over Under Bill 1 COPY 到CO欄位'!CE$1,0)-VLOOKUP($A12,'Over Under Bill 1 COPY 到CO欄位'!$1:$1048576,'Over Under Bill 1 COPY 到CO欄位'!BZ$1,0)</f>
        <v>0</v>
      </c>
      <c r="CK12" s="158">
        <f>VLOOKUP($A12,'Over Under Bill 1 COPY 到CO欄位'!$1:$1048576,'Over Under Bill 1 COPY 到CO欄位'!CF$1,0)-VLOOKUP($A12,'Over Under Bill 1 COPY 到CO欄位'!$1:$1048576,'Over Under Bill 1 COPY 到CO欄位'!CA$1,0)</f>
        <v>0</v>
      </c>
      <c r="CL12" s="158">
        <f t="shared" si="34"/>
        <v>0</v>
      </c>
      <c r="CM12" s="158">
        <f>VLOOKUP($A12,'Over Under Bill 1 COPY 到CO欄位'!$1:$1048576,'Over Under Bill 1 COPY 到CO欄位'!CH$1,0)-VLOOKUP($A12,'Over Under Bill 1 COPY 到CO欄位'!$1:$1048576,'Over Under Bill 1 COPY 到CO欄位'!CC$1,0)</f>
        <v>0</v>
      </c>
      <c r="CN12" s="158">
        <f t="shared" si="35"/>
        <v>0</v>
      </c>
      <c r="CO12" s="157">
        <f>VLOOKUP($A12,'Over Under Bill 1 COPY 到CO欄位'!$1:$1048576,'Over Under Bill 1 COPY 到CO欄位'!CJ$1,0)-VLOOKUP($A12,'Over Under Bill 1 COPY 到CO欄位'!$1:$1048576,'Over Under Bill 1 COPY 到CO欄位'!CE$1,0)</f>
        <v>0</v>
      </c>
      <c r="CP12" s="157">
        <f>VLOOKUP($A12,'Over Under Bill 1 COPY 到CO欄位'!$1:$1048576,'Over Under Bill 1 COPY 到CO欄位'!CK$1,0)-VLOOKUP($A12,'Over Under Bill 1 COPY 到CO欄位'!$1:$1048576,'Over Under Bill 1 COPY 到CO欄位'!CF$1,0)</f>
        <v>0</v>
      </c>
      <c r="CQ12" s="157">
        <f t="shared" si="36"/>
        <v>0</v>
      </c>
      <c r="CR12" s="157">
        <f>VLOOKUP($A12,'Over Under Bill 1 COPY 到CO欄位'!$1:$1048576,'Over Under Bill 1 COPY 到CO欄位'!CM$1,0)-VLOOKUP($A12,'Over Under Bill 1 COPY 到CO欄位'!$1:$1048576,'Over Under Bill 1 COPY 到CO欄位'!CH$1,0)</f>
        <v>0</v>
      </c>
      <c r="CS12" s="157">
        <f t="shared" si="37"/>
        <v>0</v>
      </c>
    </row>
    <row r="13" spans="1:99">
      <c r="A13" s="155" t="s">
        <v>323</v>
      </c>
      <c r="B13" s="156" t="s">
        <v>324</v>
      </c>
      <c r="C13" s="157">
        <f>IFERROR(VLOOKUP($A13,'A0 BS 1240在建'!$1:$1048576,5,0),0)</f>
        <v>0</v>
      </c>
      <c r="D13" s="157">
        <f>IFERROR(VLOOKUP($A13,'B0 2264預收'!$1:$1048576,5,0),0)</f>
        <v>0</v>
      </c>
      <c r="E13" s="157">
        <f t="shared" si="0"/>
        <v>0</v>
      </c>
      <c r="F13" s="157">
        <f>IFERROR(VLOOKUP($A13,'B0 2264預收'!$1:$1048576,6,0),0)</f>
        <v>0</v>
      </c>
      <c r="G13" s="157">
        <f t="shared" si="1"/>
        <v>0</v>
      </c>
      <c r="H13" s="158">
        <f>IFERROR(VLOOKUP($A13,'A0 BS 1240在建'!$1:$1048576,13,0),0)-C13</f>
        <v>0</v>
      </c>
      <c r="I13" s="158">
        <f>IFERROR(VLOOKUP($A13,'B0 2264預收'!$1:$1048576,13,0),0)-D13</f>
        <v>0</v>
      </c>
      <c r="J13" s="158">
        <f t="shared" si="2"/>
        <v>0</v>
      </c>
      <c r="K13" s="158">
        <f>IFERROR(VLOOKUP($A13,'B0 2264預收'!$1:$1048576,14,0),0)-F13</f>
        <v>0</v>
      </c>
      <c r="L13" s="158">
        <f t="shared" si="3"/>
        <v>0</v>
      </c>
      <c r="M13" s="157">
        <f>VLOOKUP($A13,'Over Under Bill 1 COPY 到CO欄位'!$1:$1048576,'Over Under Bill 1 COPY 到CO欄位'!M$1,0)-VLOOKUP($A13,'Over Under Bill 1 COPY 到CO欄位'!$1:$1048576,'Over Under Bill 1 COPY 到CO欄位'!H$1,0)</f>
        <v>0</v>
      </c>
      <c r="N13" s="157">
        <f>VLOOKUP($A13,'Over Under Bill 1 COPY 到CO欄位'!$1:$1048576,'Over Under Bill 1 COPY 到CO欄位'!N$1,0)-VLOOKUP($A13,'Over Under Bill 1 COPY 到CO欄位'!$1:$1048576,'Over Under Bill 1 COPY 到CO欄位'!I$1,0)</f>
        <v>0</v>
      </c>
      <c r="O13" s="157">
        <f t="shared" si="4"/>
        <v>0</v>
      </c>
      <c r="P13" s="157">
        <f>VLOOKUP($A13,'Over Under Bill 1 COPY 到CO欄位'!$1:$1048576,'Over Under Bill 1 COPY 到CO欄位'!P$1,0)-VLOOKUP($A13,'Over Under Bill 1 COPY 到CO欄位'!$1:$1048576,'Over Under Bill 1 COPY 到CO欄位'!K$1,0)</f>
        <v>0</v>
      </c>
      <c r="Q13" s="157">
        <f t="shared" si="5"/>
        <v>0</v>
      </c>
      <c r="R13" s="158">
        <f>VLOOKUP($A13,'Over Under Bill 1 COPY 到CO欄位'!$1:$1048576,'Over Under Bill 1 COPY 到CO欄位'!R$1,0)-VLOOKUP($A13,'Over Under Bill 1 COPY 到CO欄位'!$1:$1048576,'Over Under Bill 1 COPY 到CO欄位'!M$1,0)</f>
        <v>0</v>
      </c>
      <c r="S13" s="158">
        <f>VLOOKUP($A13,'Over Under Bill 1 COPY 到CO欄位'!$1:$1048576,'Over Under Bill 1 COPY 到CO欄位'!S$1,0)-VLOOKUP($A13,'Over Under Bill 1 COPY 到CO欄位'!$1:$1048576,'Over Under Bill 1 COPY 到CO欄位'!N$1,0)</f>
        <v>0</v>
      </c>
      <c r="T13" s="158">
        <f t="shared" si="6"/>
        <v>0</v>
      </c>
      <c r="U13" s="158">
        <f>VLOOKUP($A13,'Over Under Bill 1 COPY 到CO欄位'!$1:$1048576,'Over Under Bill 1 COPY 到CO欄位'!U$1,0)-VLOOKUP($A13,'Over Under Bill 1 COPY 到CO欄位'!$1:$1048576,'Over Under Bill 1 COPY 到CO欄位'!P$1,0)</f>
        <v>0</v>
      </c>
      <c r="V13" s="158">
        <f t="shared" si="7"/>
        <v>0</v>
      </c>
      <c r="W13" s="157">
        <f>VLOOKUP($A13,'Over Under Bill 1 COPY 到CO欄位'!$1:$1048576,'Over Under Bill 1 COPY 到CO欄位'!W$1,0)-VLOOKUP($A13,'Over Under Bill 1 COPY 到CO欄位'!$1:$1048576,'Over Under Bill 1 COPY 到CO欄位'!R$1,0)</f>
        <v>0</v>
      </c>
      <c r="X13" s="157">
        <f>VLOOKUP($A13,'Over Under Bill 1 COPY 到CO欄位'!$1:$1048576,'Over Under Bill 1 COPY 到CO欄位'!X$1,0)-VLOOKUP($A13,'Over Under Bill 1 COPY 到CO欄位'!$1:$1048576,'Over Under Bill 1 COPY 到CO欄位'!S$1,0)</f>
        <v>0</v>
      </c>
      <c r="Y13" s="157">
        <f t="shared" si="8"/>
        <v>0</v>
      </c>
      <c r="Z13" s="157">
        <f>VLOOKUP($A13,'Over Under Bill 1 COPY 到CO欄位'!$1:$1048576,'Over Under Bill 1 COPY 到CO欄位'!Z$1,0)-VLOOKUP($A13,'Over Under Bill 1 COPY 到CO欄位'!$1:$1048576,'Over Under Bill 1 COPY 到CO欄位'!U$1,0)</f>
        <v>0</v>
      </c>
      <c r="AA13" s="157">
        <f t="shared" si="9"/>
        <v>0</v>
      </c>
      <c r="AB13" s="158">
        <f>VLOOKUP($A13,'Over Under Bill 1 COPY 到CO欄位'!$1:$1048576,'Over Under Bill 1 COPY 到CO欄位'!AB$1,0)-VLOOKUP($A13,'Over Under Bill 1 COPY 到CO欄位'!$1:$1048576,'Over Under Bill 1 COPY 到CO欄位'!W$1,0)</f>
        <v>0</v>
      </c>
      <c r="AC13" s="158">
        <f>VLOOKUP($A13,'Over Under Bill 1 COPY 到CO欄位'!$1:$1048576,'Over Under Bill 1 COPY 到CO欄位'!AC$1,0)-VLOOKUP($A13,'Over Under Bill 1 COPY 到CO欄位'!$1:$1048576,'Over Under Bill 1 COPY 到CO欄位'!X$1,0)</f>
        <v>0</v>
      </c>
      <c r="AD13" s="158">
        <f t="shared" si="10"/>
        <v>0</v>
      </c>
      <c r="AE13" s="158">
        <f>VLOOKUP($A13,'Over Under Bill 1 COPY 到CO欄位'!$1:$1048576,'Over Under Bill 1 COPY 到CO欄位'!AE$1,0)-VLOOKUP($A13,'Over Under Bill 1 COPY 到CO欄位'!$1:$1048576,'Over Under Bill 1 COPY 到CO欄位'!Z$1,0)</f>
        <v>0</v>
      </c>
      <c r="AF13" s="158">
        <f t="shared" si="11"/>
        <v>0</v>
      </c>
      <c r="AG13" s="157">
        <f>VLOOKUP($A13,'Over Under Bill 1 COPY 到CO欄位'!$1:$1048576,'Over Under Bill 1 COPY 到CO欄位'!AG$1,0)-VLOOKUP($A13,'Over Under Bill 1 COPY 到CO欄位'!$1:$1048576,'Over Under Bill 1 COPY 到CO欄位'!AB$1,0)</f>
        <v>0</v>
      </c>
      <c r="AH13" s="157">
        <f>VLOOKUP($A13,'Over Under Bill 1 COPY 到CO欄位'!$1:$1048576,'Over Under Bill 1 COPY 到CO欄位'!AH$1,0)-VLOOKUP($A13,'Over Under Bill 1 COPY 到CO欄位'!$1:$1048576,'Over Under Bill 1 COPY 到CO欄位'!AC$1,0)</f>
        <v>0</v>
      </c>
      <c r="AI13" s="157">
        <f t="shared" si="12"/>
        <v>0</v>
      </c>
      <c r="AJ13" s="157">
        <f>VLOOKUP($A13,'Over Under Bill 1 COPY 到CO欄位'!$1:$1048576,'Over Under Bill 1 COPY 到CO欄位'!AJ$1,0)-VLOOKUP($A13,'Over Under Bill 1 COPY 到CO欄位'!$1:$1048576,'Over Under Bill 1 COPY 到CO欄位'!AE$1,0)</f>
        <v>0</v>
      </c>
      <c r="AK13" s="157">
        <f t="shared" si="13"/>
        <v>0</v>
      </c>
      <c r="AL13" s="158">
        <f>VLOOKUP($A13,'Over Under Bill 1 COPY 到CO欄位'!$1:$1048576,'Over Under Bill 1 COPY 到CO欄位'!AL$1,0)-VLOOKUP($A13,'Over Under Bill 1 COPY 到CO欄位'!$1:$1048576,'Over Under Bill 1 COPY 到CO欄位'!AG$1,0)</f>
        <v>0</v>
      </c>
      <c r="AM13" s="158">
        <f>VLOOKUP($A13,'Over Under Bill 1 COPY 到CO欄位'!$1:$1048576,'Over Under Bill 1 COPY 到CO欄位'!AM$1,0)-VLOOKUP($A13,'Over Under Bill 1 COPY 到CO欄位'!$1:$1048576,'Over Under Bill 1 COPY 到CO欄位'!AH$1,0)</f>
        <v>0</v>
      </c>
      <c r="AN13" s="158">
        <f t="shared" si="14"/>
        <v>0</v>
      </c>
      <c r="AO13" s="158">
        <f>VLOOKUP($A13,'Over Under Bill 1 COPY 到CO欄位'!$1:$1048576,'Over Under Bill 1 COPY 到CO欄位'!AO$1,0)-VLOOKUP($A13,'Over Under Bill 1 COPY 到CO欄位'!$1:$1048576,'Over Under Bill 1 COPY 到CO欄位'!AJ$1,0)</f>
        <v>0</v>
      </c>
      <c r="AP13" s="158">
        <f t="shared" si="15"/>
        <v>0</v>
      </c>
      <c r="AQ13" s="157">
        <f>VLOOKUP($A13,'Over Under Bill 1 COPY 到CO欄位'!$1:$1048576,'Over Under Bill 1 COPY 到CO欄位'!AQ$1,0)-VLOOKUP($A13,'Over Under Bill 1 COPY 到CO欄位'!$1:$1048576,'Over Under Bill 1 COPY 到CO欄位'!AL$1,0)</f>
        <v>0</v>
      </c>
      <c r="AR13" s="157">
        <f>VLOOKUP($A13,'Over Under Bill 1 COPY 到CO欄位'!$1:$1048576,'Over Under Bill 1 COPY 到CO欄位'!AR$1,0)-VLOOKUP($A13,'Over Under Bill 1 COPY 到CO欄位'!$1:$1048576,'Over Under Bill 1 COPY 到CO欄位'!AM$1,0)</f>
        <v>0</v>
      </c>
      <c r="AS13" s="157">
        <f t="shared" si="16"/>
        <v>0</v>
      </c>
      <c r="AT13" s="157">
        <f>VLOOKUP($A13,'Over Under Bill 1 COPY 到CO欄位'!$1:$1048576,'Over Under Bill 1 COPY 到CO欄位'!AT$1,0)-VLOOKUP($A13,'Over Under Bill 1 COPY 到CO欄位'!$1:$1048576,'Over Under Bill 1 COPY 到CO欄位'!AO$1,0)</f>
        <v>0</v>
      </c>
      <c r="AU13" s="157">
        <f t="shared" si="17"/>
        <v>0</v>
      </c>
      <c r="AV13" s="158">
        <f>VLOOKUP($A13,'Over Under Bill 1 COPY 到CO欄位'!$1:$1048576,'Over Under Bill 1 COPY 到CO欄位'!AV$1,0)-VLOOKUP($A13,'Over Under Bill 1 COPY 到CO欄位'!$1:$1048576,'Over Under Bill 1 COPY 到CO欄位'!AQ$1,0)</f>
        <v>0</v>
      </c>
      <c r="AW13" s="158">
        <f>VLOOKUP($A13,'Over Under Bill 1 COPY 到CO欄位'!$1:$1048576,'Over Under Bill 1 COPY 到CO欄位'!AW$1,0)-VLOOKUP($A13,'Over Under Bill 1 COPY 到CO欄位'!$1:$1048576,'Over Under Bill 1 COPY 到CO欄位'!AR$1,0)</f>
        <v>0</v>
      </c>
      <c r="AX13" s="158">
        <f t="shared" si="18"/>
        <v>0</v>
      </c>
      <c r="AY13" s="158">
        <f>VLOOKUP($A13,'Over Under Bill 1 COPY 到CO欄位'!$1:$1048576,'Over Under Bill 1 COPY 到CO欄位'!AY$1,0)-VLOOKUP($A13,'Over Under Bill 1 COPY 到CO欄位'!$1:$1048576,'Over Under Bill 1 COPY 到CO欄位'!AT$1,0)</f>
        <v>0</v>
      </c>
      <c r="AZ13" s="158">
        <f t="shared" si="19"/>
        <v>0</v>
      </c>
      <c r="BA13" s="157">
        <f>VLOOKUP($A13,'Over Under Bill 1 COPY 到CO欄位'!$1:$1048576,'Over Under Bill 1 COPY 到CO欄位'!BA$1,0)-VLOOKUP($A13,'Over Under Bill 1 COPY 到CO欄位'!$1:$1048576,'Over Under Bill 1 COPY 到CO欄位'!AV$1,0)</f>
        <v>0</v>
      </c>
      <c r="BB13" s="157">
        <f>VLOOKUP($A13,'Over Under Bill 1 COPY 到CO欄位'!$1:$1048576,'Over Under Bill 1 COPY 到CO欄位'!BB$1,0)-VLOOKUP($A13,'Over Under Bill 1 COPY 到CO欄位'!$1:$1048576,'Over Under Bill 1 COPY 到CO欄位'!AW$1,0)</f>
        <v>0</v>
      </c>
      <c r="BC13" s="157">
        <f t="shared" si="20"/>
        <v>0</v>
      </c>
      <c r="BD13" s="157">
        <f>VLOOKUP($A13,'Over Under Bill 1 COPY 到CO欄位'!$1:$1048576,'Over Under Bill 1 COPY 到CO欄位'!BD$1,0)-VLOOKUP($A13,'Over Under Bill 1 COPY 到CO欄位'!$1:$1048576,'Over Under Bill 1 COPY 到CO欄位'!AY$1,0)</f>
        <v>0</v>
      </c>
      <c r="BE13" s="157">
        <f t="shared" si="21"/>
        <v>0</v>
      </c>
      <c r="BF13" s="158">
        <f>VLOOKUP($A13,'Over Under Bill 1 COPY 到CO欄位'!$1:$1048576,'Over Under Bill 1 COPY 到CO欄位'!BF$1,0)-VLOOKUP($A13,'Over Under Bill 1 COPY 到CO欄位'!$1:$1048576,'Over Under Bill 1 COPY 到CO欄位'!BA$1,0)</f>
        <v>0</v>
      </c>
      <c r="BG13" s="158">
        <f>VLOOKUP($A13,'Over Under Bill 1 COPY 到CO欄位'!$1:$1048576,'Over Under Bill 1 COPY 到CO欄位'!BG$1,0)-VLOOKUP($A13,'Over Under Bill 1 COPY 到CO欄位'!$1:$1048576,'Over Under Bill 1 COPY 到CO欄位'!BB$1,0)</f>
        <v>0</v>
      </c>
      <c r="BH13" s="158">
        <f t="shared" si="22"/>
        <v>0</v>
      </c>
      <c r="BI13" s="158">
        <f>VLOOKUP($A13,'Over Under Bill 1 COPY 到CO欄位'!$1:$1048576,'Over Under Bill 1 COPY 到CO欄位'!BI$1,0)-VLOOKUP($A13,'Over Under Bill 1 COPY 到CO欄位'!$1:$1048576,'Over Under Bill 1 COPY 到CO欄位'!BD$1,0)</f>
        <v>0</v>
      </c>
      <c r="BJ13" s="158">
        <f t="shared" si="23"/>
        <v>0</v>
      </c>
      <c r="BK13" s="157">
        <f>VLOOKUP($A13,'Over Under Bill 1 COPY 到CO欄位'!$1:$1048576,'Over Under Bill 1 COPY 到CO欄位'!BK$1,0)-VLOOKUP($A13,'Over Under Bill 1 COPY 到CO欄位'!$1:$1048576,'Over Under Bill 1 COPY 到CO欄位'!BF$1,0)</f>
        <v>0</v>
      </c>
      <c r="BL13" s="157">
        <f>VLOOKUP($A13,'Over Under Bill 1 COPY 到CO欄位'!$1:$1048576,'Over Under Bill 1 COPY 到CO欄位'!BL$1,0)-VLOOKUP($A13,'Over Under Bill 1 COPY 到CO欄位'!$1:$1048576,'Over Under Bill 1 COPY 到CO欄位'!BG$1,0)</f>
        <v>0</v>
      </c>
      <c r="BM13" s="157">
        <f t="shared" si="24"/>
        <v>0</v>
      </c>
      <c r="BN13" s="157">
        <f>VLOOKUP($A13,'Over Under Bill 1 COPY 到CO欄位'!$1:$1048576,'Over Under Bill 1 COPY 到CO欄位'!BN$1,0)-VLOOKUP($A13,'Over Under Bill 1 COPY 到CO欄位'!$1:$1048576,'Over Under Bill 1 COPY 到CO欄位'!BI$1,0)</f>
        <v>0</v>
      </c>
      <c r="BO13" s="157">
        <f t="shared" si="25"/>
        <v>0</v>
      </c>
      <c r="BP13" s="158">
        <f>VLOOKUP($A13,'Over Under Bill 1 COPY 到CO欄位'!$1:$1048576,'Over Under Bill 1 COPY 到CO欄位'!BP$1,0)-VLOOKUP($A13,'Over Under Bill 1 COPY 到CO欄位'!$1:$1048576,'Over Under Bill 1 COPY 到CO欄位'!BK$1,0)</f>
        <v>0</v>
      </c>
      <c r="BQ13" s="158">
        <f>VLOOKUP($A13,'Over Under Bill 1 COPY 到CO欄位'!$1:$1048576,'Over Under Bill 1 COPY 到CO欄位'!BQ$1,0)-VLOOKUP($A13,'Over Under Bill 1 COPY 到CO欄位'!$1:$1048576,'Over Under Bill 1 COPY 到CO欄位'!BL$1,0)</f>
        <v>0</v>
      </c>
      <c r="BR13" s="158">
        <f t="shared" si="26"/>
        <v>0</v>
      </c>
      <c r="BS13" s="158">
        <f>VLOOKUP($A13,'Over Under Bill 1 COPY 到CO欄位'!$1:$1048576,'Over Under Bill 1 COPY 到CO欄位'!BS$1,0)-VLOOKUP($A13,'Over Under Bill 1 COPY 到CO欄位'!$1:$1048576,'Over Under Bill 1 COPY 到CO欄位'!BN$1,0)</f>
        <v>0</v>
      </c>
      <c r="BT13" s="158">
        <f t="shared" si="27"/>
        <v>0</v>
      </c>
      <c r="BU13" s="157">
        <f>VLOOKUP($A13,'Over Under Bill 1 COPY 到CO欄位'!$1:$1048576,'Over Under Bill 1 COPY 到CO欄位'!BP$1,0)-VLOOKUP($A13,'Over Under Bill 1 COPY 到CO欄位'!$1:$1048576,'Over Under Bill 1 COPY 到CO欄位'!H$1,0)</f>
        <v>0</v>
      </c>
      <c r="BV13" s="157">
        <f>VLOOKUP($A13,'Over Under Bill 1 COPY 到CO欄位'!$1:$1048576,'Over Under Bill 1 COPY 到CO欄位'!BQ$1,0)-VLOOKUP($A13,'Over Under Bill 1 COPY 到CO欄位'!$1:$1048576,'Over Under Bill 1 COPY 到CO欄位'!I$1,0)</f>
        <v>0</v>
      </c>
      <c r="BW13" s="157">
        <f t="shared" si="28"/>
        <v>0</v>
      </c>
      <c r="BX13" s="157">
        <f>VLOOKUP($A13,'Over Under Bill 1 COPY 到CO欄位'!$1:$1048576,'Over Under Bill 1 COPY 到CO欄位'!BS$1,0)-VLOOKUP($A13,'Over Under Bill 1 COPY 到CO欄位'!$1:$1048576,'Over Under Bill 1 COPY 到CO欄位'!K$1,0)</f>
        <v>0</v>
      </c>
      <c r="BY13" s="157">
        <f t="shared" si="29"/>
        <v>0</v>
      </c>
      <c r="BZ13" s="158">
        <f>VLOOKUP($A13,'Over Under Bill 1 COPY 到CO欄位'!$1:$1048576,'Over Under Bill 1 COPY 到CO欄位'!BU$1,0)-VLOOKUP($A13,'Over Under Bill 1 COPY 到CO欄位'!$1:$1048576,'Over Under Bill 1 COPY 到CO欄位'!BP$1,0)</f>
        <v>0</v>
      </c>
      <c r="CA13" s="158">
        <f>VLOOKUP($A13,'Over Under Bill 1 COPY 到CO欄位'!$1:$1048576,'Over Under Bill 1 COPY 到CO欄位'!BV$1,0)-VLOOKUP($A13,'Over Under Bill 1 COPY 到CO欄位'!$1:$1048576,'Over Under Bill 1 COPY 到CO欄位'!BQ$1,0)</f>
        <v>0</v>
      </c>
      <c r="CB13" s="158">
        <f t="shared" si="30"/>
        <v>0</v>
      </c>
      <c r="CC13" s="158">
        <f>VLOOKUP($A13,'Over Under Bill 1 COPY 到CO欄位'!$1:$1048576,'Over Under Bill 1 COPY 到CO欄位'!BX$1,0)-VLOOKUP($A13,'Over Under Bill 1 COPY 到CO欄位'!$1:$1048576,'Over Under Bill 1 COPY 到CO欄位'!BS$1,0)</f>
        <v>0</v>
      </c>
      <c r="CD13" s="158">
        <f t="shared" si="31"/>
        <v>0</v>
      </c>
      <c r="CE13" s="157">
        <f>VLOOKUP($A13,'Over Under Bill 1 COPY 到CO欄位'!$1:$1048576,'Over Under Bill 1 COPY 到CO欄位'!BZ$1,0)-VLOOKUP($A13,'Over Under Bill 1 COPY 到CO欄位'!$1:$1048576,'Over Under Bill 1 COPY 到CO欄位'!BU$1,0)</f>
        <v>0</v>
      </c>
      <c r="CF13" s="157">
        <f>VLOOKUP($A13,'Over Under Bill 1 COPY 到CO欄位'!$1:$1048576,'Over Under Bill 1 COPY 到CO欄位'!CA$1,0)-VLOOKUP($A13,'Over Under Bill 1 COPY 到CO欄位'!$1:$1048576,'Over Under Bill 1 COPY 到CO欄位'!BV$1,0)</f>
        <v>0</v>
      </c>
      <c r="CG13" s="157">
        <f t="shared" si="32"/>
        <v>0</v>
      </c>
      <c r="CH13" s="157">
        <f>VLOOKUP($A13,'Over Under Bill 1 COPY 到CO欄位'!$1:$1048576,'Over Under Bill 1 COPY 到CO欄位'!CC$1,0)-VLOOKUP($A13,'Over Under Bill 1 COPY 到CO欄位'!$1:$1048576,'Over Under Bill 1 COPY 到CO欄位'!BX$1,0)</f>
        <v>0</v>
      </c>
      <c r="CI13" s="157">
        <f t="shared" si="33"/>
        <v>0</v>
      </c>
      <c r="CJ13" s="158">
        <f>VLOOKUP($A13,'Over Under Bill 1 COPY 到CO欄位'!$1:$1048576,'Over Under Bill 1 COPY 到CO欄位'!CE$1,0)-VLOOKUP($A13,'Over Under Bill 1 COPY 到CO欄位'!$1:$1048576,'Over Under Bill 1 COPY 到CO欄位'!BZ$1,0)</f>
        <v>0</v>
      </c>
      <c r="CK13" s="158">
        <f>VLOOKUP($A13,'Over Under Bill 1 COPY 到CO欄位'!$1:$1048576,'Over Under Bill 1 COPY 到CO欄位'!CF$1,0)-VLOOKUP($A13,'Over Under Bill 1 COPY 到CO欄位'!$1:$1048576,'Over Under Bill 1 COPY 到CO欄位'!CA$1,0)</f>
        <v>0</v>
      </c>
      <c r="CL13" s="158">
        <f t="shared" si="34"/>
        <v>0</v>
      </c>
      <c r="CM13" s="158">
        <f>VLOOKUP($A13,'Over Under Bill 1 COPY 到CO欄位'!$1:$1048576,'Over Under Bill 1 COPY 到CO欄位'!CH$1,0)-VLOOKUP($A13,'Over Under Bill 1 COPY 到CO欄位'!$1:$1048576,'Over Under Bill 1 COPY 到CO欄位'!CC$1,0)</f>
        <v>0</v>
      </c>
      <c r="CN13" s="158">
        <f t="shared" si="35"/>
        <v>0</v>
      </c>
      <c r="CO13" s="157">
        <f>VLOOKUP($A13,'Over Under Bill 1 COPY 到CO欄位'!$1:$1048576,'Over Under Bill 1 COPY 到CO欄位'!CJ$1,0)-VLOOKUP($A13,'Over Under Bill 1 COPY 到CO欄位'!$1:$1048576,'Over Under Bill 1 COPY 到CO欄位'!CE$1,0)</f>
        <v>0</v>
      </c>
      <c r="CP13" s="157">
        <f>VLOOKUP($A13,'Over Under Bill 1 COPY 到CO欄位'!$1:$1048576,'Over Under Bill 1 COPY 到CO欄位'!CK$1,0)-VLOOKUP($A13,'Over Under Bill 1 COPY 到CO欄位'!$1:$1048576,'Over Under Bill 1 COPY 到CO欄位'!CF$1,0)</f>
        <v>0</v>
      </c>
      <c r="CQ13" s="157">
        <f t="shared" si="36"/>
        <v>0</v>
      </c>
      <c r="CR13" s="157">
        <f>VLOOKUP($A13,'Over Under Bill 1 COPY 到CO欄位'!$1:$1048576,'Over Under Bill 1 COPY 到CO欄位'!CM$1,0)-VLOOKUP($A13,'Over Under Bill 1 COPY 到CO欄位'!$1:$1048576,'Over Under Bill 1 COPY 到CO欄位'!CH$1,0)</f>
        <v>0</v>
      </c>
      <c r="CS13" s="157">
        <f t="shared" si="37"/>
        <v>0</v>
      </c>
    </row>
    <row r="14" spans="1:99">
      <c r="A14" s="155" t="s">
        <v>325</v>
      </c>
      <c r="B14" s="164" t="s">
        <v>326</v>
      </c>
      <c r="C14" s="157">
        <f>IFERROR(VLOOKUP($A14,'A0 BS 1240在建'!$1:$1048576,5,0),0)</f>
        <v>0</v>
      </c>
      <c r="D14" s="157">
        <f>IFERROR(VLOOKUP($A14,'B0 2264預收'!$1:$1048576,5,0),0)</f>
        <v>0</v>
      </c>
      <c r="E14" s="157">
        <f t="shared" si="0"/>
        <v>0</v>
      </c>
      <c r="F14" s="157">
        <f>IFERROR(VLOOKUP($A14,'B0 2264預收'!$1:$1048576,6,0),0)</f>
        <v>0</v>
      </c>
      <c r="G14" s="157">
        <f t="shared" si="1"/>
        <v>0</v>
      </c>
      <c r="H14" s="158">
        <f>IFERROR(VLOOKUP($A14,'A0 BS 1240在建'!$1:$1048576,13,0),0)-C14</f>
        <v>0</v>
      </c>
      <c r="I14" s="158">
        <f>IFERROR(VLOOKUP($A14,'B0 2264預收'!$1:$1048576,13,0),0)-D14</f>
        <v>0</v>
      </c>
      <c r="J14" s="158">
        <f t="shared" si="2"/>
        <v>0</v>
      </c>
      <c r="K14" s="158">
        <f>IFERROR(VLOOKUP($A14,'B0 2264預收'!$1:$1048576,14,0),0)-F14</f>
        <v>0</v>
      </c>
      <c r="L14" s="158">
        <f t="shared" si="3"/>
        <v>0</v>
      </c>
      <c r="M14" s="157">
        <f>VLOOKUP($A14,'Over Under Bill 1 COPY 到CO欄位'!$1:$1048576,'Over Under Bill 1 COPY 到CO欄位'!M$1,0)-VLOOKUP($A14,'Over Under Bill 1 COPY 到CO欄位'!$1:$1048576,'Over Under Bill 1 COPY 到CO欄位'!H$1,0)</f>
        <v>0</v>
      </c>
      <c r="N14" s="157">
        <f>VLOOKUP($A14,'Over Under Bill 1 COPY 到CO欄位'!$1:$1048576,'Over Under Bill 1 COPY 到CO欄位'!N$1,0)-VLOOKUP($A14,'Over Under Bill 1 COPY 到CO欄位'!$1:$1048576,'Over Under Bill 1 COPY 到CO欄位'!I$1,0)</f>
        <v>0</v>
      </c>
      <c r="O14" s="157">
        <f t="shared" si="4"/>
        <v>0</v>
      </c>
      <c r="P14" s="157">
        <f>VLOOKUP($A14,'Over Under Bill 1 COPY 到CO欄位'!$1:$1048576,'Over Under Bill 1 COPY 到CO欄位'!P$1,0)-VLOOKUP($A14,'Over Under Bill 1 COPY 到CO欄位'!$1:$1048576,'Over Under Bill 1 COPY 到CO欄位'!K$1,0)</f>
        <v>0</v>
      </c>
      <c r="Q14" s="157">
        <f t="shared" si="5"/>
        <v>0</v>
      </c>
      <c r="R14" s="158">
        <f>VLOOKUP($A14,'Over Under Bill 1 COPY 到CO欄位'!$1:$1048576,'Over Under Bill 1 COPY 到CO欄位'!R$1,0)-VLOOKUP($A14,'Over Under Bill 1 COPY 到CO欄位'!$1:$1048576,'Over Under Bill 1 COPY 到CO欄位'!M$1,0)</f>
        <v>0</v>
      </c>
      <c r="S14" s="158">
        <f>VLOOKUP($A14,'Over Under Bill 1 COPY 到CO欄位'!$1:$1048576,'Over Under Bill 1 COPY 到CO欄位'!S$1,0)-VLOOKUP($A14,'Over Under Bill 1 COPY 到CO欄位'!$1:$1048576,'Over Under Bill 1 COPY 到CO欄位'!N$1,0)</f>
        <v>0</v>
      </c>
      <c r="T14" s="158">
        <f t="shared" si="6"/>
        <v>0</v>
      </c>
      <c r="U14" s="158">
        <f>VLOOKUP($A14,'Over Under Bill 1 COPY 到CO欄位'!$1:$1048576,'Over Under Bill 1 COPY 到CO欄位'!U$1,0)-VLOOKUP($A14,'Over Under Bill 1 COPY 到CO欄位'!$1:$1048576,'Over Under Bill 1 COPY 到CO欄位'!P$1,0)</f>
        <v>0</v>
      </c>
      <c r="V14" s="158">
        <f t="shared" si="7"/>
        <v>0</v>
      </c>
      <c r="W14" s="157">
        <f>VLOOKUP($A14,'Over Under Bill 1 COPY 到CO欄位'!$1:$1048576,'Over Under Bill 1 COPY 到CO欄位'!W$1,0)-VLOOKUP($A14,'Over Under Bill 1 COPY 到CO欄位'!$1:$1048576,'Over Under Bill 1 COPY 到CO欄位'!R$1,0)</f>
        <v>0</v>
      </c>
      <c r="X14" s="157">
        <f>VLOOKUP($A14,'Over Under Bill 1 COPY 到CO欄位'!$1:$1048576,'Over Under Bill 1 COPY 到CO欄位'!X$1,0)-VLOOKUP($A14,'Over Under Bill 1 COPY 到CO欄位'!$1:$1048576,'Over Under Bill 1 COPY 到CO欄位'!S$1,0)</f>
        <v>0</v>
      </c>
      <c r="Y14" s="157">
        <f t="shared" si="8"/>
        <v>0</v>
      </c>
      <c r="Z14" s="157">
        <f>VLOOKUP($A14,'Over Under Bill 1 COPY 到CO欄位'!$1:$1048576,'Over Under Bill 1 COPY 到CO欄位'!Z$1,0)-VLOOKUP($A14,'Over Under Bill 1 COPY 到CO欄位'!$1:$1048576,'Over Under Bill 1 COPY 到CO欄位'!U$1,0)</f>
        <v>0</v>
      </c>
      <c r="AA14" s="157">
        <f t="shared" si="9"/>
        <v>0</v>
      </c>
      <c r="AB14" s="158">
        <f>VLOOKUP($A14,'Over Under Bill 1 COPY 到CO欄位'!$1:$1048576,'Over Under Bill 1 COPY 到CO欄位'!AB$1,0)-VLOOKUP($A14,'Over Under Bill 1 COPY 到CO欄位'!$1:$1048576,'Over Under Bill 1 COPY 到CO欄位'!W$1,0)</f>
        <v>0</v>
      </c>
      <c r="AC14" s="158">
        <f>VLOOKUP($A14,'Over Under Bill 1 COPY 到CO欄位'!$1:$1048576,'Over Under Bill 1 COPY 到CO欄位'!AC$1,0)-VLOOKUP($A14,'Over Under Bill 1 COPY 到CO欄位'!$1:$1048576,'Over Under Bill 1 COPY 到CO欄位'!X$1,0)</f>
        <v>0</v>
      </c>
      <c r="AD14" s="158">
        <f t="shared" si="10"/>
        <v>0</v>
      </c>
      <c r="AE14" s="158">
        <f>VLOOKUP($A14,'Over Under Bill 1 COPY 到CO欄位'!$1:$1048576,'Over Under Bill 1 COPY 到CO欄位'!AE$1,0)-VLOOKUP($A14,'Over Under Bill 1 COPY 到CO欄位'!$1:$1048576,'Over Under Bill 1 COPY 到CO欄位'!Z$1,0)</f>
        <v>0</v>
      </c>
      <c r="AF14" s="158">
        <f t="shared" si="11"/>
        <v>0</v>
      </c>
      <c r="AG14" s="157">
        <f>VLOOKUP($A14,'Over Under Bill 1 COPY 到CO欄位'!$1:$1048576,'Over Under Bill 1 COPY 到CO欄位'!AG$1,0)-VLOOKUP($A14,'Over Under Bill 1 COPY 到CO欄位'!$1:$1048576,'Over Under Bill 1 COPY 到CO欄位'!AB$1,0)</f>
        <v>0</v>
      </c>
      <c r="AH14" s="157">
        <f>VLOOKUP($A14,'Over Under Bill 1 COPY 到CO欄位'!$1:$1048576,'Over Under Bill 1 COPY 到CO欄位'!AH$1,0)-VLOOKUP($A14,'Over Under Bill 1 COPY 到CO欄位'!$1:$1048576,'Over Under Bill 1 COPY 到CO欄位'!AC$1,0)</f>
        <v>0</v>
      </c>
      <c r="AI14" s="157">
        <f t="shared" si="12"/>
        <v>0</v>
      </c>
      <c r="AJ14" s="157">
        <f>VLOOKUP($A14,'Over Under Bill 1 COPY 到CO欄位'!$1:$1048576,'Over Under Bill 1 COPY 到CO欄位'!AJ$1,0)-VLOOKUP($A14,'Over Under Bill 1 COPY 到CO欄位'!$1:$1048576,'Over Under Bill 1 COPY 到CO欄位'!AE$1,0)</f>
        <v>0</v>
      </c>
      <c r="AK14" s="157">
        <f t="shared" si="13"/>
        <v>0</v>
      </c>
      <c r="AL14" s="158">
        <f>VLOOKUP($A14,'Over Under Bill 1 COPY 到CO欄位'!$1:$1048576,'Over Under Bill 1 COPY 到CO欄位'!AL$1,0)-VLOOKUP($A14,'Over Under Bill 1 COPY 到CO欄位'!$1:$1048576,'Over Under Bill 1 COPY 到CO欄位'!AG$1,0)</f>
        <v>0</v>
      </c>
      <c r="AM14" s="158">
        <f>VLOOKUP($A14,'Over Under Bill 1 COPY 到CO欄位'!$1:$1048576,'Over Under Bill 1 COPY 到CO欄位'!AM$1,0)-VLOOKUP($A14,'Over Under Bill 1 COPY 到CO欄位'!$1:$1048576,'Over Under Bill 1 COPY 到CO欄位'!AH$1,0)</f>
        <v>0</v>
      </c>
      <c r="AN14" s="158">
        <f t="shared" si="14"/>
        <v>0</v>
      </c>
      <c r="AO14" s="158">
        <f>VLOOKUP($A14,'Over Under Bill 1 COPY 到CO欄位'!$1:$1048576,'Over Under Bill 1 COPY 到CO欄位'!AO$1,0)-VLOOKUP($A14,'Over Under Bill 1 COPY 到CO欄位'!$1:$1048576,'Over Under Bill 1 COPY 到CO欄位'!AJ$1,0)</f>
        <v>0</v>
      </c>
      <c r="AP14" s="158">
        <f t="shared" si="15"/>
        <v>0</v>
      </c>
      <c r="AQ14" s="157">
        <f>VLOOKUP($A14,'Over Under Bill 1 COPY 到CO欄位'!$1:$1048576,'Over Under Bill 1 COPY 到CO欄位'!AQ$1,0)-VLOOKUP($A14,'Over Under Bill 1 COPY 到CO欄位'!$1:$1048576,'Over Under Bill 1 COPY 到CO欄位'!AL$1,0)</f>
        <v>0</v>
      </c>
      <c r="AR14" s="157">
        <f>VLOOKUP($A14,'Over Under Bill 1 COPY 到CO欄位'!$1:$1048576,'Over Under Bill 1 COPY 到CO欄位'!AR$1,0)-VLOOKUP($A14,'Over Under Bill 1 COPY 到CO欄位'!$1:$1048576,'Over Under Bill 1 COPY 到CO欄位'!AM$1,0)</f>
        <v>0</v>
      </c>
      <c r="AS14" s="157">
        <f t="shared" si="16"/>
        <v>0</v>
      </c>
      <c r="AT14" s="157">
        <f>VLOOKUP($A14,'Over Under Bill 1 COPY 到CO欄位'!$1:$1048576,'Over Under Bill 1 COPY 到CO欄位'!AT$1,0)-VLOOKUP($A14,'Over Under Bill 1 COPY 到CO欄位'!$1:$1048576,'Over Under Bill 1 COPY 到CO欄位'!AO$1,0)</f>
        <v>0</v>
      </c>
      <c r="AU14" s="157">
        <f t="shared" si="17"/>
        <v>0</v>
      </c>
      <c r="AV14" s="158">
        <f>VLOOKUP($A14,'Over Under Bill 1 COPY 到CO欄位'!$1:$1048576,'Over Under Bill 1 COPY 到CO欄位'!AV$1,0)-VLOOKUP($A14,'Over Under Bill 1 COPY 到CO欄位'!$1:$1048576,'Over Under Bill 1 COPY 到CO欄位'!AQ$1,0)</f>
        <v>0</v>
      </c>
      <c r="AW14" s="158">
        <f>VLOOKUP($A14,'Over Under Bill 1 COPY 到CO欄位'!$1:$1048576,'Over Under Bill 1 COPY 到CO欄位'!AW$1,0)-VLOOKUP($A14,'Over Under Bill 1 COPY 到CO欄位'!$1:$1048576,'Over Under Bill 1 COPY 到CO欄位'!AR$1,0)</f>
        <v>0</v>
      </c>
      <c r="AX14" s="158">
        <f t="shared" si="18"/>
        <v>0</v>
      </c>
      <c r="AY14" s="158">
        <f>VLOOKUP($A14,'Over Under Bill 1 COPY 到CO欄位'!$1:$1048576,'Over Under Bill 1 COPY 到CO欄位'!AY$1,0)-VLOOKUP($A14,'Over Under Bill 1 COPY 到CO欄位'!$1:$1048576,'Over Under Bill 1 COPY 到CO欄位'!AT$1,0)</f>
        <v>0</v>
      </c>
      <c r="AZ14" s="158">
        <f t="shared" si="19"/>
        <v>0</v>
      </c>
      <c r="BA14" s="157">
        <f>VLOOKUP($A14,'Over Under Bill 1 COPY 到CO欄位'!$1:$1048576,'Over Under Bill 1 COPY 到CO欄位'!BA$1,0)-VLOOKUP($A14,'Over Under Bill 1 COPY 到CO欄位'!$1:$1048576,'Over Under Bill 1 COPY 到CO欄位'!AV$1,0)</f>
        <v>0</v>
      </c>
      <c r="BB14" s="157">
        <f>VLOOKUP($A14,'Over Under Bill 1 COPY 到CO欄位'!$1:$1048576,'Over Under Bill 1 COPY 到CO欄位'!BB$1,0)-VLOOKUP($A14,'Over Under Bill 1 COPY 到CO欄位'!$1:$1048576,'Over Under Bill 1 COPY 到CO欄位'!AW$1,0)</f>
        <v>0</v>
      </c>
      <c r="BC14" s="157">
        <f t="shared" si="20"/>
        <v>0</v>
      </c>
      <c r="BD14" s="157">
        <f>VLOOKUP($A14,'Over Under Bill 1 COPY 到CO欄位'!$1:$1048576,'Over Under Bill 1 COPY 到CO欄位'!BD$1,0)-VLOOKUP($A14,'Over Under Bill 1 COPY 到CO欄位'!$1:$1048576,'Over Under Bill 1 COPY 到CO欄位'!AY$1,0)</f>
        <v>0</v>
      </c>
      <c r="BE14" s="157">
        <f t="shared" si="21"/>
        <v>0</v>
      </c>
      <c r="BF14" s="158">
        <f>VLOOKUP($A14,'Over Under Bill 1 COPY 到CO欄位'!$1:$1048576,'Over Under Bill 1 COPY 到CO欄位'!BF$1,0)-VLOOKUP($A14,'Over Under Bill 1 COPY 到CO欄位'!$1:$1048576,'Over Under Bill 1 COPY 到CO欄位'!BA$1,0)</f>
        <v>0</v>
      </c>
      <c r="BG14" s="158">
        <f>VLOOKUP($A14,'Over Under Bill 1 COPY 到CO欄位'!$1:$1048576,'Over Under Bill 1 COPY 到CO欄位'!BG$1,0)-VLOOKUP($A14,'Over Under Bill 1 COPY 到CO欄位'!$1:$1048576,'Over Under Bill 1 COPY 到CO欄位'!BB$1,0)</f>
        <v>0</v>
      </c>
      <c r="BH14" s="158">
        <f t="shared" si="22"/>
        <v>0</v>
      </c>
      <c r="BI14" s="158">
        <f>VLOOKUP($A14,'Over Under Bill 1 COPY 到CO欄位'!$1:$1048576,'Over Under Bill 1 COPY 到CO欄位'!BI$1,0)-VLOOKUP($A14,'Over Under Bill 1 COPY 到CO欄位'!$1:$1048576,'Over Under Bill 1 COPY 到CO欄位'!BD$1,0)</f>
        <v>0</v>
      </c>
      <c r="BJ14" s="158">
        <f t="shared" si="23"/>
        <v>0</v>
      </c>
      <c r="BK14" s="157">
        <f>VLOOKUP($A14,'Over Under Bill 1 COPY 到CO欄位'!$1:$1048576,'Over Under Bill 1 COPY 到CO欄位'!BK$1,0)-VLOOKUP($A14,'Over Under Bill 1 COPY 到CO欄位'!$1:$1048576,'Over Under Bill 1 COPY 到CO欄位'!BF$1,0)</f>
        <v>0</v>
      </c>
      <c r="BL14" s="157">
        <f>VLOOKUP($A14,'Over Under Bill 1 COPY 到CO欄位'!$1:$1048576,'Over Under Bill 1 COPY 到CO欄位'!BL$1,0)-VLOOKUP($A14,'Over Under Bill 1 COPY 到CO欄位'!$1:$1048576,'Over Under Bill 1 COPY 到CO欄位'!BG$1,0)</f>
        <v>0</v>
      </c>
      <c r="BM14" s="157">
        <f t="shared" si="24"/>
        <v>0</v>
      </c>
      <c r="BN14" s="157">
        <f>VLOOKUP($A14,'Over Under Bill 1 COPY 到CO欄位'!$1:$1048576,'Over Under Bill 1 COPY 到CO欄位'!BN$1,0)-VLOOKUP($A14,'Over Under Bill 1 COPY 到CO欄位'!$1:$1048576,'Over Under Bill 1 COPY 到CO欄位'!BI$1,0)</f>
        <v>0</v>
      </c>
      <c r="BO14" s="157">
        <f t="shared" si="25"/>
        <v>0</v>
      </c>
      <c r="BP14" s="158">
        <f>VLOOKUP($A14,'Over Under Bill 1 COPY 到CO欄位'!$1:$1048576,'Over Under Bill 1 COPY 到CO欄位'!BP$1,0)-VLOOKUP($A14,'Over Under Bill 1 COPY 到CO欄位'!$1:$1048576,'Over Under Bill 1 COPY 到CO欄位'!BK$1,0)</f>
        <v>0</v>
      </c>
      <c r="BQ14" s="158">
        <f>VLOOKUP($A14,'Over Under Bill 1 COPY 到CO欄位'!$1:$1048576,'Over Under Bill 1 COPY 到CO欄位'!BQ$1,0)-VLOOKUP($A14,'Over Under Bill 1 COPY 到CO欄位'!$1:$1048576,'Over Under Bill 1 COPY 到CO欄位'!BL$1,0)</f>
        <v>0</v>
      </c>
      <c r="BR14" s="158">
        <f t="shared" si="26"/>
        <v>0</v>
      </c>
      <c r="BS14" s="158">
        <f>VLOOKUP($A14,'Over Under Bill 1 COPY 到CO欄位'!$1:$1048576,'Over Under Bill 1 COPY 到CO欄位'!BS$1,0)-VLOOKUP($A14,'Over Under Bill 1 COPY 到CO欄位'!$1:$1048576,'Over Under Bill 1 COPY 到CO欄位'!BN$1,0)</f>
        <v>0</v>
      </c>
      <c r="BT14" s="158">
        <f t="shared" si="27"/>
        <v>0</v>
      </c>
      <c r="BU14" s="157">
        <f>VLOOKUP($A14,'Over Under Bill 1 COPY 到CO欄位'!$1:$1048576,'Over Under Bill 1 COPY 到CO欄位'!BP$1,0)-VLOOKUP($A14,'Over Under Bill 1 COPY 到CO欄位'!$1:$1048576,'Over Under Bill 1 COPY 到CO欄位'!H$1,0)</f>
        <v>0</v>
      </c>
      <c r="BV14" s="157">
        <f>VLOOKUP($A14,'Over Under Bill 1 COPY 到CO欄位'!$1:$1048576,'Over Under Bill 1 COPY 到CO欄位'!BQ$1,0)-VLOOKUP($A14,'Over Under Bill 1 COPY 到CO欄位'!$1:$1048576,'Over Under Bill 1 COPY 到CO欄位'!I$1,0)</f>
        <v>0</v>
      </c>
      <c r="BW14" s="157">
        <f t="shared" si="28"/>
        <v>0</v>
      </c>
      <c r="BX14" s="157">
        <f>VLOOKUP($A14,'Over Under Bill 1 COPY 到CO欄位'!$1:$1048576,'Over Under Bill 1 COPY 到CO欄位'!BS$1,0)-VLOOKUP($A14,'Over Under Bill 1 COPY 到CO欄位'!$1:$1048576,'Over Under Bill 1 COPY 到CO欄位'!K$1,0)</f>
        <v>0</v>
      </c>
      <c r="BY14" s="157">
        <f t="shared" si="29"/>
        <v>0</v>
      </c>
      <c r="BZ14" s="158">
        <f>VLOOKUP($A14,'Over Under Bill 1 COPY 到CO欄位'!$1:$1048576,'Over Under Bill 1 COPY 到CO欄位'!BU$1,0)-VLOOKUP($A14,'Over Under Bill 1 COPY 到CO欄位'!$1:$1048576,'Over Under Bill 1 COPY 到CO欄位'!BP$1,0)</f>
        <v>0</v>
      </c>
      <c r="CA14" s="158">
        <f>VLOOKUP($A14,'Over Under Bill 1 COPY 到CO欄位'!$1:$1048576,'Over Under Bill 1 COPY 到CO欄位'!BV$1,0)-VLOOKUP($A14,'Over Under Bill 1 COPY 到CO欄位'!$1:$1048576,'Over Under Bill 1 COPY 到CO欄位'!BQ$1,0)</f>
        <v>0</v>
      </c>
      <c r="CB14" s="158">
        <f t="shared" si="30"/>
        <v>0</v>
      </c>
      <c r="CC14" s="158">
        <f>VLOOKUP($A14,'Over Under Bill 1 COPY 到CO欄位'!$1:$1048576,'Over Under Bill 1 COPY 到CO欄位'!BX$1,0)-VLOOKUP($A14,'Over Under Bill 1 COPY 到CO欄位'!$1:$1048576,'Over Under Bill 1 COPY 到CO欄位'!BS$1,0)</f>
        <v>0</v>
      </c>
      <c r="CD14" s="158">
        <f t="shared" si="31"/>
        <v>0</v>
      </c>
      <c r="CE14" s="157">
        <f>VLOOKUP($A14,'Over Under Bill 1 COPY 到CO欄位'!$1:$1048576,'Over Under Bill 1 COPY 到CO欄位'!BZ$1,0)-VLOOKUP($A14,'Over Under Bill 1 COPY 到CO欄位'!$1:$1048576,'Over Under Bill 1 COPY 到CO欄位'!BU$1,0)</f>
        <v>0</v>
      </c>
      <c r="CF14" s="157">
        <f>VLOOKUP($A14,'Over Under Bill 1 COPY 到CO欄位'!$1:$1048576,'Over Under Bill 1 COPY 到CO欄位'!CA$1,0)-VLOOKUP($A14,'Over Under Bill 1 COPY 到CO欄位'!$1:$1048576,'Over Under Bill 1 COPY 到CO欄位'!BV$1,0)</f>
        <v>0</v>
      </c>
      <c r="CG14" s="157">
        <f t="shared" si="32"/>
        <v>0</v>
      </c>
      <c r="CH14" s="157">
        <f>VLOOKUP($A14,'Over Under Bill 1 COPY 到CO欄位'!$1:$1048576,'Over Under Bill 1 COPY 到CO欄位'!CC$1,0)-VLOOKUP($A14,'Over Under Bill 1 COPY 到CO欄位'!$1:$1048576,'Over Under Bill 1 COPY 到CO欄位'!BX$1,0)</f>
        <v>0</v>
      </c>
      <c r="CI14" s="157">
        <f t="shared" si="33"/>
        <v>0</v>
      </c>
      <c r="CJ14" s="158">
        <f>VLOOKUP($A14,'Over Under Bill 1 COPY 到CO欄位'!$1:$1048576,'Over Under Bill 1 COPY 到CO欄位'!CE$1,0)-VLOOKUP($A14,'Over Under Bill 1 COPY 到CO欄位'!$1:$1048576,'Over Under Bill 1 COPY 到CO欄位'!BZ$1,0)</f>
        <v>0</v>
      </c>
      <c r="CK14" s="158">
        <f>VLOOKUP($A14,'Over Under Bill 1 COPY 到CO欄位'!$1:$1048576,'Over Under Bill 1 COPY 到CO欄位'!CF$1,0)-VLOOKUP($A14,'Over Under Bill 1 COPY 到CO欄位'!$1:$1048576,'Over Under Bill 1 COPY 到CO欄位'!CA$1,0)</f>
        <v>0</v>
      </c>
      <c r="CL14" s="158">
        <f t="shared" si="34"/>
        <v>0</v>
      </c>
      <c r="CM14" s="158">
        <f>VLOOKUP($A14,'Over Under Bill 1 COPY 到CO欄位'!$1:$1048576,'Over Under Bill 1 COPY 到CO欄位'!CH$1,0)-VLOOKUP($A14,'Over Under Bill 1 COPY 到CO欄位'!$1:$1048576,'Over Under Bill 1 COPY 到CO欄位'!CC$1,0)</f>
        <v>0</v>
      </c>
      <c r="CN14" s="158">
        <f t="shared" si="35"/>
        <v>0</v>
      </c>
      <c r="CO14" s="157">
        <f>VLOOKUP($A14,'Over Under Bill 1 COPY 到CO欄位'!$1:$1048576,'Over Under Bill 1 COPY 到CO欄位'!CJ$1,0)-VLOOKUP($A14,'Over Under Bill 1 COPY 到CO欄位'!$1:$1048576,'Over Under Bill 1 COPY 到CO欄位'!CE$1,0)</f>
        <v>0</v>
      </c>
      <c r="CP14" s="157">
        <f>VLOOKUP($A14,'Over Under Bill 1 COPY 到CO欄位'!$1:$1048576,'Over Under Bill 1 COPY 到CO欄位'!CK$1,0)-VLOOKUP($A14,'Over Under Bill 1 COPY 到CO欄位'!$1:$1048576,'Over Under Bill 1 COPY 到CO欄位'!CF$1,0)</f>
        <v>0</v>
      </c>
      <c r="CQ14" s="157">
        <f t="shared" si="36"/>
        <v>0</v>
      </c>
      <c r="CR14" s="157">
        <f>VLOOKUP($A14,'Over Under Bill 1 COPY 到CO欄位'!$1:$1048576,'Over Under Bill 1 COPY 到CO欄位'!CM$1,0)-VLOOKUP($A14,'Over Under Bill 1 COPY 到CO欄位'!$1:$1048576,'Over Under Bill 1 COPY 到CO欄位'!CH$1,0)</f>
        <v>0</v>
      </c>
      <c r="CS14" s="157">
        <f t="shared" si="37"/>
        <v>0</v>
      </c>
    </row>
    <row r="15" spans="1:99">
      <c r="A15" s="155" t="s">
        <v>327</v>
      </c>
      <c r="B15" s="164" t="s">
        <v>328</v>
      </c>
      <c r="C15" s="157">
        <f>IFERROR(VLOOKUP($A15,'A0 BS 1240在建'!$1:$1048576,5,0),0)</f>
        <v>0</v>
      </c>
      <c r="D15" s="157">
        <f>IFERROR(VLOOKUP($A15,'B0 2264預收'!$1:$1048576,5,0),0)</f>
        <v>0</v>
      </c>
      <c r="E15" s="157">
        <f t="shared" si="0"/>
        <v>0</v>
      </c>
      <c r="F15" s="157">
        <f>IFERROR(VLOOKUP($A15,'B0 2264預收'!$1:$1048576,6,0),0)</f>
        <v>0</v>
      </c>
      <c r="G15" s="157">
        <f t="shared" si="1"/>
        <v>0</v>
      </c>
      <c r="H15" s="158">
        <f>IFERROR(VLOOKUP($A15,'A0 BS 1240在建'!$1:$1048576,13,0),0)-C15</f>
        <v>0</v>
      </c>
      <c r="I15" s="158">
        <f>IFERROR(VLOOKUP($A15,'B0 2264預收'!$1:$1048576,13,0),0)-D15</f>
        <v>0</v>
      </c>
      <c r="J15" s="158">
        <f t="shared" si="2"/>
        <v>0</v>
      </c>
      <c r="K15" s="158">
        <f>IFERROR(VLOOKUP($A15,'B0 2264預收'!$1:$1048576,14,0),0)-F15</f>
        <v>0</v>
      </c>
      <c r="L15" s="158">
        <f t="shared" si="3"/>
        <v>0</v>
      </c>
      <c r="M15" s="157">
        <f>VLOOKUP($A15,'Over Under Bill 1 COPY 到CO欄位'!$1:$1048576,'Over Under Bill 1 COPY 到CO欄位'!M$1,0)-VLOOKUP($A15,'Over Under Bill 1 COPY 到CO欄位'!$1:$1048576,'Over Under Bill 1 COPY 到CO欄位'!H$1,0)</f>
        <v>0</v>
      </c>
      <c r="N15" s="157">
        <f>VLOOKUP($A15,'Over Under Bill 1 COPY 到CO欄位'!$1:$1048576,'Over Under Bill 1 COPY 到CO欄位'!N$1,0)-VLOOKUP($A15,'Over Under Bill 1 COPY 到CO欄位'!$1:$1048576,'Over Under Bill 1 COPY 到CO欄位'!I$1,0)</f>
        <v>0</v>
      </c>
      <c r="O15" s="157">
        <f t="shared" si="4"/>
        <v>0</v>
      </c>
      <c r="P15" s="157">
        <f>VLOOKUP($A15,'Over Under Bill 1 COPY 到CO欄位'!$1:$1048576,'Over Under Bill 1 COPY 到CO欄位'!P$1,0)-VLOOKUP($A15,'Over Under Bill 1 COPY 到CO欄位'!$1:$1048576,'Over Under Bill 1 COPY 到CO欄位'!K$1,0)</f>
        <v>0</v>
      </c>
      <c r="Q15" s="157">
        <f t="shared" si="5"/>
        <v>0</v>
      </c>
      <c r="R15" s="158">
        <f>VLOOKUP($A15,'Over Under Bill 1 COPY 到CO欄位'!$1:$1048576,'Over Under Bill 1 COPY 到CO欄位'!R$1,0)-VLOOKUP($A15,'Over Under Bill 1 COPY 到CO欄位'!$1:$1048576,'Over Under Bill 1 COPY 到CO欄位'!M$1,0)</f>
        <v>0</v>
      </c>
      <c r="S15" s="158">
        <f>VLOOKUP($A15,'Over Under Bill 1 COPY 到CO欄位'!$1:$1048576,'Over Under Bill 1 COPY 到CO欄位'!S$1,0)-VLOOKUP($A15,'Over Under Bill 1 COPY 到CO欄位'!$1:$1048576,'Over Under Bill 1 COPY 到CO欄位'!N$1,0)</f>
        <v>0</v>
      </c>
      <c r="T15" s="158">
        <f t="shared" si="6"/>
        <v>0</v>
      </c>
      <c r="U15" s="158">
        <f>VLOOKUP($A15,'Over Under Bill 1 COPY 到CO欄位'!$1:$1048576,'Over Under Bill 1 COPY 到CO欄位'!U$1,0)-VLOOKUP($A15,'Over Under Bill 1 COPY 到CO欄位'!$1:$1048576,'Over Under Bill 1 COPY 到CO欄位'!P$1,0)</f>
        <v>0</v>
      </c>
      <c r="V15" s="158">
        <f t="shared" si="7"/>
        <v>0</v>
      </c>
      <c r="W15" s="157">
        <f>VLOOKUP($A15,'Over Under Bill 1 COPY 到CO欄位'!$1:$1048576,'Over Under Bill 1 COPY 到CO欄位'!W$1,0)-VLOOKUP($A15,'Over Under Bill 1 COPY 到CO欄位'!$1:$1048576,'Over Under Bill 1 COPY 到CO欄位'!R$1,0)</f>
        <v>0</v>
      </c>
      <c r="X15" s="157">
        <f>VLOOKUP($A15,'Over Under Bill 1 COPY 到CO欄位'!$1:$1048576,'Over Under Bill 1 COPY 到CO欄位'!X$1,0)-VLOOKUP($A15,'Over Under Bill 1 COPY 到CO欄位'!$1:$1048576,'Over Under Bill 1 COPY 到CO欄位'!S$1,0)</f>
        <v>0</v>
      </c>
      <c r="Y15" s="157">
        <f t="shared" si="8"/>
        <v>0</v>
      </c>
      <c r="Z15" s="157">
        <f>VLOOKUP($A15,'Over Under Bill 1 COPY 到CO欄位'!$1:$1048576,'Over Under Bill 1 COPY 到CO欄位'!Z$1,0)-VLOOKUP($A15,'Over Under Bill 1 COPY 到CO欄位'!$1:$1048576,'Over Under Bill 1 COPY 到CO欄位'!U$1,0)</f>
        <v>0</v>
      </c>
      <c r="AA15" s="157">
        <f t="shared" si="9"/>
        <v>0</v>
      </c>
      <c r="AB15" s="158">
        <f>VLOOKUP($A15,'Over Under Bill 1 COPY 到CO欄位'!$1:$1048576,'Over Under Bill 1 COPY 到CO欄位'!AB$1,0)-VLOOKUP($A15,'Over Under Bill 1 COPY 到CO欄位'!$1:$1048576,'Over Under Bill 1 COPY 到CO欄位'!W$1,0)</f>
        <v>0</v>
      </c>
      <c r="AC15" s="158">
        <f>VLOOKUP($A15,'Over Under Bill 1 COPY 到CO欄位'!$1:$1048576,'Over Under Bill 1 COPY 到CO欄位'!AC$1,0)-VLOOKUP($A15,'Over Under Bill 1 COPY 到CO欄位'!$1:$1048576,'Over Under Bill 1 COPY 到CO欄位'!X$1,0)</f>
        <v>0</v>
      </c>
      <c r="AD15" s="158">
        <f t="shared" si="10"/>
        <v>0</v>
      </c>
      <c r="AE15" s="158">
        <f>VLOOKUP($A15,'Over Under Bill 1 COPY 到CO欄位'!$1:$1048576,'Over Under Bill 1 COPY 到CO欄位'!AE$1,0)-VLOOKUP($A15,'Over Under Bill 1 COPY 到CO欄位'!$1:$1048576,'Over Under Bill 1 COPY 到CO欄位'!Z$1,0)</f>
        <v>0</v>
      </c>
      <c r="AF15" s="158">
        <f t="shared" si="11"/>
        <v>0</v>
      </c>
      <c r="AG15" s="157">
        <f>VLOOKUP($A15,'Over Under Bill 1 COPY 到CO欄位'!$1:$1048576,'Over Under Bill 1 COPY 到CO欄位'!AG$1,0)-VLOOKUP($A15,'Over Under Bill 1 COPY 到CO欄位'!$1:$1048576,'Over Under Bill 1 COPY 到CO欄位'!AB$1,0)</f>
        <v>0</v>
      </c>
      <c r="AH15" s="157">
        <f>VLOOKUP($A15,'Over Under Bill 1 COPY 到CO欄位'!$1:$1048576,'Over Under Bill 1 COPY 到CO欄位'!AH$1,0)-VLOOKUP($A15,'Over Under Bill 1 COPY 到CO欄位'!$1:$1048576,'Over Under Bill 1 COPY 到CO欄位'!AC$1,0)</f>
        <v>0</v>
      </c>
      <c r="AI15" s="157">
        <f t="shared" si="12"/>
        <v>0</v>
      </c>
      <c r="AJ15" s="157">
        <f>VLOOKUP($A15,'Over Under Bill 1 COPY 到CO欄位'!$1:$1048576,'Over Under Bill 1 COPY 到CO欄位'!AJ$1,0)-VLOOKUP($A15,'Over Under Bill 1 COPY 到CO欄位'!$1:$1048576,'Over Under Bill 1 COPY 到CO欄位'!AE$1,0)</f>
        <v>0</v>
      </c>
      <c r="AK15" s="157">
        <f t="shared" si="13"/>
        <v>0</v>
      </c>
      <c r="AL15" s="158">
        <f>VLOOKUP($A15,'Over Under Bill 1 COPY 到CO欄位'!$1:$1048576,'Over Under Bill 1 COPY 到CO欄位'!AL$1,0)-VLOOKUP($A15,'Over Under Bill 1 COPY 到CO欄位'!$1:$1048576,'Over Under Bill 1 COPY 到CO欄位'!AG$1,0)</f>
        <v>0</v>
      </c>
      <c r="AM15" s="158">
        <f>VLOOKUP($A15,'Over Under Bill 1 COPY 到CO欄位'!$1:$1048576,'Over Under Bill 1 COPY 到CO欄位'!AM$1,0)-VLOOKUP($A15,'Over Under Bill 1 COPY 到CO欄位'!$1:$1048576,'Over Under Bill 1 COPY 到CO欄位'!AH$1,0)</f>
        <v>0</v>
      </c>
      <c r="AN15" s="158">
        <f t="shared" si="14"/>
        <v>0</v>
      </c>
      <c r="AO15" s="158">
        <f>VLOOKUP($A15,'Over Under Bill 1 COPY 到CO欄位'!$1:$1048576,'Over Under Bill 1 COPY 到CO欄位'!AO$1,0)-VLOOKUP($A15,'Over Under Bill 1 COPY 到CO欄位'!$1:$1048576,'Over Under Bill 1 COPY 到CO欄位'!AJ$1,0)</f>
        <v>0</v>
      </c>
      <c r="AP15" s="158">
        <f t="shared" si="15"/>
        <v>0</v>
      </c>
      <c r="AQ15" s="157">
        <f>VLOOKUP($A15,'Over Under Bill 1 COPY 到CO欄位'!$1:$1048576,'Over Under Bill 1 COPY 到CO欄位'!AQ$1,0)-VLOOKUP($A15,'Over Under Bill 1 COPY 到CO欄位'!$1:$1048576,'Over Under Bill 1 COPY 到CO欄位'!AL$1,0)</f>
        <v>0</v>
      </c>
      <c r="AR15" s="157">
        <f>VLOOKUP($A15,'Over Under Bill 1 COPY 到CO欄位'!$1:$1048576,'Over Under Bill 1 COPY 到CO欄位'!AR$1,0)-VLOOKUP($A15,'Over Under Bill 1 COPY 到CO欄位'!$1:$1048576,'Over Under Bill 1 COPY 到CO欄位'!AM$1,0)</f>
        <v>0</v>
      </c>
      <c r="AS15" s="157">
        <f t="shared" si="16"/>
        <v>0</v>
      </c>
      <c r="AT15" s="157">
        <f>VLOOKUP($A15,'Over Under Bill 1 COPY 到CO欄位'!$1:$1048576,'Over Under Bill 1 COPY 到CO欄位'!AT$1,0)-VLOOKUP($A15,'Over Under Bill 1 COPY 到CO欄位'!$1:$1048576,'Over Under Bill 1 COPY 到CO欄位'!AO$1,0)</f>
        <v>0</v>
      </c>
      <c r="AU15" s="157">
        <f t="shared" si="17"/>
        <v>0</v>
      </c>
      <c r="AV15" s="158">
        <f>VLOOKUP($A15,'Over Under Bill 1 COPY 到CO欄位'!$1:$1048576,'Over Under Bill 1 COPY 到CO欄位'!AV$1,0)-VLOOKUP($A15,'Over Under Bill 1 COPY 到CO欄位'!$1:$1048576,'Over Under Bill 1 COPY 到CO欄位'!AQ$1,0)</f>
        <v>0</v>
      </c>
      <c r="AW15" s="158">
        <f>VLOOKUP($A15,'Over Under Bill 1 COPY 到CO欄位'!$1:$1048576,'Over Under Bill 1 COPY 到CO欄位'!AW$1,0)-VLOOKUP($A15,'Over Under Bill 1 COPY 到CO欄位'!$1:$1048576,'Over Under Bill 1 COPY 到CO欄位'!AR$1,0)</f>
        <v>0</v>
      </c>
      <c r="AX15" s="158">
        <f t="shared" si="18"/>
        <v>0</v>
      </c>
      <c r="AY15" s="158">
        <f>VLOOKUP($A15,'Over Under Bill 1 COPY 到CO欄位'!$1:$1048576,'Over Under Bill 1 COPY 到CO欄位'!AY$1,0)-VLOOKUP($A15,'Over Under Bill 1 COPY 到CO欄位'!$1:$1048576,'Over Under Bill 1 COPY 到CO欄位'!AT$1,0)</f>
        <v>0</v>
      </c>
      <c r="AZ15" s="158">
        <f t="shared" si="19"/>
        <v>0</v>
      </c>
      <c r="BA15" s="157">
        <f>VLOOKUP($A15,'Over Under Bill 1 COPY 到CO欄位'!$1:$1048576,'Over Under Bill 1 COPY 到CO欄位'!BA$1,0)-VLOOKUP($A15,'Over Under Bill 1 COPY 到CO欄位'!$1:$1048576,'Over Under Bill 1 COPY 到CO欄位'!AV$1,0)</f>
        <v>0</v>
      </c>
      <c r="BB15" s="157">
        <f>VLOOKUP($A15,'Over Under Bill 1 COPY 到CO欄位'!$1:$1048576,'Over Under Bill 1 COPY 到CO欄位'!BB$1,0)-VLOOKUP($A15,'Over Under Bill 1 COPY 到CO欄位'!$1:$1048576,'Over Under Bill 1 COPY 到CO欄位'!AW$1,0)</f>
        <v>0</v>
      </c>
      <c r="BC15" s="157">
        <f t="shared" si="20"/>
        <v>0</v>
      </c>
      <c r="BD15" s="157">
        <f>VLOOKUP($A15,'Over Under Bill 1 COPY 到CO欄位'!$1:$1048576,'Over Under Bill 1 COPY 到CO欄位'!BD$1,0)-VLOOKUP($A15,'Over Under Bill 1 COPY 到CO欄位'!$1:$1048576,'Over Under Bill 1 COPY 到CO欄位'!AY$1,0)</f>
        <v>0</v>
      </c>
      <c r="BE15" s="157">
        <f t="shared" si="21"/>
        <v>0</v>
      </c>
      <c r="BF15" s="158">
        <f>VLOOKUP($A15,'Over Under Bill 1 COPY 到CO欄位'!$1:$1048576,'Over Under Bill 1 COPY 到CO欄位'!BF$1,0)-VLOOKUP($A15,'Over Under Bill 1 COPY 到CO欄位'!$1:$1048576,'Over Under Bill 1 COPY 到CO欄位'!BA$1,0)</f>
        <v>0</v>
      </c>
      <c r="BG15" s="158">
        <f>VLOOKUP($A15,'Over Under Bill 1 COPY 到CO欄位'!$1:$1048576,'Over Under Bill 1 COPY 到CO欄位'!BG$1,0)-VLOOKUP($A15,'Over Under Bill 1 COPY 到CO欄位'!$1:$1048576,'Over Under Bill 1 COPY 到CO欄位'!BB$1,0)</f>
        <v>0</v>
      </c>
      <c r="BH15" s="158">
        <f t="shared" si="22"/>
        <v>0</v>
      </c>
      <c r="BI15" s="158">
        <f>VLOOKUP($A15,'Over Under Bill 1 COPY 到CO欄位'!$1:$1048576,'Over Under Bill 1 COPY 到CO欄位'!BI$1,0)-VLOOKUP($A15,'Over Under Bill 1 COPY 到CO欄位'!$1:$1048576,'Over Under Bill 1 COPY 到CO欄位'!BD$1,0)</f>
        <v>0</v>
      </c>
      <c r="BJ15" s="158">
        <f t="shared" si="23"/>
        <v>0</v>
      </c>
      <c r="BK15" s="157">
        <f>VLOOKUP($A15,'Over Under Bill 1 COPY 到CO欄位'!$1:$1048576,'Over Under Bill 1 COPY 到CO欄位'!BK$1,0)-VLOOKUP($A15,'Over Under Bill 1 COPY 到CO欄位'!$1:$1048576,'Over Under Bill 1 COPY 到CO欄位'!BF$1,0)</f>
        <v>0</v>
      </c>
      <c r="BL15" s="157">
        <f>VLOOKUP($A15,'Over Under Bill 1 COPY 到CO欄位'!$1:$1048576,'Over Under Bill 1 COPY 到CO欄位'!BL$1,0)-VLOOKUP($A15,'Over Under Bill 1 COPY 到CO欄位'!$1:$1048576,'Over Under Bill 1 COPY 到CO欄位'!BG$1,0)</f>
        <v>0</v>
      </c>
      <c r="BM15" s="157">
        <f t="shared" si="24"/>
        <v>0</v>
      </c>
      <c r="BN15" s="157">
        <f>VLOOKUP($A15,'Over Under Bill 1 COPY 到CO欄位'!$1:$1048576,'Over Under Bill 1 COPY 到CO欄位'!BN$1,0)-VLOOKUP($A15,'Over Under Bill 1 COPY 到CO欄位'!$1:$1048576,'Over Under Bill 1 COPY 到CO欄位'!BI$1,0)</f>
        <v>0</v>
      </c>
      <c r="BO15" s="157">
        <f t="shared" si="25"/>
        <v>0</v>
      </c>
      <c r="BP15" s="158">
        <f>VLOOKUP($A15,'Over Under Bill 1 COPY 到CO欄位'!$1:$1048576,'Over Under Bill 1 COPY 到CO欄位'!BP$1,0)-VLOOKUP($A15,'Over Under Bill 1 COPY 到CO欄位'!$1:$1048576,'Over Under Bill 1 COPY 到CO欄位'!BK$1,0)</f>
        <v>0</v>
      </c>
      <c r="BQ15" s="158">
        <f>VLOOKUP($A15,'Over Under Bill 1 COPY 到CO欄位'!$1:$1048576,'Over Under Bill 1 COPY 到CO欄位'!BQ$1,0)-VLOOKUP($A15,'Over Under Bill 1 COPY 到CO欄位'!$1:$1048576,'Over Under Bill 1 COPY 到CO欄位'!BL$1,0)</f>
        <v>0</v>
      </c>
      <c r="BR15" s="158">
        <f t="shared" si="26"/>
        <v>0</v>
      </c>
      <c r="BS15" s="158">
        <f>VLOOKUP($A15,'Over Under Bill 1 COPY 到CO欄位'!$1:$1048576,'Over Under Bill 1 COPY 到CO欄位'!BS$1,0)-VLOOKUP($A15,'Over Under Bill 1 COPY 到CO欄位'!$1:$1048576,'Over Under Bill 1 COPY 到CO欄位'!BN$1,0)</f>
        <v>0</v>
      </c>
      <c r="BT15" s="158">
        <f t="shared" si="27"/>
        <v>0</v>
      </c>
      <c r="BU15" s="157">
        <f>VLOOKUP($A15,'Over Under Bill 1 COPY 到CO欄位'!$1:$1048576,'Over Under Bill 1 COPY 到CO欄位'!BP$1,0)-VLOOKUP($A15,'Over Under Bill 1 COPY 到CO欄位'!$1:$1048576,'Over Under Bill 1 COPY 到CO欄位'!H$1,0)</f>
        <v>0</v>
      </c>
      <c r="BV15" s="157">
        <f>VLOOKUP($A15,'Over Under Bill 1 COPY 到CO欄位'!$1:$1048576,'Over Under Bill 1 COPY 到CO欄位'!BQ$1,0)-VLOOKUP($A15,'Over Under Bill 1 COPY 到CO欄位'!$1:$1048576,'Over Under Bill 1 COPY 到CO欄位'!I$1,0)</f>
        <v>0</v>
      </c>
      <c r="BW15" s="157">
        <f t="shared" si="28"/>
        <v>0</v>
      </c>
      <c r="BX15" s="157">
        <f>VLOOKUP($A15,'Over Under Bill 1 COPY 到CO欄位'!$1:$1048576,'Over Under Bill 1 COPY 到CO欄位'!BS$1,0)-VLOOKUP($A15,'Over Under Bill 1 COPY 到CO欄位'!$1:$1048576,'Over Under Bill 1 COPY 到CO欄位'!K$1,0)</f>
        <v>0</v>
      </c>
      <c r="BY15" s="157">
        <f t="shared" si="29"/>
        <v>0</v>
      </c>
      <c r="BZ15" s="158">
        <f>VLOOKUP($A15,'Over Under Bill 1 COPY 到CO欄位'!$1:$1048576,'Over Under Bill 1 COPY 到CO欄位'!BU$1,0)-VLOOKUP($A15,'Over Under Bill 1 COPY 到CO欄位'!$1:$1048576,'Over Under Bill 1 COPY 到CO欄位'!BP$1,0)</f>
        <v>0</v>
      </c>
      <c r="CA15" s="158">
        <f>VLOOKUP($A15,'Over Under Bill 1 COPY 到CO欄位'!$1:$1048576,'Over Under Bill 1 COPY 到CO欄位'!BV$1,0)-VLOOKUP($A15,'Over Under Bill 1 COPY 到CO欄位'!$1:$1048576,'Over Under Bill 1 COPY 到CO欄位'!BQ$1,0)</f>
        <v>0</v>
      </c>
      <c r="CB15" s="158">
        <f t="shared" si="30"/>
        <v>0</v>
      </c>
      <c r="CC15" s="158">
        <f>VLOOKUP($A15,'Over Under Bill 1 COPY 到CO欄位'!$1:$1048576,'Over Under Bill 1 COPY 到CO欄位'!BX$1,0)-VLOOKUP($A15,'Over Under Bill 1 COPY 到CO欄位'!$1:$1048576,'Over Under Bill 1 COPY 到CO欄位'!BS$1,0)</f>
        <v>0</v>
      </c>
      <c r="CD15" s="158">
        <f t="shared" si="31"/>
        <v>0</v>
      </c>
      <c r="CE15" s="157">
        <f>VLOOKUP($A15,'Over Under Bill 1 COPY 到CO欄位'!$1:$1048576,'Over Under Bill 1 COPY 到CO欄位'!BZ$1,0)-VLOOKUP($A15,'Over Under Bill 1 COPY 到CO欄位'!$1:$1048576,'Over Under Bill 1 COPY 到CO欄位'!BU$1,0)</f>
        <v>0</v>
      </c>
      <c r="CF15" s="157">
        <f>VLOOKUP($A15,'Over Under Bill 1 COPY 到CO欄位'!$1:$1048576,'Over Under Bill 1 COPY 到CO欄位'!CA$1,0)-VLOOKUP($A15,'Over Under Bill 1 COPY 到CO欄位'!$1:$1048576,'Over Under Bill 1 COPY 到CO欄位'!BV$1,0)</f>
        <v>0</v>
      </c>
      <c r="CG15" s="157">
        <f t="shared" si="32"/>
        <v>0</v>
      </c>
      <c r="CH15" s="157">
        <f>VLOOKUP($A15,'Over Under Bill 1 COPY 到CO欄位'!$1:$1048576,'Over Under Bill 1 COPY 到CO欄位'!CC$1,0)-VLOOKUP($A15,'Over Under Bill 1 COPY 到CO欄位'!$1:$1048576,'Over Under Bill 1 COPY 到CO欄位'!BX$1,0)</f>
        <v>0</v>
      </c>
      <c r="CI15" s="157">
        <f t="shared" si="33"/>
        <v>0</v>
      </c>
      <c r="CJ15" s="158">
        <f>VLOOKUP($A15,'Over Under Bill 1 COPY 到CO欄位'!$1:$1048576,'Over Under Bill 1 COPY 到CO欄位'!CE$1,0)-VLOOKUP($A15,'Over Under Bill 1 COPY 到CO欄位'!$1:$1048576,'Over Under Bill 1 COPY 到CO欄位'!BZ$1,0)</f>
        <v>0</v>
      </c>
      <c r="CK15" s="158">
        <f>VLOOKUP($A15,'Over Under Bill 1 COPY 到CO欄位'!$1:$1048576,'Over Under Bill 1 COPY 到CO欄位'!CF$1,0)-VLOOKUP($A15,'Over Under Bill 1 COPY 到CO欄位'!$1:$1048576,'Over Under Bill 1 COPY 到CO欄位'!CA$1,0)</f>
        <v>0</v>
      </c>
      <c r="CL15" s="158">
        <f t="shared" si="34"/>
        <v>0</v>
      </c>
      <c r="CM15" s="158">
        <f>VLOOKUP($A15,'Over Under Bill 1 COPY 到CO欄位'!$1:$1048576,'Over Under Bill 1 COPY 到CO欄位'!CH$1,0)-VLOOKUP($A15,'Over Under Bill 1 COPY 到CO欄位'!$1:$1048576,'Over Under Bill 1 COPY 到CO欄位'!CC$1,0)</f>
        <v>0</v>
      </c>
      <c r="CN15" s="158">
        <f t="shared" si="35"/>
        <v>0</v>
      </c>
      <c r="CO15" s="157">
        <f>VLOOKUP($A15,'Over Under Bill 1 COPY 到CO欄位'!$1:$1048576,'Over Under Bill 1 COPY 到CO欄位'!CJ$1,0)-VLOOKUP($A15,'Over Under Bill 1 COPY 到CO欄位'!$1:$1048576,'Over Under Bill 1 COPY 到CO欄位'!CE$1,0)</f>
        <v>0</v>
      </c>
      <c r="CP15" s="157">
        <f>VLOOKUP($A15,'Over Under Bill 1 COPY 到CO欄位'!$1:$1048576,'Over Under Bill 1 COPY 到CO欄位'!CK$1,0)-VLOOKUP($A15,'Over Under Bill 1 COPY 到CO欄位'!$1:$1048576,'Over Under Bill 1 COPY 到CO欄位'!CF$1,0)</f>
        <v>0</v>
      </c>
      <c r="CQ15" s="157">
        <f t="shared" si="36"/>
        <v>0</v>
      </c>
      <c r="CR15" s="157">
        <f>VLOOKUP($A15,'Over Under Bill 1 COPY 到CO欄位'!$1:$1048576,'Over Under Bill 1 COPY 到CO欄位'!CM$1,0)-VLOOKUP($A15,'Over Under Bill 1 COPY 到CO欄位'!$1:$1048576,'Over Under Bill 1 COPY 到CO欄位'!CH$1,0)</f>
        <v>0</v>
      </c>
      <c r="CS15" s="157">
        <f t="shared" si="37"/>
        <v>0</v>
      </c>
    </row>
    <row r="16" spans="1:99">
      <c r="A16" s="155" t="s">
        <v>329</v>
      </c>
      <c r="B16" s="156" t="s">
        <v>330</v>
      </c>
      <c r="C16" s="157">
        <f>IFERROR(VLOOKUP($A16,'A0 BS 1240在建'!$1:$1048576,5,0),0)</f>
        <v>0</v>
      </c>
      <c r="D16" s="157">
        <f>IFERROR(VLOOKUP($A16,'B0 2264預收'!$1:$1048576,5,0),0)</f>
        <v>0</v>
      </c>
      <c r="E16" s="157">
        <f t="shared" si="0"/>
        <v>0</v>
      </c>
      <c r="F16" s="157">
        <f>IFERROR(VLOOKUP($A16,'B0 2264預收'!$1:$1048576,6,0),0)</f>
        <v>0</v>
      </c>
      <c r="G16" s="157">
        <f t="shared" si="1"/>
        <v>0</v>
      </c>
      <c r="H16" s="158">
        <f>IFERROR(VLOOKUP($A16,'A0 BS 1240在建'!$1:$1048576,13,0),0)-C16</f>
        <v>0</v>
      </c>
      <c r="I16" s="158">
        <f>IFERROR(VLOOKUP($A16,'B0 2264預收'!$1:$1048576,13,0),0)-D16</f>
        <v>0</v>
      </c>
      <c r="J16" s="158">
        <f t="shared" si="2"/>
        <v>0</v>
      </c>
      <c r="K16" s="158">
        <f>IFERROR(VLOOKUP($A16,'B0 2264預收'!$1:$1048576,14,0),0)-F16</f>
        <v>0</v>
      </c>
      <c r="L16" s="158">
        <f t="shared" si="3"/>
        <v>0</v>
      </c>
      <c r="M16" s="157">
        <f>VLOOKUP($A16,'Over Under Bill 1 COPY 到CO欄位'!$1:$1048576,'Over Under Bill 1 COPY 到CO欄位'!M$1,0)-VLOOKUP($A16,'Over Under Bill 1 COPY 到CO欄位'!$1:$1048576,'Over Under Bill 1 COPY 到CO欄位'!H$1,0)</f>
        <v>0</v>
      </c>
      <c r="N16" s="157">
        <f>VLOOKUP($A16,'Over Under Bill 1 COPY 到CO欄位'!$1:$1048576,'Over Under Bill 1 COPY 到CO欄位'!N$1,0)-VLOOKUP($A16,'Over Under Bill 1 COPY 到CO欄位'!$1:$1048576,'Over Under Bill 1 COPY 到CO欄位'!I$1,0)</f>
        <v>0</v>
      </c>
      <c r="O16" s="157">
        <f t="shared" si="4"/>
        <v>0</v>
      </c>
      <c r="P16" s="157">
        <f>VLOOKUP($A16,'Over Under Bill 1 COPY 到CO欄位'!$1:$1048576,'Over Under Bill 1 COPY 到CO欄位'!P$1,0)-VLOOKUP($A16,'Over Under Bill 1 COPY 到CO欄位'!$1:$1048576,'Over Under Bill 1 COPY 到CO欄位'!K$1,0)</f>
        <v>0</v>
      </c>
      <c r="Q16" s="157">
        <f t="shared" si="5"/>
        <v>0</v>
      </c>
      <c r="R16" s="158">
        <f>VLOOKUP($A16,'Over Under Bill 1 COPY 到CO欄位'!$1:$1048576,'Over Under Bill 1 COPY 到CO欄位'!R$1,0)-VLOOKUP($A16,'Over Under Bill 1 COPY 到CO欄位'!$1:$1048576,'Over Under Bill 1 COPY 到CO欄位'!M$1,0)</f>
        <v>0</v>
      </c>
      <c r="S16" s="158">
        <f>VLOOKUP($A16,'Over Under Bill 1 COPY 到CO欄位'!$1:$1048576,'Over Under Bill 1 COPY 到CO欄位'!S$1,0)-VLOOKUP($A16,'Over Under Bill 1 COPY 到CO欄位'!$1:$1048576,'Over Under Bill 1 COPY 到CO欄位'!N$1,0)</f>
        <v>0</v>
      </c>
      <c r="T16" s="158">
        <f t="shared" si="6"/>
        <v>0</v>
      </c>
      <c r="U16" s="158">
        <f>VLOOKUP($A16,'Over Under Bill 1 COPY 到CO欄位'!$1:$1048576,'Over Under Bill 1 COPY 到CO欄位'!U$1,0)-VLOOKUP($A16,'Over Under Bill 1 COPY 到CO欄位'!$1:$1048576,'Over Under Bill 1 COPY 到CO欄位'!P$1,0)</f>
        <v>0</v>
      </c>
      <c r="V16" s="158">
        <f t="shared" si="7"/>
        <v>0</v>
      </c>
      <c r="W16" s="157">
        <f>VLOOKUP($A16,'Over Under Bill 1 COPY 到CO欄位'!$1:$1048576,'Over Under Bill 1 COPY 到CO欄位'!W$1,0)-VLOOKUP($A16,'Over Under Bill 1 COPY 到CO欄位'!$1:$1048576,'Over Under Bill 1 COPY 到CO欄位'!R$1,0)</f>
        <v>0</v>
      </c>
      <c r="X16" s="157">
        <f>VLOOKUP($A16,'Over Under Bill 1 COPY 到CO欄位'!$1:$1048576,'Over Under Bill 1 COPY 到CO欄位'!X$1,0)-VLOOKUP($A16,'Over Under Bill 1 COPY 到CO欄位'!$1:$1048576,'Over Under Bill 1 COPY 到CO欄位'!S$1,0)</f>
        <v>0</v>
      </c>
      <c r="Y16" s="157">
        <f t="shared" si="8"/>
        <v>0</v>
      </c>
      <c r="Z16" s="157">
        <f>VLOOKUP($A16,'Over Under Bill 1 COPY 到CO欄位'!$1:$1048576,'Over Under Bill 1 COPY 到CO欄位'!Z$1,0)-VLOOKUP($A16,'Over Under Bill 1 COPY 到CO欄位'!$1:$1048576,'Over Under Bill 1 COPY 到CO欄位'!U$1,0)</f>
        <v>0</v>
      </c>
      <c r="AA16" s="157">
        <f t="shared" si="9"/>
        <v>0</v>
      </c>
      <c r="AB16" s="158">
        <f>VLOOKUP($A16,'Over Under Bill 1 COPY 到CO欄位'!$1:$1048576,'Over Under Bill 1 COPY 到CO欄位'!AB$1,0)-VLOOKUP($A16,'Over Under Bill 1 COPY 到CO欄位'!$1:$1048576,'Over Under Bill 1 COPY 到CO欄位'!W$1,0)</f>
        <v>0</v>
      </c>
      <c r="AC16" s="158">
        <f>VLOOKUP($A16,'Over Under Bill 1 COPY 到CO欄位'!$1:$1048576,'Over Under Bill 1 COPY 到CO欄位'!AC$1,0)-VLOOKUP($A16,'Over Under Bill 1 COPY 到CO欄位'!$1:$1048576,'Over Under Bill 1 COPY 到CO欄位'!X$1,0)</f>
        <v>0</v>
      </c>
      <c r="AD16" s="158">
        <f t="shared" si="10"/>
        <v>0</v>
      </c>
      <c r="AE16" s="158">
        <f>VLOOKUP($A16,'Over Under Bill 1 COPY 到CO欄位'!$1:$1048576,'Over Under Bill 1 COPY 到CO欄位'!AE$1,0)-VLOOKUP($A16,'Over Under Bill 1 COPY 到CO欄位'!$1:$1048576,'Over Under Bill 1 COPY 到CO欄位'!Z$1,0)</f>
        <v>0</v>
      </c>
      <c r="AF16" s="158">
        <f t="shared" si="11"/>
        <v>0</v>
      </c>
      <c r="AG16" s="157">
        <f>VLOOKUP($A16,'Over Under Bill 1 COPY 到CO欄位'!$1:$1048576,'Over Under Bill 1 COPY 到CO欄位'!AG$1,0)-VLOOKUP($A16,'Over Under Bill 1 COPY 到CO欄位'!$1:$1048576,'Over Under Bill 1 COPY 到CO欄位'!AB$1,0)</f>
        <v>0</v>
      </c>
      <c r="AH16" s="157">
        <f>VLOOKUP($A16,'Over Under Bill 1 COPY 到CO欄位'!$1:$1048576,'Over Under Bill 1 COPY 到CO欄位'!AH$1,0)-VLOOKUP($A16,'Over Under Bill 1 COPY 到CO欄位'!$1:$1048576,'Over Under Bill 1 COPY 到CO欄位'!AC$1,0)</f>
        <v>0</v>
      </c>
      <c r="AI16" s="157">
        <f t="shared" si="12"/>
        <v>0</v>
      </c>
      <c r="AJ16" s="157">
        <f>VLOOKUP($A16,'Over Under Bill 1 COPY 到CO欄位'!$1:$1048576,'Over Under Bill 1 COPY 到CO欄位'!AJ$1,0)-VLOOKUP($A16,'Over Under Bill 1 COPY 到CO欄位'!$1:$1048576,'Over Under Bill 1 COPY 到CO欄位'!AE$1,0)</f>
        <v>0</v>
      </c>
      <c r="AK16" s="157">
        <f t="shared" si="13"/>
        <v>0</v>
      </c>
      <c r="AL16" s="158">
        <f>VLOOKUP($A16,'Over Under Bill 1 COPY 到CO欄位'!$1:$1048576,'Over Under Bill 1 COPY 到CO欄位'!AL$1,0)-VLOOKUP($A16,'Over Under Bill 1 COPY 到CO欄位'!$1:$1048576,'Over Under Bill 1 COPY 到CO欄位'!AG$1,0)</f>
        <v>0</v>
      </c>
      <c r="AM16" s="158">
        <f>VLOOKUP($A16,'Over Under Bill 1 COPY 到CO欄位'!$1:$1048576,'Over Under Bill 1 COPY 到CO欄位'!AM$1,0)-VLOOKUP($A16,'Over Under Bill 1 COPY 到CO欄位'!$1:$1048576,'Over Under Bill 1 COPY 到CO欄位'!AH$1,0)</f>
        <v>0</v>
      </c>
      <c r="AN16" s="158">
        <f t="shared" si="14"/>
        <v>0</v>
      </c>
      <c r="AO16" s="158">
        <f>VLOOKUP($A16,'Over Under Bill 1 COPY 到CO欄位'!$1:$1048576,'Over Under Bill 1 COPY 到CO欄位'!AO$1,0)-VLOOKUP($A16,'Over Under Bill 1 COPY 到CO欄位'!$1:$1048576,'Over Under Bill 1 COPY 到CO欄位'!AJ$1,0)</f>
        <v>0</v>
      </c>
      <c r="AP16" s="158">
        <f t="shared" si="15"/>
        <v>0</v>
      </c>
      <c r="AQ16" s="157">
        <f>VLOOKUP($A16,'Over Under Bill 1 COPY 到CO欄位'!$1:$1048576,'Over Under Bill 1 COPY 到CO欄位'!AQ$1,0)-VLOOKUP($A16,'Over Under Bill 1 COPY 到CO欄位'!$1:$1048576,'Over Under Bill 1 COPY 到CO欄位'!AL$1,0)</f>
        <v>0</v>
      </c>
      <c r="AR16" s="157">
        <f>VLOOKUP($A16,'Over Under Bill 1 COPY 到CO欄位'!$1:$1048576,'Over Under Bill 1 COPY 到CO欄位'!AR$1,0)-VLOOKUP($A16,'Over Under Bill 1 COPY 到CO欄位'!$1:$1048576,'Over Under Bill 1 COPY 到CO欄位'!AM$1,0)</f>
        <v>0</v>
      </c>
      <c r="AS16" s="157">
        <f t="shared" si="16"/>
        <v>0</v>
      </c>
      <c r="AT16" s="157">
        <f>VLOOKUP($A16,'Over Under Bill 1 COPY 到CO欄位'!$1:$1048576,'Over Under Bill 1 COPY 到CO欄位'!AT$1,0)-VLOOKUP($A16,'Over Under Bill 1 COPY 到CO欄位'!$1:$1048576,'Over Under Bill 1 COPY 到CO欄位'!AO$1,0)</f>
        <v>0</v>
      </c>
      <c r="AU16" s="157">
        <f t="shared" si="17"/>
        <v>0</v>
      </c>
      <c r="AV16" s="158">
        <f>VLOOKUP($A16,'Over Under Bill 1 COPY 到CO欄位'!$1:$1048576,'Over Under Bill 1 COPY 到CO欄位'!AV$1,0)-VLOOKUP($A16,'Over Under Bill 1 COPY 到CO欄位'!$1:$1048576,'Over Under Bill 1 COPY 到CO欄位'!AQ$1,0)</f>
        <v>0</v>
      </c>
      <c r="AW16" s="158">
        <f>VLOOKUP($A16,'Over Under Bill 1 COPY 到CO欄位'!$1:$1048576,'Over Under Bill 1 COPY 到CO欄位'!AW$1,0)-VLOOKUP($A16,'Over Under Bill 1 COPY 到CO欄位'!$1:$1048576,'Over Under Bill 1 COPY 到CO欄位'!AR$1,0)</f>
        <v>0</v>
      </c>
      <c r="AX16" s="158">
        <f t="shared" si="18"/>
        <v>0</v>
      </c>
      <c r="AY16" s="158">
        <f>VLOOKUP($A16,'Over Under Bill 1 COPY 到CO欄位'!$1:$1048576,'Over Under Bill 1 COPY 到CO欄位'!AY$1,0)-VLOOKUP($A16,'Over Under Bill 1 COPY 到CO欄位'!$1:$1048576,'Over Under Bill 1 COPY 到CO欄位'!AT$1,0)</f>
        <v>0</v>
      </c>
      <c r="AZ16" s="158">
        <f t="shared" si="19"/>
        <v>0</v>
      </c>
      <c r="BA16" s="157">
        <f>VLOOKUP($A16,'Over Under Bill 1 COPY 到CO欄位'!$1:$1048576,'Over Under Bill 1 COPY 到CO欄位'!BA$1,0)-VLOOKUP($A16,'Over Under Bill 1 COPY 到CO欄位'!$1:$1048576,'Over Under Bill 1 COPY 到CO欄位'!AV$1,0)</f>
        <v>0</v>
      </c>
      <c r="BB16" s="157">
        <f>VLOOKUP($A16,'Over Under Bill 1 COPY 到CO欄位'!$1:$1048576,'Over Under Bill 1 COPY 到CO欄位'!BB$1,0)-VLOOKUP($A16,'Over Under Bill 1 COPY 到CO欄位'!$1:$1048576,'Over Under Bill 1 COPY 到CO欄位'!AW$1,0)</f>
        <v>0</v>
      </c>
      <c r="BC16" s="157">
        <f t="shared" si="20"/>
        <v>0</v>
      </c>
      <c r="BD16" s="157">
        <f>VLOOKUP($A16,'Over Under Bill 1 COPY 到CO欄位'!$1:$1048576,'Over Under Bill 1 COPY 到CO欄位'!BD$1,0)-VLOOKUP($A16,'Over Under Bill 1 COPY 到CO欄位'!$1:$1048576,'Over Under Bill 1 COPY 到CO欄位'!AY$1,0)</f>
        <v>0</v>
      </c>
      <c r="BE16" s="157">
        <f t="shared" si="21"/>
        <v>0</v>
      </c>
      <c r="BF16" s="158">
        <f>VLOOKUP($A16,'Over Under Bill 1 COPY 到CO欄位'!$1:$1048576,'Over Under Bill 1 COPY 到CO欄位'!BF$1,0)-VLOOKUP($A16,'Over Under Bill 1 COPY 到CO欄位'!$1:$1048576,'Over Under Bill 1 COPY 到CO欄位'!BA$1,0)</f>
        <v>0</v>
      </c>
      <c r="BG16" s="158">
        <f>VLOOKUP($A16,'Over Under Bill 1 COPY 到CO欄位'!$1:$1048576,'Over Under Bill 1 COPY 到CO欄位'!BG$1,0)-VLOOKUP($A16,'Over Under Bill 1 COPY 到CO欄位'!$1:$1048576,'Over Under Bill 1 COPY 到CO欄位'!BB$1,0)</f>
        <v>0</v>
      </c>
      <c r="BH16" s="158">
        <f t="shared" si="22"/>
        <v>0</v>
      </c>
      <c r="BI16" s="158">
        <f>VLOOKUP($A16,'Over Under Bill 1 COPY 到CO欄位'!$1:$1048576,'Over Under Bill 1 COPY 到CO欄位'!BI$1,0)-VLOOKUP($A16,'Over Under Bill 1 COPY 到CO欄位'!$1:$1048576,'Over Under Bill 1 COPY 到CO欄位'!BD$1,0)</f>
        <v>0</v>
      </c>
      <c r="BJ16" s="158">
        <f t="shared" si="23"/>
        <v>0</v>
      </c>
      <c r="BK16" s="157">
        <f>VLOOKUP($A16,'Over Under Bill 1 COPY 到CO欄位'!$1:$1048576,'Over Under Bill 1 COPY 到CO欄位'!BK$1,0)-VLOOKUP($A16,'Over Under Bill 1 COPY 到CO欄位'!$1:$1048576,'Over Under Bill 1 COPY 到CO欄位'!BF$1,0)</f>
        <v>0</v>
      </c>
      <c r="BL16" s="157">
        <f>VLOOKUP($A16,'Over Under Bill 1 COPY 到CO欄位'!$1:$1048576,'Over Under Bill 1 COPY 到CO欄位'!BL$1,0)-VLOOKUP($A16,'Over Under Bill 1 COPY 到CO欄位'!$1:$1048576,'Over Under Bill 1 COPY 到CO欄位'!BG$1,0)</f>
        <v>0</v>
      </c>
      <c r="BM16" s="157">
        <f t="shared" si="24"/>
        <v>0</v>
      </c>
      <c r="BN16" s="157">
        <f>VLOOKUP($A16,'Over Under Bill 1 COPY 到CO欄位'!$1:$1048576,'Over Under Bill 1 COPY 到CO欄位'!BN$1,0)-VLOOKUP($A16,'Over Under Bill 1 COPY 到CO欄位'!$1:$1048576,'Over Under Bill 1 COPY 到CO欄位'!BI$1,0)</f>
        <v>0</v>
      </c>
      <c r="BO16" s="157">
        <f t="shared" si="25"/>
        <v>0</v>
      </c>
      <c r="BP16" s="158">
        <f>VLOOKUP($A16,'Over Under Bill 1 COPY 到CO欄位'!$1:$1048576,'Over Under Bill 1 COPY 到CO欄位'!BP$1,0)-VLOOKUP($A16,'Over Under Bill 1 COPY 到CO欄位'!$1:$1048576,'Over Under Bill 1 COPY 到CO欄位'!BK$1,0)</f>
        <v>0</v>
      </c>
      <c r="BQ16" s="158">
        <f>VLOOKUP($A16,'Over Under Bill 1 COPY 到CO欄位'!$1:$1048576,'Over Under Bill 1 COPY 到CO欄位'!BQ$1,0)-VLOOKUP($A16,'Over Under Bill 1 COPY 到CO欄位'!$1:$1048576,'Over Under Bill 1 COPY 到CO欄位'!BL$1,0)</f>
        <v>0</v>
      </c>
      <c r="BR16" s="158">
        <f t="shared" si="26"/>
        <v>0</v>
      </c>
      <c r="BS16" s="158">
        <f>VLOOKUP($A16,'Over Under Bill 1 COPY 到CO欄位'!$1:$1048576,'Over Under Bill 1 COPY 到CO欄位'!BS$1,0)-VLOOKUP($A16,'Over Under Bill 1 COPY 到CO欄位'!$1:$1048576,'Over Under Bill 1 COPY 到CO欄位'!BN$1,0)</f>
        <v>0</v>
      </c>
      <c r="BT16" s="158">
        <f t="shared" si="27"/>
        <v>0</v>
      </c>
      <c r="BU16" s="157">
        <f>VLOOKUP($A16,'Over Under Bill 1 COPY 到CO欄位'!$1:$1048576,'Over Under Bill 1 COPY 到CO欄位'!BP$1,0)-VLOOKUP($A16,'Over Under Bill 1 COPY 到CO欄位'!$1:$1048576,'Over Under Bill 1 COPY 到CO欄位'!H$1,0)</f>
        <v>0</v>
      </c>
      <c r="BV16" s="157">
        <f>VLOOKUP($A16,'Over Under Bill 1 COPY 到CO欄位'!$1:$1048576,'Over Under Bill 1 COPY 到CO欄位'!BQ$1,0)-VLOOKUP($A16,'Over Under Bill 1 COPY 到CO欄位'!$1:$1048576,'Over Under Bill 1 COPY 到CO欄位'!I$1,0)</f>
        <v>0</v>
      </c>
      <c r="BW16" s="157">
        <f t="shared" si="28"/>
        <v>0</v>
      </c>
      <c r="BX16" s="157">
        <f>VLOOKUP($A16,'Over Under Bill 1 COPY 到CO欄位'!$1:$1048576,'Over Under Bill 1 COPY 到CO欄位'!BS$1,0)-VLOOKUP($A16,'Over Under Bill 1 COPY 到CO欄位'!$1:$1048576,'Over Under Bill 1 COPY 到CO欄位'!K$1,0)</f>
        <v>0</v>
      </c>
      <c r="BY16" s="157">
        <f t="shared" si="29"/>
        <v>0</v>
      </c>
      <c r="BZ16" s="158">
        <f>VLOOKUP($A16,'Over Under Bill 1 COPY 到CO欄位'!$1:$1048576,'Over Under Bill 1 COPY 到CO欄位'!BU$1,0)-VLOOKUP($A16,'Over Under Bill 1 COPY 到CO欄位'!$1:$1048576,'Over Under Bill 1 COPY 到CO欄位'!BP$1,0)</f>
        <v>0</v>
      </c>
      <c r="CA16" s="158">
        <f>VLOOKUP($A16,'Over Under Bill 1 COPY 到CO欄位'!$1:$1048576,'Over Under Bill 1 COPY 到CO欄位'!BV$1,0)-VLOOKUP($A16,'Over Under Bill 1 COPY 到CO欄位'!$1:$1048576,'Over Under Bill 1 COPY 到CO欄位'!BQ$1,0)</f>
        <v>0</v>
      </c>
      <c r="CB16" s="158">
        <f t="shared" si="30"/>
        <v>0</v>
      </c>
      <c r="CC16" s="158">
        <f>VLOOKUP($A16,'Over Under Bill 1 COPY 到CO欄位'!$1:$1048576,'Over Under Bill 1 COPY 到CO欄位'!BX$1,0)-VLOOKUP($A16,'Over Under Bill 1 COPY 到CO欄位'!$1:$1048576,'Over Under Bill 1 COPY 到CO欄位'!BS$1,0)</f>
        <v>0</v>
      </c>
      <c r="CD16" s="158">
        <f t="shared" si="31"/>
        <v>0</v>
      </c>
      <c r="CE16" s="157">
        <f>VLOOKUP($A16,'Over Under Bill 1 COPY 到CO欄位'!$1:$1048576,'Over Under Bill 1 COPY 到CO欄位'!BZ$1,0)-VLOOKUP($A16,'Over Under Bill 1 COPY 到CO欄位'!$1:$1048576,'Over Under Bill 1 COPY 到CO欄位'!BU$1,0)</f>
        <v>0</v>
      </c>
      <c r="CF16" s="157">
        <f>VLOOKUP($A16,'Over Under Bill 1 COPY 到CO欄位'!$1:$1048576,'Over Under Bill 1 COPY 到CO欄位'!CA$1,0)-VLOOKUP($A16,'Over Under Bill 1 COPY 到CO欄位'!$1:$1048576,'Over Under Bill 1 COPY 到CO欄位'!BV$1,0)</f>
        <v>0</v>
      </c>
      <c r="CG16" s="157">
        <f t="shared" si="32"/>
        <v>0</v>
      </c>
      <c r="CH16" s="157">
        <f>VLOOKUP($A16,'Over Under Bill 1 COPY 到CO欄位'!$1:$1048576,'Over Under Bill 1 COPY 到CO欄位'!CC$1,0)-VLOOKUP($A16,'Over Under Bill 1 COPY 到CO欄位'!$1:$1048576,'Over Under Bill 1 COPY 到CO欄位'!BX$1,0)</f>
        <v>0</v>
      </c>
      <c r="CI16" s="157">
        <f t="shared" si="33"/>
        <v>0</v>
      </c>
      <c r="CJ16" s="158">
        <f>VLOOKUP($A16,'Over Under Bill 1 COPY 到CO欄位'!$1:$1048576,'Over Under Bill 1 COPY 到CO欄位'!CE$1,0)-VLOOKUP($A16,'Over Under Bill 1 COPY 到CO欄位'!$1:$1048576,'Over Under Bill 1 COPY 到CO欄位'!BZ$1,0)</f>
        <v>0</v>
      </c>
      <c r="CK16" s="158">
        <f>VLOOKUP($A16,'Over Under Bill 1 COPY 到CO欄位'!$1:$1048576,'Over Under Bill 1 COPY 到CO欄位'!CF$1,0)-VLOOKUP($A16,'Over Under Bill 1 COPY 到CO欄位'!$1:$1048576,'Over Under Bill 1 COPY 到CO欄位'!CA$1,0)</f>
        <v>0</v>
      </c>
      <c r="CL16" s="158">
        <f t="shared" si="34"/>
        <v>0</v>
      </c>
      <c r="CM16" s="158">
        <f>VLOOKUP($A16,'Over Under Bill 1 COPY 到CO欄位'!$1:$1048576,'Over Under Bill 1 COPY 到CO欄位'!CH$1,0)-VLOOKUP($A16,'Over Under Bill 1 COPY 到CO欄位'!$1:$1048576,'Over Under Bill 1 COPY 到CO欄位'!CC$1,0)</f>
        <v>0</v>
      </c>
      <c r="CN16" s="158">
        <f t="shared" si="35"/>
        <v>0</v>
      </c>
      <c r="CO16" s="157">
        <f>VLOOKUP($A16,'Over Under Bill 1 COPY 到CO欄位'!$1:$1048576,'Over Under Bill 1 COPY 到CO欄位'!CJ$1,0)-VLOOKUP($A16,'Over Under Bill 1 COPY 到CO欄位'!$1:$1048576,'Over Under Bill 1 COPY 到CO欄位'!CE$1,0)</f>
        <v>0</v>
      </c>
      <c r="CP16" s="157">
        <f>VLOOKUP($A16,'Over Under Bill 1 COPY 到CO欄位'!$1:$1048576,'Over Under Bill 1 COPY 到CO欄位'!CK$1,0)-VLOOKUP($A16,'Over Under Bill 1 COPY 到CO欄位'!$1:$1048576,'Over Under Bill 1 COPY 到CO欄位'!CF$1,0)</f>
        <v>0</v>
      </c>
      <c r="CQ16" s="157">
        <f t="shared" si="36"/>
        <v>0</v>
      </c>
      <c r="CR16" s="157">
        <f>VLOOKUP($A16,'Over Under Bill 1 COPY 到CO欄位'!$1:$1048576,'Over Under Bill 1 COPY 到CO欄位'!CM$1,0)-VLOOKUP($A16,'Over Under Bill 1 COPY 到CO欄位'!$1:$1048576,'Over Under Bill 1 COPY 到CO欄位'!CH$1,0)</f>
        <v>0</v>
      </c>
      <c r="CS16" s="157">
        <f t="shared" si="37"/>
        <v>0</v>
      </c>
    </row>
    <row r="17" spans="1:97">
      <c r="A17" s="155" t="s">
        <v>331</v>
      </c>
      <c r="B17" s="168" t="s">
        <v>332</v>
      </c>
      <c r="C17" s="157">
        <f>IFERROR(VLOOKUP($A17,'A0 BS 1240在建'!$1:$1048576,5,0),0)</f>
        <v>0</v>
      </c>
      <c r="D17" s="157">
        <f>IFERROR(VLOOKUP($A17,'B0 2264預收'!$1:$1048576,5,0),0)</f>
        <v>0</v>
      </c>
      <c r="E17" s="157">
        <f t="shared" si="0"/>
        <v>0</v>
      </c>
      <c r="F17" s="157">
        <f>IFERROR(VLOOKUP($A17,'B0 2264預收'!$1:$1048576,6,0),0)</f>
        <v>0</v>
      </c>
      <c r="G17" s="157">
        <f t="shared" si="1"/>
        <v>0</v>
      </c>
      <c r="H17" s="158">
        <f>IFERROR(VLOOKUP($A17,'A0 BS 1240在建'!$1:$1048576,13,0),0)-C17</f>
        <v>0</v>
      </c>
      <c r="I17" s="158">
        <f>IFERROR(VLOOKUP($A17,'B0 2264預收'!$1:$1048576,13,0),0)-D17</f>
        <v>0</v>
      </c>
      <c r="J17" s="158">
        <f t="shared" si="2"/>
        <v>0</v>
      </c>
      <c r="K17" s="158">
        <f>IFERROR(VLOOKUP($A17,'B0 2264預收'!$1:$1048576,14,0),0)-F17</f>
        <v>0</v>
      </c>
      <c r="L17" s="158">
        <f t="shared" si="3"/>
        <v>0</v>
      </c>
      <c r="M17" s="157">
        <f>VLOOKUP($A17,'Over Under Bill 1 COPY 到CO欄位'!$1:$1048576,'Over Under Bill 1 COPY 到CO欄位'!M$1,0)-VLOOKUP($A17,'Over Under Bill 1 COPY 到CO欄位'!$1:$1048576,'Over Under Bill 1 COPY 到CO欄位'!H$1,0)</f>
        <v>0</v>
      </c>
      <c r="N17" s="157">
        <f>VLOOKUP($A17,'Over Under Bill 1 COPY 到CO欄位'!$1:$1048576,'Over Under Bill 1 COPY 到CO欄位'!N$1,0)-VLOOKUP($A17,'Over Under Bill 1 COPY 到CO欄位'!$1:$1048576,'Over Under Bill 1 COPY 到CO欄位'!I$1,0)</f>
        <v>0</v>
      </c>
      <c r="O17" s="157">
        <f t="shared" si="4"/>
        <v>0</v>
      </c>
      <c r="P17" s="157">
        <f>VLOOKUP($A17,'Over Under Bill 1 COPY 到CO欄位'!$1:$1048576,'Over Under Bill 1 COPY 到CO欄位'!P$1,0)-VLOOKUP($A17,'Over Under Bill 1 COPY 到CO欄位'!$1:$1048576,'Over Under Bill 1 COPY 到CO欄位'!K$1,0)</f>
        <v>0</v>
      </c>
      <c r="Q17" s="157">
        <f t="shared" si="5"/>
        <v>0</v>
      </c>
      <c r="R17" s="158">
        <f>VLOOKUP($A17,'Over Under Bill 1 COPY 到CO欄位'!$1:$1048576,'Over Under Bill 1 COPY 到CO欄位'!R$1,0)-VLOOKUP($A17,'Over Under Bill 1 COPY 到CO欄位'!$1:$1048576,'Over Under Bill 1 COPY 到CO欄位'!M$1,0)</f>
        <v>0</v>
      </c>
      <c r="S17" s="158">
        <f>VLOOKUP($A17,'Over Under Bill 1 COPY 到CO欄位'!$1:$1048576,'Over Under Bill 1 COPY 到CO欄位'!S$1,0)-VLOOKUP($A17,'Over Under Bill 1 COPY 到CO欄位'!$1:$1048576,'Over Under Bill 1 COPY 到CO欄位'!N$1,0)</f>
        <v>0</v>
      </c>
      <c r="T17" s="158">
        <f t="shared" si="6"/>
        <v>0</v>
      </c>
      <c r="U17" s="158">
        <f>VLOOKUP($A17,'Over Under Bill 1 COPY 到CO欄位'!$1:$1048576,'Over Under Bill 1 COPY 到CO欄位'!U$1,0)-VLOOKUP($A17,'Over Under Bill 1 COPY 到CO欄位'!$1:$1048576,'Over Under Bill 1 COPY 到CO欄位'!P$1,0)</f>
        <v>0</v>
      </c>
      <c r="V17" s="158">
        <f t="shared" si="7"/>
        <v>0</v>
      </c>
      <c r="W17" s="157">
        <f>VLOOKUP($A17,'Over Under Bill 1 COPY 到CO欄位'!$1:$1048576,'Over Under Bill 1 COPY 到CO欄位'!W$1,0)-VLOOKUP($A17,'Over Under Bill 1 COPY 到CO欄位'!$1:$1048576,'Over Under Bill 1 COPY 到CO欄位'!R$1,0)</f>
        <v>0</v>
      </c>
      <c r="X17" s="157">
        <f>VLOOKUP($A17,'Over Under Bill 1 COPY 到CO欄位'!$1:$1048576,'Over Under Bill 1 COPY 到CO欄位'!X$1,0)-VLOOKUP($A17,'Over Under Bill 1 COPY 到CO欄位'!$1:$1048576,'Over Under Bill 1 COPY 到CO欄位'!S$1,0)</f>
        <v>0</v>
      </c>
      <c r="Y17" s="157">
        <f t="shared" si="8"/>
        <v>0</v>
      </c>
      <c r="Z17" s="157">
        <f>VLOOKUP($A17,'Over Under Bill 1 COPY 到CO欄位'!$1:$1048576,'Over Under Bill 1 COPY 到CO欄位'!Z$1,0)-VLOOKUP($A17,'Over Under Bill 1 COPY 到CO欄位'!$1:$1048576,'Over Under Bill 1 COPY 到CO欄位'!U$1,0)</f>
        <v>0</v>
      </c>
      <c r="AA17" s="157">
        <f t="shared" si="9"/>
        <v>0</v>
      </c>
      <c r="AB17" s="158">
        <f>VLOOKUP($A17,'Over Under Bill 1 COPY 到CO欄位'!$1:$1048576,'Over Under Bill 1 COPY 到CO欄位'!AB$1,0)-VLOOKUP($A17,'Over Under Bill 1 COPY 到CO欄位'!$1:$1048576,'Over Under Bill 1 COPY 到CO欄位'!W$1,0)</f>
        <v>0</v>
      </c>
      <c r="AC17" s="158">
        <f>VLOOKUP($A17,'Over Under Bill 1 COPY 到CO欄位'!$1:$1048576,'Over Under Bill 1 COPY 到CO欄位'!AC$1,0)-VLOOKUP($A17,'Over Under Bill 1 COPY 到CO欄位'!$1:$1048576,'Over Under Bill 1 COPY 到CO欄位'!X$1,0)</f>
        <v>0</v>
      </c>
      <c r="AD17" s="158">
        <f t="shared" si="10"/>
        <v>0</v>
      </c>
      <c r="AE17" s="158">
        <f>VLOOKUP($A17,'Over Under Bill 1 COPY 到CO欄位'!$1:$1048576,'Over Under Bill 1 COPY 到CO欄位'!AE$1,0)-VLOOKUP($A17,'Over Under Bill 1 COPY 到CO欄位'!$1:$1048576,'Over Under Bill 1 COPY 到CO欄位'!Z$1,0)</f>
        <v>0</v>
      </c>
      <c r="AF17" s="158">
        <f t="shared" si="11"/>
        <v>0</v>
      </c>
      <c r="AG17" s="157">
        <f>VLOOKUP($A17,'Over Under Bill 1 COPY 到CO欄位'!$1:$1048576,'Over Under Bill 1 COPY 到CO欄位'!AG$1,0)-VLOOKUP($A17,'Over Under Bill 1 COPY 到CO欄位'!$1:$1048576,'Over Under Bill 1 COPY 到CO欄位'!AB$1,0)</f>
        <v>0</v>
      </c>
      <c r="AH17" s="157">
        <f>VLOOKUP($A17,'Over Under Bill 1 COPY 到CO欄位'!$1:$1048576,'Over Under Bill 1 COPY 到CO欄位'!AH$1,0)-VLOOKUP($A17,'Over Under Bill 1 COPY 到CO欄位'!$1:$1048576,'Over Under Bill 1 COPY 到CO欄位'!AC$1,0)</f>
        <v>0</v>
      </c>
      <c r="AI17" s="157">
        <f t="shared" si="12"/>
        <v>0</v>
      </c>
      <c r="AJ17" s="157">
        <f>VLOOKUP($A17,'Over Under Bill 1 COPY 到CO欄位'!$1:$1048576,'Over Under Bill 1 COPY 到CO欄位'!AJ$1,0)-VLOOKUP($A17,'Over Under Bill 1 COPY 到CO欄位'!$1:$1048576,'Over Under Bill 1 COPY 到CO欄位'!AE$1,0)</f>
        <v>0</v>
      </c>
      <c r="AK17" s="157">
        <f t="shared" si="13"/>
        <v>0</v>
      </c>
      <c r="AL17" s="158">
        <f>VLOOKUP($A17,'Over Under Bill 1 COPY 到CO欄位'!$1:$1048576,'Over Under Bill 1 COPY 到CO欄位'!AL$1,0)-VLOOKUP($A17,'Over Under Bill 1 COPY 到CO欄位'!$1:$1048576,'Over Under Bill 1 COPY 到CO欄位'!AG$1,0)</f>
        <v>0</v>
      </c>
      <c r="AM17" s="158">
        <f>VLOOKUP($A17,'Over Under Bill 1 COPY 到CO欄位'!$1:$1048576,'Over Under Bill 1 COPY 到CO欄位'!AM$1,0)-VLOOKUP($A17,'Over Under Bill 1 COPY 到CO欄位'!$1:$1048576,'Over Under Bill 1 COPY 到CO欄位'!AH$1,0)</f>
        <v>0</v>
      </c>
      <c r="AN17" s="158">
        <f t="shared" si="14"/>
        <v>0</v>
      </c>
      <c r="AO17" s="158">
        <f>VLOOKUP($A17,'Over Under Bill 1 COPY 到CO欄位'!$1:$1048576,'Over Under Bill 1 COPY 到CO欄位'!AO$1,0)-VLOOKUP($A17,'Over Under Bill 1 COPY 到CO欄位'!$1:$1048576,'Over Under Bill 1 COPY 到CO欄位'!AJ$1,0)</f>
        <v>0</v>
      </c>
      <c r="AP17" s="158">
        <f t="shared" si="15"/>
        <v>0</v>
      </c>
      <c r="AQ17" s="157">
        <f>VLOOKUP($A17,'Over Under Bill 1 COPY 到CO欄位'!$1:$1048576,'Over Under Bill 1 COPY 到CO欄位'!AQ$1,0)-VLOOKUP($A17,'Over Under Bill 1 COPY 到CO欄位'!$1:$1048576,'Over Under Bill 1 COPY 到CO欄位'!AL$1,0)</f>
        <v>0</v>
      </c>
      <c r="AR17" s="157">
        <f>VLOOKUP($A17,'Over Under Bill 1 COPY 到CO欄位'!$1:$1048576,'Over Under Bill 1 COPY 到CO欄位'!AR$1,0)-VLOOKUP($A17,'Over Under Bill 1 COPY 到CO欄位'!$1:$1048576,'Over Under Bill 1 COPY 到CO欄位'!AM$1,0)</f>
        <v>0</v>
      </c>
      <c r="AS17" s="157">
        <f t="shared" si="16"/>
        <v>0</v>
      </c>
      <c r="AT17" s="157">
        <f>VLOOKUP($A17,'Over Under Bill 1 COPY 到CO欄位'!$1:$1048576,'Over Under Bill 1 COPY 到CO欄位'!AT$1,0)-VLOOKUP($A17,'Over Under Bill 1 COPY 到CO欄位'!$1:$1048576,'Over Under Bill 1 COPY 到CO欄位'!AO$1,0)</f>
        <v>0</v>
      </c>
      <c r="AU17" s="157">
        <f t="shared" si="17"/>
        <v>0</v>
      </c>
      <c r="AV17" s="158">
        <f>VLOOKUP($A17,'Over Under Bill 1 COPY 到CO欄位'!$1:$1048576,'Over Under Bill 1 COPY 到CO欄位'!AV$1,0)-VLOOKUP($A17,'Over Under Bill 1 COPY 到CO欄位'!$1:$1048576,'Over Under Bill 1 COPY 到CO欄位'!AQ$1,0)</f>
        <v>0</v>
      </c>
      <c r="AW17" s="158">
        <f>VLOOKUP($A17,'Over Under Bill 1 COPY 到CO欄位'!$1:$1048576,'Over Under Bill 1 COPY 到CO欄位'!AW$1,0)-VLOOKUP($A17,'Over Under Bill 1 COPY 到CO欄位'!$1:$1048576,'Over Under Bill 1 COPY 到CO欄位'!AR$1,0)</f>
        <v>0</v>
      </c>
      <c r="AX17" s="158">
        <f t="shared" si="18"/>
        <v>0</v>
      </c>
      <c r="AY17" s="158">
        <f>VLOOKUP($A17,'Over Under Bill 1 COPY 到CO欄位'!$1:$1048576,'Over Under Bill 1 COPY 到CO欄位'!AY$1,0)-VLOOKUP($A17,'Over Under Bill 1 COPY 到CO欄位'!$1:$1048576,'Over Under Bill 1 COPY 到CO欄位'!AT$1,0)</f>
        <v>0</v>
      </c>
      <c r="AZ17" s="158">
        <f t="shared" si="19"/>
        <v>0</v>
      </c>
      <c r="BA17" s="157">
        <f>VLOOKUP($A17,'Over Under Bill 1 COPY 到CO欄位'!$1:$1048576,'Over Under Bill 1 COPY 到CO欄位'!BA$1,0)-VLOOKUP($A17,'Over Under Bill 1 COPY 到CO欄位'!$1:$1048576,'Over Under Bill 1 COPY 到CO欄位'!AV$1,0)</f>
        <v>0</v>
      </c>
      <c r="BB17" s="157">
        <f>VLOOKUP($A17,'Over Under Bill 1 COPY 到CO欄位'!$1:$1048576,'Over Under Bill 1 COPY 到CO欄位'!BB$1,0)-VLOOKUP($A17,'Over Under Bill 1 COPY 到CO欄位'!$1:$1048576,'Over Under Bill 1 COPY 到CO欄位'!AW$1,0)</f>
        <v>0</v>
      </c>
      <c r="BC17" s="157">
        <f t="shared" si="20"/>
        <v>0</v>
      </c>
      <c r="BD17" s="157">
        <f>VLOOKUP($A17,'Over Under Bill 1 COPY 到CO欄位'!$1:$1048576,'Over Under Bill 1 COPY 到CO欄位'!BD$1,0)-VLOOKUP($A17,'Over Under Bill 1 COPY 到CO欄位'!$1:$1048576,'Over Under Bill 1 COPY 到CO欄位'!AY$1,0)</f>
        <v>0</v>
      </c>
      <c r="BE17" s="157">
        <f t="shared" si="21"/>
        <v>0</v>
      </c>
      <c r="BF17" s="158">
        <f>VLOOKUP($A17,'Over Under Bill 1 COPY 到CO欄位'!$1:$1048576,'Over Under Bill 1 COPY 到CO欄位'!BF$1,0)-VLOOKUP($A17,'Over Under Bill 1 COPY 到CO欄位'!$1:$1048576,'Over Under Bill 1 COPY 到CO欄位'!BA$1,0)</f>
        <v>0</v>
      </c>
      <c r="BG17" s="158">
        <f>VLOOKUP($A17,'Over Under Bill 1 COPY 到CO欄位'!$1:$1048576,'Over Under Bill 1 COPY 到CO欄位'!BG$1,0)-VLOOKUP($A17,'Over Under Bill 1 COPY 到CO欄位'!$1:$1048576,'Over Under Bill 1 COPY 到CO欄位'!BB$1,0)</f>
        <v>0</v>
      </c>
      <c r="BH17" s="158">
        <f t="shared" si="22"/>
        <v>0</v>
      </c>
      <c r="BI17" s="158">
        <f>VLOOKUP($A17,'Over Under Bill 1 COPY 到CO欄位'!$1:$1048576,'Over Under Bill 1 COPY 到CO欄位'!BI$1,0)-VLOOKUP($A17,'Over Under Bill 1 COPY 到CO欄位'!$1:$1048576,'Over Under Bill 1 COPY 到CO欄位'!BD$1,0)</f>
        <v>0</v>
      </c>
      <c r="BJ17" s="158">
        <f t="shared" si="23"/>
        <v>0</v>
      </c>
      <c r="BK17" s="157">
        <f>VLOOKUP($A17,'Over Under Bill 1 COPY 到CO欄位'!$1:$1048576,'Over Under Bill 1 COPY 到CO欄位'!BK$1,0)-VLOOKUP($A17,'Over Under Bill 1 COPY 到CO欄位'!$1:$1048576,'Over Under Bill 1 COPY 到CO欄位'!BF$1,0)</f>
        <v>0</v>
      </c>
      <c r="BL17" s="157">
        <f>VLOOKUP($A17,'Over Under Bill 1 COPY 到CO欄位'!$1:$1048576,'Over Under Bill 1 COPY 到CO欄位'!BL$1,0)-VLOOKUP($A17,'Over Under Bill 1 COPY 到CO欄位'!$1:$1048576,'Over Under Bill 1 COPY 到CO欄位'!BG$1,0)</f>
        <v>0</v>
      </c>
      <c r="BM17" s="157">
        <f t="shared" si="24"/>
        <v>0</v>
      </c>
      <c r="BN17" s="157">
        <f>VLOOKUP($A17,'Over Under Bill 1 COPY 到CO欄位'!$1:$1048576,'Over Under Bill 1 COPY 到CO欄位'!BN$1,0)-VLOOKUP($A17,'Over Under Bill 1 COPY 到CO欄位'!$1:$1048576,'Over Under Bill 1 COPY 到CO欄位'!BI$1,0)</f>
        <v>0</v>
      </c>
      <c r="BO17" s="157">
        <f t="shared" si="25"/>
        <v>0</v>
      </c>
      <c r="BP17" s="158">
        <f>VLOOKUP($A17,'Over Under Bill 1 COPY 到CO欄位'!$1:$1048576,'Over Under Bill 1 COPY 到CO欄位'!BP$1,0)-VLOOKUP($A17,'Over Under Bill 1 COPY 到CO欄位'!$1:$1048576,'Over Under Bill 1 COPY 到CO欄位'!BK$1,0)</f>
        <v>0</v>
      </c>
      <c r="BQ17" s="158">
        <f>VLOOKUP($A17,'Over Under Bill 1 COPY 到CO欄位'!$1:$1048576,'Over Under Bill 1 COPY 到CO欄位'!BQ$1,0)-VLOOKUP($A17,'Over Under Bill 1 COPY 到CO欄位'!$1:$1048576,'Over Under Bill 1 COPY 到CO欄位'!BL$1,0)</f>
        <v>0</v>
      </c>
      <c r="BR17" s="158">
        <f t="shared" si="26"/>
        <v>0</v>
      </c>
      <c r="BS17" s="158">
        <f>VLOOKUP($A17,'Over Under Bill 1 COPY 到CO欄位'!$1:$1048576,'Over Under Bill 1 COPY 到CO欄位'!BS$1,0)-VLOOKUP($A17,'Over Under Bill 1 COPY 到CO欄位'!$1:$1048576,'Over Under Bill 1 COPY 到CO欄位'!BN$1,0)</f>
        <v>0</v>
      </c>
      <c r="BT17" s="158">
        <f t="shared" si="27"/>
        <v>0</v>
      </c>
      <c r="BU17" s="157">
        <f>VLOOKUP($A17,'Over Under Bill 1 COPY 到CO欄位'!$1:$1048576,'Over Under Bill 1 COPY 到CO欄位'!BP$1,0)-VLOOKUP($A17,'Over Under Bill 1 COPY 到CO欄位'!$1:$1048576,'Over Under Bill 1 COPY 到CO欄位'!H$1,0)</f>
        <v>0</v>
      </c>
      <c r="BV17" s="157">
        <f>VLOOKUP($A17,'Over Under Bill 1 COPY 到CO欄位'!$1:$1048576,'Over Under Bill 1 COPY 到CO欄位'!BQ$1,0)-VLOOKUP($A17,'Over Under Bill 1 COPY 到CO欄位'!$1:$1048576,'Over Under Bill 1 COPY 到CO欄位'!I$1,0)</f>
        <v>0</v>
      </c>
      <c r="BW17" s="157">
        <f t="shared" si="28"/>
        <v>0</v>
      </c>
      <c r="BX17" s="157">
        <f>VLOOKUP($A17,'Over Under Bill 1 COPY 到CO欄位'!$1:$1048576,'Over Under Bill 1 COPY 到CO欄位'!BS$1,0)-VLOOKUP($A17,'Over Under Bill 1 COPY 到CO欄位'!$1:$1048576,'Over Under Bill 1 COPY 到CO欄位'!K$1,0)</f>
        <v>0</v>
      </c>
      <c r="BY17" s="157">
        <f t="shared" si="29"/>
        <v>0</v>
      </c>
      <c r="BZ17" s="158">
        <f>VLOOKUP($A17,'Over Under Bill 1 COPY 到CO欄位'!$1:$1048576,'Over Under Bill 1 COPY 到CO欄位'!BU$1,0)-VLOOKUP($A17,'Over Under Bill 1 COPY 到CO欄位'!$1:$1048576,'Over Under Bill 1 COPY 到CO欄位'!BP$1,0)</f>
        <v>0</v>
      </c>
      <c r="CA17" s="158">
        <f>VLOOKUP($A17,'Over Under Bill 1 COPY 到CO欄位'!$1:$1048576,'Over Under Bill 1 COPY 到CO欄位'!BV$1,0)-VLOOKUP($A17,'Over Under Bill 1 COPY 到CO欄位'!$1:$1048576,'Over Under Bill 1 COPY 到CO欄位'!BQ$1,0)</f>
        <v>0</v>
      </c>
      <c r="CB17" s="158">
        <f t="shared" si="30"/>
        <v>0</v>
      </c>
      <c r="CC17" s="158">
        <f>VLOOKUP($A17,'Over Under Bill 1 COPY 到CO欄位'!$1:$1048576,'Over Under Bill 1 COPY 到CO欄位'!BX$1,0)-VLOOKUP($A17,'Over Under Bill 1 COPY 到CO欄位'!$1:$1048576,'Over Under Bill 1 COPY 到CO欄位'!BS$1,0)</f>
        <v>0</v>
      </c>
      <c r="CD17" s="158">
        <f t="shared" si="31"/>
        <v>0</v>
      </c>
      <c r="CE17" s="157">
        <f>VLOOKUP($A17,'Over Under Bill 1 COPY 到CO欄位'!$1:$1048576,'Over Under Bill 1 COPY 到CO欄位'!BZ$1,0)-VLOOKUP($A17,'Over Under Bill 1 COPY 到CO欄位'!$1:$1048576,'Over Under Bill 1 COPY 到CO欄位'!BU$1,0)</f>
        <v>0</v>
      </c>
      <c r="CF17" s="157">
        <f>VLOOKUP($A17,'Over Under Bill 1 COPY 到CO欄位'!$1:$1048576,'Over Under Bill 1 COPY 到CO欄位'!CA$1,0)-VLOOKUP($A17,'Over Under Bill 1 COPY 到CO欄位'!$1:$1048576,'Over Under Bill 1 COPY 到CO欄位'!BV$1,0)</f>
        <v>0</v>
      </c>
      <c r="CG17" s="157">
        <f t="shared" si="32"/>
        <v>0</v>
      </c>
      <c r="CH17" s="157">
        <f>VLOOKUP($A17,'Over Under Bill 1 COPY 到CO欄位'!$1:$1048576,'Over Under Bill 1 COPY 到CO欄位'!CC$1,0)-VLOOKUP($A17,'Over Under Bill 1 COPY 到CO欄位'!$1:$1048576,'Over Under Bill 1 COPY 到CO欄位'!BX$1,0)</f>
        <v>0</v>
      </c>
      <c r="CI17" s="157">
        <f t="shared" si="33"/>
        <v>0</v>
      </c>
      <c r="CJ17" s="158">
        <f>VLOOKUP($A17,'Over Under Bill 1 COPY 到CO欄位'!$1:$1048576,'Over Under Bill 1 COPY 到CO欄位'!CE$1,0)-VLOOKUP($A17,'Over Under Bill 1 COPY 到CO欄位'!$1:$1048576,'Over Under Bill 1 COPY 到CO欄位'!BZ$1,0)</f>
        <v>0</v>
      </c>
      <c r="CK17" s="158">
        <f>VLOOKUP($A17,'Over Under Bill 1 COPY 到CO欄位'!$1:$1048576,'Over Under Bill 1 COPY 到CO欄位'!CF$1,0)-VLOOKUP($A17,'Over Under Bill 1 COPY 到CO欄位'!$1:$1048576,'Over Under Bill 1 COPY 到CO欄位'!CA$1,0)</f>
        <v>0</v>
      </c>
      <c r="CL17" s="158">
        <f t="shared" si="34"/>
        <v>0</v>
      </c>
      <c r="CM17" s="158">
        <f>VLOOKUP($A17,'Over Under Bill 1 COPY 到CO欄位'!$1:$1048576,'Over Under Bill 1 COPY 到CO欄位'!CH$1,0)-VLOOKUP($A17,'Over Under Bill 1 COPY 到CO欄位'!$1:$1048576,'Over Under Bill 1 COPY 到CO欄位'!CC$1,0)</f>
        <v>0</v>
      </c>
      <c r="CN17" s="158">
        <f t="shared" si="35"/>
        <v>0</v>
      </c>
      <c r="CO17" s="157">
        <f>VLOOKUP($A17,'Over Under Bill 1 COPY 到CO欄位'!$1:$1048576,'Over Under Bill 1 COPY 到CO欄位'!CJ$1,0)-VLOOKUP($A17,'Over Under Bill 1 COPY 到CO欄位'!$1:$1048576,'Over Under Bill 1 COPY 到CO欄位'!CE$1,0)</f>
        <v>0</v>
      </c>
      <c r="CP17" s="157">
        <f>VLOOKUP($A17,'Over Under Bill 1 COPY 到CO欄位'!$1:$1048576,'Over Under Bill 1 COPY 到CO欄位'!CK$1,0)-VLOOKUP($A17,'Over Under Bill 1 COPY 到CO欄位'!$1:$1048576,'Over Under Bill 1 COPY 到CO欄位'!CF$1,0)</f>
        <v>0</v>
      </c>
      <c r="CQ17" s="157">
        <f t="shared" si="36"/>
        <v>0</v>
      </c>
      <c r="CR17" s="157">
        <f>VLOOKUP($A17,'Over Under Bill 1 COPY 到CO欄位'!$1:$1048576,'Over Under Bill 1 COPY 到CO欄位'!CM$1,0)-VLOOKUP($A17,'Over Under Bill 1 COPY 到CO欄位'!$1:$1048576,'Over Under Bill 1 COPY 到CO欄位'!CH$1,0)</f>
        <v>0</v>
      </c>
      <c r="CS17" s="157">
        <f t="shared" si="37"/>
        <v>0</v>
      </c>
    </row>
    <row r="18" spans="1:97">
      <c r="A18" s="155" t="s">
        <v>333</v>
      </c>
      <c r="B18" s="168" t="s">
        <v>334</v>
      </c>
      <c r="C18" s="157">
        <f>IFERROR(VLOOKUP($A18,'A0 BS 1240在建'!$1:$1048576,5,0),0)</f>
        <v>0</v>
      </c>
      <c r="D18" s="157">
        <f>IFERROR(VLOOKUP($A18,'B0 2264預收'!$1:$1048576,5,0),0)</f>
        <v>0</v>
      </c>
      <c r="E18" s="157">
        <f t="shared" si="0"/>
        <v>0</v>
      </c>
      <c r="F18" s="157">
        <f>IFERROR(VLOOKUP($A18,'B0 2264預收'!$1:$1048576,6,0),0)</f>
        <v>0</v>
      </c>
      <c r="G18" s="157">
        <f t="shared" si="1"/>
        <v>0</v>
      </c>
      <c r="H18" s="158">
        <f>IFERROR(VLOOKUP($A18,'A0 BS 1240在建'!$1:$1048576,13,0),0)-C18</f>
        <v>0</v>
      </c>
      <c r="I18" s="158">
        <f>IFERROR(VLOOKUP($A18,'B0 2264預收'!$1:$1048576,13,0),0)-D18</f>
        <v>0</v>
      </c>
      <c r="J18" s="158">
        <f t="shared" si="2"/>
        <v>0</v>
      </c>
      <c r="K18" s="158">
        <f>IFERROR(VLOOKUP($A18,'B0 2264預收'!$1:$1048576,14,0),0)-F18</f>
        <v>0</v>
      </c>
      <c r="L18" s="158">
        <f t="shared" si="3"/>
        <v>0</v>
      </c>
      <c r="M18" s="157">
        <f>VLOOKUP($A18,'Over Under Bill 1 COPY 到CO欄位'!$1:$1048576,'Over Under Bill 1 COPY 到CO欄位'!M$1,0)-VLOOKUP($A18,'Over Under Bill 1 COPY 到CO欄位'!$1:$1048576,'Over Under Bill 1 COPY 到CO欄位'!H$1,0)</f>
        <v>0</v>
      </c>
      <c r="N18" s="157">
        <f>VLOOKUP($A18,'Over Under Bill 1 COPY 到CO欄位'!$1:$1048576,'Over Under Bill 1 COPY 到CO欄位'!N$1,0)-VLOOKUP($A18,'Over Under Bill 1 COPY 到CO欄位'!$1:$1048576,'Over Under Bill 1 COPY 到CO欄位'!I$1,0)</f>
        <v>0</v>
      </c>
      <c r="O18" s="157">
        <f t="shared" si="4"/>
        <v>0</v>
      </c>
      <c r="P18" s="157">
        <f>VLOOKUP($A18,'Over Under Bill 1 COPY 到CO欄位'!$1:$1048576,'Over Under Bill 1 COPY 到CO欄位'!P$1,0)-VLOOKUP($A18,'Over Under Bill 1 COPY 到CO欄位'!$1:$1048576,'Over Under Bill 1 COPY 到CO欄位'!K$1,0)</f>
        <v>0</v>
      </c>
      <c r="Q18" s="157">
        <f t="shared" si="5"/>
        <v>0</v>
      </c>
      <c r="R18" s="158">
        <f>VLOOKUP($A18,'Over Under Bill 1 COPY 到CO欄位'!$1:$1048576,'Over Under Bill 1 COPY 到CO欄位'!R$1,0)-VLOOKUP($A18,'Over Under Bill 1 COPY 到CO欄位'!$1:$1048576,'Over Under Bill 1 COPY 到CO欄位'!M$1,0)</f>
        <v>0</v>
      </c>
      <c r="S18" s="158">
        <f>VLOOKUP($A18,'Over Under Bill 1 COPY 到CO欄位'!$1:$1048576,'Over Under Bill 1 COPY 到CO欄位'!S$1,0)-VLOOKUP($A18,'Over Under Bill 1 COPY 到CO欄位'!$1:$1048576,'Over Under Bill 1 COPY 到CO欄位'!N$1,0)</f>
        <v>0</v>
      </c>
      <c r="T18" s="158">
        <f t="shared" si="6"/>
        <v>0</v>
      </c>
      <c r="U18" s="158">
        <f>VLOOKUP($A18,'Over Under Bill 1 COPY 到CO欄位'!$1:$1048576,'Over Under Bill 1 COPY 到CO欄位'!U$1,0)-VLOOKUP($A18,'Over Under Bill 1 COPY 到CO欄位'!$1:$1048576,'Over Under Bill 1 COPY 到CO欄位'!P$1,0)</f>
        <v>0</v>
      </c>
      <c r="V18" s="158">
        <f t="shared" si="7"/>
        <v>0</v>
      </c>
      <c r="W18" s="157">
        <f>VLOOKUP($A18,'Over Under Bill 1 COPY 到CO欄位'!$1:$1048576,'Over Under Bill 1 COPY 到CO欄位'!W$1,0)-VLOOKUP($A18,'Over Under Bill 1 COPY 到CO欄位'!$1:$1048576,'Over Under Bill 1 COPY 到CO欄位'!R$1,0)</f>
        <v>0</v>
      </c>
      <c r="X18" s="157">
        <f>VLOOKUP($A18,'Over Under Bill 1 COPY 到CO欄位'!$1:$1048576,'Over Under Bill 1 COPY 到CO欄位'!X$1,0)-VLOOKUP($A18,'Over Under Bill 1 COPY 到CO欄位'!$1:$1048576,'Over Under Bill 1 COPY 到CO欄位'!S$1,0)</f>
        <v>0</v>
      </c>
      <c r="Y18" s="157">
        <f t="shared" si="8"/>
        <v>0</v>
      </c>
      <c r="Z18" s="157">
        <f>VLOOKUP($A18,'Over Under Bill 1 COPY 到CO欄位'!$1:$1048576,'Over Under Bill 1 COPY 到CO欄位'!Z$1,0)-VLOOKUP($A18,'Over Under Bill 1 COPY 到CO欄位'!$1:$1048576,'Over Under Bill 1 COPY 到CO欄位'!U$1,0)</f>
        <v>0</v>
      </c>
      <c r="AA18" s="157">
        <f t="shared" si="9"/>
        <v>0</v>
      </c>
      <c r="AB18" s="158">
        <f>VLOOKUP($A18,'Over Under Bill 1 COPY 到CO欄位'!$1:$1048576,'Over Under Bill 1 COPY 到CO欄位'!AB$1,0)-VLOOKUP($A18,'Over Under Bill 1 COPY 到CO欄位'!$1:$1048576,'Over Under Bill 1 COPY 到CO欄位'!W$1,0)</f>
        <v>0</v>
      </c>
      <c r="AC18" s="158">
        <f>VLOOKUP($A18,'Over Under Bill 1 COPY 到CO欄位'!$1:$1048576,'Over Under Bill 1 COPY 到CO欄位'!AC$1,0)-VLOOKUP($A18,'Over Under Bill 1 COPY 到CO欄位'!$1:$1048576,'Over Under Bill 1 COPY 到CO欄位'!X$1,0)</f>
        <v>0</v>
      </c>
      <c r="AD18" s="158">
        <f t="shared" si="10"/>
        <v>0</v>
      </c>
      <c r="AE18" s="158">
        <f>VLOOKUP($A18,'Over Under Bill 1 COPY 到CO欄位'!$1:$1048576,'Over Under Bill 1 COPY 到CO欄位'!AE$1,0)-VLOOKUP($A18,'Over Under Bill 1 COPY 到CO欄位'!$1:$1048576,'Over Under Bill 1 COPY 到CO欄位'!Z$1,0)</f>
        <v>0</v>
      </c>
      <c r="AF18" s="158">
        <f t="shared" si="11"/>
        <v>0</v>
      </c>
      <c r="AG18" s="157">
        <f>VLOOKUP($A18,'Over Under Bill 1 COPY 到CO欄位'!$1:$1048576,'Over Under Bill 1 COPY 到CO欄位'!AG$1,0)-VLOOKUP($A18,'Over Under Bill 1 COPY 到CO欄位'!$1:$1048576,'Over Under Bill 1 COPY 到CO欄位'!AB$1,0)</f>
        <v>0</v>
      </c>
      <c r="AH18" s="157">
        <f>VLOOKUP($A18,'Over Under Bill 1 COPY 到CO欄位'!$1:$1048576,'Over Under Bill 1 COPY 到CO欄位'!AH$1,0)-VLOOKUP($A18,'Over Under Bill 1 COPY 到CO欄位'!$1:$1048576,'Over Under Bill 1 COPY 到CO欄位'!AC$1,0)</f>
        <v>0</v>
      </c>
      <c r="AI18" s="157">
        <f t="shared" si="12"/>
        <v>0</v>
      </c>
      <c r="AJ18" s="157">
        <f>VLOOKUP($A18,'Over Under Bill 1 COPY 到CO欄位'!$1:$1048576,'Over Under Bill 1 COPY 到CO欄位'!AJ$1,0)-VLOOKUP($A18,'Over Under Bill 1 COPY 到CO欄位'!$1:$1048576,'Over Under Bill 1 COPY 到CO欄位'!AE$1,0)</f>
        <v>0</v>
      </c>
      <c r="AK18" s="157">
        <f t="shared" si="13"/>
        <v>0</v>
      </c>
      <c r="AL18" s="158">
        <f>VLOOKUP($A18,'Over Under Bill 1 COPY 到CO欄位'!$1:$1048576,'Over Under Bill 1 COPY 到CO欄位'!AL$1,0)-VLOOKUP($A18,'Over Under Bill 1 COPY 到CO欄位'!$1:$1048576,'Over Under Bill 1 COPY 到CO欄位'!AG$1,0)</f>
        <v>0</v>
      </c>
      <c r="AM18" s="158">
        <f>VLOOKUP($A18,'Over Under Bill 1 COPY 到CO欄位'!$1:$1048576,'Over Under Bill 1 COPY 到CO欄位'!AM$1,0)-VLOOKUP($A18,'Over Under Bill 1 COPY 到CO欄位'!$1:$1048576,'Over Under Bill 1 COPY 到CO欄位'!AH$1,0)</f>
        <v>0</v>
      </c>
      <c r="AN18" s="158">
        <f t="shared" si="14"/>
        <v>0</v>
      </c>
      <c r="AO18" s="158">
        <f>VLOOKUP($A18,'Over Under Bill 1 COPY 到CO欄位'!$1:$1048576,'Over Under Bill 1 COPY 到CO欄位'!AO$1,0)-VLOOKUP($A18,'Over Under Bill 1 COPY 到CO欄位'!$1:$1048576,'Over Under Bill 1 COPY 到CO欄位'!AJ$1,0)</f>
        <v>0</v>
      </c>
      <c r="AP18" s="158">
        <f t="shared" si="15"/>
        <v>0</v>
      </c>
      <c r="AQ18" s="157">
        <f>VLOOKUP($A18,'Over Under Bill 1 COPY 到CO欄位'!$1:$1048576,'Over Under Bill 1 COPY 到CO欄位'!AQ$1,0)-VLOOKUP($A18,'Over Under Bill 1 COPY 到CO欄位'!$1:$1048576,'Over Under Bill 1 COPY 到CO欄位'!AL$1,0)</f>
        <v>0</v>
      </c>
      <c r="AR18" s="157">
        <f>VLOOKUP($A18,'Over Under Bill 1 COPY 到CO欄位'!$1:$1048576,'Over Under Bill 1 COPY 到CO欄位'!AR$1,0)-VLOOKUP($A18,'Over Under Bill 1 COPY 到CO欄位'!$1:$1048576,'Over Under Bill 1 COPY 到CO欄位'!AM$1,0)</f>
        <v>0</v>
      </c>
      <c r="AS18" s="157">
        <f t="shared" si="16"/>
        <v>0</v>
      </c>
      <c r="AT18" s="157">
        <f>VLOOKUP($A18,'Over Under Bill 1 COPY 到CO欄位'!$1:$1048576,'Over Under Bill 1 COPY 到CO欄位'!AT$1,0)-VLOOKUP($A18,'Over Under Bill 1 COPY 到CO欄位'!$1:$1048576,'Over Under Bill 1 COPY 到CO欄位'!AO$1,0)</f>
        <v>0</v>
      </c>
      <c r="AU18" s="157">
        <f t="shared" si="17"/>
        <v>0</v>
      </c>
      <c r="AV18" s="158">
        <f>VLOOKUP($A18,'Over Under Bill 1 COPY 到CO欄位'!$1:$1048576,'Over Under Bill 1 COPY 到CO欄位'!AV$1,0)-VLOOKUP($A18,'Over Under Bill 1 COPY 到CO欄位'!$1:$1048576,'Over Under Bill 1 COPY 到CO欄位'!AQ$1,0)</f>
        <v>0</v>
      </c>
      <c r="AW18" s="158">
        <f>VLOOKUP($A18,'Over Under Bill 1 COPY 到CO欄位'!$1:$1048576,'Over Under Bill 1 COPY 到CO欄位'!AW$1,0)-VLOOKUP($A18,'Over Under Bill 1 COPY 到CO欄位'!$1:$1048576,'Over Under Bill 1 COPY 到CO欄位'!AR$1,0)</f>
        <v>0</v>
      </c>
      <c r="AX18" s="158">
        <f t="shared" si="18"/>
        <v>0</v>
      </c>
      <c r="AY18" s="158">
        <f>VLOOKUP($A18,'Over Under Bill 1 COPY 到CO欄位'!$1:$1048576,'Over Under Bill 1 COPY 到CO欄位'!AY$1,0)-VLOOKUP($A18,'Over Under Bill 1 COPY 到CO欄位'!$1:$1048576,'Over Under Bill 1 COPY 到CO欄位'!AT$1,0)</f>
        <v>0</v>
      </c>
      <c r="AZ18" s="158">
        <f t="shared" si="19"/>
        <v>0</v>
      </c>
      <c r="BA18" s="157">
        <f>VLOOKUP($A18,'Over Under Bill 1 COPY 到CO欄位'!$1:$1048576,'Over Under Bill 1 COPY 到CO欄位'!BA$1,0)-VLOOKUP($A18,'Over Under Bill 1 COPY 到CO欄位'!$1:$1048576,'Over Under Bill 1 COPY 到CO欄位'!AV$1,0)</f>
        <v>0</v>
      </c>
      <c r="BB18" s="157">
        <f>VLOOKUP($A18,'Over Under Bill 1 COPY 到CO欄位'!$1:$1048576,'Over Under Bill 1 COPY 到CO欄位'!BB$1,0)-VLOOKUP($A18,'Over Under Bill 1 COPY 到CO欄位'!$1:$1048576,'Over Under Bill 1 COPY 到CO欄位'!AW$1,0)</f>
        <v>0</v>
      </c>
      <c r="BC18" s="157">
        <f t="shared" si="20"/>
        <v>0</v>
      </c>
      <c r="BD18" s="157">
        <f>VLOOKUP($A18,'Over Under Bill 1 COPY 到CO欄位'!$1:$1048576,'Over Under Bill 1 COPY 到CO欄位'!BD$1,0)-VLOOKUP($A18,'Over Under Bill 1 COPY 到CO欄位'!$1:$1048576,'Over Under Bill 1 COPY 到CO欄位'!AY$1,0)</f>
        <v>0</v>
      </c>
      <c r="BE18" s="157">
        <f t="shared" si="21"/>
        <v>0</v>
      </c>
      <c r="BF18" s="158">
        <f>VLOOKUP($A18,'Over Under Bill 1 COPY 到CO欄位'!$1:$1048576,'Over Under Bill 1 COPY 到CO欄位'!BF$1,0)-VLOOKUP($A18,'Over Under Bill 1 COPY 到CO欄位'!$1:$1048576,'Over Under Bill 1 COPY 到CO欄位'!BA$1,0)</f>
        <v>0</v>
      </c>
      <c r="BG18" s="158">
        <f>VLOOKUP($A18,'Over Under Bill 1 COPY 到CO欄位'!$1:$1048576,'Over Under Bill 1 COPY 到CO欄位'!BG$1,0)-VLOOKUP($A18,'Over Under Bill 1 COPY 到CO欄位'!$1:$1048576,'Over Under Bill 1 COPY 到CO欄位'!BB$1,0)</f>
        <v>0</v>
      </c>
      <c r="BH18" s="158">
        <f t="shared" si="22"/>
        <v>0</v>
      </c>
      <c r="BI18" s="158">
        <f>VLOOKUP($A18,'Over Under Bill 1 COPY 到CO欄位'!$1:$1048576,'Over Under Bill 1 COPY 到CO欄位'!BI$1,0)-VLOOKUP($A18,'Over Under Bill 1 COPY 到CO欄位'!$1:$1048576,'Over Under Bill 1 COPY 到CO欄位'!BD$1,0)</f>
        <v>0</v>
      </c>
      <c r="BJ18" s="158">
        <f t="shared" si="23"/>
        <v>0</v>
      </c>
      <c r="BK18" s="157">
        <f>VLOOKUP($A18,'Over Under Bill 1 COPY 到CO欄位'!$1:$1048576,'Over Under Bill 1 COPY 到CO欄位'!BK$1,0)-VLOOKUP($A18,'Over Under Bill 1 COPY 到CO欄位'!$1:$1048576,'Over Under Bill 1 COPY 到CO欄位'!BF$1,0)</f>
        <v>0</v>
      </c>
      <c r="BL18" s="157">
        <f>VLOOKUP($A18,'Over Under Bill 1 COPY 到CO欄位'!$1:$1048576,'Over Under Bill 1 COPY 到CO欄位'!BL$1,0)-VLOOKUP($A18,'Over Under Bill 1 COPY 到CO欄位'!$1:$1048576,'Over Under Bill 1 COPY 到CO欄位'!BG$1,0)</f>
        <v>0</v>
      </c>
      <c r="BM18" s="157">
        <f t="shared" si="24"/>
        <v>0</v>
      </c>
      <c r="BN18" s="157">
        <f>VLOOKUP($A18,'Over Under Bill 1 COPY 到CO欄位'!$1:$1048576,'Over Under Bill 1 COPY 到CO欄位'!BN$1,0)-VLOOKUP($A18,'Over Under Bill 1 COPY 到CO欄位'!$1:$1048576,'Over Under Bill 1 COPY 到CO欄位'!BI$1,0)</f>
        <v>0</v>
      </c>
      <c r="BO18" s="157">
        <f t="shared" si="25"/>
        <v>0</v>
      </c>
      <c r="BP18" s="158">
        <f>VLOOKUP($A18,'Over Under Bill 1 COPY 到CO欄位'!$1:$1048576,'Over Under Bill 1 COPY 到CO欄位'!BP$1,0)-VLOOKUP($A18,'Over Under Bill 1 COPY 到CO欄位'!$1:$1048576,'Over Under Bill 1 COPY 到CO欄位'!BK$1,0)</f>
        <v>0</v>
      </c>
      <c r="BQ18" s="158">
        <f>VLOOKUP($A18,'Over Under Bill 1 COPY 到CO欄位'!$1:$1048576,'Over Under Bill 1 COPY 到CO欄位'!BQ$1,0)-VLOOKUP($A18,'Over Under Bill 1 COPY 到CO欄位'!$1:$1048576,'Over Under Bill 1 COPY 到CO欄位'!BL$1,0)</f>
        <v>0</v>
      </c>
      <c r="BR18" s="158">
        <f t="shared" si="26"/>
        <v>0</v>
      </c>
      <c r="BS18" s="158">
        <f>VLOOKUP($A18,'Over Under Bill 1 COPY 到CO欄位'!$1:$1048576,'Over Under Bill 1 COPY 到CO欄位'!BS$1,0)-VLOOKUP($A18,'Over Under Bill 1 COPY 到CO欄位'!$1:$1048576,'Over Under Bill 1 COPY 到CO欄位'!BN$1,0)</f>
        <v>0</v>
      </c>
      <c r="BT18" s="158">
        <f t="shared" si="27"/>
        <v>0</v>
      </c>
      <c r="BU18" s="157">
        <f>VLOOKUP($A18,'Over Under Bill 1 COPY 到CO欄位'!$1:$1048576,'Over Under Bill 1 COPY 到CO欄位'!BP$1,0)-VLOOKUP($A18,'Over Under Bill 1 COPY 到CO欄位'!$1:$1048576,'Over Under Bill 1 COPY 到CO欄位'!H$1,0)</f>
        <v>0</v>
      </c>
      <c r="BV18" s="157">
        <f>VLOOKUP($A18,'Over Under Bill 1 COPY 到CO欄位'!$1:$1048576,'Over Under Bill 1 COPY 到CO欄位'!BQ$1,0)-VLOOKUP($A18,'Over Under Bill 1 COPY 到CO欄位'!$1:$1048576,'Over Under Bill 1 COPY 到CO欄位'!I$1,0)</f>
        <v>0</v>
      </c>
      <c r="BW18" s="157">
        <f t="shared" si="28"/>
        <v>0</v>
      </c>
      <c r="BX18" s="157">
        <f>VLOOKUP($A18,'Over Under Bill 1 COPY 到CO欄位'!$1:$1048576,'Over Under Bill 1 COPY 到CO欄位'!BS$1,0)-VLOOKUP($A18,'Over Under Bill 1 COPY 到CO欄位'!$1:$1048576,'Over Under Bill 1 COPY 到CO欄位'!K$1,0)</f>
        <v>0</v>
      </c>
      <c r="BY18" s="157">
        <f t="shared" si="29"/>
        <v>0</v>
      </c>
      <c r="BZ18" s="158">
        <f>VLOOKUP($A18,'Over Under Bill 1 COPY 到CO欄位'!$1:$1048576,'Over Under Bill 1 COPY 到CO欄位'!BU$1,0)-VLOOKUP($A18,'Over Under Bill 1 COPY 到CO欄位'!$1:$1048576,'Over Under Bill 1 COPY 到CO欄位'!BP$1,0)</f>
        <v>0</v>
      </c>
      <c r="CA18" s="158">
        <f>VLOOKUP($A18,'Over Under Bill 1 COPY 到CO欄位'!$1:$1048576,'Over Under Bill 1 COPY 到CO欄位'!BV$1,0)-VLOOKUP($A18,'Over Under Bill 1 COPY 到CO欄位'!$1:$1048576,'Over Under Bill 1 COPY 到CO欄位'!BQ$1,0)</f>
        <v>0</v>
      </c>
      <c r="CB18" s="158">
        <f t="shared" si="30"/>
        <v>0</v>
      </c>
      <c r="CC18" s="158">
        <f>VLOOKUP($A18,'Over Under Bill 1 COPY 到CO欄位'!$1:$1048576,'Over Under Bill 1 COPY 到CO欄位'!BX$1,0)-VLOOKUP($A18,'Over Under Bill 1 COPY 到CO欄位'!$1:$1048576,'Over Under Bill 1 COPY 到CO欄位'!BS$1,0)</f>
        <v>0</v>
      </c>
      <c r="CD18" s="158">
        <f t="shared" si="31"/>
        <v>0</v>
      </c>
      <c r="CE18" s="157">
        <f>VLOOKUP($A18,'Over Under Bill 1 COPY 到CO欄位'!$1:$1048576,'Over Under Bill 1 COPY 到CO欄位'!BZ$1,0)-VLOOKUP($A18,'Over Under Bill 1 COPY 到CO欄位'!$1:$1048576,'Over Under Bill 1 COPY 到CO欄位'!BU$1,0)</f>
        <v>0</v>
      </c>
      <c r="CF18" s="157">
        <f>VLOOKUP($A18,'Over Under Bill 1 COPY 到CO欄位'!$1:$1048576,'Over Under Bill 1 COPY 到CO欄位'!CA$1,0)-VLOOKUP($A18,'Over Under Bill 1 COPY 到CO欄位'!$1:$1048576,'Over Under Bill 1 COPY 到CO欄位'!BV$1,0)</f>
        <v>0</v>
      </c>
      <c r="CG18" s="157">
        <f t="shared" si="32"/>
        <v>0</v>
      </c>
      <c r="CH18" s="157">
        <f>VLOOKUP($A18,'Over Under Bill 1 COPY 到CO欄位'!$1:$1048576,'Over Under Bill 1 COPY 到CO欄位'!CC$1,0)-VLOOKUP($A18,'Over Under Bill 1 COPY 到CO欄位'!$1:$1048576,'Over Under Bill 1 COPY 到CO欄位'!BX$1,0)</f>
        <v>0</v>
      </c>
      <c r="CI18" s="157">
        <f t="shared" si="33"/>
        <v>0</v>
      </c>
      <c r="CJ18" s="158">
        <f>VLOOKUP($A18,'Over Under Bill 1 COPY 到CO欄位'!$1:$1048576,'Over Under Bill 1 COPY 到CO欄位'!CE$1,0)-VLOOKUP($A18,'Over Under Bill 1 COPY 到CO欄位'!$1:$1048576,'Over Under Bill 1 COPY 到CO欄位'!BZ$1,0)</f>
        <v>0</v>
      </c>
      <c r="CK18" s="158">
        <f>VLOOKUP($A18,'Over Under Bill 1 COPY 到CO欄位'!$1:$1048576,'Over Under Bill 1 COPY 到CO欄位'!CF$1,0)-VLOOKUP($A18,'Over Under Bill 1 COPY 到CO欄位'!$1:$1048576,'Over Under Bill 1 COPY 到CO欄位'!CA$1,0)</f>
        <v>0</v>
      </c>
      <c r="CL18" s="158">
        <f t="shared" si="34"/>
        <v>0</v>
      </c>
      <c r="CM18" s="158">
        <f>VLOOKUP($A18,'Over Under Bill 1 COPY 到CO欄位'!$1:$1048576,'Over Under Bill 1 COPY 到CO欄位'!CH$1,0)-VLOOKUP($A18,'Over Under Bill 1 COPY 到CO欄位'!$1:$1048576,'Over Under Bill 1 COPY 到CO欄位'!CC$1,0)</f>
        <v>0</v>
      </c>
      <c r="CN18" s="158">
        <f t="shared" si="35"/>
        <v>0</v>
      </c>
      <c r="CO18" s="157">
        <f>VLOOKUP($A18,'Over Under Bill 1 COPY 到CO欄位'!$1:$1048576,'Over Under Bill 1 COPY 到CO欄位'!CJ$1,0)-VLOOKUP($A18,'Over Under Bill 1 COPY 到CO欄位'!$1:$1048576,'Over Under Bill 1 COPY 到CO欄位'!CE$1,0)</f>
        <v>0</v>
      </c>
      <c r="CP18" s="157">
        <f>VLOOKUP($A18,'Over Under Bill 1 COPY 到CO欄位'!$1:$1048576,'Over Under Bill 1 COPY 到CO欄位'!CK$1,0)-VLOOKUP($A18,'Over Under Bill 1 COPY 到CO欄位'!$1:$1048576,'Over Under Bill 1 COPY 到CO欄位'!CF$1,0)</f>
        <v>0</v>
      </c>
      <c r="CQ18" s="157">
        <f t="shared" si="36"/>
        <v>0</v>
      </c>
      <c r="CR18" s="157">
        <f>VLOOKUP($A18,'Over Under Bill 1 COPY 到CO欄位'!$1:$1048576,'Over Under Bill 1 COPY 到CO欄位'!CM$1,0)-VLOOKUP($A18,'Over Under Bill 1 COPY 到CO欄位'!$1:$1048576,'Over Under Bill 1 COPY 到CO欄位'!CH$1,0)</f>
        <v>0</v>
      </c>
      <c r="CS18" s="157">
        <f t="shared" si="37"/>
        <v>0</v>
      </c>
    </row>
    <row r="19" spans="1:97">
      <c r="A19" s="155" t="s">
        <v>335</v>
      </c>
      <c r="B19" s="168" t="s">
        <v>336</v>
      </c>
      <c r="C19" s="157">
        <f>IFERROR(VLOOKUP($A19,'A0 BS 1240在建'!$1:$1048576,5,0),0)</f>
        <v>0</v>
      </c>
      <c r="D19" s="157">
        <f>IFERROR(VLOOKUP($A19,'B0 2264預收'!$1:$1048576,5,0),0)</f>
        <v>0</v>
      </c>
      <c r="E19" s="157">
        <f t="shared" si="0"/>
        <v>0</v>
      </c>
      <c r="F19" s="157">
        <f>IFERROR(VLOOKUP($A19,'B0 2264預收'!$1:$1048576,6,0),0)</f>
        <v>0</v>
      </c>
      <c r="G19" s="157">
        <f t="shared" si="1"/>
        <v>0</v>
      </c>
      <c r="H19" s="158">
        <f>IFERROR(VLOOKUP($A19,'A0 BS 1240在建'!$1:$1048576,13,0),0)-C19</f>
        <v>0</v>
      </c>
      <c r="I19" s="158">
        <f>IFERROR(VLOOKUP($A19,'B0 2264預收'!$1:$1048576,13,0),0)-D19</f>
        <v>0</v>
      </c>
      <c r="J19" s="158">
        <f t="shared" si="2"/>
        <v>0</v>
      </c>
      <c r="K19" s="158">
        <f>IFERROR(VLOOKUP($A19,'B0 2264預收'!$1:$1048576,14,0),0)-F19</f>
        <v>0</v>
      </c>
      <c r="L19" s="158">
        <f t="shared" si="3"/>
        <v>0</v>
      </c>
      <c r="M19" s="157">
        <f>VLOOKUP($A19,'Over Under Bill 1 COPY 到CO欄位'!$1:$1048576,'Over Under Bill 1 COPY 到CO欄位'!M$1,0)-VLOOKUP($A19,'Over Under Bill 1 COPY 到CO欄位'!$1:$1048576,'Over Under Bill 1 COPY 到CO欄位'!H$1,0)</f>
        <v>0</v>
      </c>
      <c r="N19" s="157">
        <f>VLOOKUP($A19,'Over Under Bill 1 COPY 到CO欄位'!$1:$1048576,'Over Under Bill 1 COPY 到CO欄位'!N$1,0)-VLOOKUP($A19,'Over Under Bill 1 COPY 到CO欄位'!$1:$1048576,'Over Under Bill 1 COPY 到CO欄位'!I$1,0)</f>
        <v>0</v>
      </c>
      <c r="O19" s="157">
        <f t="shared" si="4"/>
        <v>0</v>
      </c>
      <c r="P19" s="157">
        <f>VLOOKUP($A19,'Over Under Bill 1 COPY 到CO欄位'!$1:$1048576,'Over Under Bill 1 COPY 到CO欄位'!P$1,0)-VLOOKUP($A19,'Over Under Bill 1 COPY 到CO欄位'!$1:$1048576,'Over Under Bill 1 COPY 到CO欄位'!K$1,0)</f>
        <v>0</v>
      </c>
      <c r="Q19" s="157">
        <f t="shared" si="5"/>
        <v>0</v>
      </c>
      <c r="R19" s="158">
        <f>VLOOKUP($A19,'Over Under Bill 1 COPY 到CO欄位'!$1:$1048576,'Over Under Bill 1 COPY 到CO欄位'!R$1,0)-VLOOKUP($A19,'Over Under Bill 1 COPY 到CO欄位'!$1:$1048576,'Over Under Bill 1 COPY 到CO欄位'!M$1,0)</f>
        <v>0</v>
      </c>
      <c r="S19" s="158">
        <f>VLOOKUP($A19,'Over Under Bill 1 COPY 到CO欄位'!$1:$1048576,'Over Under Bill 1 COPY 到CO欄位'!S$1,0)-VLOOKUP($A19,'Over Under Bill 1 COPY 到CO欄位'!$1:$1048576,'Over Under Bill 1 COPY 到CO欄位'!N$1,0)</f>
        <v>0</v>
      </c>
      <c r="T19" s="158">
        <f t="shared" si="6"/>
        <v>0</v>
      </c>
      <c r="U19" s="158">
        <f>VLOOKUP($A19,'Over Under Bill 1 COPY 到CO欄位'!$1:$1048576,'Over Under Bill 1 COPY 到CO欄位'!U$1,0)-VLOOKUP($A19,'Over Under Bill 1 COPY 到CO欄位'!$1:$1048576,'Over Under Bill 1 COPY 到CO欄位'!P$1,0)</f>
        <v>0</v>
      </c>
      <c r="V19" s="158">
        <f t="shared" si="7"/>
        <v>0</v>
      </c>
      <c r="W19" s="157">
        <f>VLOOKUP($A19,'Over Under Bill 1 COPY 到CO欄位'!$1:$1048576,'Over Under Bill 1 COPY 到CO欄位'!W$1,0)-VLOOKUP($A19,'Over Under Bill 1 COPY 到CO欄位'!$1:$1048576,'Over Under Bill 1 COPY 到CO欄位'!R$1,0)</f>
        <v>0</v>
      </c>
      <c r="X19" s="157">
        <f>VLOOKUP($A19,'Over Under Bill 1 COPY 到CO欄位'!$1:$1048576,'Over Under Bill 1 COPY 到CO欄位'!X$1,0)-VLOOKUP($A19,'Over Under Bill 1 COPY 到CO欄位'!$1:$1048576,'Over Under Bill 1 COPY 到CO欄位'!S$1,0)</f>
        <v>0</v>
      </c>
      <c r="Y19" s="157">
        <f t="shared" si="8"/>
        <v>0</v>
      </c>
      <c r="Z19" s="157">
        <f>VLOOKUP($A19,'Over Under Bill 1 COPY 到CO欄位'!$1:$1048576,'Over Under Bill 1 COPY 到CO欄位'!Z$1,0)-VLOOKUP($A19,'Over Under Bill 1 COPY 到CO欄位'!$1:$1048576,'Over Under Bill 1 COPY 到CO欄位'!U$1,0)</f>
        <v>0</v>
      </c>
      <c r="AA19" s="157">
        <f t="shared" si="9"/>
        <v>0</v>
      </c>
      <c r="AB19" s="158">
        <f>VLOOKUP($A19,'Over Under Bill 1 COPY 到CO欄位'!$1:$1048576,'Over Under Bill 1 COPY 到CO欄位'!AB$1,0)-VLOOKUP($A19,'Over Under Bill 1 COPY 到CO欄位'!$1:$1048576,'Over Under Bill 1 COPY 到CO欄位'!W$1,0)</f>
        <v>0</v>
      </c>
      <c r="AC19" s="158">
        <f>VLOOKUP($A19,'Over Under Bill 1 COPY 到CO欄位'!$1:$1048576,'Over Under Bill 1 COPY 到CO欄位'!AC$1,0)-VLOOKUP($A19,'Over Under Bill 1 COPY 到CO欄位'!$1:$1048576,'Over Under Bill 1 COPY 到CO欄位'!X$1,0)</f>
        <v>0</v>
      </c>
      <c r="AD19" s="158">
        <f t="shared" si="10"/>
        <v>0</v>
      </c>
      <c r="AE19" s="158">
        <f>VLOOKUP($A19,'Over Under Bill 1 COPY 到CO欄位'!$1:$1048576,'Over Under Bill 1 COPY 到CO欄位'!AE$1,0)-VLOOKUP($A19,'Over Under Bill 1 COPY 到CO欄位'!$1:$1048576,'Over Under Bill 1 COPY 到CO欄位'!Z$1,0)</f>
        <v>0</v>
      </c>
      <c r="AF19" s="158">
        <f t="shared" si="11"/>
        <v>0</v>
      </c>
      <c r="AG19" s="157">
        <f>VLOOKUP($A19,'Over Under Bill 1 COPY 到CO欄位'!$1:$1048576,'Over Under Bill 1 COPY 到CO欄位'!AG$1,0)-VLOOKUP($A19,'Over Under Bill 1 COPY 到CO欄位'!$1:$1048576,'Over Under Bill 1 COPY 到CO欄位'!AB$1,0)</f>
        <v>0</v>
      </c>
      <c r="AH19" s="157">
        <f>VLOOKUP($A19,'Over Under Bill 1 COPY 到CO欄位'!$1:$1048576,'Over Under Bill 1 COPY 到CO欄位'!AH$1,0)-VLOOKUP($A19,'Over Under Bill 1 COPY 到CO欄位'!$1:$1048576,'Over Under Bill 1 COPY 到CO欄位'!AC$1,0)</f>
        <v>0</v>
      </c>
      <c r="AI19" s="157">
        <f t="shared" si="12"/>
        <v>0</v>
      </c>
      <c r="AJ19" s="157">
        <f>VLOOKUP($A19,'Over Under Bill 1 COPY 到CO欄位'!$1:$1048576,'Over Under Bill 1 COPY 到CO欄位'!AJ$1,0)-VLOOKUP($A19,'Over Under Bill 1 COPY 到CO欄位'!$1:$1048576,'Over Under Bill 1 COPY 到CO欄位'!AE$1,0)</f>
        <v>0</v>
      </c>
      <c r="AK19" s="157">
        <f t="shared" si="13"/>
        <v>0</v>
      </c>
      <c r="AL19" s="158">
        <f>VLOOKUP($A19,'Over Under Bill 1 COPY 到CO欄位'!$1:$1048576,'Over Under Bill 1 COPY 到CO欄位'!AL$1,0)-VLOOKUP($A19,'Over Under Bill 1 COPY 到CO欄位'!$1:$1048576,'Over Under Bill 1 COPY 到CO欄位'!AG$1,0)</f>
        <v>0</v>
      </c>
      <c r="AM19" s="158">
        <f>VLOOKUP($A19,'Over Under Bill 1 COPY 到CO欄位'!$1:$1048576,'Over Under Bill 1 COPY 到CO欄位'!AM$1,0)-VLOOKUP($A19,'Over Under Bill 1 COPY 到CO欄位'!$1:$1048576,'Over Under Bill 1 COPY 到CO欄位'!AH$1,0)</f>
        <v>0</v>
      </c>
      <c r="AN19" s="158">
        <f t="shared" si="14"/>
        <v>0</v>
      </c>
      <c r="AO19" s="158">
        <f>VLOOKUP($A19,'Over Under Bill 1 COPY 到CO欄位'!$1:$1048576,'Over Under Bill 1 COPY 到CO欄位'!AO$1,0)-VLOOKUP($A19,'Over Under Bill 1 COPY 到CO欄位'!$1:$1048576,'Over Under Bill 1 COPY 到CO欄位'!AJ$1,0)</f>
        <v>0</v>
      </c>
      <c r="AP19" s="158">
        <f t="shared" si="15"/>
        <v>0</v>
      </c>
      <c r="AQ19" s="157">
        <f>VLOOKUP($A19,'Over Under Bill 1 COPY 到CO欄位'!$1:$1048576,'Over Under Bill 1 COPY 到CO欄位'!AQ$1,0)-VLOOKUP($A19,'Over Under Bill 1 COPY 到CO欄位'!$1:$1048576,'Over Under Bill 1 COPY 到CO欄位'!AL$1,0)</f>
        <v>0</v>
      </c>
      <c r="AR19" s="157">
        <f>VLOOKUP($A19,'Over Under Bill 1 COPY 到CO欄位'!$1:$1048576,'Over Under Bill 1 COPY 到CO欄位'!AR$1,0)-VLOOKUP($A19,'Over Under Bill 1 COPY 到CO欄位'!$1:$1048576,'Over Under Bill 1 COPY 到CO欄位'!AM$1,0)</f>
        <v>0</v>
      </c>
      <c r="AS19" s="157">
        <f t="shared" si="16"/>
        <v>0</v>
      </c>
      <c r="AT19" s="157">
        <f>VLOOKUP($A19,'Over Under Bill 1 COPY 到CO欄位'!$1:$1048576,'Over Under Bill 1 COPY 到CO欄位'!AT$1,0)-VLOOKUP($A19,'Over Under Bill 1 COPY 到CO欄位'!$1:$1048576,'Over Under Bill 1 COPY 到CO欄位'!AO$1,0)</f>
        <v>0</v>
      </c>
      <c r="AU19" s="157">
        <f t="shared" si="17"/>
        <v>0</v>
      </c>
      <c r="AV19" s="158">
        <f>VLOOKUP($A19,'Over Under Bill 1 COPY 到CO欄位'!$1:$1048576,'Over Under Bill 1 COPY 到CO欄位'!AV$1,0)-VLOOKUP($A19,'Over Under Bill 1 COPY 到CO欄位'!$1:$1048576,'Over Under Bill 1 COPY 到CO欄位'!AQ$1,0)</f>
        <v>0</v>
      </c>
      <c r="AW19" s="158">
        <f>VLOOKUP($A19,'Over Under Bill 1 COPY 到CO欄位'!$1:$1048576,'Over Under Bill 1 COPY 到CO欄位'!AW$1,0)-VLOOKUP($A19,'Over Under Bill 1 COPY 到CO欄位'!$1:$1048576,'Over Under Bill 1 COPY 到CO欄位'!AR$1,0)</f>
        <v>0</v>
      </c>
      <c r="AX19" s="158">
        <f t="shared" si="18"/>
        <v>0</v>
      </c>
      <c r="AY19" s="158">
        <f>VLOOKUP($A19,'Over Under Bill 1 COPY 到CO欄位'!$1:$1048576,'Over Under Bill 1 COPY 到CO欄位'!AY$1,0)-VLOOKUP($A19,'Over Under Bill 1 COPY 到CO欄位'!$1:$1048576,'Over Under Bill 1 COPY 到CO欄位'!AT$1,0)</f>
        <v>0</v>
      </c>
      <c r="AZ19" s="158">
        <f t="shared" si="19"/>
        <v>0</v>
      </c>
      <c r="BA19" s="157">
        <f>VLOOKUP($A19,'Over Under Bill 1 COPY 到CO欄位'!$1:$1048576,'Over Under Bill 1 COPY 到CO欄位'!BA$1,0)-VLOOKUP($A19,'Over Under Bill 1 COPY 到CO欄位'!$1:$1048576,'Over Under Bill 1 COPY 到CO欄位'!AV$1,0)</f>
        <v>0</v>
      </c>
      <c r="BB19" s="157">
        <f>VLOOKUP($A19,'Over Under Bill 1 COPY 到CO欄位'!$1:$1048576,'Over Under Bill 1 COPY 到CO欄位'!BB$1,0)-VLOOKUP($A19,'Over Under Bill 1 COPY 到CO欄位'!$1:$1048576,'Over Under Bill 1 COPY 到CO欄位'!AW$1,0)</f>
        <v>0</v>
      </c>
      <c r="BC19" s="157">
        <f t="shared" si="20"/>
        <v>0</v>
      </c>
      <c r="BD19" s="157">
        <f>VLOOKUP($A19,'Over Under Bill 1 COPY 到CO欄位'!$1:$1048576,'Over Under Bill 1 COPY 到CO欄位'!BD$1,0)-VLOOKUP($A19,'Over Under Bill 1 COPY 到CO欄位'!$1:$1048576,'Over Under Bill 1 COPY 到CO欄位'!AY$1,0)</f>
        <v>0</v>
      </c>
      <c r="BE19" s="157">
        <f t="shared" si="21"/>
        <v>0</v>
      </c>
      <c r="BF19" s="158">
        <f>VLOOKUP($A19,'Over Under Bill 1 COPY 到CO欄位'!$1:$1048576,'Over Under Bill 1 COPY 到CO欄位'!BF$1,0)-VLOOKUP($A19,'Over Under Bill 1 COPY 到CO欄位'!$1:$1048576,'Over Under Bill 1 COPY 到CO欄位'!BA$1,0)</f>
        <v>0</v>
      </c>
      <c r="BG19" s="158">
        <f>VLOOKUP($A19,'Over Under Bill 1 COPY 到CO欄位'!$1:$1048576,'Over Under Bill 1 COPY 到CO欄位'!BG$1,0)-VLOOKUP($A19,'Over Under Bill 1 COPY 到CO欄位'!$1:$1048576,'Over Under Bill 1 COPY 到CO欄位'!BB$1,0)</f>
        <v>0</v>
      </c>
      <c r="BH19" s="158">
        <f t="shared" si="22"/>
        <v>0</v>
      </c>
      <c r="BI19" s="158">
        <f>VLOOKUP($A19,'Over Under Bill 1 COPY 到CO欄位'!$1:$1048576,'Over Under Bill 1 COPY 到CO欄位'!BI$1,0)-VLOOKUP($A19,'Over Under Bill 1 COPY 到CO欄位'!$1:$1048576,'Over Under Bill 1 COPY 到CO欄位'!BD$1,0)</f>
        <v>0</v>
      </c>
      <c r="BJ19" s="158">
        <f t="shared" si="23"/>
        <v>0</v>
      </c>
      <c r="BK19" s="157">
        <f>VLOOKUP($A19,'Over Under Bill 1 COPY 到CO欄位'!$1:$1048576,'Over Under Bill 1 COPY 到CO欄位'!BK$1,0)-VLOOKUP($A19,'Over Under Bill 1 COPY 到CO欄位'!$1:$1048576,'Over Under Bill 1 COPY 到CO欄位'!BF$1,0)</f>
        <v>0</v>
      </c>
      <c r="BL19" s="157">
        <f>VLOOKUP($A19,'Over Under Bill 1 COPY 到CO欄位'!$1:$1048576,'Over Under Bill 1 COPY 到CO欄位'!BL$1,0)-VLOOKUP($A19,'Over Under Bill 1 COPY 到CO欄位'!$1:$1048576,'Over Under Bill 1 COPY 到CO欄位'!BG$1,0)</f>
        <v>0</v>
      </c>
      <c r="BM19" s="157">
        <f t="shared" si="24"/>
        <v>0</v>
      </c>
      <c r="BN19" s="157">
        <f>VLOOKUP($A19,'Over Under Bill 1 COPY 到CO欄位'!$1:$1048576,'Over Under Bill 1 COPY 到CO欄位'!BN$1,0)-VLOOKUP($A19,'Over Under Bill 1 COPY 到CO欄位'!$1:$1048576,'Over Under Bill 1 COPY 到CO欄位'!BI$1,0)</f>
        <v>0</v>
      </c>
      <c r="BO19" s="157">
        <f t="shared" si="25"/>
        <v>0</v>
      </c>
      <c r="BP19" s="158">
        <f>VLOOKUP($A19,'Over Under Bill 1 COPY 到CO欄位'!$1:$1048576,'Over Under Bill 1 COPY 到CO欄位'!BP$1,0)-VLOOKUP($A19,'Over Under Bill 1 COPY 到CO欄位'!$1:$1048576,'Over Under Bill 1 COPY 到CO欄位'!BK$1,0)</f>
        <v>0</v>
      </c>
      <c r="BQ19" s="158">
        <f>VLOOKUP($A19,'Over Under Bill 1 COPY 到CO欄位'!$1:$1048576,'Over Under Bill 1 COPY 到CO欄位'!BQ$1,0)-VLOOKUP($A19,'Over Under Bill 1 COPY 到CO欄位'!$1:$1048576,'Over Under Bill 1 COPY 到CO欄位'!BL$1,0)</f>
        <v>0</v>
      </c>
      <c r="BR19" s="158">
        <f t="shared" si="26"/>
        <v>0</v>
      </c>
      <c r="BS19" s="158">
        <f>VLOOKUP($A19,'Over Under Bill 1 COPY 到CO欄位'!$1:$1048576,'Over Under Bill 1 COPY 到CO欄位'!BS$1,0)-VLOOKUP($A19,'Over Under Bill 1 COPY 到CO欄位'!$1:$1048576,'Over Under Bill 1 COPY 到CO欄位'!BN$1,0)</f>
        <v>0</v>
      </c>
      <c r="BT19" s="158">
        <f t="shared" si="27"/>
        <v>0</v>
      </c>
      <c r="BU19" s="157">
        <f>VLOOKUP($A19,'Over Under Bill 1 COPY 到CO欄位'!$1:$1048576,'Over Under Bill 1 COPY 到CO欄位'!BP$1,0)-VLOOKUP($A19,'Over Under Bill 1 COPY 到CO欄位'!$1:$1048576,'Over Under Bill 1 COPY 到CO欄位'!H$1,0)</f>
        <v>0</v>
      </c>
      <c r="BV19" s="157">
        <f>VLOOKUP($A19,'Over Under Bill 1 COPY 到CO欄位'!$1:$1048576,'Over Under Bill 1 COPY 到CO欄位'!BQ$1,0)-VLOOKUP($A19,'Over Under Bill 1 COPY 到CO欄位'!$1:$1048576,'Over Under Bill 1 COPY 到CO欄位'!I$1,0)</f>
        <v>0</v>
      </c>
      <c r="BW19" s="157">
        <f t="shared" si="28"/>
        <v>0</v>
      </c>
      <c r="BX19" s="157">
        <f>VLOOKUP($A19,'Over Under Bill 1 COPY 到CO欄位'!$1:$1048576,'Over Under Bill 1 COPY 到CO欄位'!BS$1,0)-VLOOKUP($A19,'Over Under Bill 1 COPY 到CO欄位'!$1:$1048576,'Over Under Bill 1 COPY 到CO欄位'!K$1,0)</f>
        <v>0</v>
      </c>
      <c r="BY19" s="157">
        <f t="shared" si="29"/>
        <v>0</v>
      </c>
      <c r="BZ19" s="158">
        <f>VLOOKUP($A19,'Over Under Bill 1 COPY 到CO欄位'!$1:$1048576,'Over Under Bill 1 COPY 到CO欄位'!BU$1,0)-VLOOKUP($A19,'Over Under Bill 1 COPY 到CO欄位'!$1:$1048576,'Over Under Bill 1 COPY 到CO欄位'!BP$1,0)</f>
        <v>0</v>
      </c>
      <c r="CA19" s="158">
        <f>VLOOKUP($A19,'Over Under Bill 1 COPY 到CO欄位'!$1:$1048576,'Over Under Bill 1 COPY 到CO欄位'!BV$1,0)-VLOOKUP($A19,'Over Under Bill 1 COPY 到CO欄位'!$1:$1048576,'Over Under Bill 1 COPY 到CO欄位'!BQ$1,0)</f>
        <v>0</v>
      </c>
      <c r="CB19" s="158">
        <f t="shared" si="30"/>
        <v>0</v>
      </c>
      <c r="CC19" s="158">
        <f>VLOOKUP($A19,'Over Under Bill 1 COPY 到CO欄位'!$1:$1048576,'Over Under Bill 1 COPY 到CO欄位'!BX$1,0)-VLOOKUP($A19,'Over Under Bill 1 COPY 到CO欄位'!$1:$1048576,'Over Under Bill 1 COPY 到CO欄位'!BS$1,0)</f>
        <v>0</v>
      </c>
      <c r="CD19" s="158">
        <f t="shared" si="31"/>
        <v>0</v>
      </c>
      <c r="CE19" s="157">
        <f>VLOOKUP($A19,'Over Under Bill 1 COPY 到CO欄位'!$1:$1048576,'Over Under Bill 1 COPY 到CO欄位'!BZ$1,0)-VLOOKUP($A19,'Over Under Bill 1 COPY 到CO欄位'!$1:$1048576,'Over Under Bill 1 COPY 到CO欄位'!BU$1,0)</f>
        <v>0</v>
      </c>
      <c r="CF19" s="157">
        <f>VLOOKUP($A19,'Over Under Bill 1 COPY 到CO欄位'!$1:$1048576,'Over Under Bill 1 COPY 到CO欄位'!CA$1,0)-VLOOKUP($A19,'Over Under Bill 1 COPY 到CO欄位'!$1:$1048576,'Over Under Bill 1 COPY 到CO欄位'!BV$1,0)</f>
        <v>0</v>
      </c>
      <c r="CG19" s="157">
        <f t="shared" si="32"/>
        <v>0</v>
      </c>
      <c r="CH19" s="157">
        <f>VLOOKUP($A19,'Over Under Bill 1 COPY 到CO欄位'!$1:$1048576,'Over Under Bill 1 COPY 到CO欄位'!CC$1,0)-VLOOKUP($A19,'Over Under Bill 1 COPY 到CO欄位'!$1:$1048576,'Over Under Bill 1 COPY 到CO欄位'!BX$1,0)</f>
        <v>0</v>
      </c>
      <c r="CI19" s="157">
        <f t="shared" si="33"/>
        <v>0</v>
      </c>
      <c r="CJ19" s="158">
        <f>VLOOKUP($A19,'Over Under Bill 1 COPY 到CO欄位'!$1:$1048576,'Over Under Bill 1 COPY 到CO欄位'!CE$1,0)-VLOOKUP($A19,'Over Under Bill 1 COPY 到CO欄位'!$1:$1048576,'Over Under Bill 1 COPY 到CO欄位'!BZ$1,0)</f>
        <v>0</v>
      </c>
      <c r="CK19" s="158">
        <f>VLOOKUP($A19,'Over Under Bill 1 COPY 到CO欄位'!$1:$1048576,'Over Under Bill 1 COPY 到CO欄位'!CF$1,0)-VLOOKUP($A19,'Over Under Bill 1 COPY 到CO欄位'!$1:$1048576,'Over Under Bill 1 COPY 到CO欄位'!CA$1,0)</f>
        <v>0</v>
      </c>
      <c r="CL19" s="158">
        <f t="shared" si="34"/>
        <v>0</v>
      </c>
      <c r="CM19" s="158">
        <f>VLOOKUP($A19,'Over Under Bill 1 COPY 到CO欄位'!$1:$1048576,'Over Under Bill 1 COPY 到CO欄位'!CH$1,0)-VLOOKUP($A19,'Over Under Bill 1 COPY 到CO欄位'!$1:$1048576,'Over Under Bill 1 COPY 到CO欄位'!CC$1,0)</f>
        <v>0</v>
      </c>
      <c r="CN19" s="158">
        <f t="shared" si="35"/>
        <v>0</v>
      </c>
      <c r="CO19" s="157">
        <f>VLOOKUP($A19,'Over Under Bill 1 COPY 到CO欄位'!$1:$1048576,'Over Under Bill 1 COPY 到CO欄位'!CJ$1,0)-VLOOKUP($A19,'Over Under Bill 1 COPY 到CO欄位'!$1:$1048576,'Over Under Bill 1 COPY 到CO欄位'!CE$1,0)</f>
        <v>0</v>
      </c>
      <c r="CP19" s="157">
        <f>VLOOKUP($A19,'Over Under Bill 1 COPY 到CO欄位'!$1:$1048576,'Over Under Bill 1 COPY 到CO欄位'!CK$1,0)-VLOOKUP($A19,'Over Under Bill 1 COPY 到CO欄位'!$1:$1048576,'Over Under Bill 1 COPY 到CO欄位'!CF$1,0)</f>
        <v>0</v>
      </c>
      <c r="CQ19" s="157">
        <f t="shared" si="36"/>
        <v>0</v>
      </c>
      <c r="CR19" s="157">
        <f>VLOOKUP($A19,'Over Under Bill 1 COPY 到CO欄位'!$1:$1048576,'Over Under Bill 1 COPY 到CO欄位'!CM$1,0)-VLOOKUP($A19,'Over Under Bill 1 COPY 到CO欄位'!$1:$1048576,'Over Under Bill 1 COPY 到CO欄位'!CH$1,0)</f>
        <v>0</v>
      </c>
      <c r="CS19" s="157">
        <f t="shared" si="37"/>
        <v>0</v>
      </c>
    </row>
    <row r="20" spans="1:97">
      <c r="A20" s="155" t="s">
        <v>337</v>
      </c>
      <c r="B20" s="168" t="s">
        <v>338</v>
      </c>
      <c r="C20" s="157">
        <f>IFERROR(VLOOKUP($A20,'A0 BS 1240在建'!$1:$1048576,5,0),0)</f>
        <v>0</v>
      </c>
      <c r="D20" s="157">
        <f>IFERROR(VLOOKUP($A20,'B0 2264預收'!$1:$1048576,5,0),0)</f>
        <v>0</v>
      </c>
      <c r="E20" s="157">
        <f t="shared" si="0"/>
        <v>0</v>
      </c>
      <c r="F20" s="157">
        <f>IFERROR(VLOOKUP($A20,'B0 2264預收'!$1:$1048576,6,0),0)</f>
        <v>0</v>
      </c>
      <c r="G20" s="157">
        <f t="shared" si="1"/>
        <v>0</v>
      </c>
      <c r="H20" s="158">
        <f>IFERROR(VLOOKUP($A20,'A0 BS 1240在建'!$1:$1048576,13,0),0)-C20</f>
        <v>0</v>
      </c>
      <c r="I20" s="158">
        <f>IFERROR(VLOOKUP($A20,'B0 2264預收'!$1:$1048576,13,0),0)-D20</f>
        <v>0</v>
      </c>
      <c r="J20" s="158">
        <f t="shared" si="2"/>
        <v>0</v>
      </c>
      <c r="K20" s="158">
        <f>IFERROR(VLOOKUP($A20,'B0 2264預收'!$1:$1048576,14,0),0)-F20</f>
        <v>0</v>
      </c>
      <c r="L20" s="158">
        <f t="shared" si="3"/>
        <v>0</v>
      </c>
      <c r="M20" s="157">
        <f>VLOOKUP($A20,'Over Under Bill 1 COPY 到CO欄位'!$1:$1048576,'Over Under Bill 1 COPY 到CO欄位'!M$1,0)-VLOOKUP($A20,'Over Under Bill 1 COPY 到CO欄位'!$1:$1048576,'Over Under Bill 1 COPY 到CO欄位'!H$1,0)</f>
        <v>0</v>
      </c>
      <c r="N20" s="157">
        <f>VLOOKUP($A20,'Over Under Bill 1 COPY 到CO欄位'!$1:$1048576,'Over Under Bill 1 COPY 到CO欄位'!N$1,0)-VLOOKUP($A20,'Over Under Bill 1 COPY 到CO欄位'!$1:$1048576,'Over Under Bill 1 COPY 到CO欄位'!I$1,0)</f>
        <v>0</v>
      </c>
      <c r="O20" s="157">
        <f t="shared" si="4"/>
        <v>0</v>
      </c>
      <c r="P20" s="157">
        <f>VLOOKUP($A20,'Over Under Bill 1 COPY 到CO欄位'!$1:$1048576,'Over Under Bill 1 COPY 到CO欄位'!P$1,0)-VLOOKUP($A20,'Over Under Bill 1 COPY 到CO欄位'!$1:$1048576,'Over Under Bill 1 COPY 到CO欄位'!K$1,0)</f>
        <v>0</v>
      </c>
      <c r="Q20" s="157">
        <f t="shared" si="5"/>
        <v>0</v>
      </c>
      <c r="R20" s="158">
        <f>VLOOKUP($A20,'Over Under Bill 1 COPY 到CO欄位'!$1:$1048576,'Over Under Bill 1 COPY 到CO欄位'!R$1,0)-VLOOKUP($A20,'Over Under Bill 1 COPY 到CO欄位'!$1:$1048576,'Over Under Bill 1 COPY 到CO欄位'!M$1,0)</f>
        <v>0</v>
      </c>
      <c r="S20" s="158">
        <f>VLOOKUP($A20,'Over Under Bill 1 COPY 到CO欄位'!$1:$1048576,'Over Under Bill 1 COPY 到CO欄位'!S$1,0)-VLOOKUP($A20,'Over Under Bill 1 COPY 到CO欄位'!$1:$1048576,'Over Under Bill 1 COPY 到CO欄位'!N$1,0)</f>
        <v>0</v>
      </c>
      <c r="T20" s="158">
        <f t="shared" si="6"/>
        <v>0</v>
      </c>
      <c r="U20" s="158">
        <f>VLOOKUP($A20,'Over Under Bill 1 COPY 到CO欄位'!$1:$1048576,'Over Under Bill 1 COPY 到CO欄位'!U$1,0)-VLOOKUP($A20,'Over Under Bill 1 COPY 到CO欄位'!$1:$1048576,'Over Under Bill 1 COPY 到CO欄位'!P$1,0)</f>
        <v>0</v>
      </c>
      <c r="V20" s="158">
        <f t="shared" si="7"/>
        <v>0</v>
      </c>
      <c r="W20" s="157">
        <f>VLOOKUP($A20,'Over Under Bill 1 COPY 到CO欄位'!$1:$1048576,'Over Under Bill 1 COPY 到CO欄位'!W$1,0)-VLOOKUP($A20,'Over Under Bill 1 COPY 到CO欄位'!$1:$1048576,'Over Under Bill 1 COPY 到CO欄位'!R$1,0)</f>
        <v>0</v>
      </c>
      <c r="X20" s="157">
        <f>VLOOKUP($A20,'Over Under Bill 1 COPY 到CO欄位'!$1:$1048576,'Over Under Bill 1 COPY 到CO欄位'!X$1,0)-VLOOKUP($A20,'Over Under Bill 1 COPY 到CO欄位'!$1:$1048576,'Over Under Bill 1 COPY 到CO欄位'!S$1,0)</f>
        <v>0</v>
      </c>
      <c r="Y20" s="157">
        <f t="shared" si="8"/>
        <v>0</v>
      </c>
      <c r="Z20" s="157">
        <f>VLOOKUP($A20,'Over Under Bill 1 COPY 到CO欄位'!$1:$1048576,'Over Under Bill 1 COPY 到CO欄位'!Z$1,0)-VLOOKUP($A20,'Over Under Bill 1 COPY 到CO欄位'!$1:$1048576,'Over Under Bill 1 COPY 到CO欄位'!U$1,0)</f>
        <v>0</v>
      </c>
      <c r="AA20" s="157">
        <f t="shared" si="9"/>
        <v>0</v>
      </c>
      <c r="AB20" s="158">
        <f>VLOOKUP($A20,'Over Under Bill 1 COPY 到CO欄位'!$1:$1048576,'Over Under Bill 1 COPY 到CO欄位'!AB$1,0)-VLOOKUP($A20,'Over Under Bill 1 COPY 到CO欄位'!$1:$1048576,'Over Under Bill 1 COPY 到CO欄位'!W$1,0)</f>
        <v>0</v>
      </c>
      <c r="AC20" s="158">
        <f>VLOOKUP($A20,'Over Under Bill 1 COPY 到CO欄位'!$1:$1048576,'Over Under Bill 1 COPY 到CO欄位'!AC$1,0)-VLOOKUP($A20,'Over Under Bill 1 COPY 到CO欄位'!$1:$1048576,'Over Under Bill 1 COPY 到CO欄位'!X$1,0)</f>
        <v>0</v>
      </c>
      <c r="AD20" s="158">
        <f t="shared" si="10"/>
        <v>0</v>
      </c>
      <c r="AE20" s="158">
        <f>VLOOKUP($A20,'Over Under Bill 1 COPY 到CO欄位'!$1:$1048576,'Over Under Bill 1 COPY 到CO欄位'!AE$1,0)-VLOOKUP($A20,'Over Under Bill 1 COPY 到CO欄位'!$1:$1048576,'Over Under Bill 1 COPY 到CO欄位'!Z$1,0)</f>
        <v>0</v>
      </c>
      <c r="AF20" s="158">
        <f t="shared" si="11"/>
        <v>0</v>
      </c>
      <c r="AG20" s="157">
        <f>VLOOKUP($A20,'Over Under Bill 1 COPY 到CO欄位'!$1:$1048576,'Over Under Bill 1 COPY 到CO欄位'!AG$1,0)-VLOOKUP($A20,'Over Under Bill 1 COPY 到CO欄位'!$1:$1048576,'Over Under Bill 1 COPY 到CO欄位'!AB$1,0)</f>
        <v>0</v>
      </c>
      <c r="AH20" s="157">
        <f>VLOOKUP($A20,'Over Under Bill 1 COPY 到CO欄位'!$1:$1048576,'Over Under Bill 1 COPY 到CO欄位'!AH$1,0)-VLOOKUP($A20,'Over Under Bill 1 COPY 到CO欄位'!$1:$1048576,'Over Under Bill 1 COPY 到CO欄位'!AC$1,0)</f>
        <v>0</v>
      </c>
      <c r="AI20" s="157">
        <f t="shared" si="12"/>
        <v>0</v>
      </c>
      <c r="AJ20" s="157">
        <f>VLOOKUP($A20,'Over Under Bill 1 COPY 到CO欄位'!$1:$1048576,'Over Under Bill 1 COPY 到CO欄位'!AJ$1,0)-VLOOKUP($A20,'Over Under Bill 1 COPY 到CO欄位'!$1:$1048576,'Over Under Bill 1 COPY 到CO欄位'!AE$1,0)</f>
        <v>0</v>
      </c>
      <c r="AK20" s="157">
        <f t="shared" si="13"/>
        <v>0</v>
      </c>
      <c r="AL20" s="158">
        <f>VLOOKUP($A20,'Over Under Bill 1 COPY 到CO欄位'!$1:$1048576,'Over Under Bill 1 COPY 到CO欄位'!AL$1,0)-VLOOKUP($A20,'Over Under Bill 1 COPY 到CO欄位'!$1:$1048576,'Over Under Bill 1 COPY 到CO欄位'!AG$1,0)</f>
        <v>0</v>
      </c>
      <c r="AM20" s="158">
        <f>VLOOKUP($A20,'Over Under Bill 1 COPY 到CO欄位'!$1:$1048576,'Over Under Bill 1 COPY 到CO欄位'!AM$1,0)-VLOOKUP($A20,'Over Under Bill 1 COPY 到CO欄位'!$1:$1048576,'Over Under Bill 1 COPY 到CO欄位'!AH$1,0)</f>
        <v>0</v>
      </c>
      <c r="AN20" s="158">
        <f t="shared" si="14"/>
        <v>0</v>
      </c>
      <c r="AO20" s="158">
        <f>VLOOKUP($A20,'Over Under Bill 1 COPY 到CO欄位'!$1:$1048576,'Over Under Bill 1 COPY 到CO欄位'!AO$1,0)-VLOOKUP($A20,'Over Under Bill 1 COPY 到CO欄位'!$1:$1048576,'Over Under Bill 1 COPY 到CO欄位'!AJ$1,0)</f>
        <v>0</v>
      </c>
      <c r="AP20" s="158">
        <f t="shared" si="15"/>
        <v>0</v>
      </c>
      <c r="AQ20" s="157">
        <f>VLOOKUP($A20,'Over Under Bill 1 COPY 到CO欄位'!$1:$1048576,'Over Under Bill 1 COPY 到CO欄位'!AQ$1,0)-VLOOKUP($A20,'Over Under Bill 1 COPY 到CO欄位'!$1:$1048576,'Over Under Bill 1 COPY 到CO欄位'!AL$1,0)</f>
        <v>0</v>
      </c>
      <c r="AR20" s="157">
        <f>VLOOKUP($A20,'Over Under Bill 1 COPY 到CO欄位'!$1:$1048576,'Over Under Bill 1 COPY 到CO欄位'!AR$1,0)-VLOOKUP($A20,'Over Under Bill 1 COPY 到CO欄位'!$1:$1048576,'Over Under Bill 1 COPY 到CO欄位'!AM$1,0)</f>
        <v>0</v>
      </c>
      <c r="AS20" s="157">
        <f t="shared" si="16"/>
        <v>0</v>
      </c>
      <c r="AT20" s="157">
        <f>VLOOKUP($A20,'Over Under Bill 1 COPY 到CO欄位'!$1:$1048576,'Over Under Bill 1 COPY 到CO欄位'!AT$1,0)-VLOOKUP($A20,'Over Under Bill 1 COPY 到CO欄位'!$1:$1048576,'Over Under Bill 1 COPY 到CO欄位'!AO$1,0)</f>
        <v>0</v>
      </c>
      <c r="AU20" s="157">
        <f t="shared" si="17"/>
        <v>0</v>
      </c>
      <c r="AV20" s="158">
        <f>VLOOKUP($A20,'Over Under Bill 1 COPY 到CO欄位'!$1:$1048576,'Over Under Bill 1 COPY 到CO欄位'!AV$1,0)-VLOOKUP($A20,'Over Under Bill 1 COPY 到CO欄位'!$1:$1048576,'Over Under Bill 1 COPY 到CO欄位'!AQ$1,0)</f>
        <v>0</v>
      </c>
      <c r="AW20" s="158">
        <f>VLOOKUP($A20,'Over Under Bill 1 COPY 到CO欄位'!$1:$1048576,'Over Under Bill 1 COPY 到CO欄位'!AW$1,0)-VLOOKUP($A20,'Over Under Bill 1 COPY 到CO欄位'!$1:$1048576,'Over Under Bill 1 COPY 到CO欄位'!AR$1,0)</f>
        <v>0</v>
      </c>
      <c r="AX20" s="158">
        <f t="shared" si="18"/>
        <v>0</v>
      </c>
      <c r="AY20" s="158">
        <f>VLOOKUP($A20,'Over Under Bill 1 COPY 到CO欄位'!$1:$1048576,'Over Under Bill 1 COPY 到CO欄位'!AY$1,0)-VLOOKUP($A20,'Over Under Bill 1 COPY 到CO欄位'!$1:$1048576,'Over Under Bill 1 COPY 到CO欄位'!AT$1,0)</f>
        <v>0</v>
      </c>
      <c r="AZ20" s="158">
        <f t="shared" si="19"/>
        <v>0</v>
      </c>
      <c r="BA20" s="157">
        <f>VLOOKUP($A20,'Over Under Bill 1 COPY 到CO欄位'!$1:$1048576,'Over Under Bill 1 COPY 到CO欄位'!BA$1,0)-VLOOKUP($A20,'Over Under Bill 1 COPY 到CO欄位'!$1:$1048576,'Over Under Bill 1 COPY 到CO欄位'!AV$1,0)</f>
        <v>0</v>
      </c>
      <c r="BB20" s="157">
        <f>VLOOKUP($A20,'Over Under Bill 1 COPY 到CO欄位'!$1:$1048576,'Over Under Bill 1 COPY 到CO欄位'!BB$1,0)-VLOOKUP($A20,'Over Under Bill 1 COPY 到CO欄位'!$1:$1048576,'Over Under Bill 1 COPY 到CO欄位'!AW$1,0)</f>
        <v>0</v>
      </c>
      <c r="BC20" s="157">
        <f t="shared" si="20"/>
        <v>0</v>
      </c>
      <c r="BD20" s="157">
        <f>VLOOKUP($A20,'Over Under Bill 1 COPY 到CO欄位'!$1:$1048576,'Over Under Bill 1 COPY 到CO欄位'!BD$1,0)-VLOOKUP($A20,'Over Under Bill 1 COPY 到CO欄位'!$1:$1048576,'Over Under Bill 1 COPY 到CO欄位'!AY$1,0)</f>
        <v>0</v>
      </c>
      <c r="BE20" s="157">
        <f t="shared" si="21"/>
        <v>0</v>
      </c>
      <c r="BF20" s="158">
        <f>VLOOKUP($A20,'Over Under Bill 1 COPY 到CO欄位'!$1:$1048576,'Over Under Bill 1 COPY 到CO欄位'!BF$1,0)-VLOOKUP($A20,'Over Under Bill 1 COPY 到CO欄位'!$1:$1048576,'Over Under Bill 1 COPY 到CO欄位'!BA$1,0)</f>
        <v>0</v>
      </c>
      <c r="BG20" s="158">
        <f>VLOOKUP($A20,'Over Under Bill 1 COPY 到CO欄位'!$1:$1048576,'Over Under Bill 1 COPY 到CO欄位'!BG$1,0)-VLOOKUP($A20,'Over Under Bill 1 COPY 到CO欄位'!$1:$1048576,'Over Under Bill 1 COPY 到CO欄位'!BB$1,0)</f>
        <v>0</v>
      </c>
      <c r="BH20" s="158">
        <f t="shared" si="22"/>
        <v>0</v>
      </c>
      <c r="BI20" s="158">
        <f>VLOOKUP($A20,'Over Under Bill 1 COPY 到CO欄位'!$1:$1048576,'Over Under Bill 1 COPY 到CO欄位'!BI$1,0)-VLOOKUP($A20,'Over Under Bill 1 COPY 到CO欄位'!$1:$1048576,'Over Under Bill 1 COPY 到CO欄位'!BD$1,0)</f>
        <v>0</v>
      </c>
      <c r="BJ20" s="158">
        <f t="shared" si="23"/>
        <v>0</v>
      </c>
      <c r="BK20" s="157">
        <f>VLOOKUP($A20,'Over Under Bill 1 COPY 到CO欄位'!$1:$1048576,'Over Under Bill 1 COPY 到CO欄位'!BK$1,0)-VLOOKUP($A20,'Over Under Bill 1 COPY 到CO欄位'!$1:$1048576,'Over Under Bill 1 COPY 到CO欄位'!BF$1,0)</f>
        <v>0</v>
      </c>
      <c r="BL20" s="157">
        <f>VLOOKUP($A20,'Over Under Bill 1 COPY 到CO欄位'!$1:$1048576,'Over Under Bill 1 COPY 到CO欄位'!BL$1,0)-VLOOKUP($A20,'Over Under Bill 1 COPY 到CO欄位'!$1:$1048576,'Over Under Bill 1 COPY 到CO欄位'!BG$1,0)</f>
        <v>0</v>
      </c>
      <c r="BM20" s="157">
        <f t="shared" si="24"/>
        <v>0</v>
      </c>
      <c r="BN20" s="157">
        <f>VLOOKUP($A20,'Over Under Bill 1 COPY 到CO欄位'!$1:$1048576,'Over Under Bill 1 COPY 到CO欄位'!BN$1,0)-VLOOKUP($A20,'Over Under Bill 1 COPY 到CO欄位'!$1:$1048576,'Over Under Bill 1 COPY 到CO欄位'!BI$1,0)</f>
        <v>0</v>
      </c>
      <c r="BO20" s="157">
        <f t="shared" si="25"/>
        <v>0</v>
      </c>
      <c r="BP20" s="158">
        <f>VLOOKUP($A20,'Over Under Bill 1 COPY 到CO欄位'!$1:$1048576,'Over Under Bill 1 COPY 到CO欄位'!BP$1,0)-VLOOKUP($A20,'Over Under Bill 1 COPY 到CO欄位'!$1:$1048576,'Over Under Bill 1 COPY 到CO欄位'!BK$1,0)</f>
        <v>0</v>
      </c>
      <c r="BQ20" s="158">
        <f>VLOOKUP($A20,'Over Under Bill 1 COPY 到CO欄位'!$1:$1048576,'Over Under Bill 1 COPY 到CO欄位'!BQ$1,0)-VLOOKUP($A20,'Over Under Bill 1 COPY 到CO欄位'!$1:$1048576,'Over Under Bill 1 COPY 到CO欄位'!BL$1,0)</f>
        <v>0</v>
      </c>
      <c r="BR20" s="158">
        <f t="shared" si="26"/>
        <v>0</v>
      </c>
      <c r="BS20" s="158">
        <f>VLOOKUP($A20,'Over Under Bill 1 COPY 到CO欄位'!$1:$1048576,'Over Under Bill 1 COPY 到CO欄位'!BS$1,0)-VLOOKUP($A20,'Over Under Bill 1 COPY 到CO欄位'!$1:$1048576,'Over Under Bill 1 COPY 到CO欄位'!BN$1,0)</f>
        <v>0</v>
      </c>
      <c r="BT20" s="158">
        <f t="shared" si="27"/>
        <v>0</v>
      </c>
      <c r="BU20" s="157">
        <f>VLOOKUP($A20,'Over Under Bill 1 COPY 到CO欄位'!$1:$1048576,'Over Under Bill 1 COPY 到CO欄位'!BP$1,0)-VLOOKUP($A20,'Over Under Bill 1 COPY 到CO欄位'!$1:$1048576,'Over Under Bill 1 COPY 到CO欄位'!H$1,0)</f>
        <v>0</v>
      </c>
      <c r="BV20" s="157">
        <f>VLOOKUP($A20,'Over Under Bill 1 COPY 到CO欄位'!$1:$1048576,'Over Under Bill 1 COPY 到CO欄位'!BQ$1,0)-VLOOKUP($A20,'Over Under Bill 1 COPY 到CO欄位'!$1:$1048576,'Over Under Bill 1 COPY 到CO欄位'!I$1,0)</f>
        <v>0</v>
      </c>
      <c r="BW20" s="157">
        <f t="shared" si="28"/>
        <v>0</v>
      </c>
      <c r="BX20" s="157">
        <f>VLOOKUP($A20,'Over Under Bill 1 COPY 到CO欄位'!$1:$1048576,'Over Under Bill 1 COPY 到CO欄位'!BS$1,0)-VLOOKUP($A20,'Over Under Bill 1 COPY 到CO欄位'!$1:$1048576,'Over Under Bill 1 COPY 到CO欄位'!K$1,0)</f>
        <v>0</v>
      </c>
      <c r="BY20" s="157">
        <f t="shared" si="29"/>
        <v>0</v>
      </c>
      <c r="BZ20" s="158">
        <f>VLOOKUP($A20,'Over Under Bill 1 COPY 到CO欄位'!$1:$1048576,'Over Under Bill 1 COPY 到CO欄位'!BU$1,0)-VLOOKUP($A20,'Over Under Bill 1 COPY 到CO欄位'!$1:$1048576,'Over Under Bill 1 COPY 到CO欄位'!BP$1,0)</f>
        <v>0</v>
      </c>
      <c r="CA20" s="158">
        <f>VLOOKUP($A20,'Over Under Bill 1 COPY 到CO欄位'!$1:$1048576,'Over Under Bill 1 COPY 到CO欄位'!BV$1,0)-VLOOKUP($A20,'Over Under Bill 1 COPY 到CO欄位'!$1:$1048576,'Over Under Bill 1 COPY 到CO欄位'!BQ$1,0)</f>
        <v>0</v>
      </c>
      <c r="CB20" s="158">
        <f t="shared" si="30"/>
        <v>0</v>
      </c>
      <c r="CC20" s="158">
        <f>VLOOKUP($A20,'Over Under Bill 1 COPY 到CO欄位'!$1:$1048576,'Over Under Bill 1 COPY 到CO欄位'!BX$1,0)-VLOOKUP($A20,'Over Under Bill 1 COPY 到CO欄位'!$1:$1048576,'Over Under Bill 1 COPY 到CO欄位'!BS$1,0)</f>
        <v>0</v>
      </c>
      <c r="CD20" s="158">
        <f t="shared" si="31"/>
        <v>0</v>
      </c>
      <c r="CE20" s="157">
        <f>VLOOKUP($A20,'Over Under Bill 1 COPY 到CO欄位'!$1:$1048576,'Over Under Bill 1 COPY 到CO欄位'!BZ$1,0)-VLOOKUP($A20,'Over Under Bill 1 COPY 到CO欄位'!$1:$1048576,'Over Under Bill 1 COPY 到CO欄位'!BU$1,0)</f>
        <v>0</v>
      </c>
      <c r="CF20" s="157">
        <f>VLOOKUP($A20,'Over Under Bill 1 COPY 到CO欄位'!$1:$1048576,'Over Under Bill 1 COPY 到CO欄位'!CA$1,0)-VLOOKUP($A20,'Over Under Bill 1 COPY 到CO欄位'!$1:$1048576,'Over Under Bill 1 COPY 到CO欄位'!BV$1,0)</f>
        <v>0</v>
      </c>
      <c r="CG20" s="157">
        <f t="shared" si="32"/>
        <v>0</v>
      </c>
      <c r="CH20" s="157">
        <f>VLOOKUP($A20,'Over Under Bill 1 COPY 到CO欄位'!$1:$1048576,'Over Under Bill 1 COPY 到CO欄位'!CC$1,0)-VLOOKUP($A20,'Over Under Bill 1 COPY 到CO欄位'!$1:$1048576,'Over Under Bill 1 COPY 到CO欄位'!BX$1,0)</f>
        <v>0</v>
      </c>
      <c r="CI20" s="157">
        <f t="shared" si="33"/>
        <v>0</v>
      </c>
      <c r="CJ20" s="158">
        <f>VLOOKUP($A20,'Over Under Bill 1 COPY 到CO欄位'!$1:$1048576,'Over Under Bill 1 COPY 到CO欄位'!CE$1,0)-VLOOKUP($A20,'Over Under Bill 1 COPY 到CO欄位'!$1:$1048576,'Over Under Bill 1 COPY 到CO欄位'!BZ$1,0)</f>
        <v>0</v>
      </c>
      <c r="CK20" s="158">
        <f>VLOOKUP($A20,'Over Under Bill 1 COPY 到CO欄位'!$1:$1048576,'Over Under Bill 1 COPY 到CO欄位'!CF$1,0)-VLOOKUP($A20,'Over Under Bill 1 COPY 到CO欄位'!$1:$1048576,'Over Under Bill 1 COPY 到CO欄位'!CA$1,0)</f>
        <v>0</v>
      </c>
      <c r="CL20" s="158">
        <f t="shared" si="34"/>
        <v>0</v>
      </c>
      <c r="CM20" s="158">
        <f>VLOOKUP($A20,'Over Under Bill 1 COPY 到CO欄位'!$1:$1048576,'Over Under Bill 1 COPY 到CO欄位'!CH$1,0)-VLOOKUP($A20,'Over Under Bill 1 COPY 到CO欄位'!$1:$1048576,'Over Under Bill 1 COPY 到CO欄位'!CC$1,0)</f>
        <v>0</v>
      </c>
      <c r="CN20" s="158">
        <f t="shared" si="35"/>
        <v>0</v>
      </c>
      <c r="CO20" s="157">
        <f>VLOOKUP($A20,'Over Under Bill 1 COPY 到CO欄位'!$1:$1048576,'Over Under Bill 1 COPY 到CO欄位'!CJ$1,0)-VLOOKUP($A20,'Over Under Bill 1 COPY 到CO欄位'!$1:$1048576,'Over Under Bill 1 COPY 到CO欄位'!CE$1,0)</f>
        <v>0</v>
      </c>
      <c r="CP20" s="157">
        <f>VLOOKUP($A20,'Over Under Bill 1 COPY 到CO欄位'!$1:$1048576,'Over Under Bill 1 COPY 到CO欄位'!CK$1,0)-VLOOKUP($A20,'Over Under Bill 1 COPY 到CO欄位'!$1:$1048576,'Over Under Bill 1 COPY 到CO欄位'!CF$1,0)</f>
        <v>0</v>
      </c>
      <c r="CQ20" s="157">
        <f t="shared" si="36"/>
        <v>0</v>
      </c>
      <c r="CR20" s="157">
        <f>VLOOKUP($A20,'Over Under Bill 1 COPY 到CO欄位'!$1:$1048576,'Over Under Bill 1 COPY 到CO欄位'!CM$1,0)-VLOOKUP($A20,'Over Under Bill 1 COPY 到CO欄位'!$1:$1048576,'Over Under Bill 1 COPY 到CO欄位'!CH$1,0)</f>
        <v>0</v>
      </c>
      <c r="CS20" s="157">
        <f t="shared" si="37"/>
        <v>0</v>
      </c>
    </row>
    <row r="21" spans="1:97">
      <c r="A21" s="155" t="s">
        <v>339</v>
      </c>
      <c r="B21" s="168" t="s">
        <v>340</v>
      </c>
      <c r="C21" s="157">
        <f>IFERROR(VLOOKUP($A21,'A0 BS 1240在建'!$1:$1048576,5,0),0)</f>
        <v>0</v>
      </c>
      <c r="D21" s="157">
        <f>IFERROR(VLOOKUP($A21,'B0 2264預收'!$1:$1048576,5,0),0)</f>
        <v>0</v>
      </c>
      <c r="E21" s="157">
        <f t="shared" si="0"/>
        <v>0</v>
      </c>
      <c r="F21" s="157">
        <f>IFERROR(VLOOKUP($A21,'B0 2264預收'!$1:$1048576,6,0),0)</f>
        <v>0</v>
      </c>
      <c r="G21" s="157">
        <f t="shared" si="1"/>
        <v>0</v>
      </c>
      <c r="H21" s="158">
        <f>IFERROR(VLOOKUP($A21,'A0 BS 1240在建'!$1:$1048576,13,0),0)-C21</f>
        <v>0</v>
      </c>
      <c r="I21" s="158">
        <f>IFERROR(VLOOKUP($A21,'B0 2264預收'!$1:$1048576,13,0),0)-D21</f>
        <v>0</v>
      </c>
      <c r="J21" s="158">
        <f t="shared" si="2"/>
        <v>0</v>
      </c>
      <c r="K21" s="158">
        <f>IFERROR(VLOOKUP($A21,'B0 2264預收'!$1:$1048576,14,0),0)-F21</f>
        <v>0</v>
      </c>
      <c r="L21" s="158">
        <f t="shared" si="3"/>
        <v>0</v>
      </c>
      <c r="M21" s="157">
        <f>VLOOKUP($A21,'Over Under Bill 1 COPY 到CO欄位'!$1:$1048576,'Over Under Bill 1 COPY 到CO欄位'!M$1,0)-VLOOKUP($A21,'Over Under Bill 1 COPY 到CO欄位'!$1:$1048576,'Over Under Bill 1 COPY 到CO欄位'!H$1,0)</f>
        <v>0</v>
      </c>
      <c r="N21" s="157">
        <f>VLOOKUP($A21,'Over Under Bill 1 COPY 到CO欄位'!$1:$1048576,'Over Under Bill 1 COPY 到CO欄位'!N$1,0)-VLOOKUP($A21,'Over Under Bill 1 COPY 到CO欄位'!$1:$1048576,'Over Under Bill 1 COPY 到CO欄位'!I$1,0)</f>
        <v>0</v>
      </c>
      <c r="O21" s="157">
        <f t="shared" si="4"/>
        <v>0</v>
      </c>
      <c r="P21" s="157">
        <f>VLOOKUP($A21,'Over Under Bill 1 COPY 到CO欄位'!$1:$1048576,'Over Under Bill 1 COPY 到CO欄位'!P$1,0)-VLOOKUP($A21,'Over Under Bill 1 COPY 到CO欄位'!$1:$1048576,'Over Under Bill 1 COPY 到CO欄位'!K$1,0)</f>
        <v>0</v>
      </c>
      <c r="Q21" s="157">
        <f t="shared" si="5"/>
        <v>0</v>
      </c>
      <c r="R21" s="158">
        <f>VLOOKUP($A21,'Over Under Bill 1 COPY 到CO欄位'!$1:$1048576,'Over Under Bill 1 COPY 到CO欄位'!R$1,0)-VLOOKUP($A21,'Over Under Bill 1 COPY 到CO欄位'!$1:$1048576,'Over Under Bill 1 COPY 到CO欄位'!M$1,0)</f>
        <v>0</v>
      </c>
      <c r="S21" s="158">
        <f>VLOOKUP($A21,'Over Under Bill 1 COPY 到CO欄位'!$1:$1048576,'Over Under Bill 1 COPY 到CO欄位'!S$1,0)-VLOOKUP($A21,'Over Under Bill 1 COPY 到CO欄位'!$1:$1048576,'Over Under Bill 1 COPY 到CO欄位'!N$1,0)</f>
        <v>0</v>
      </c>
      <c r="T21" s="158">
        <f t="shared" si="6"/>
        <v>0</v>
      </c>
      <c r="U21" s="158">
        <f>VLOOKUP($A21,'Over Under Bill 1 COPY 到CO欄位'!$1:$1048576,'Over Under Bill 1 COPY 到CO欄位'!U$1,0)-VLOOKUP($A21,'Over Under Bill 1 COPY 到CO欄位'!$1:$1048576,'Over Under Bill 1 COPY 到CO欄位'!P$1,0)</f>
        <v>0</v>
      </c>
      <c r="V21" s="158">
        <f t="shared" si="7"/>
        <v>0</v>
      </c>
      <c r="W21" s="157">
        <f>VLOOKUP($A21,'Over Under Bill 1 COPY 到CO欄位'!$1:$1048576,'Over Under Bill 1 COPY 到CO欄位'!W$1,0)-VLOOKUP($A21,'Over Under Bill 1 COPY 到CO欄位'!$1:$1048576,'Over Under Bill 1 COPY 到CO欄位'!R$1,0)</f>
        <v>0</v>
      </c>
      <c r="X21" s="157">
        <f>VLOOKUP($A21,'Over Under Bill 1 COPY 到CO欄位'!$1:$1048576,'Over Under Bill 1 COPY 到CO欄位'!X$1,0)-VLOOKUP($A21,'Over Under Bill 1 COPY 到CO欄位'!$1:$1048576,'Over Under Bill 1 COPY 到CO欄位'!S$1,0)</f>
        <v>0</v>
      </c>
      <c r="Y21" s="157">
        <f t="shared" si="8"/>
        <v>0</v>
      </c>
      <c r="Z21" s="157">
        <f>VLOOKUP($A21,'Over Under Bill 1 COPY 到CO欄位'!$1:$1048576,'Over Under Bill 1 COPY 到CO欄位'!Z$1,0)-VLOOKUP($A21,'Over Under Bill 1 COPY 到CO欄位'!$1:$1048576,'Over Under Bill 1 COPY 到CO欄位'!U$1,0)</f>
        <v>0</v>
      </c>
      <c r="AA21" s="157">
        <f t="shared" si="9"/>
        <v>0</v>
      </c>
      <c r="AB21" s="158">
        <f>VLOOKUP($A21,'Over Under Bill 1 COPY 到CO欄位'!$1:$1048576,'Over Under Bill 1 COPY 到CO欄位'!AB$1,0)-VLOOKUP($A21,'Over Under Bill 1 COPY 到CO欄位'!$1:$1048576,'Over Under Bill 1 COPY 到CO欄位'!W$1,0)</f>
        <v>0</v>
      </c>
      <c r="AC21" s="158">
        <f>VLOOKUP($A21,'Over Under Bill 1 COPY 到CO欄位'!$1:$1048576,'Over Under Bill 1 COPY 到CO欄位'!AC$1,0)-VLOOKUP($A21,'Over Under Bill 1 COPY 到CO欄位'!$1:$1048576,'Over Under Bill 1 COPY 到CO欄位'!X$1,0)</f>
        <v>0</v>
      </c>
      <c r="AD21" s="158">
        <f t="shared" si="10"/>
        <v>0</v>
      </c>
      <c r="AE21" s="158">
        <f>VLOOKUP($A21,'Over Under Bill 1 COPY 到CO欄位'!$1:$1048576,'Over Under Bill 1 COPY 到CO欄位'!AE$1,0)-VLOOKUP($A21,'Over Under Bill 1 COPY 到CO欄位'!$1:$1048576,'Over Under Bill 1 COPY 到CO欄位'!Z$1,0)</f>
        <v>0</v>
      </c>
      <c r="AF21" s="158">
        <f t="shared" si="11"/>
        <v>0</v>
      </c>
      <c r="AG21" s="157">
        <f>VLOOKUP($A21,'Over Under Bill 1 COPY 到CO欄位'!$1:$1048576,'Over Under Bill 1 COPY 到CO欄位'!AG$1,0)-VLOOKUP($A21,'Over Under Bill 1 COPY 到CO欄位'!$1:$1048576,'Over Under Bill 1 COPY 到CO欄位'!AB$1,0)</f>
        <v>0</v>
      </c>
      <c r="AH21" s="157">
        <f>VLOOKUP($A21,'Over Under Bill 1 COPY 到CO欄位'!$1:$1048576,'Over Under Bill 1 COPY 到CO欄位'!AH$1,0)-VLOOKUP($A21,'Over Under Bill 1 COPY 到CO欄位'!$1:$1048576,'Over Under Bill 1 COPY 到CO欄位'!AC$1,0)</f>
        <v>0</v>
      </c>
      <c r="AI21" s="157">
        <f t="shared" si="12"/>
        <v>0</v>
      </c>
      <c r="AJ21" s="157">
        <f>VLOOKUP($A21,'Over Under Bill 1 COPY 到CO欄位'!$1:$1048576,'Over Under Bill 1 COPY 到CO欄位'!AJ$1,0)-VLOOKUP($A21,'Over Under Bill 1 COPY 到CO欄位'!$1:$1048576,'Over Under Bill 1 COPY 到CO欄位'!AE$1,0)</f>
        <v>0</v>
      </c>
      <c r="AK21" s="157">
        <f t="shared" si="13"/>
        <v>0</v>
      </c>
      <c r="AL21" s="158">
        <f>VLOOKUP($A21,'Over Under Bill 1 COPY 到CO欄位'!$1:$1048576,'Over Under Bill 1 COPY 到CO欄位'!AL$1,0)-VLOOKUP($A21,'Over Under Bill 1 COPY 到CO欄位'!$1:$1048576,'Over Under Bill 1 COPY 到CO欄位'!AG$1,0)</f>
        <v>0</v>
      </c>
      <c r="AM21" s="158">
        <f>VLOOKUP($A21,'Over Under Bill 1 COPY 到CO欄位'!$1:$1048576,'Over Under Bill 1 COPY 到CO欄位'!AM$1,0)-VLOOKUP($A21,'Over Under Bill 1 COPY 到CO欄位'!$1:$1048576,'Over Under Bill 1 COPY 到CO欄位'!AH$1,0)</f>
        <v>0</v>
      </c>
      <c r="AN21" s="158">
        <f t="shared" si="14"/>
        <v>0</v>
      </c>
      <c r="AO21" s="158">
        <f>VLOOKUP($A21,'Over Under Bill 1 COPY 到CO欄位'!$1:$1048576,'Over Under Bill 1 COPY 到CO欄位'!AO$1,0)-VLOOKUP($A21,'Over Under Bill 1 COPY 到CO欄位'!$1:$1048576,'Over Under Bill 1 COPY 到CO欄位'!AJ$1,0)</f>
        <v>0</v>
      </c>
      <c r="AP21" s="158">
        <f t="shared" si="15"/>
        <v>0</v>
      </c>
      <c r="AQ21" s="157">
        <f>VLOOKUP($A21,'Over Under Bill 1 COPY 到CO欄位'!$1:$1048576,'Over Under Bill 1 COPY 到CO欄位'!AQ$1,0)-VLOOKUP($A21,'Over Under Bill 1 COPY 到CO欄位'!$1:$1048576,'Over Under Bill 1 COPY 到CO欄位'!AL$1,0)</f>
        <v>0</v>
      </c>
      <c r="AR21" s="157">
        <f>VLOOKUP($A21,'Over Under Bill 1 COPY 到CO欄位'!$1:$1048576,'Over Under Bill 1 COPY 到CO欄位'!AR$1,0)-VLOOKUP($A21,'Over Under Bill 1 COPY 到CO欄位'!$1:$1048576,'Over Under Bill 1 COPY 到CO欄位'!AM$1,0)</f>
        <v>0</v>
      </c>
      <c r="AS21" s="157">
        <f t="shared" si="16"/>
        <v>0</v>
      </c>
      <c r="AT21" s="157">
        <f>VLOOKUP($A21,'Over Under Bill 1 COPY 到CO欄位'!$1:$1048576,'Over Under Bill 1 COPY 到CO欄位'!AT$1,0)-VLOOKUP($A21,'Over Under Bill 1 COPY 到CO欄位'!$1:$1048576,'Over Under Bill 1 COPY 到CO欄位'!AO$1,0)</f>
        <v>0</v>
      </c>
      <c r="AU21" s="157">
        <f t="shared" si="17"/>
        <v>0</v>
      </c>
      <c r="AV21" s="158">
        <f>VLOOKUP($A21,'Over Under Bill 1 COPY 到CO欄位'!$1:$1048576,'Over Under Bill 1 COPY 到CO欄位'!AV$1,0)-VLOOKUP($A21,'Over Under Bill 1 COPY 到CO欄位'!$1:$1048576,'Over Under Bill 1 COPY 到CO欄位'!AQ$1,0)</f>
        <v>0</v>
      </c>
      <c r="AW21" s="158">
        <f>VLOOKUP($A21,'Over Under Bill 1 COPY 到CO欄位'!$1:$1048576,'Over Under Bill 1 COPY 到CO欄位'!AW$1,0)-VLOOKUP($A21,'Over Under Bill 1 COPY 到CO欄位'!$1:$1048576,'Over Under Bill 1 COPY 到CO欄位'!AR$1,0)</f>
        <v>0</v>
      </c>
      <c r="AX21" s="158">
        <f t="shared" si="18"/>
        <v>0</v>
      </c>
      <c r="AY21" s="158">
        <f>VLOOKUP($A21,'Over Under Bill 1 COPY 到CO欄位'!$1:$1048576,'Over Under Bill 1 COPY 到CO欄位'!AY$1,0)-VLOOKUP($A21,'Over Under Bill 1 COPY 到CO欄位'!$1:$1048576,'Over Under Bill 1 COPY 到CO欄位'!AT$1,0)</f>
        <v>0</v>
      </c>
      <c r="AZ21" s="158">
        <f t="shared" si="19"/>
        <v>0</v>
      </c>
      <c r="BA21" s="157">
        <f>VLOOKUP($A21,'Over Under Bill 1 COPY 到CO欄位'!$1:$1048576,'Over Under Bill 1 COPY 到CO欄位'!BA$1,0)-VLOOKUP($A21,'Over Under Bill 1 COPY 到CO欄位'!$1:$1048576,'Over Under Bill 1 COPY 到CO欄位'!AV$1,0)</f>
        <v>0</v>
      </c>
      <c r="BB21" s="157">
        <f>VLOOKUP($A21,'Over Under Bill 1 COPY 到CO欄位'!$1:$1048576,'Over Under Bill 1 COPY 到CO欄位'!BB$1,0)-VLOOKUP($A21,'Over Under Bill 1 COPY 到CO欄位'!$1:$1048576,'Over Under Bill 1 COPY 到CO欄位'!AW$1,0)</f>
        <v>0</v>
      </c>
      <c r="BC21" s="157">
        <f t="shared" si="20"/>
        <v>0</v>
      </c>
      <c r="BD21" s="157">
        <f>VLOOKUP($A21,'Over Under Bill 1 COPY 到CO欄位'!$1:$1048576,'Over Under Bill 1 COPY 到CO欄位'!BD$1,0)-VLOOKUP($A21,'Over Under Bill 1 COPY 到CO欄位'!$1:$1048576,'Over Under Bill 1 COPY 到CO欄位'!AY$1,0)</f>
        <v>0</v>
      </c>
      <c r="BE21" s="157">
        <f t="shared" si="21"/>
        <v>0</v>
      </c>
      <c r="BF21" s="158">
        <f>VLOOKUP($A21,'Over Under Bill 1 COPY 到CO欄位'!$1:$1048576,'Over Under Bill 1 COPY 到CO欄位'!BF$1,0)-VLOOKUP($A21,'Over Under Bill 1 COPY 到CO欄位'!$1:$1048576,'Over Under Bill 1 COPY 到CO欄位'!BA$1,0)</f>
        <v>0</v>
      </c>
      <c r="BG21" s="158">
        <f>VLOOKUP($A21,'Over Under Bill 1 COPY 到CO欄位'!$1:$1048576,'Over Under Bill 1 COPY 到CO欄位'!BG$1,0)-VLOOKUP($A21,'Over Under Bill 1 COPY 到CO欄位'!$1:$1048576,'Over Under Bill 1 COPY 到CO欄位'!BB$1,0)</f>
        <v>0</v>
      </c>
      <c r="BH21" s="158">
        <f t="shared" si="22"/>
        <v>0</v>
      </c>
      <c r="BI21" s="158">
        <f>VLOOKUP($A21,'Over Under Bill 1 COPY 到CO欄位'!$1:$1048576,'Over Under Bill 1 COPY 到CO欄位'!BI$1,0)-VLOOKUP($A21,'Over Under Bill 1 COPY 到CO欄位'!$1:$1048576,'Over Under Bill 1 COPY 到CO欄位'!BD$1,0)</f>
        <v>0</v>
      </c>
      <c r="BJ21" s="158">
        <f t="shared" si="23"/>
        <v>0</v>
      </c>
      <c r="BK21" s="157">
        <f>VLOOKUP($A21,'Over Under Bill 1 COPY 到CO欄位'!$1:$1048576,'Over Under Bill 1 COPY 到CO欄位'!BK$1,0)-VLOOKUP($A21,'Over Under Bill 1 COPY 到CO欄位'!$1:$1048576,'Over Under Bill 1 COPY 到CO欄位'!BF$1,0)</f>
        <v>0</v>
      </c>
      <c r="BL21" s="157">
        <f>VLOOKUP($A21,'Over Under Bill 1 COPY 到CO欄位'!$1:$1048576,'Over Under Bill 1 COPY 到CO欄位'!BL$1,0)-VLOOKUP($A21,'Over Under Bill 1 COPY 到CO欄位'!$1:$1048576,'Over Under Bill 1 COPY 到CO欄位'!BG$1,0)</f>
        <v>0</v>
      </c>
      <c r="BM21" s="157">
        <f t="shared" si="24"/>
        <v>0</v>
      </c>
      <c r="BN21" s="157">
        <f>VLOOKUP($A21,'Over Under Bill 1 COPY 到CO欄位'!$1:$1048576,'Over Under Bill 1 COPY 到CO欄位'!BN$1,0)-VLOOKUP($A21,'Over Under Bill 1 COPY 到CO欄位'!$1:$1048576,'Over Under Bill 1 COPY 到CO欄位'!BI$1,0)</f>
        <v>0</v>
      </c>
      <c r="BO21" s="157">
        <f t="shared" si="25"/>
        <v>0</v>
      </c>
      <c r="BP21" s="158">
        <f>VLOOKUP($A21,'Over Under Bill 1 COPY 到CO欄位'!$1:$1048576,'Over Under Bill 1 COPY 到CO欄位'!BP$1,0)-VLOOKUP($A21,'Over Under Bill 1 COPY 到CO欄位'!$1:$1048576,'Over Under Bill 1 COPY 到CO欄位'!BK$1,0)</f>
        <v>0</v>
      </c>
      <c r="BQ21" s="158">
        <f>VLOOKUP($A21,'Over Under Bill 1 COPY 到CO欄位'!$1:$1048576,'Over Under Bill 1 COPY 到CO欄位'!BQ$1,0)-VLOOKUP($A21,'Over Under Bill 1 COPY 到CO欄位'!$1:$1048576,'Over Under Bill 1 COPY 到CO欄位'!BL$1,0)</f>
        <v>0</v>
      </c>
      <c r="BR21" s="158">
        <f t="shared" si="26"/>
        <v>0</v>
      </c>
      <c r="BS21" s="158">
        <f>VLOOKUP($A21,'Over Under Bill 1 COPY 到CO欄位'!$1:$1048576,'Over Under Bill 1 COPY 到CO欄位'!BS$1,0)-VLOOKUP($A21,'Over Under Bill 1 COPY 到CO欄位'!$1:$1048576,'Over Under Bill 1 COPY 到CO欄位'!BN$1,0)</f>
        <v>0</v>
      </c>
      <c r="BT21" s="158">
        <f t="shared" si="27"/>
        <v>0</v>
      </c>
      <c r="BU21" s="157">
        <f>VLOOKUP($A21,'Over Under Bill 1 COPY 到CO欄位'!$1:$1048576,'Over Under Bill 1 COPY 到CO欄位'!BP$1,0)-VLOOKUP($A21,'Over Under Bill 1 COPY 到CO欄位'!$1:$1048576,'Over Under Bill 1 COPY 到CO欄位'!H$1,0)</f>
        <v>0</v>
      </c>
      <c r="BV21" s="157">
        <f>VLOOKUP($A21,'Over Under Bill 1 COPY 到CO欄位'!$1:$1048576,'Over Under Bill 1 COPY 到CO欄位'!BQ$1,0)-VLOOKUP($A21,'Over Under Bill 1 COPY 到CO欄位'!$1:$1048576,'Over Under Bill 1 COPY 到CO欄位'!I$1,0)</f>
        <v>0</v>
      </c>
      <c r="BW21" s="157">
        <f t="shared" si="28"/>
        <v>0</v>
      </c>
      <c r="BX21" s="157">
        <f>VLOOKUP($A21,'Over Under Bill 1 COPY 到CO欄位'!$1:$1048576,'Over Under Bill 1 COPY 到CO欄位'!BS$1,0)-VLOOKUP($A21,'Over Under Bill 1 COPY 到CO欄位'!$1:$1048576,'Over Under Bill 1 COPY 到CO欄位'!K$1,0)</f>
        <v>0</v>
      </c>
      <c r="BY21" s="157">
        <f t="shared" si="29"/>
        <v>0</v>
      </c>
      <c r="BZ21" s="158">
        <f>VLOOKUP($A21,'Over Under Bill 1 COPY 到CO欄位'!$1:$1048576,'Over Under Bill 1 COPY 到CO欄位'!BU$1,0)-VLOOKUP($A21,'Over Under Bill 1 COPY 到CO欄位'!$1:$1048576,'Over Under Bill 1 COPY 到CO欄位'!BP$1,0)</f>
        <v>0</v>
      </c>
      <c r="CA21" s="158">
        <f>VLOOKUP($A21,'Over Under Bill 1 COPY 到CO欄位'!$1:$1048576,'Over Under Bill 1 COPY 到CO欄位'!BV$1,0)-VLOOKUP($A21,'Over Under Bill 1 COPY 到CO欄位'!$1:$1048576,'Over Under Bill 1 COPY 到CO欄位'!BQ$1,0)</f>
        <v>0</v>
      </c>
      <c r="CB21" s="158">
        <f t="shared" si="30"/>
        <v>0</v>
      </c>
      <c r="CC21" s="158">
        <f>VLOOKUP($A21,'Over Under Bill 1 COPY 到CO欄位'!$1:$1048576,'Over Under Bill 1 COPY 到CO欄位'!BX$1,0)-VLOOKUP($A21,'Over Under Bill 1 COPY 到CO欄位'!$1:$1048576,'Over Under Bill 1 COPY 到CO欄位'!BS$1,0)</f>
        <v>0</v>
      </c>
      <c r="CD21" s="158">
        <f t="shared" si="31"/>
        <v>0</v>
      </c>
      <c r="CE21" s="157">
        <f>VLOOKUP($A21,'Over Under Bill 1 COPY 到CO欄位'!$1:$1048576,'Over Under Bill 1 COPY 到CO欄位'!BZ$1,0)-VLOOKUP($A21,'Over Under Bill 1 COPY 到CO欄位'!$1:$1048576,'Over Under Bill 1 COPY 到CO欄位'!BU$1,0)</f>
        <v>0</v>
      </c>
      <c r="CF21" s="157">
        <f>VLOOKUP($A21,'Over Under Bill 1 COPY 到CO欄位'!$1:$1048576,'Over Under Bill 1 COPY 到CO欄位'!CA$1,0)-VLOOKUP($A21,'Over Under Bill 1 COPY 到CO欄位'!$1:$1048576,'Over Under Bill 1 COPY 到CO欄位'!BV$1,0)</f>
        <v>0</v>
      </c>
      <c r="CG21" s="157">
        <f t="shared" si="32"/>
        <v>0</v>
      </c>
      <c r="CH21" s="157">
        <f>VLOOKUP($A21,'Over Under Bill 1 COPY 到CO欄位'!$1:$1048576,'Over Under Bill 1 COPY 到CO欄位'!CC$1,0)-VLOOKUP($A21,'Over Under Bill 1 COPY 到CO欄位'!$1:$1048576,'Over Under Bill 1 COPY 到CO欄位'!BX$1,0)</f>
        <v>0</v>
      </c>
      <c r="CI21" s="157">
        <f t="shared" si="33"/>
        <v>0</v>
      </c>
      <c r="CJ21" s="158">
        <f>VLOOKUP($A21,'Over Under Bill 1 COPY 到CO欄位'!$1:$1048576,'Over Under Bill 1 COPY 到CO欄位'!CE$1,0)-VLOOKUP($A21,'Over Under Bill 1 COPY 到CO欄位'!$1:$1048576,'Over Under Bill 1 COPY 到CO欄位'!BZ$1,0)</f>
        <v>0</v>
      </c>
      <c r="CK21" s="158">
        <f>VLOOKUP($A21,'Over Under Bill 1 COPY 到CO欄位'!$1:$1048576,'Over Under Bill 1 COPY 到CO欄位'!CF$1,0)-VLOOKUP($A21,'Over Under Bill 1 COPY 到CO欄位'!$1:$1048576,'Over Under Bill 1 COPY 到CO欄位'!CA$1,0)</f>
        <v>0</v>
      </c>
      <c r="CL21" s="158">
        <f t="shared" si="34"/>
        <v>0</v>
      </c>
      <c r="CM21" s="158">
        <f>VLOOKUP($A21,'Over Under Bill 1 COPY 到CO欄位'!$1:$1048576,'Over Under Bill 1 COPY 到CO欄位'!CH$1,0)-VLOOKUP($A21,'Over Under Bill 1 COPY 到CO欄位'!$1:$1048576,'Over Under Bill 1 COPY 到CO欄位'!CC$1,0)</f>
        <v>0</v>
      </c>
      <c r="CN21" s="158">
        <f t="shared" si="35"/>
        <v>0</v>
      </c>
      <c r="CO21" s="157">
        <f>VLOOKUP($A21,'Over Under Bill 1 COPY 到CO欄位'!$1:$1048576,'Over Under Bill 1 COPY 到CO欄位'!CJ$1,0)-VLOOKUP($A21,'Over Under Bill 1 COPY 到CO欄位'!$1:$1048576,'Over Under Bill 1 COPY 到CO欄位'!CE$1,0)</f>
        <v>0</v>
      </c>
      <c r="CP21" s="157">
        <f>VLOOKUP($A21,'Over Under Bill 1 COPY 到CO欄位'!$1:$1048576,'Over Under Bill 1 COPY 到CO欄位'!CK$1,0)-VLOOKUP($A21,'Over Under Bill 1 COPY 到CO欄位'!$1:$1048576,'Over Under Bill 1 COPY 到CO欄位'!CF$1,0)</f>
        <v>0</v>
      </c>
      <c r="CQ21" s="157">
        <f t="shared" si="36"/>
        <v>0</v>
      </c>
      <c r="CR21" s="157">
        <f>VLOOKUP($A21,'Over Under Bill 1 COPY 到CO欄位'!$1:$1048576,'Over Under Bill 1 COPY 到CO欄位'!CM$1,0)-VLOOKUP($A21,'Over Under Bill 1 COPY 到CO欄位'!$1:$1048576,'Over Under Bill 1 COPY 到CO欄位'!CH$1,0)</f>
        <v>0</v>
      </c>
      <c r="CS21" s="157">
        <f t="shared" si="37"/>
        <v>0</v>
      </c>
    </row>
    <row r="22" spans="1:97">
      <c r="A22" s="155" t="s">
        <v>341</v>
      </c>
      <c r="B22" s="169" t="s">
        <v>342</v>
      </c>
      <c r="C22" s="157">
        <f>IFERROR(VLOOKUP($A22,'A0 BS 1240在建'!$1:$1048576,5,0),0)</f>
        <v>0</v>
      </c>
      <c r="D22" s="157">
        <f>IFERROR(VLOOKUP($A22,'B0 2264預收'!$1:$1048576,5,0),0)</f>
        <v>0</v>
      </c>
      <c r="E22" s="157">
        <f t="shared" si="0"/>
        <v>0</v>
      </c>
      <c r="F22" s="157">
        <f>IFERROR(VLOOKUP($A22,'B0 2264預收'!$1:$1048576,6,0),0)</f>
        <v>0</v>
      </c>
      <c r="G22" s="157">
        <f t="shared" si="1"/>
        <v>0</v>
      </c>
      <c r="H22" s="158">
        <f>IFERROR(VLOOKUP($A22,'A0 BS 1240在建'!$1:$1048576,13,0),0)-C22</f>
        <v>0</v>
      </c>
      <c r="I22" s="158">
        <f>IFERROR(VLOOKUP($A22,'B0 2264預收'!$1:$1048576,13,0),0)-D22</f>
        <v>0</v>
      </c>
      <c r="J22" s="158">
        <f t="shared" si="2"/>
        <v>0</v>
      </c>
      <c r="K22" s="158">
        <f>IFERROR(VLOOKUP($A22,'B0 2264預收'!$1:$1048576,14,0),0)-F22</f>
        <v>0</v>
      </c>
      <c r="L22" s="158">
        <f t="shared" si="3"/>
        <v>0</v>
      </c>
      <c r="M22" s="157">
        <f>VLOOKUP($A22,'Over Under Bill 1 COPY 到CO欄位'!$1:$1048576,'Over Under Bill 1 COPY 到CO欄位'!M$1,0)-VLOOKUP($A22,'Over Under Bill 1 COPY 到CO欄位'!$1:$1048576,'Over Under Bill 1 COPY 到CO欄位'!H$1,0)</f>
        <v>0</v>
      </c>
      <c r="N22" s="157">
        <f>VLOOKUP($A22,'Over Under Bill 1 COPY 到CO欄位'!$1:$1048576,'Over Under Bill 1 COPY 到CO欄位'!N$1,0)-VLOOKUP($A22,'Over Under Bill 1 COPY 到CO欄位'!$1:$1048576,'Over Under Bill 1 COPY 到CO欄位'!I$1,0)</f>
        <v>0</v>
      </c>
      <c r="O22" s="157">
        <f t="shared" si="4"/>
        <v>0</v>
      </c>
      <c r="P22" s="157">
        <f>VLOOKUP($A22,'Over Under Bill 1 COPY 到CO欄位'!$1:$1048576,'Over Under Bill 1 COPY 到CO欄位'!P$1,0)-VLOOKUP($A22,'Over Under Bill 1 COPY 到CO欄位'!$1:$1048576,'Over Under Bill 1 COPY 到CO欄位'!K$1,0)</f>
        <v>0</v>
      </c>
      <c r="Q22" s="157">
        <f t="shared" si="5"/>
        <v>0</v>
      </c>
      <c r="R22" s="158">
        <f>VLOOKUP($A22,'Over Under Bill 1 COPY 到CO欄位'!$1:$1048576,'Over Under Bill 1 COPY 到CO欄位'!R$1,0)-VLOOKUP($A22,'Over Under Bill 1 COPY 到CO欄位'!$1:$1048576,'Over Under Bill 1 COPY 到CO欄位'!M$1,0)</f>
        <v>0</v>
      </c>
      <c r="S22" s="158">
        <f>VLOOKUP($A22,'Over Under Bill 1 COPY 到CO欄位'!$1:$1048576,'Over Under Bill 1 COPY 到CO欄位'!S$1,0)-VLOOKUP($A22,'Over Under Bill 1 COPY 到CO欄位'!$1:$1048576,'Over Under Bill 1 COPY 到CO欄位'!N$1,0)</f>
        <v>0</v>
      </c>
      <c r="T22" s="158">
        <f t="shared" si="6"/>
        <v>0</v>
      </c>
      <c r="U22" s="158">
        <f>VLOOKUP($A22,'Over Under Bill 1 COPY 到CO欄位'!$1:$1048576,'Over Under Bill 1 COPY 到CO欄位'!U$1,0)-VLOOKUP($A22,'Over Under Bill 1 COPY 到CO欄位'!$1:$1048576,'Over Under Bill 1 COPY 到CO欄位'!P$1,0)</f>
        <v>0</v>
      </c>
      <c r="V22" s="158">
        <f t="shared" si="7"/>
        <v>0</v>
      </c>
      <c r="W22" s="157">
        <f>VLOOKUP($A22,'Over Under Bill 1 COPY 到CO欄位'!$1:$1048576,'Over Under Bill 1 COPY 到CO欄位'!W$1,0)-VLOOKUP($A22,'Over Under Bill 1 COPY 到CO欄位'!$1:$1048576,'Over Under Bill 1 COPY 到CO欄位'!R$1,0)</f>
        <v>0</v>
      </c>
      <c r="X22" s="157">
        <f>VLOOKUP($A22,'Over Under Bill 1 COPY 到CO欄位'!$1:$1048576,'Over Under Bill 1 COPY 到CO欄位'!X$1,0)-VLOOKUP($A22,'Over Under Bill 1 COPY 到CO欄位'!$1:$1048576,'Over Under Bill 1 COPY 到CO欄位'!S$1,0)</f>
        <v>0</v>
      </c>
      <c r="Y22" s="157">
        <f t="shared" si="8"/>
        <v>0</v>
      </c>
      <c r="Z22" s="157">
        <f>VLOOKUP($A22,'Over Under Bill 1 COPY 到CO欄位'!$1:$1048576,'Over Under Bill 1 COPY 到CO欄位'!Z$1,0)-VLOOKUP($A22,'Over Under Bill 1 COPY 到CO欄位'!$1:$1048576,'Over Under Bill 1 COPY 到CO欄位'!U$1,0)</f>
        <v>0</v>
      </c>
      <c r="AA22" s="157">
        <f t="shared" si="9"/>
        <v>0</v>
      </c>
      <c r="AB22" s="158">
        <f>VLOOKUP($A22,'Over Under Bill 1 COPY 到CO欄位'!$1:$1048576,'Over Under Bill 1 COPY 到CO欄位'!AB$1,0)-VLOOKUP($A22,'Over Under Bill 1 COPY 到CO欄位'!$1:$1048576,'Over Under Bill 1 COPY 到CO欄位'!W$1,0)</f>
        <v>0</v>
      </c>
      <c r="AC22" s="158">
        <f>VLOOKUP($A22,'Over Under Bill 1 COPY 到CO欄位'!$1:$1048576,'Over Under Bill 1 COPY 到CO欄位'!AC$1,0)-VLOOKUP($A22,'Over Under Bill 1 COPY 到CO欄位'!$1:$1048576,'Over Under Bill 1 COPY 到CO欄位'!X$1,0)</f>
        <v>0</v>
      </c>
      <c r="AD22" s="158">
        <f t="shared" si="10"/>
        <v>0</v>
      </c>
      <c r="AE22" s="158">
        <f>VLOOKUP($A22,'Over Under Bill 1 COPY 到CO欄位'!$1:$1048576,'Over Under Bill 1 COPY 到CO欄位'!AE$1,0)-VLOOKUP($A22,'Over Under Bill 1 COPY 到CO欄位'!$1:$1048576,'Over Under Bill 1 COPY 到CO欄位'!Z$1,0)</f>
        <v>0</v>
      </c>
      <c r="AF22" s="158">
        <f t="shared" si="11"/>
        <v>0</v>
      </c>
      <c r="AG22" s="157">
        <f>VLOOKUP($A22,'Over Under Bill 1 COPY 到CO欄位'!$1:$1048576,'Over Under Bill 1 COPY 到CO欄位'!AG$1,0)-VLOOKUP($A22,'Over Under Bill 1 COPY 到CO欄位'!$1:$1048576,'Over Under Bill 1 COPY 到CO欄位'!AB$1,0)</f>
        <v>0</v>
      </c>
      <c r="AH22" s="157">
        <f>VLOOKUP($A22,'Over Under Bill 1 COPY 到CO欄位'!$1:$1048576,'Over Under Bill 1 COPY 到CO欄位'!AH$1,0)-VLOOKUP($A22,'Over Under Bill 1 COPY 到CO欄位'!$1:$1048576,'Over Under Bill 1 COPY 到CO欄位'!AC$1,0)</f>
        <v>0</v>
      </c>
      <c r="AI22" s="157">
        <f t="shared" si="12"/>
        <v>0</v>
      </c>
      <c r="AJ22" s="157">
        <f>VLOOKUP($A22,'Over Under Bill 1 COPY 到CO欄位'!$1:$1048576,'Over Under Bill 1 COPY 到CO欄位'!AJ$1,0)-VLOOKUP($A22,'Over Under Bill 1 COPY 到CO欄位'!$1:$1048576,'Over Under Bill 1 COPY 到CO欄位'!AE$1,0)</f>
        <v>0</v>
      </c>
      <c r="AK22" s="157">
        <f t="shared" si="13"/>
        <v>0</v>
      </c>
      <c r="AL22" s="158">
        <f>VLOOKUP($A22,'Over Under Bill 1 COPY 到CO欄位'!$1:$1048576,'Over Under Bill 1 COPY 到CO欄位'!AL$1,0)-VLOOKUP($A22,'Over Under Bill 1 COPY 到CO欄位'!$1:$1048576,'Over Under Bill 1 COPY 到CO欄位'!AG$1,0)</f>
        <v>0</v>
      </c>
      <c r="AM22" s="158">
        <f>VLOOKUP($A22,'Over Under Bill 1 COPY 到CO欄位'!$1:$1048576,'Over Under Bill 1 COPY 到CO欄位'!AM$1,0)-VLOOKUP($A22,'Over Under Bill 1 COPY 到CO欄位'!$1:$1048576,'Over Under Bill 1 COPY 到CO欄位'!AH$1,0)</f>
        <v>0</v>
      </c>
      <c r="AN22" s="158">
        <f t="shared" si="14"/>
        <v>0</v>
      </c>
      <c r="AO22" s="158">
        <f>VLOOKUP($A22,'Over Under Bill 1 COPY 到CO欄位'!$1:$1048576,'Over Under Bill 1 COPY 到CO欄位'!AO$1,0)-VLOOKUP($A22,'Over Under Bill 1 COPY 到CO欄位'!$1:$1048576,'Over Under Bill 1 COPY 到CO欄位'!AJ$1,0)</f>
        <v>0</v>
      </c>
      <c r="AP22" s="158">
        <f t="shared" si="15"/>
        <v>0</v>
      </c>
      <c r="AQ22" s="157">
        <f>VLOOKUP($A22,'Over Under Bill 1 COPY 到CO欄位'!$1:$1048576,'Over Under Bill 1 COPY 到CO欄位'!AQ$1,0)-VLOOKUP($A22,'Over Under Bill 1 COPY 到CO欄位'!$1:$1048576,'Over Under Bill 1 COPY 到CO欄位'!AL$1,0)</f>
        <v>0</v>
      </c>
      <c r="AR22" s="157">
        <f>VLOOKUP($A22,'Over Under Bill 1 COPY 到CO欄位'!$1:$1048576,'Over Under Bill 1 COPY 到CO欄位'!AR$1,0)-VLOOKUP($A22,'Over Under Bill 1 COPY 到CO欄位'!$1:$1048576,'Over Under Bill 1 COPY 到CO欄位'!AM$1,0)</f>
        <v>0</v>
      </c>
      <c r="AS22" s="157">
        <f t="shared" si="16"/>
        <v>0</v>
      </c>
      <c r="AT22" s="157">
        <f>VLOOKUP($A22,'Over Under Bill 1 COPY 到CO欄位'!$1:$1048576,'Over Under Bill 1 COPY 到CO欄位'!AT$1,0)-VLOOKUP($A22,'Over Under Bill 1 COPY 到CO欄位'!$1:$1048576,'Over Under Bill 1 COPY 到CO欄位'!AO$1,0)</f>
        <v>0</v>
      </c>
      <c r="AU22" s="157">
        <f t="shared" si="17"/>
        <v>0</v>
      </c>
      <c r="AV22" s="158">
        <f>VLOOKUP($A22,'Over Under Bill 1 COPY 到CO欄位'!$1:$1048576,'Over Under Bill 1 COPY 到CO欄位'!AV$1,0)-VLOOKUP($A22,'Over Under Bill 1 COPY 到CO欄位'!$1:$1048576,'Over Under Bill 1 COPY 到CO欄位'!AQ$1,0)</f>
        <v>0</v>
      </c>
      <c r="AW22" s="158">
        <f>VLOOKUP($A22,'Over Under Bill 1 COPY 到CO欄位'!$1:$1048576,'Over Under Bill 1 COPY 到CO欄位'!AW$1,0)-VLOOKUP($A22,'Over Under Bill 1 COPY 到CO欄位'!$1:$1048576,'Over Under Bill 1 COPY 到CO欄位'!AR$1,0)</f>
        <v>0</v>
      </c>
      <c r="AX22" s="158">
        <f t="shared" si="18"/>
        <v>0</v>
      </c>
      <c r="AY22" s="158">
        <f>VLOOKUP($A22,'Over Under Bill 1 COPY 到CO欄位'!$1:$1048576,'Over Under Bill 1 COPY 到CO欄位'!AY$1,0)-VLOOKUP($A22,'Over Under Bill 1 COPY 到CO欄位'!$1:$1048576,'Over Under Bill 1 COPY 到CO欄位'!AT$1,0)</f>
        <v>0</v>
      </c>
      <c r="AZ22" s="158">
        <f t="shared" si="19"/>
        <v>0</v>
      </c>
      <c r="BA22" s="157">
        <f>VLOOKUP($A22,'Over Under Bill 1 COPY 到CO欄位'!$1:$1048576,'Over Under Bill 1 COPY 到CO欄位'!BA$1,0)-VLOOKUP($A22,'Over Under Bill 1 COPY 到CO欄位'!$1:$1048576,'Over Under Bill 1 COPY 到CO欄位'!AV$1,0)</f>
        <v>0</v>
      </c>
      <c r="BB22" s="157">
        <f>VLOOKUP($A22,'Over Under Bill 1 COPY 到CO欄位'!$1:$1048576,'Over Under Bill 1 COPY 到CO欄位'!BB$1,0)-VLOOKUP($A22,'Over Under Bill 1 COPY 到CO欄位'!$1:$1048576,'Over Under Bill 1 COPY 到CO欄位'!AW$1,0)</f>
        <v>0</v>
      </c>
      <c r="BC22" s="157">
        <f t="shared" si="20"/>
        <v>0</v>
      </c>
      <c r="BD22" s="157">
        <f>VLOOKUP($A22,'Over Under Bill 1 COPY 到CO欄位'!$1:$1048576,'Over Under Bill 1 COPY 到CO欄位'!BD$1,0)-VLOOKUP($A22,'Over Under Bill 1 COPY 到CO欄位'!$1:$1048576,'Over Under Bill 1 COPY 到CO欄位'!AY$1,0)</f>
        <v>0</v>
      </c>
      <c r="BE22" s="157">
        <f t="shared" si="21"/>
        <v>0</v>
      </c>
      <c r="BF22" s="158">
        <f>VLOOKUP($A22,'Over Under Bill 1 COPY 到CO欄位'!$1:$1048576,'Over Under Bill 1 COPY 到CO欄位'!BF$1,0)-VLOOKUP($A22,'Over Under Bill 1 COPY 到CO欄位'!$1:$1048576,'Over Under Bill 1 COPY 到CO欄位'!BA$1,0)</f>
        <v>0</v>
      </c>
      <c r="BG22" s="158">
        <f>VLOOKUP($A22,'Over Under Bill 1 COPY 到CO欄位'!$1:$1048576,'Over Under Bill 1 COPY 到CO欄位'!BG$1,0)-VLOOKUP($A22,'Over Under Bill 1 COPY 到CO欄位'!$1:$1048576,'Over Under Bill 1 COPY 到CO欄位'!BB$1,0)</f>
        <v>0</v>
      </c>
      <c r="BH22" s="158">
        <f t="shared" si="22"/>
        <v>0</v>
      </c>
      <c r="BI22" s="158">
        <f>VLOOKUP($A22,'Over Under Bill 1 COPY 到CO欄位'!$1:$1048576,'Over Under Bill 1 COPY 到CO欄位'!BI$1,0)-VLOOKUP($A22,'Over Under Bill 1 COPY 到CO欄位'!$1:$1048576,'Over Under Bill 1 COPY 到CO欄位'!BD$1,0)</f>
        <v>0</v>
      </c>
      <c r="BJ22" s="158">
        <f t="shared" si="23"/>
        <v>0</v>
      </c>
      <c r="BK22" s="157">
        <f>VLOOKUP($A22,'Over Under Bill 1 COPY 到CO欄位'!$1:$1048576,'Over Under Bill 1 COPY 到CO欄位'!BK$1,0)-VLOOKUP($A22,'Over Under Bill 1 COPY 到CO欄位'!$1:$1048576,'Over Under Bill 1 COPY 到CO欄位'!BF$1,0)</f>
        <v>0</v>
      </c>
      <c r="BL22" s="157">
        <f>VLOOKUP($A22,'Over Under Bill 1 COPY 到CO欄位'!$1:$1048576,'Over Under Bill 1 COPY 到CO欄位'!BL$1,0)-VLOOKUP($A22,'Over Under Bill 1 COPY 到CO欄位'!$1:$1048576,'Over Under Bill 1 COPY 到CO欄位'!BG$1,0)</f>
        <v>0</v>
      </c>
      <c r="BM22" s="157">
        <f t="shared" si="24"/>
        <v>0</v>
      </c>
      <c r="BN22" s="157">
        <f>VLOOKUP($A22,'Over Under Bill 1 COPY 到CO欄位'!$1:$1048576,'Over Under Bill 1 COPY 到CO欄位'!BN$1,0)-VLOOKUP($A22,'Over Under Bill 1 COPY 到CO欄位'!$1:$1048576,'Over Under Bill 1 COPY 到CO欄位'!BI$1,0)</f>
        <v>0</v>
      </c>
      <c r="BO22" s="157">
        <f t="shared" si="25"/>
        <v>0</v>
      </c>
      <c r="BP22" s="158">
        <f>VLOOKUP($A22,'Over Under Bill 1 COPY 到CO欄位'!$1:$1048576,'Over Under Bill 1 COPY 到CO欄位'!BP$1,0)-VLOOKUP($A22,'Over Under Bill 1 COPY 到CO欄位'!$1:$1048576,'Over Under Bill 1 COPY 到CO欄位'!BK$1,0)</f>
        <v>0</v>
      </c>
      <c r="BQ22" s="158">
        <f>VLOOKUP($A22,'Over Under Bill 1 COPY 到CO欄位'!$1:$1048576,'Over Under Bill 1 COPY 到CO欄位'!BQ$1,0)-VLOOKUP($A22,'Over Under Bill 1 COPY 到CO欄位'!$1:$1048576,'Over Under Bill 1 COPY 到CO欄位'!BL$1,0)</f>
        <v>0</v>
      </c>
      <c r="BR22" s="158">
        <f t="shared" si="26"/>
        <v>0</v>
      </c>
      <c r="BS22" s="158">
        <f>VLOOKUP($A22,'Over Under Bill 1 COPY 到CO欄位'!$1:$1048576,'Over Under Bill 1 COPY 到CO欄位'!BS$1,0)-VLOOKUP($A22,'Over Under Bill 1 COPY 到CO欄位'!$1:$1048576,'Over Under Bill 1 COPY 到CO欄位'!BN$1,0)</f>
        <v>0</v>
      </c>
      <c r="BT22" s="158">
        <f t="shared" si="27"/>
        <v>0</v>
      </c>
      <c r="BU22" s="157">
        <f>VLOOKUP($A22,'Over Under Bill 1 COPY 到CO欄位'!$1:$1048576,'Over Under Bill 1 COPY 到CO欄位'!BP$1,0)-VLOOKUP($A22,'Over Under Bill 1 COPY 到CO欄位'!$1:$1048576,'Over Under Bill 1 COPY 到CO欄位'!H$1,0)</f>
        <v>0</v>
      </c>
      <c r="BV22" s="157">
        <f>VLOOKUP($A22,'Over Under Bill 1 COPY 到CO欄位'!$1:$1048576,'Over Under Bill 1 COPY 到CO欄位'!BQ$1,0)-VLOOKUP($A22,'Over Under Bill 1 COPY 到CO欄位'!$1:$1048576,'Over Under Bill 1 COPY 到CO欄位'!I$1,0)</f>
        <v>0</v>
      </c>
      <c r="BW22" s="157">
        <f t="shared" si="28"/>
        <v>0</v>
      </c>
      <c r="BX22" s="157">
        <f>VLOOKUP($A22,'Over Under Bill 1 COPY 到CO欄位'!$1:$1048576,'Over Under Bill 1 COPY 到CO欄位'!BS$1,0)-VLOOKUP($A22,'Over Under Bill 1 COPY 到CO欄位'!$1:$1048576,'Over Under Bill 1 COPY 到CO欄位'!K$1,0)</f>
        <v>0</v>
      </c>
      <c r="BY22" s="157">
        <f t="shared" si="29"/>
        <v>0</v>
      </c>
      <c r="BZ22" s="158">
        <f>VLOOKUP($A22,'Over Under Bill 1 COPY 到CO欄位'!$1:$1048576,'Over Under Bill 1 COPY 到CO欄位'!BU$1,0)-VLOOKUP($A22,'Over Under Bill 1 COPY 到CO欄位'!$1:$1048576,'Over Under Bill 1 COPY 到CO欄位'!BP$1,0)</f>
        <v>0</v>
      </c>
      <c r="CA22" s="158">
        <f>VLOOKUP($A22,'Over Under Bill 1 COPY 到CO欄位'!$1:$1048576,'Over Under Bill 1 COPY 到CO欄位'!BV$1,0)-VLOOKUP($A22,'Over Under Bill 1 COPY 到CO欄位'!$1:$1048576,'Over Under Bill 1 COPY 到CO欄位'!BQ$1,0)</f>
        <v>0</v>
      </c>
      <c r="CB22" s="158">
        <f t="shared" si="30"/>
        <v>0</v>
      </c>
      <c r="CC22" s="158">
        <f>VLOOKUP($A22,'Over Under Bill 1 COPY 到CO欄位'!$1:$1048576,'Over Under Bill 1 COPY 到CO欄位'!BX$1,0)-VLOOKUP($A22,'Over Under Bill 1 COPY 到CO欄位'!$1:$1048576,'Over Under Bill 1 COPY 到CO欄位'!BS$1,0)</f>
        <v>0</v>
      </c>
      <c r="CD22" s="158">
        <f t="shared" si="31"/>
        <v>0</v>
      </c>
      <c r="CE22" s="157">
        <f>VLOOKUP($A22,'Over Under Bill 1 COPY 到CO欄位'!$1:$1048576,'Over Under Bill 1 COPY 到CO欄位'!BZ$1,0)-VLOOKUP($A22,'Over Under Bill 1 COPY 到CO欄位'!$1:$1048576,'Over Under Bill 1 COPY 到CO欄位'!BU$1,0)</f>
        <v>0</v>
      </c>
      <c r="CF22" s="157">
        <f>VLOOKUP($A22,'Over Under Bill 1 COPY 到CO欄位'!$1:$1048576,'Over Under Bill 1 COPY 到CO欄位'!CA$1,0)-VLOOKUP($A22,'Over Under Bill 1 COPY 到CO欄位'!$1:$1048576,'Over Under Bill 1 COPY 到CO欄位'!BV$1,0)</f>
        <v>0</v>
      </c>
      <c r="CG22" s="157">
        <f t="shared" si="32"/>
        <v>0</v>
      </c>
      <c r="CH22" s="157">
        <f>VLOOKUP($A22,'Over Under Bill 1 COPY 到CO欄位'!$1:$1048576,'Over Under Bill 1 COPY 到CO欄位'!CC$1,0)-VLOOKUP($A22,'Over Under Bill 1 COPY 到CO欄位'!$1:$1048576,'Over Under Bill 1 COPY 到CO欄位'!BX$1,0)</f>
        <v>0</v>
      </c>
      <c r="CI22" s="157">
        <f t="shared" si="33"/>
        <v>0</v>
      </c>
      <c r="CJ22" s="158">
        <f>VLOOKUP($A22,'Over Under Bill 1 COPY 到CO欄位'!$1:$1048576,'Over Under Bill 1 COPY 到CO欄位'!CE$1,0)-VLOOKUP($A22,'Over Under Bill 1 COPY 到CO欄位'!$1:$1048576,'Over Under Bill 1 COPY 到CO欄位'!BZ$1,0)</f>
        <v>0</v>
      </c>
      <c r="CK22" s="158">
        <f>VLOOKUP($A22,'Over Under Bill 1 COPY 到CO欄位'!$1:$1048576,'Over Under Bill 1 COPY 到CO欄位'!CF$1,0)-VLOOKUP($A22,'Over Under Bill 1 COPY 到CO欄位'!$1:$1048576,'Over Under Bill 1 COPY 到CO欄位'!CA$1,0)</f>
        <v>0</v>
      </c>
      <c r="CL22" s="158">
        <f t="shared" si="34"/>
        <v>0</v>
      </c>
      <c r="CM22" s="158">
        <f>VLOOKUP($A22,'Over Under Bill 1 COPY 到CO欄位'!$1:$1048576,'Over Under Bill 1 COPY 到CO欄位'!CH$1,0)-VLOOKUP($A22,'Over Under Bill 1 COPY 到CO欄位'!$1:$1048576,'Over Under Bill 1 COPY 到CO欄位'!CC$1,0)</f>
        <v>0</v>
      </c>
      <c r="CN22" s="158">
        <f t="shared" si="35"/>
        <v>0</v>
      </c>
      <c r="CO22" s="157">
        <f>VLOOKUP($A22,'Over Under Bill 1 COPY 到CO欄位'!$1:$1048576,'Over Under Bill 1 COPY 到CO欄位'!CJ$1,0)-VLOOKUP($A22,'Over Under Bill 1 COPY 到CO欄位'!$1:$1048576,'Over Under Bill 1 COPY 到CO欄位'!CE$1,0)</f>
        <v>0</v>
      </c>
      <c r="CP22" s="157">
        <f>VLOOKUP($A22,'Over Under Bill 1 COPY 到CO欄位'!$1:$1048576,'Over Under Bill 1 COPY 到CO欄位'!CK$1,0)-VLOOKUP($A22,'Over Under Bill 1 COPY 到CO欄位'!$1:$1048576,'Over Under Bill 1 COPY 到CO欄位'!CF$1,0)</f>
        <v>0</v>
      </c>
      <c r="CQ22" s="157">
        <f t="shared" si="36"/>
        <v>0</v>
      </c>
      <c r="CR22" s="157">
        <f>VLOOKUP($A22,'Over Under Bill 1 COPY 到CO欄位'!$1:$1048576,'Over Under Bill 1 COPY 到CO欄位'!CM$1,0)-VLOOKUP($A22,'Over Under Bill 1 COPY 到CO欄位'!$1:$1048576,'Over Under Bill 1 COPY 到CO欄位'!CH$1,0)</f>
        <v>0</v>
      </c>
      <c r="CS22" s="157">
        <f t="shared" si="37"/>
        <v>0</v>
      </c>
    </row>
    <row r="23" spans="1:97">
      <c r="A23" s="155" t="s">
        <v>343</v>
      </c>
      <c r="B23" s="169" t="s">
        <v>344</v>
      </c>
      <c r="C23" s="157">
        <f>IFERROR(VLOOKUP($A23,'A0 BS 1240在建'!$1:$1048576,5,0),0)</f>
        <v>0</v>
      </c>
      <c r="D23" s="157">
        <f>IFERROR(VLOOKUP($A23,'B0 2264預收'!$1:$1048576,5,0),0)</f>
        <v>0</v>
      </c>
      <c r="E23" s="157">
        <f t="shared" si="0"/>
        <v>0</v>
      </c>
      <c r="F23" s="157">
        <f>IFERROR(VLOOKUP($A23,'B0 2264預收'!$1:$1048576,6,0),0)</f>
        <v>0</v>
      </c>
      <c r="G23" s="157">
        <f t="shared" si="1"/>
        <v>0</v>
      </c>
      <c r="H23" s="158">
        <f>IFERROR(VLOOKUP($A23,'A0 BS 1240在建'!$1:$1048576,13,0),0)-C23</f>
        <v>0</v>
      </c>
      <c r="I23" s="158">
        <f>IFERROR(VLOOKUP($A23,'B0 2264預收'!$1:$1048576,13,0),0)-D23</f>
        <v>0</v>
      </c>
      <c r="J23" s="158">
        <f t="shared" si="2"/>
        <v>0</v>
      </c>
      <c r="K23" s="158">
        <f>IFERROR(VLOOKUP($A23,'B0 2264預收'!$1:$1048576,14,0),0)-F23</f>
        <v>0</v>
      </c>
      <c r="L23" s="158">
        <f t="shared" si="3"/>
        <v>0</v>
      </c>
      <c r="M23" s="157">
        <f>VLOOKUP($A23,'Over Under Bill 1 COPY 到CO欄位'!$1:$1048576,'Over Under Bill 1 COPY 到CO欄位'!M$1,0)-VLOOKUP($A23,'Over Under Bill 1 COPY 到CO欄位'!$1:$1048576,'Over Under Bill 1 COPY 到CO欄位'!H$1,0)</f>
        <v>0</v>
      </c>
      <c r="N23" s="157">
        <f>VLOOKUP($A23,'Over Under Bill 1 COPY 到CO欄位'!$1:$1048576,'Over Under Bill 1 COPY 到CO欄位'!N$1,0)-VLOOKUP($A23,'Over Under Bill 1 COPY 到CO欄位'!$1:$1048576,'Over Under Bill 1 COPY 到CO欄位'!I$1,0)</f>
        <v>0</v>
      </c>
      <c r="O23" s="157">
        <f t="shared" si="4"/>
        <v>0</v>
      </c>
      <c r="P23" s="157">
        <f>VLOOKUP($A23,'Over Under Bill 1 COPY 到CO欄位'!$1:$1048576,'Over Under Bill 1 COPY 到CO欄位'!P$1,0)-VLOOKUP($A23,'Over Under Bill 1 COPY 到CO欄位'!$1:$1048576,'Over Under Bill 1 COPY 到CO欄位'!K$1,0)</f>
        <v>0</v>
      </c>
      <c r="Q23" s="157">
        <f t="shared" si="5"/>
        <v>0</v>
      </c>
      <c r="R23" s="158">
        <f>VLOOKUP($A23,'Over Under Bill 1 COPY 到CO欄位'!$1:$1048576,'Over Under Bill 1 COPY 到CO欄位'!R$1,0)-VLOOKUP($A23,'Over Under Bill 1 COPY 到CO欄位'!$1:$1048576,'Over Under Bill 1 COPY 到CO欄位'!M$1,0)</f>
        <v>0</v>
      </c>
      <c r="S23" s="158">
        <f>VLOOKUP($A23,'Over Under Bill 1 COPY 到CO欄位'!$1:$1048576,'Over Under Bill 1 COPY 到CO欄位'!S$1,0)-VLOOKUP($A23,'Over Under Bill 1 COPY 到CO欄位'!$1:$1048576,'Over Under Bill 1 COPY 到CO欄位'!N$1,0)</f>
        <v>0</v>
      </c>
      <c r="T23" s="158">
        <f t="shared" si="6"/>
        <v>0</v>
      </c>
      <c r="U23" s="158">
        <f>VLOOKUP($A23,'Over Under Bill 1 COPY 到CO欄位'!$1:$1048576,'Over Under Bill 1 COPY 到CO欄位'!U$1,0)-VLOOKUP($A23,'Over Under Bill 1 COPY 到CO欄位'!$1:$1048576,'Over Under Bill 1 COPY 到CO欄位'!P$1,0)</f>
        <v>0</v>
      </c>
      <c r="V23" s="158">
        <f t="shared" si="7"/>
        <v>0</v>
      </c>
      <c r="W23" s="157">
        <f>VLOOKUP($A23,'Over Under Bill 1 COPY 到CO欄位'!$1:$1048576,'Over Under Bill 1 COPY 到CO欄位'!W$1,0)-VLOOKUP($A23,'Over Under Bill 1 COPY 到CO欄位'!$1:$1048576,'Over Under Bill 1 COPY 到CO欄位'!R$1,0)</f>
        <v>0</v>
      </c>
      <c r="X23" s="157">
        <f>VLOOKUP($A23,'Over Under Bill 1 COPY 到CO欄位'!$1:$1048576,'Over Under Bill 1 COPY 到CO欄位'!X$1,0)-VLOOKUP($A23,'Over Under Bill 1 COPY 到CO欄位'!$1:$1048576,'Over Under Bill 1 COPY 到CO欄位'!S$1,0)</f>
        <v>0</v>
      </c>
      <c r="Y23" s="157">
        <f t="shared" si="8"/>
        <v>0</v>
      </c>
      <c r="Z23" s="157">
        <f>VLOOKUP($A23,'Over Under Bill 1 COPY 到CO欄位'!$1:$1048576,'Over Under Bill 1 COPY 到CO欄位'!Z$1,0)-VLOOKUP($A23,'Over Under Bill 1 COPY 到CO欄位'!$1:$1048576,'Over Under Bill 1 COPY 到CO欄位'!U$1,0)</f>
        <v>0</v>
      </c>
      <c r="AA23" s="157">
        <f t="shared" si="9"/>
        <v>0</v>
      </c>
      <c r="AB23" s="158">
        <f>VLOOKUP($A23,'Over Under Bill 1 COPY 到CO欄位'!$1:$1048576,'Over Under Bill 1 COPY 到CO欄位'!AB$1,0)-VLOOKUP($A23,'Over Under Bill 1 COPY 到CO欄位'!$1:$1048576,'Over Under Bill 1 COPY 到CO欄位'!W$1,0)</f>
        <v>0</v>
      </c>
      <c r="AC23" s="158">
        <f>VLOOKUP($A23,'Over Under Bill 1 COPY 到CO欄位'!$1:$1048576,'Over Under Bill 1 COPY 到CO欄位'!AC$1,0)-VLOOKUP($A23,'Over Under Bill 1 COPY 到CO欄位'!$1:$1048576,'Over Under Bill 1 COPY 到CO欄位'!X$1,0)</f>
        <v>0</v>
      </c>
      <c r="AD23" s="158">
        <f t="shared" si="10"/>
        <v>0</v>
      </c>
      <c r="AE23" s="158">
        <f>VLOOKUP($A23,'Over Under Bill 1 COPY 到CO欄位'!$1:$1048576,'Over Under Bill 1 COPY 到CO欄位'!AE$1,0)-VLOOKUP($A23,'Over Under Bill 1 COPY 到CO欄位'!$1:$1048576,'Over Under Bill 1 COPY 到CO欄位'!Z$1,0)</f>
        <v>0</v>
      </c>
      <c r="AF23" s="158">
        <f t="shared" si="11"/>
        <v>0</v>
      </c>
      <c r="AG23" s="157">
        <f>VLOOKUP($A23,'Over Under Bill 1 COPY 到CO欄位'!$1:$1048576,'Over Under Bill 1 COPY 到CO欄位'!AG$1,0)-VLOOKUP($A23,'Over Under Bill 1 COPY 到CO欄位'!$1:$1048576,'Over Under Bill 1 COPY 到CO欄位'!AB$1,0)</f>
        <v>0</v>
      </c>
      <c r="AH23" s="157">
        <f>VLOOKUP($A23,'Over Under Bill 1 COPY 到CO欄位'!$1:$1048576,'Over Under Bill 1 COPY 到CO欄位'!AH$1,0)-VLOOKUP($A23,'Over Under Bill 1 COPY 到CO欄位'!$1:$1048576,'Over Under Bill 1 COPY 到CO欄位'!AC$1,0)</f>
        <v>0</v>
      </c>
      <c r="AI23" s="157">
        <f t="shared" si="12"/>
        <v>0</v>
      </c>
      <c r="AJ23" s="157">
        <f>VLOOKUP($A23,'Over Under Bill 1 COPY 到CO欄位'!$1:$1048576,'Over Under Bill 1 COPY 到CO欄位'!AJ$1,0)-VLOOKUP($A23,'Over Under Bill 1 COPY 到CO欄位'!$1:$1048576,'Over Under Bill 1 COPY 到CO欄位'!AE$1,0)</f>
        <v>0</v>
      </c>
      <c r="AK23" s="157">
        <f t="shared" si="13"/>
        <v>0</v>
      </c>
      <c r="AL23" s="158">
        <f>VLOOKUP($A23,'Over Under Bill 1 COPY 到CO欄位'!$1:$1048576,'Over Under Bill 1 COPY 到CO欄位'!AL$1,0)-VLOOKUP($A23,'Over Under Bill 1 COPY 到CO欄位'!$1:$1048576,'Over Under Bill 1 COPY 到CO欄位'!AG$1,0)</f>
        <v>0</v>
      </c>
      <c r="AM23" s="158">
        <f>VLOOKUP($A23,'Over Under Bill 1 COPY 到CO欄位'!$1:$1048576,'Over Under Bill 1 COPY 到CO欄位'!AM$1,0)-VLOOKUP($A23,'Over Under Bill 1 COPY 到CO欄位'!$1:$1048576,'Over Under Bill 1 COPY 到CO欄位'!AH$1,0)</f>
        <v>0</v>
      </c>
      <c r="AN23" s="158">
        <f t="shared" si="14"/>
        <v>0</v>
      </c>
      <c r="AO23" s="158">
        <f>VLOOKUP($A23,'Over Under Bill 1 COPY 到CO欄位'!$1:$1048576,'Over Under Bill 1 COPY 到CO欄位'!AO$1,0)-VLOOKUP($A23,'Over Under Bill 1 COPY 到CO欄位'!$1:$1048576,'Over Under Bill 1 COPY 到CO欄位'!AJ$1,0)</f>
        <v>0</v>
      </c>
      <c r="AP23" s="158">
        <f t="shared" si="15"/>
        <v>0</v>
      </c>
      <c r="AQ23" s="157">
        <f>VLOOKUP($A23,'Over Under Bill 1 COPY 到CO欄位'!$1:$1048576,'Over Under Bill 1 COPY 到CO欄位'!AQ$1,0)-VLOOKUP($A23,'Over Under Bill 1 COPY 到CO欄位'!$1:$1048576,'Over Under Bill 1 COPY 到CO欄位'!AL$1,0)</f>
        <v>0</v>
      </c>
      <c r="AR23" s="157">
        <f>VLOOKUP($A23,'Over Under Bill 1 COPY 到CO欄位'!$1:$1048576,'Over Under Bill 1 COPY 到CO欄位'!AR$1,0)-VLOOKUP($A23,'Over Under Bill 1 COPY 到CO欄位'!$1:$1048576,'Over Under Bill 1 COPY 到CO欄位'!AM$1,0)</f>
        <v>0</v>
      </c>
      <c r="AS23" s="157">
        <f t="shared" si="16"/>
        <v>0</v>
      </c>
      <c r="AT23" s="157">
        <f>VLOOKUP($A23,'Over Under Bill 1 COPY 到CO欄位'!$1:$1048576,'Over Under Bill 1 COPY 到CO欄位'!AT$1,0)-VLOOKUP($A23,'Over Under Bill 1 COPY 到CO欄位'!$1:$1048576,'Over Under Bill 1 COPY 到CO欄位'!AO$1,0)</f>
        <v>0</v>
      </c>
      <c r="AU23" s="157">
        <f t="shared" si="17"/>
        <v>0</v>
      </c>
      <c r="AV23" s="158">
        <f>VLOOKUP($A23,'Over Under Bill 1 COPY 到CO欄位'!$1:$1048576,'Over Under Bill 1 COPY 到CO欄位'!AV$1,0)-VLOOKUP($A23,'Over Under Bill 1 COPY 到CO欄位'!$1:$1048576,'Over Under Bill 1 COPY 到CO欄位'!AQ$1,0)</f>
        <v>0</v>
      </c>
      <c r="AW23" s="158">
        <f>VLOOKUP($A23,'Over Under Bill 1 COPY 到CO欄位'!$1:$1048576,'Over Under Bill 1 COPY 到CO欄位'!AW$1,0)-VLOOKUP($A23,'Over Under Bill 1 COPY 到CO欄位'!$1:$1048576,'Over Under Bill 1 COPY 到CO欄位'!AR$1,0)</f>
        <v>0</v>
      </c>
      <c r="AX23" s="158">
        <f t="shared" si="18"/>
        <v>0</v>
      </c>
      <c r="AY23" s="158">
        <f>VLOOKUP($A23,'Over Under Bill 1 COPY 到CO欄位'!$1:$1048576,'Over Under Bill 1 COPY 到CO欄位'!AY$1,0)-VLOOKUP($A23,'Over Under Bill 1 COPY 到CO欄位'!$1:$1048576,'Over Under Bill 1 COPY 到CO欄位'!AT$1,0)</f>
        <v>0</v>
      </c>
      <c r="AZ23" s="158">
        <f t="shared" si="19"/>
        <v>0</v>
      </c>
      <c r="BA23" s="157">
        <f>VLOOKUP($A23,'Over Under Bill 1 COPY 到CO欄位'!$1:$1048576,'Over Under Bill 1 COPY 到CO欄位'!BA$1,0)-VLOOKUP($A23,'Over Under Bill 1 COPY 到CO欄位'!$1:$1048576,'Over Under Bill 1 COPY 到CO欄位'!AV$1,0)</f>
        <v>0</v>
      </c>
      <c r="BB23" s="157">
        <f>VLOOKUP($A23,'Over Under Bill 1 COPY 到CO欄位'!$1:$1048576,'Over Under Bill 1 COPY 到CO欄位'!BB$1,0)-VLOOKUP($A23,'Over Under Bill 1 COPY 到CO欄位'!$1:$1048576,'Over Under Bill 1 COPY 到CO欄位'!AW$1,0)</f>
        <v>0</v>
      </c>
      <c r="BC23" s="157">
        <f t="shared" si="20"/>
        <v>0</v>
      </c>
      <c r="BD23" s="157">
        <f>VLOOKUP($A23,'Over Under Bill 1 COPY 到CO欄位'!$1:$1048576,'Over Under Bill 1 COPY 到CO欄位'!BD$1,0)-VLOOKUP($A23,'Over Under Bill 1 COPY 到CO欄位'!$1:$1048576,'Over Under Bill 1 COPY 到CO欄位'!AY$1,0)</f>
        <v>0</v>
      </c>
      <c r="BE23" s="157">
        <f t="shared" si="21"/>
        <v>0</v>
      </c>
      <c r="BF23" s="158">
        <f>VLOOKUP($A23,'Over Under Bill 1 COPY 到CO欄位'!$1:$1048576,'Over Under Bill 1 COPY 到CO欄位'!BF$1,0)-VLOOKUP($A23,'Over Under Bill 1 COPY 到CO欄位'!$1:$1048576,'Over Under Bill 1 COPY 到CO欄位'!BA$1,0)</f>
        <v>0</v>
      </c>
      <c r="BG23" s="158">
        <f>VLOOKUP($A23,'Over Under Bill 1 COPY 到CO欄位'!$1:$1048576,'Over Under Bill 1 COPY 到CO欄位'!BG$1,0)-VLOOKUP($A23,'Over Under Bill 1 COPY 到CO欄位'!$1:$1048576,'Over Under Bill 1 COPY 到CO欄位'!BB$1,0)</f>
        <v>0</v>
      </c>
      <c r="BH23" s="158">
        <f t="shared" si="22"/>
        <v>0</v>
      </c>
      <c r="BI23" s="158">
        <f>VLOOKUP($A23,'Over Under Bill 1 COPY 到CO欄位'!$1:$1048576,'Over Under Bill 1 COPY 到CO欄位'!BI$1,0)-VLOOKUP($A23,'Over Under Bill 1 COPY 到CO欄位'!$1:$1048576,'Over Under Bill 1 COPY 到CO欄位'!BD$1,0)</f>
        <v>0</v>
      </c>
      <c r="BJ23" s="158">
        <f t="shared" si="23"/>
        <v>0</v>
      </c>
      <c r="BK23" s="157">
        <f>VLOOKUP($A23,'Over Under Bill 1 COPY 到CO欄位'!$1:$1048576,'Over Under Bill 1 COPY 到CO欄位'!BK$1,0)-VLOOKUP($A23,'Over Under Bill 1 COPY 到CO欄位'!$1:$1048576,'Over Under Bill 1 COPY 到CO欄位'!BF$1,0)</f>
        <v>0</v>
      </c>
      <c r="BL23" s="157">
        <f>VLOOKUP($A23,'Over Under Bill 1 COPY 到CO欄位'!$1:$1048576,'Over Under Bill 1 COPY 到CO欄位'!BL$1,0)-VLOOKUP($A23,'Over Under Bill 1 COPY 到CO欄位'!$1:$1048576,'Over Under Bill 1 COPY 到CO欄位'!BG$1,0)</f>
        <v>0</v>
      </c>
      <c r="BM23" s="157">
        <f t="shared" si="24"/>
        <v>0</v>
      </c>
      <c r="BN23" s="157">
        <f>VLOOKUP($A23,'Over Under Bill 1 COPY 到CO欄位'!$1:$1048576,'Over Under Bill 1 COPY 到CO欄位'!BN$1,0)-VLOOKUP($A23,'Over Under Bill 1 COPY 到CO欄位'!$1:$1048576,'Over Under Bill 1 COPY 到CO欄位'!BI$1,0)</f>
        <v>0</v>
      </c>
      <c r="BO23" s="157">
        <f t="shared" si="25"/>
        <v>0</v>
      </c>
      <c r="BP23" s="158">
        <f>VLOOKUP($A23,'Over Under Bill 1 COPY 到CO欄位'!$1:$1048576,'Over Under Bill 1 COPY 到CO欄位'!BP$1,0)-VLOOKUP($A23,'Over Under Bill 1 COPY 到CO欄位'!$1:$1048576,'Over Under Bill 1 COPY 到CO欄位'!BK$1,0)</f>
        <v>0</v>
      </c>
      <c r="BQ23" s="158">
        <f>VLOOKUP($A23,'Over Under Bill 1 COPY 到CO欄位'!$1:$1048576,'Over Under Bill 1 COPY 到CO欄位'!BQ$1,0)-VLOOKUP($A23,'Over Under Bill 1 COPY 到CO欄位'!$1:$1048576,'Over Under Bill 1 COPY 到CO欄位'!BL$1,0)</f>
        <v>0</v>
      </c>
      <c r="BR23" s="158">
        <f t="shared" si="26"/>
        <v>0</v>
      </c>
      <c r="BS23" s="158">
        <f>VLOOKUP($A23,'Over Under Bill 1 COPY 到CO欄位'!$1:$1048576,'Over Under Bill 1 COPY 到CO欄位'!BS$1,0)-VLOOKUP($A23,'Over Under Bill 1 COPY 到CO欄位'!$1:$1048576,'Over Under Bill 1 COPY 到CO欄位'!BN$1,0)</f>
        <v>0</v>
      </c>
      <c r="BT23" s="158">
        <f t="shared" si="27"/>
        <v>0</v>
      </c>
      <c r="BU23" s="157">
        <f>VLOOKUP($A23,'Over Under Bill 1 COPY 到CO欄位'!$1:$1048576,'Over Under Bill 1 COPY 到CO欄位'!BP$1,0)-VLOOKUP($A23,'Over Under Bill 1 COPY 到CO欄位'!$1:$1048576,'Over Under Bill 1 COPY 到CO欄位'!H$1,0)</f>
        <v>0</v>
      </c>
      <c r="BV23" s="157">
        <f>VLOOKUP($A23,'Over Under Bill 1 COPY 到CO欄位'!$1:$1048576,'Over Under Bill 1 COPY 到CO欄位'!BQ$1,0)-VLOOKUP($A23,'Over Under Bill 1 COPY 到CO欄位'!$1:$1048576,'Over Under Bill 1 COPY 到CO欄位'!I$1,0)</f>
        <v>0</v>
      </c>
      <c r="BW23" s="157">
        <f t="shared" si="28"/>
        <v>0</v>
      </c>
      <c r="BX23" s="157">
        <f>VLOOKUP($A23,'Over Under Bill 1 COPY 到CO欄位'!$1:$1048576,'Over Under Bill 1 COPY 到CO欄位'!BS$1,0)-VLOOKUP($A23,'Over Under Bill 1 COPY 到CO欄位'!$1:$1048576,'Over Under Bill 1 COPY 到CO欄位'!K$1,0)</f>
        <v>0</v>
      </c>
      <c r="BY23" s="157">
        <f t="shared" si="29"/>
        <v>0</v>
      </c>
      <c r="BZ23" s="158">
        <f>VLOOKUP($A23,'Over Under Bill 1 COPY 到CO欄位'!$1:$1048576,'Over Under Bill 1 COPY 到CO欄位'!BU$1,0)-VLOOKUP($A23,'Over Under Bill 1 COPY 到CO欄位'!$1:$1048576,'Over Under Bill 1 COPY 到CO欄位'!BP$1,0)</f>
        <v>0</v>
      </c>
      <c r="CA23" s="158">
        <f>VLOOKUP($A23,'Over Under Bill 1 COPY 到CO欄位'!$1:$1048576,'Over Under Bill 1 COPY 到CO欄位'!BV$1,0)-VLOOKUP($A23,'Over Under Bill 1 COPY 到CO欄位'!$1:$1048576,'Over Under Bill 1 COPY 到CO欄位'!BQ$1,0)</f>
        <v>0</v>
      </c>
      <c r="CB23" s="158">
        <f t="shared" si="30"/>
        <v>0</v>
      </c>
      <c r="CC23" s="158">
        <f>VLOOKUP($A23,'Over Under Bill 1 COPY 到CO欄位'!$1:$1048576,'Over Under Bill 1 COPY 到CO欄位'!BX$1,0)-VLOOKUP($A23,'Over Under Bill 1 COPY 到CO欄位'!$1:$1048576,'Over Under Bill 1 COPY 到CO欄位'!BS$1,0)</f>
        <v>0</v>
      </c>
      <c r="CD23" s="158">
        <f t="shared" si="31"/>
        <v>0</v>
      </c>
      <c r="CE23" s="157">
        <f>VLOOKUP($A23,'Over Under Bill 1 COPY 到CO欄位'!$1:$1048576,'Over Under Bill 1 COPY 到CO欄位'!BZ$1,0)-VLOOKUP($A23,'Over Under Bill 1 COPY 到CO欄位'!$1:$1048576,'Over Under Bill 1 COPY 到CO欄位'!BU$1,0)</f>
        <v>0</v>
      </c>
      <c r="CF23" s="157">
        <f>VLOOKUP($A23,'Over Under Bill 1 COPY 到CO欄位'!$1:$1048576,'Over Under Bill 1 COPY 到CO欄位'!CA$1,0)-VLOOKUP($A23,'Over Under Bill 1 COPY 到CO欄位'!$1:$1048576,'Over Under Bill 1 COPY 到CO欄位'!BV$1,0)</f>
        <v>0</v>
      </c>
      <c r="CG23" s="157">
        <f t="shared" si="32"/>
        <v>0</v>
      </c>
      <c r="CH23" s="157">
        <f>VLOOKUP($A23,'Over Under Bill 1 COPY 到CO欄位'!$1:$1048576,'Over Under Bill 1 COPY 到CO欄位'!CC$1,0)-VLOOKUP($A23,'Over Under Bill 1 COPY 到CO欄位'!$1:$1048576,'Over Under Bill 1 COPY 到CO欄位'!BX$1,0)</f>
        <v>0</v>
      </c>
      <c r="CI23" s="157">
        <f t="shared" si="33"/>
        <v>0</v>
      </c>
      <c r="CJ23" s="158">
        <f>VLOOKUP($A23,'Over Under Bill 1 COPY 到CO欄位'!$1:$1048576,'Over Under Bill 1 COPY 到CO欄位'!CE$1,0)-VLOOKUP($A23,'Over Under Bill 1 COPY 到CO欄位'!$1:$1048576,'Over Under Bill 1 COPY 到CO欄位'!BZ$1,0)</f>
        <v>0</v>
      </c>
      <c r="CK23" s="158">
        <f>VLOOKUP($A23,'Over Under Bill 1 COPY 到CO欄位'!$1:$1048576,'Over Under Bill 1 COPY 到CO欄位'!CF$1,0)-VLOOKUP($A23,'Over Under Bill 1 COPY 到CO欄位'!$1:$1048576,'Over Under Bill 1 COPY 到CO欄位'!CA$1,0)</f>
        <v>0</v>
      </c>
      <c r="CL23" s="158">
        <f t="shared" si="34"/>
        <v>0</v>
      </c>
      <c r="CM23" s="158">
        <f>VLOOKUP($A23,'Over Under Bill 1 COPY 到CO欄位'!$1:$1048576,'Over Under Bill 1 COPY 到CO欄位'!CH$1,0)-VLOOKUP($A23,'Over Under Bill 1 COPY 到CO欄位'!$1:$1048576,'Over Under Bill 1 COPY 到CO欄位'!CC$1,0)</f>
        <v>0</v>
      </c>
      <c r="CN23" s="158">
        <f t="shared" si="35"/>
        <v>0</v>
      </c>
      <c r="CO23" s="157">
        <f>VLOOKUP($A23,'Over Under Bill 1 COPY 到CO欄位'!$1:$1048576,'Over Under Bill 1 COPY 到CO欄位'!CJ$1,0)-VLOOKUP($A23,'Over Under Bill 1 COPY 到CO欄位'!$1:$1048576,'Over Under Bill 1 COPY 到CO欄位'!CE$1,0)</f>
        <v>0</v>
      </c>
      <c r="CP23" s="157">
        <f>VLOOKUP($A23,'Over Under Bill 1 COPY 到CO欄位'!$1:$1048576,'Over Under Bill 1 COPY 到CO欄位'!CK$1,0)-VLOOKUP($A23,'Over Under Bill 1 COPY 到CO欄位'!$1:$1048576,'Over Under Bill 1 COPY 到CO欄位'!CF$1,0)</f>
        <v>0</v>
      </c>
      <c r="CQ23" s="157">
        <f t="shared" si="36"/>
        <v>0</v>
      </c>
      <c r="CR23" s="157">
        <f>VLOOKUP($A23,'Over Under Bill 1 COPY 到CO欄位'!$1:$1048576,'Over Under Bill 1 COPY 到CO欄位'!CM$1,0)-VLOOKUP($A23,'Over Under Bill 1 COPY 到CO欄位'!$1:$1048576,'Over Under Bill 1 COPY 到CO欄位'!CH$1,0)</f>
        <v>0</v>
      </c>
      <c r="CS23" s="157">
        <f t="shared" si="37"/>
        <v>0</v>
      </c>
    </row>
    <row r="24" spans="1:97">
      <c r="A24" s="155" t="s">
        <v>345</v>
      </c>
      <c r="B24" s="169" t="s">
        <v>346</v>
      </c>
      <c r="C24" s="157">
        <f>IFERROR(VLOOKUP($A24,'A0 BS 1240在建'!$1:$1048576,5,0),0)</f>
        <v>0</v>
      </c>
      <c r="D24" s="157">
        <f>IFERROR(VLOOKUP($A24,'B0 2264預收'!$1:$1048576,5,0),0)</f>
        <v>0</v>
      </c>
      <c r="E24" s="157">
        <f t="shared" si="0"/>
        <v>0</v>
      </c>
      <c r="F24" s="157">
        <f>IFERROR(VLOOKUP($A24,'B0 2264預收'!$1:$1048576,6,0),0)</f>
        <v>0</v>
      </c>
      <c r="G24" s="157">
        <f t="shared" si="1"/>
        <v>0</v>
      </c>
      <c r="H24" s="158">
        <f>IFERROR(VLOOKUP($A24,'A0 BS 1240在建'!$1:$1048576,13,0),0)-C24</f>
        <v>0</v>
      </c>
      <c r="I24" s="158">
        <f>IFERROR(VLOOKUP($A24,'B0 2264預收'!$1:$1048576,13,0),0)-D24</f>
        <v>0</v>
      </c>
      <c r="J24" s="158">
        <f t="shared" si="2"/>
        <v>0</v>
      </c>
      <c r="K24" s="158">
        <f>IFERROR(VLOOKUP($A24,'B0 2264預收'!$1:$1048576,14,0),0)-F24</f>
        <v>0</v>
      </c>
      <c r="L24" s="158">
        <f t="shared" si="3"/>
        <v>0</v>
      </c>
      <c r="M24" s="157">
        <f>VLOOKUP($A24,'Over Under Bill 1 COPY 到CO欄位'!$1:$1048576,'Over Under Bill 1 COPY 到CO欄位'!M$1,0)-VLOOKUP($A24,'Over Under Bill 1 COPY 到CO欄位'!$1:$1048576,'Over Under Bill 1 COPY 到CO欄位'!H$1,0)</f>
        <v>0</v>
      </c>
      <c r="N24" s="157">
        <f>VLOOKUP($A24,'Over Under Bill 1 COPY 到CO欄位'!$1:$1048576,'Over Under Bill 1 COPY 到CO欄位'!N$1,0)-VLOOKUP($A24,'Over Under Bill 1 COPY 到CO欄位'!$1:$1048576,'Over Under Bill 1 COPY 到CO欄位'!I$1,0)</f>
        <v>0</v>
      </c>
      <c r="O24" s="157">
        <f t="shared" si="4"/>
        <v>0</v>
      </c>
      <c r="P24" s="157">
        <f>VLOOKUP($A24,'Over Under Bill 1 COPY 到CO欄位'!$1:$1048576,'Over Under Bill 1 COPY 到CO欄位'!P$1,0)-VLOOKUP($A24,'Over Under Bill 1 COPY 到CO欄位'!$1:$1048576,'Over Under Bill 1 COPY 到CO欄位'!K$1,0)</f>
        <v>0</v>
      </c>
      <c r="Q24" s="157">
        <f t="shared" si="5"/>
        <v>0</v>
      </c>
      <c r="R24" s="158">
        <f>VLOOKUP($A24,'Over Under Bill 1 COPY 到CO欄位'!$1:$1048576,'Over Under Bill 1 COPY 到CO欄位'!R$1,0)-VLOOKUP($A24,'Over Under Bill 1 COPY 到CO欄位'!$1:$1048576,'Over Under Bill 1 COPY 到CO欄位'!M$1,0)</f>
        <v>0</v>
      </c>
      <c r="S24" s="158">
        <f>VLOOKUP($A24,'Over Under Bill 1 COPY 到CO欄位'!$1:$1048576,'Over Under Bill 1 COPY 到CO欄位'!S$1,0)-VLOOKUP($A24,'Over Under Bill 1 COPY 到CO欄位'!$1:$1048576,'Over Under Bill 1 COPY 到CO欄位'!N$1,0)</f>
        <v>0</v>
      </c>
      <c r="T24" s="158">
        <f t="shared" si="6"/>
        <v>0</v>
      </c>
      <c r="U24" s="158">
        <f>VLOOKUP($A24,'Over Under Bill 1 COPY 到CO欄位'!$1:$1048576,'Over Under Bill 1 COPY 到CO欄位'!U$1,0)-VLOOKUP($A24,'Over Under Bill 1 COPY 到CO欄位'!$1:$1048576,'Over Under Bill 1 COPY 到CO欄位'!P$1,0)</f>
        <v>0</v>
      </c>
      <c r="V24" s="158">
        <f t="shared" si="7"/>
        <v>0</v>
      </c>
      <c r="W24" s="157">
        <f>VLOOKUP($A24,'Over Under Bill 1 COPY 到CO欄位'!$1:$1048576,'Over Under Bill 1 COPY 到CO欄位'!W$1,0)-VLOOKUP($A24,'Over Under Bill 1 COPY 到CO欄位'!$1:$1048576,'Over Under Bill 1 COPY 到CO欄位'!R$1,0)</f>
        <v>0</v>
      </c>
      <c r="X24" s="157">
        <f>VLOOKUP($A24,'Over Under Bill 1 COPY 到CO欄位'!$1:$1048576,'Over Under Bill 1 COPY 到CO欄位'!X$1,0)-VLOOKUP($A24,'Over Under Bill 1 COPY 到CO欄位'!$1:$1048576,'Over Under Bill 1 COPY 到CO欄位'!S$1,0)</f>
        <v>0</v>
      </c>
      <c r="Y24" s="157">
        <f t="shared" si="8"/>
        <v>0</v>
      </c>
      <c r="Z24" s="157">
        <f>VLOOKUP($A24,'Over Under Bill 1 COPY 到CO欄位'!$1:$1048576,'Over Under Bill 1 COPY 到CO欄位'!Z$1,0)-VLOOKUP($A24,'Over Under Bill 1 COPY 到CO欄位'!$1:$1048576,'Over Under Bill 1 COPY 到CO欄位'!U$1,0)</f>
        <v>0</v>
      </c>
      <c r="AA24" s="157">
        <f t="shared" si="9"/>
        <v>0</v>
      </c>
      <c r="AB24" s="158">
        <f>VLOOKUP($A24,'Over Under Bill 1 COPY 到CO欄位'!$1:$1048576,'Over Under Bill 1 COPY 到CO欄位'!AB$1,0)-VLOOKUP($A24,'Over Under Bill 1 COPY 到CO欄位'!$1:$1048576,'Over Under Bill 1 COPY 到CO欄位'!W$1,0)</f>
        <v>0</v>
      </c>
      <c r="AC24" s="158">
        <f>VLOOKUP($A24,'Over Under Bill 1 COPY 到CO欄位'!$1:$1048576,'Over Under Bill 1 COPY 到CO欄位'!AC$1,0)-VLOOKUP($A24,'Over Under Bill 1 COPY 到CO欄位'!$1:$1048576,'Over Under Bill 1 COPY 到CO欄位'!X$1,0)</f>
        <v>0</v>
      </c>
      <c r="AD24" s="158">
        <f t="shared" si="10"/>
        <v>0</v>
      </c>
      <c r="AE24" s="158">
        <f>VLOOKUP($A24,'Over Under Bill 1 COPY 到CO欄位'!$1:$1048576,'Over Under Bill 1 COPY 到CO欄位'!AE$1,0)-VLOOKUP($A24,'Over Under Bill 1 COPY 到CO欄位'!$1:$1048576,'Over Under Bill 1 COPY 到CO欄位'!Z$1,0)</f>
        <v>0</v>
      </c>
      <c r="AF24" s="158">
        <f t="shared" si="11"/>
        <v>0</v>
      </c>
      <c r="AG24" s="157">
        <f>VLOOKUP($A24,'Over Under Bill 1 COPY 到CO欄位'!$1:$1048576,'Over Under Bill 1 COPY 到CO欄位'!AG$1,0)-VLOOKUP($A24,'Over Under Bill 1 COPY 到CO欄位'!$1:$1048576,'Over Under Bill 1 COPY 到CO欄位'!AB$1,0)</f>
        <v>0</v>
      </c>
      <c r="AH24" s="157">
        <f>VLOOKUP($A24,'Over Under Bill 1 COPY 到CO欄位'!$1:$1048576,'Over Under Bill 1 COPY 到CO欄位'!AH$1,0)-VLOOKUP($A24,'Over Under Bill 1 COPY 到CO欄位'!$1:$1048576,'Over Under Bill 1 COPY 到CO欄位'!AC$1,0)</f>
        <v>0</v>
      </c>
      <c r="AI24" s="157">
        <f t="shared" si="12"/>
        <v>0</v>
      </c>
      <c r="AJ24" s="157">
        <f>VLOOKUP($A24,'Over Under Bill 1 COPY 到CO欄位'!$1:$1048576,'Over Under Bill 1 COPY 到CO欄位'!AJ$1,0)-VLOOKUP($A24,'Over Under Bill 1 COPY 到CO欄位'!$1:$1048576,'Over Under Bill 1 COPY 到CO欄位'!AE$1,0)</f>
        <v>0</v>
      </c>
      <c r="AK24" s="157">
        <f t="shared" si="13"/>
        <v>0</v>
      </c>
      <c r="AL24" s="158">
        <f>VLOOKUP($A24,'Over Under Bill 1 COPY 到CO欄位'!$1:$1048576,'Over Under Bill 1 COPY 到CO欄位'!AL$1,0)-VLOOKUP($A24,'Over Under Bill 1 COPY 到CO欄位'!$1:$1048576,'Over Under Bill 1 COPY 到CO欄位'!AG$1,0)</f>
        <v>0</v>
      </c>
      <c r="AM24" s="158">
        <f>VLOOKUP($A24,'Over Under Bill 1 COPY 到CO欄位'!$1:$1048576,'Over Under Bill 1 COPY 到CO欄位'!AM$1,0)-VLOOKUP($A24,'Over Under Bill 1 COPY 到CO欄位'!$1:$1048576,'Over Under Bill 1 COPY 到CO欄位'!AH$1,0)</f>
        <v>0</v>
      </c>
      <c r="AN24" s="158">
        <f t="shared" si="14"/>
        <v>0</v>
      </c>
      <c r="AO24" s="158">
        <f>VLOOKUP($A24,'Over Under Bill 1 COPY 到CO欄位'!$1:$1048576,'Over Under Bill 1 COPY 到CO欄位'!AO$1,0)-VLOOKUP($A24,'Over Under Bill 1 COPY 到CO欄位'!$1:$1048576,'Over Under Bill 1 COPY 到CO欄位'!AJ$1,0)</f>
        <v>0</v>
      </c>
      <c r="AP24" s="158">
        <f t="shared" si="15"/>
        <v>0</v>
      </c>
      <c r="AQ24" s="157">
        <f>VLOOKUP($A24,'Over Under Bill 1 COPY 到CO欄位'!$1:$1048576,'Over Under Bill 1 COPY 到CO欄位'!AQ$1,0)-VLOOKUP($A24,'Over Under Bill 1 COPY 到CO欄位'!$1:$1048576,'Over Under Bill 1 COPY 到CO欄位'!AL$1,0)</f>
        <v>0</v>
      </c>
      <c r="AR24" s="157">
        <f>VLOOKUP($A24,'Over Under Bill 1 COPY 到CO欄位'!$1:$1048576,'Over Under Bill 1 COPY 到CO欄位'!AR$1,0)-VLOOKUP($A24,'Over Under Bill 1 COPY 到CO欄位'!$1:$1048576,'Over Under Bill 1 COPY 到CO欄位'!AM$1,0)</f>
        <v>0</v>
      </c>
      <c r="AS24" s="157">
        <f t="shared" si="16"/>
        <v>0</v>
      </c>
      <c r="AT24" s="157">
        <f>VLOOKUP($A24,'Over Under Bill 1 COPY 到CO欄位'!$1:$1048576,'Over Under Bill 1 COPY 到CO欄位'!AT$1,0)-VLOOKUP($A24,'Over Under Bill 1 COPY 到CO欄位'!$1:$1048576,'Over Under Bill 1 COPY 到CO欄位'!AO$1,0)</f>
        <v>0</v>
      </c>
      <c r="AU24" s="157">
        <f t="shared" si="17"/>
        <v>0</v>
      </c>
      <c r="AV24" s="158">
        <f>VLOOKUP($A24,'Over Under Bill 1 COPY 到CO欄位'!$1:$1048576,'Over Under Bill 1 COPY 到CO欄位'!AV$1,0)-VLOOKUP($A24,'Over Under Bill 1 COPY 到CO欄位'!$1:$1048576,'Over Under Bill 1 COPY 到CO欄位'!AQ$1,0)</f>
        <v>0</v>
      </c>
      <c r="AW24" s="158">
        <f>VLOOKUP($A24,'Over Under Bill 1 COPY 到CO欄位'!$1:$1048576,'Over Under Bill 1 COPY 到CO欄位'!AW$1,0)-VLOOKUP($A24,'Over Under Bill 1 COPY 到CO欄位'!$1:$1048576,'Over Under Bill 1 COPY 到CO欄位'!AR$1,0)</f>
        <v>0</v>
      </c>
      <c r="AX24" s="158">
        <f t="shared" si="18"/>
        <v>0</v>
      </c>
      <c r="AY24" s="158">
        <f>VLOOKUP($A24,'Over Under Bill 1 COPY 到CO欄位'!$1:$1048576,'Over Under Bill 1 COPY 到CO欄位'!AY$1,0)-VLOOKUP($A24,'Over Under Bill 1 COPY 到CO欄位'!$1:$1048576,'Over Under Bill 1 COPY 到CO欄位'!AT$1,0)</f>
        <v>0</v>
      </c>
      <c r="AZ24" s="158">
        <f t="shared" si="19"/>
        <v>0</v>
      </c>
      <c r="BA24" s="157">
        <f>VLOOKUP($A24,'Over Under Bill 1 COPY 到CO欄位'!$1:$1048576,'Over Under Bill 1 COPY 到CO欄位'!BA$1,0)-VLOOKUP($A24,'Over Under Bill 1 COPY 到CO欄位'!$1:$1048576,'Over Under Bill 1 COPY 到CO欄位'!AV$1,0)</f>
        <v>0</v>
      </c>
      <c r="BB24" s="157">
        <f>VLOOKUP($A24,'Over Under Bill 1 COPY 到CO欄位'!$1:$1048576,'Over Under Bill 1 COPY 到CO欄位'!BB$1,0)-VLOOKUP($A24,'Over Under Bill 1 COPY 到CO欄位'!$1:$1048576,'Over Under Bill 1 COPY 到CO欄位'!AW$1,0)</f>
        <v>0</v>
      </c>
      <c r="BC24" s="157">
        <f t="shared" si="20"/>
        <v>0</v>
      </c>
      <c r="BD24" s="157">
        <f>VLOOKUP($A24,'Over Under Bill 1 COPY 到CO欄位'!$1:$1048576,'Over Under Bill 1 COPY 到CO欄位'!BD$1,0)-VLOOKUP($A24,'Over Under Bill 1 COPY 到CO欄位'!$1:$1048576,'Over Under Bill 1 COPY 到CO欄位'!AY$1,0)</f>
        <v>0</v>
      </c>
      <c r="BE24" s="157">
        <f t="shared" si="21"/>
        <v>0</v>
      </c>
      <c r="BF24" s="158">
        <f>VLOOKUP($A24,'Over Under Bill 1 COPY 到CO欄位'!$1:$1048576,'Over Under Bill 1 COPY 到CO欄位'!BF$1,0)-VLOOKUP($A24,'Over Under Bill 1 COPY 到CO欄位'!$1:$1048576,'Over Under Bill 1 COPY 到CO欄位'!BA$1,0)</f>
        <v>0</v>
      </c>
      <c r="BG24" s="158">
        <f>VLOOKUP($A24,'Over Under Bill 1 COPY 到CO欄位'!$1:$1048576,'Over Under Bill 1 COPY 到CO欄位'!BG$1,0)-VLOOKUP($A24,'Over Under Bill 1 COPY 到CO欄位'!$1:$1048576,'Over Under Bill 1 COPY 到CO欄位'!BB$1,0)</f>
        <v>0</v>
      </c>
      <c r="BH24" s="158">
        <f t="shared" si="22"/>
        <v>0</v>
      </c>
      <c r="BI24" s="158">
        <f>VLOOKUP($A24,'Over Under Bill 1 COPY 到CO欄位'!$1:$1048576,'Over Under Bill 1 COPY 到CO欄位'!BI$1,0)-VLOOKUP($A24,'Over Under Bill 1 COPY 到CO欄位'!$1:$1048576,'Over Under Bill 1 COPY 到CO欄位'!BD$1,0)</f>
        <v>0</v>
      </c>
      <c r="BJ24" s="158">
        <f t="shared" si="23"/>
        <v>0</v>
      </c>
      <c r="BK24" s="157">
        <f>VLOOKUP($A24,'Over Under Bill 1 COPY 到CO欄位'!$1:$1048576,'Over Under Bill 1 COPY 到CO欄位'!BK$1,0)-VLOOKUP($A24,'Over Under Bill 1 COPY 到CO欄位'!$1:$1048576,'Over Under Bill 1 COPY 到CO欄位'!BF$1,0)</f>
        <v>0</v>
      </c>
      <c r="BL24" s="157">
        <f>VLOOKUP($A24,'Over Under Bill 1 COPY 到CO欄位'!$1:$1048576,'Over Under Bill 1 COPY 到CO欄位'!BL$1,0)-VLOOKUP($A24,'Over Under Bill 1 COPY 到CO欄位'!$1:$1048576,'Over Under Bill 1 COPY 到CO欄位'!BG$1,0)</f>
        <v>0</v>
      </c>
      <c r="BM24" s="157">
        <f t="shared" si="24"/>
        <v>0</v>
      </c>
      <c r="BN24" s="157">
        <f>VLOOKUP($A24,'Over Under Bill 1 COPY 到CO欄位'!$1:$1048576,'Over Under Bill 1 COPY 到CO欄位'!BN$1,0)-VLOOKUP($A24,'Over Under Bill 1 COPY 到CO欄位'!$1:$1048576,'Over Under Bill 1 COPY 到CO欄位'!BI$1,0)</f>
        <v>0</v>
      </c>
      <c r="BO24" s="157">
        <f t="shared" si="25"/>
        <v>0</v>
      </c>
      <c r="BP24" s="158">
        <f>VLOOKUP($A24,'Over Under Bill 1 COPY 到CO欄位'!$1:$1048576,'Over Under Bill 1 COPY 到CO欄位'!BP$1,0)-VLOOKUP($A24,'Over Under Bill 1 COPY 到CO欄位'!$1:$1048576,'Over Under Bill 1 COPY 到CO欄位'!BK$1,0)</f>
        <v>0</v>
      </c>
      <c r="BQ24" s="158">
        <f>VLOOKUP($A24,'Over Under Bill 1 COPY 到CO欄位'!$1:$1048576,'Over Under Bill 1 COPY 到CO欄位'!BQ$1,0)-VLOOKUP($A24,'Over Under Bill 1 COPY 到CO欄位'!$1:$1048576,'Over Under Bill 1 COPY 到CO欄位'!BL$1,0)</f>
        <v>0</v>
      </c>
      <c r="BR24" s="158">
        <f t="shared" si="26"/>
        <v>0</v>
      </c>
      <c r="BS24" s="158">
        <f>VLOOKUP($A24,'Over Under Bill 1 COPY 到CO欄位'!$1:$1048576,'Over Under Bill 1 COPY 到CO欄位'!BS$1,0)-VLOOKUP($A24,'Over Under Bill 1 COPY 到CO欄位'!$1:$1048576,'Over Under Bill 1 COPY 到CO欄位'!BN$1,0)</f>
        <v>0</v>
      </c>
      <c r="BT24" s="158">
        <f t="shared" si="27"/>
        <v>0</v>
      </c>
      <c r="BU24" s="157">
        <f>VLOOKUP($A24,'Over Under Bill 1 COPY 到CO欄位'!$1:$1048576,'Over Under Bill 1 COPY 到CO欄位'!BP$1,0)-VLOOKUP($A24,'Over Under Bill 1 COPY 到CO欄位'!$1:$1048576,'Over Under Bill 1 COPY 到CO欄位'!H$1,0)</f>
        <v>0</v>
      </c>
      <c r="BV24" s="157">
        <f>VLOOKUP($A24,'Over Under Bill 1 COPY 到CO欄位'!$1:$1048576,'Over Under Bill 1 COPY 到CO欄位'!BQ$1,0)-VLOOKUP($A24,'Over Under Bill 1 COPY 到CO欄位'!$1:$1048576,'Over Under Bill 1 COPY 到CO欄位'!I$1,0)</f>
        <v>0</v>
      </c>
      <c r="BW24" s="157">
        <f t="shared" si="28"/>
        <v>0</v>
      </c>
      <c r="BX24" s="157">
        <f>VLOOKUP($A24,'Over Under Bill 1 COPY 到CO欄位'!$1:$1048576,'Over Under Bill 1 COPY 到CO欄位'!BS$1,0)-VLOOKUP($A24,'Over Under Bill 1 COPY 到CO欄位'!$1:$1048576,'Over Under Bill 1 COPY 到CO欄位'!K$1,0)</f>
        <v>0</v>
      </c>
      <c r="BY24" s="157">
        <f t="shared" si="29"/>
        <v>0</v>
      </c>
      <c r="BZ24" s="158">
        <f>VLOOKUP($A24,'Over Under Bill 1 COPY 到CO欄位'!$1:$1048576,'Over Under Bill 1 COPY 到CO欄位'!BU$1,0)-VLOOKUP($A24,'Over Under Bill 1 COPY 到CO欄位'!$1:$1048576,'Over Under Bill 1 COPY 到CO欄位'!BP$1,0)</f>
        <v>0</v>
      </c>
      <c r="CA24" s="158">
        <f>VLOOKUP($A24,'Over Under Bill 1 COPY 到CO欄位'!$1:$1048576,'Over Under Bill 1 COPY 到CO欄位'!BV$1,0)-VLOOKUP($A24,'Over Under Bill 1 COPY 到CO欄位'!$1:$1048576,'Over Under Bill 1 COPY 到CO欄位'!BQ$1,0)</f>
        <v>0</v>
      </c>
      <c r="CB24" s="158">
        <f t="shared" si="30"/>
        <v>0</v>
      </c>
      <c r="CC24" s="158">
        <f>VLOOKUP($A24,'Over Under Bill 1 COPY 到CO欄位'!$1:$1048576,'Over Under Bill 1 COPY 到CO欄位'!BX$1,0)-VLOOKUP($A24,'Over Under Bill 1 COPY 到CO欄位'!$1:$1048576,'Over Under Bill 1 COPY 到CO欄位'!BS$1,0)</f>
        <v>0</v>
      </c>
      <c r="CD24" s="158">
        <f t="shared" si="31"/>
        <v>0</v>
      </c>
      <c r="CE24" s="157">
        <f>VLOOKUP($A24,'Over Under Bill 1 COPY 到CO欄位'!$1:$1048576,'Over Under Bill 1 COPY 到CO欄位'!BZ$1,0)-VLOOKUP($A24,'Over Under Bill 1 COPY 到CO欄位'!$1:$1048576,'Over Under Bill 1 COPY 到CO欄位'!BU$1,0)</f>
        <v>0</v>
      </c>
      <c r="CF24" s="157">
        <f>VLOOKUP($A24,'Over Under Bill 1 COPY 到CO欄位'!$1:$1048576,'Over Under Bill 1 COPY 到CO欄位'!CA$1,0)-VLOOKUP($A24,'Over Under Bill 1 COPY 到CO欄位'!$1:$1048576,'Over Under Bill 1 COPY 到CO欄位'!BV$1,0)</f>
        <v>0</v>
      </c>
      <c r="CG24" s="157">
        <f t="shared" si="32"/>
        <v>0</v>
      </c>
      <c r="CH24" s="157">
        <f>VLOOKUP($A24,'Over Under Bill 1 COPY 到CO欄位'!$1:$1048576,'Over Under Bill 1 COPY 到CO欄位'!CC$1,0)-VLOOKUP($A24,'Over Under Bill 1 COPY 到CO欄位'!$1:$1048576,'Over Under Bill 1 COPY 到CO欄位'!BX$1,0)</f>
        <v>0</v>
      </c>
      <c r="CI24" s="157">
        <f t="shared" si="33"/>
        <v>0</v>
      </c>
      <c r="CJ24" s="158">
        <f>VLOOKUP($A24,'Over Under Bill 1 COPY 到CO欄位'!$1:$1048576,'Over Under Bill 1 COPY 到CO欄位'!CE$1,0)-VLOOKUP($A24,'Over Under Bill 1 COPY 到CO欄位'!$1:$1048576,'Over Under Bill 1 COPY 到CO欄位'!BZ$1,0)</f>
        <v>0</v>
      </c>
      <c r="CK24" s="158">
        <f>VLOOKUP($A24,'Over Under Bill 1 COPY 到CO欄位'!$1:$1048576,'Over Under Bill 1 COPY 到CO欄位'!CF$1,0)-VLOOKUP($A24,'Over Under Bill 1 COPY 到CO欄位'!$1:$1048576,'Over Under Bill 1 COPY 到CO欄位'!CA$1,0)</f>
        <v>0</v>
      </c>
      <c r="CL24" s="158">
        <f t="shared" si="34"/>
        <v>0</v>
      </c>
      <c r="CM24" s="158">
        <f>VLOOKUP($A24,'Over Under Bill 1 COPY 到CO欄位'!$1:$1048576,'Over Under Bill 1 COPY 到CO欄位'!CH$1,0)-VLOOKUP($A24,'Over Under Bill 1 COPY 到CO欄位'!$1:$1048576,'Over Under Bill 1 COPY 到CO欄位'!CC$1,0)</f>
        <v>0</v>
      </c>
      <c r="CN24" s="158">
        <f t="shared" si="35"/>
        <v>0</v>
      </c>
      <c r="CO24" s="157">
        <f>VLOOKUP($A24,'Over Under Bill 1 COPY 到CO欄位'!$1:$1048576,'Over Under Bill 1 COPY 到CO欄位'!CJ$1,0)-VLOOKUP($A24,'Over Under Bill 1 COPY 到CO欄位'!$1:$1048576,'Over Under Bill 1 COPY 到CO欄位'!CE$1,0)</f>
        <v>0</v>
      </c>
      <c r="CP24" s="157">
        <f>VLOOKUP($A24,'Over Under Bill 1 COPY 到CO欄位'!$1:$1048576,'Over Under Bill 1 COPY 到CO欄位'!CK$1,0)-VLOOKUP($A24,'Over Under Bill 1 COPY 到CO欄位'!$1:$1048576,'Over Under Bill 1 COPY 到CO欄位'!CF$1,0)</f>
        <v>0</v>
      </c>
      <c r="CQ24" s="157">
        <f t="shared" si="36"/>
        <v>0</v>
      </c>
      <c r="CR24" s="157">
        <f>VLOOKUP($A24,'Over Under Bill 1 COPY 到CO欄位'!$1:$1048576,'Over Under Bill 1 COPY 到CO欄位'!CM$1,0)-VLOOKUP($A24,'Over Under Bill 1 COPY 到CO欄位'!$1:$1048576,'Over Under Bill 1 COPY 到CO欄位'!CH$1,0)</f>
        <v>0</v>
      </c>
      <c r="CS24" s="157">
        <f t="shared" si="37"/>
        <v>0</v>
      </c>
    </row>
    <row r="25" spans="1:97">
      <c r="A25" s="155" t="s">
        <v>347</v>
      </c>
      <c r="B25" s="169" t="s">
        <v>348</v>
      </c>
      <c r="C25" s="157">
        <f>IFERROR(VLOOKUP($A25,'A0 BS 1240在建'!$1:$1048576,5,0),0)</f>
        <v>0</v>
      </c>
      <c r="D25" s="157">
        <f>IFERROR(VLOOKUP($A25,'B0 2264預收'!$1:$1048576,5,0),0)</f>
        <v>0</v>
      </c>
      <c r="E25" s="157">
        <f t="shared" si="0"/>
        <v>0</v>
      </c>
      <c r="F25" s="157">
        <f>IFERROR(VLOOKUP($A25,'B0 2264預收'!$1:$1048576,6,0),0)</f>
        <v>0</v>
      </c>
      <c r="G25" s="157">
        <f t="shared" si="1"/>
        <v>0</v>
      </c>
      <c r="H25" s="158">
        <f>IFERROR(VLOOKUP($A25,'A0 BS 1240在建'!$1:$1048576,13,0),0)-C25</f>
        <v>0</v>
      </c>
      <c r="I25" s="158">
        <f>IFERROR(VLOOKUP($A25,'B0 2264預收'!$1:$1048576,13,0),0)-D25</f>
        <v>0</v>
      </c>
      <c r="J25" s="158">
        <f t="shared" si="2"/>
        <v>0</v>
      </c>
      <c r="K25" s="158">
        <f>IFERROR(VLOOKUP($A25,'B0 2264預收'!$1:$1048576,14,0),0)-F25</f>
        <v>0</v>
      </c>
      <c r="L25" s="158">
        <f t="shared" si="3"/>
        <v>0</v>
      </c>
      <c r="M25" s="157">
        <f>VLOOKUP($A25,'Over Under Bill 1 COPY 到CO欄位'!$1:$1048576,'Over Under Bill 1 COPY 到CO欄位'!M$1,0)-VLOOKUP($A25,'Over Under Bill 1 COPY 到CO欄位'!$1:$1048576,'Over Under Bill 1 COPY 到CO欄位'!H$1,0)</f>
        <v>0</v>
      </c>
      <c r="N25" s="157">
        <f>VLOOKUP($A25,'Over Under Bill 1 COPY 到CO欄位'!$1:$1048576,'Over Under Bill 1 COPY 到CO欄位'!N$1,0)-VLOOKUP($A25,'Over Under Bill 1 COPY 到CO欄位'!$1:$1048576,'Over Under Bill 1 COPY 到CO欄位'!I$1,0)</f>
        <v>0</v>
      </c>
      <c r="O25" s="157">
        <f t="shared" si="4"/>
        <v>0</v>
      </c>
      <c r="P25" s="157">
        <f>VLOOKUP($A25,'Over Under Bill 1 COPY 到CO欄位'!$1:$1048576,'Over Under Bill 1 COPY 到CO欄位'!P$1,0)-VLOOKUP($A25,'Over Under Bill 1 COPY 到CO欄位'!$1:$1048576,'Over Under Bill 1 COPY 到CO欄位'!K$1,0)</f>
        <v>0</v>
      </c>
      <c r="Q25" s="157">
        <f t="shared" si="5"/>
        <v>0</v>
      </c>
      <c r="R25" s="158">
        <f>VLOOKUP($A25,'Over Under Bill 1 COPY 到CO欄位'!$1:$1048576,'Over Under Bill 1 COPY 到CO欄位'!R$1,0)-VLOOKUP($A25,'Over Under Bill 1 COPY 到CO欄位'!$1:$1048576,'Over Under Bill 1 COPY 到CO欄位'!M$1,0)</f>
        <v>0</v>
      </c>
      <c r="S25" s="158">
        <f>VLOOKUP($A25,'Over Under Bill 1 COPY 到CO欄位'!$1:$1048576,'Over Under Bill 1 COPY 到CO欄位'!S$1,0)-VLOOKUP($A25,'Over Under Bill 1 COPY 到CO欄位'!$1:$1048576,'Over Under Bill 1 COPY 到CO欄位'!N$1,0)</f>
        <v>0</v>
      </c>
      <c r="T25" s="158">
        <f t="shared" si="6"/>
        <v>0</v>
      </c>
      <c r="U25" s="158">
        <f>VLOOKUP($A25,'Over Under Bill 1 COPY 到CO欄位'!$1:$1048576,'Over Under Bill 1 COPY 到CO欄位'!U$1,0)-VLOOKUP($A25,'Over Under Bill 1 COPY 到CO欄位'!$1:$1048576,'Over Under Bill 1 COPY 到CO欄位'!P$1,0)</f>
        <v>0</v>
      </c>
      <c r="V25" s="158">
        <f t="shared" si="7"/>
        <v>0</v>
      </c>
      <c r="W25" s="157">
        <f>VLOOKUP($A25,'Over Under Bill 1 COPY 到CO欄位'!$1:$1048576,'Over Under Bill 1 COPY 到CO欄位'!W$1,0)-VLOOKUP($A25,'Over Under Bill 1 COPY 到CO欄位'!$1:$1048576,'Over Under Bill 1 COPY 到CO欄位'!R$1,0)</f>
        <v>0</v>
      </c>
      <c r="X25" s="157">
        <f>VLOOKUP($A25,'Over Under Bill 1 COPY 到CO欄位'!$1:$1048576,'Over Under Bill 1 COPY 到CO欄位'!X$1,0)-VLOOKUP($A25,'Over Under Bill 1 COPY 到CO欄位'!$1:$1048576,'Over Under Bill 1 COPY 到CO欄位'!S$1,0)</f>
        <v>0</v>
      </c>
      <c r="Y25" s="157">
        <f t="shared" si="8"/>
        <v>0</v>
      </c>
      <c r="Z25" s="157">
        <f>VLOOKUP($A25,'Over Under Bill 1 COPY 到CO欄位'!$1:$1048576,'Over Under Bill 1 COPY 到CO欄位'!Z$1,0)-VLOOKUP($A25,'Over Under Bill 1 COPY 到CO欄位'!$1:$1048576,'Over Under Bill 1 COPY 到CO欄位'!U$1,0)</f>
        <v>0</v>
      </c>
      <c r="AA25" s="157">
        <f t="shared" si="9"/>
        <v>0</v>
      </c>
      <c r="AB25" s="158">
        <f>VLOOKUP($A25,'Over Under Bill 1 COPY 到CO欄位'!$1:$1048576,'Over Under Bill 1 COPY 到CO欄位'!AB$1,0)-VLOOKUP($A25,'Over Under Bill 1 COPY 到CO欄位'!$1:$1048576,'Over Under Bill 1 COPY 到CO欄位'!W$1,0)</f>
        <v>0</v>
      </c>
      <c r="AC25" s="158">
        <f>VLOOKUP($A25,'Over Under Bill 1 COPY 到CO欄位'!$1:$1048576,'Over Under Bill 1 COPY 到CO欄位'!AC$1,0)-VLOOKUP($A25,'Over Under Bill 1 COPY 到CO欄位'!$1:$1048576,'Over Under Bill 1 COPY 到CO欄位'!X$1,0)</f>
        <v>0</v>
      </c>
      <c r="AD25" s="158">
        <f t="shared" si="10"/>
        <v>0</v>
      </c>
      <c r="AE25" s="158">
        <f>VLOOKUP($A25,'Over Under Bill 1 COPY 到CO欄位'!$1:$1048576,'Over Under Bill 1 COPY 到CO欄位'!AE$1,0)-VLOOKUP($A25,'Over Under Bill 1 COPY 到CO欄位'!$1:$1048576,'Over Under Bill 1 COPY 到CO欄位'!Z$1,0)</f>
        <v>0</v>
      </c>
      <c r="AF25" s="158">
        <f t="shared" si="11"/>
        <v>0</v>
      </c>
      <c r="AG25" s="157">
        <f>VLOOKUP($A25,'Over Under Bill 1 COPY 到CO欄位'!$1:$1048576,'Over Under Bill 1 COPY 到CO欄位'!AG$1,0)-VLOOKUP($A25,'Over Under Bill 1 COPY 到CO欄位'!$1:$1048576,'Over Under Bill 1 COPY 到CO欄位'!AB$1,0)</f>
        <v>0</v>
      </c>
      <c r="AH25" s="157">
        <f>VLOOKUP($A25,'Over Under Bill 1 COPY 到CO欄位'!$1:$1048576,'Over Under Bill 1 COPY 到CO欄位'!AH$1,0)-VLOOKUP($A25,'Over Under Bill 1 COPY 到CO欄位'!$1:$1048576,'Over Under Bill 1 COPY 到CO欄位'!AC$1,0)</f>
        <v>0</v>
      </c>
      <c r="AI25" s="157">
        <f t="shared" si="12"/>
        <v>0</v>
      </c>
      <c r="AJ25" s="157">
        <f>VLOOKUP($A25,'Over Under Bill 1 COPY 到CO欄位'!$1:$1048576,'Over Under Bill 1 COPY 到CO欄位'!AJ$1,0)-VLOOKUP($A25,'Over Under Bill 1 COPY 到CO欄位'!$1:$1048576,'Over Under Bill 1 COPY 到CO欄位'!AE$1,0)</f>
        <v>0</v>
      </c>
      <c r="AK25" s="157">
        <f t="shared" si="13"/>
        <v>0</v>
      </c>
      <c r="AL25" s="158">
        <f>VLOOKUP($A25,'Over Under Bill 1 COPY 到CO欄位'!$1:$1048576,'Over Under Bill 1 COPY 到CO欄位'!AL$1,0)-VLOOKUP($A25,'Over Under Bill 1 COPY 到CO欄位'!$1:$1048576,'Over Under Bill 1 COPY 到CO欄位'!AG$1,0)</f>
        <v>0</v>
      </c>
      <c r="AM25" s="158">
        <f>VLOOKUP($A25,'Over Under Bill 1 COPY 到CO欄位'!$1:$1048576,'Over Under Bill 1 COPY 到CO欄位'!AM$1,0)-VLOOKUP($A25,'Over Under Bill 1 COPY 到CO欄位'!$1:$1048576,'Over Under Bill 1 COPY 到CO欄位'!AH$1,0)</f>
        <v>0</v>
      </c>
      <c r="AN25" s="158">
        <f t="shared" si="14"/>
        <v>0</v>
      </c>
      <c r="AO25" s="158">
        <f>VLOOKUP($A25,'Over Under Bill 1 COPY 到CO欄位'!$1:$1048576,'Over Under Bill 1 COPY 到CO欄位'!AO$1,0)-VLOOKUP($A25,'Over Under Bill 1 COPY 到CO欄位'!$1:$1048576,'Over Under Bill 1 COPY 到CO欄位'!AJ$1,0)</f>
        <v>0</v>
      </c>
      <c r="AP25" s="158">
        <f t="shared" si="15"/>
        <v>0</v>
      </c>
      <c r="AQ25" s="157">
        <f>VLOOKUP($A25,'Over Under Bill 1 COPY 到CO欄位'!$1:$1048576,'Over Under Bill 1 COPY 到CO欄位'!AQ$1,0)-VLOOKUP($A25,'Over Under Bill 1 COPY 到CO欄位'!$1:$1048576,'Over Under Bill 1 COPY 到CO欄位'!AL$1,0)</f>
        <v>0</v>
      </c>
      <c r="AR25" s="157">
        <f>VLOOKUP($A25,'Over Under Bill 1 COPY 到CO欄位'!$1:$1048576,'Over Under Bill 1 COPY 到CO欄位'!AR$1,0)-VLOOKUP($A25,'Over Under Bill 1 COPY 到CO欄位'!$1:$1048576,'Over Under Bill 1 COPY 到CO欄位'!AM$1,0)</f>
        <v>0</v>
      </c>
      <c r="AS25" s="157">
        <f t="shared" si="16"/>
        <v>0</v>
      </c>
      <c r="AT25" s="157">
        <f>VLOOKUP($A25,'Over Under Bill 1 COPY 到CO欄位'!$1:$1048576,'Over Under Bill 1 COPY 到CO欄位'!AT$1,0)-VLOOKUP($A25,'Over Under Bill 1 COPY 到CO欄位'!$1:$1048576,'Over Under Bill 1 COPY 到CO欄位'!AO$1,0)</f>
        <v>0</v>
      </c>
      <c r="AU25" s="157">
        <f t="shared" si="17"/>
        <v>0</v>
      </c>
      <c r="AV25" s="158">
        <f>VLOOKUP($A25,'Over Under Bill 1 COPY 到CO欄位'!$1:$1048576,'Over Under Bill 1 COPY 到CO欄位'!AV$1,0)-VLOOKUP($A25,'Over Under Bill 1 COPY 到CO欄位'!$1:$1048576,'Over Under Bill 1 COPY 到CO欄位'!AQ$1,0)</f>
        <v>0</v>
      </c>
      <c r="AW25" s="158">
        <f>VLOOKUP($A25,'Over Under Bill 1 COPY 到CO欄位'!$1:$1048576,'Over Under Bill 1 COPY 到CO欄位'!AW$1,0)-VLOOKUP($A25,'Over Under Bill 1 COPY 到CO欄位'!$1:$1048576,'Over Under Bill 1 COPY 到CO欄位'!AR$1,0)</f>
        <v>0</v>
      </c>
      <c r="AX25" s="158">
        <f t="shared" si="18"/>
        <v>0</v>
      </c>
      <c r="AY25" s="158">
        <f>VLOOKUP($A25,'Over Under Bill 1 COPY 到CO欄位'!$1:$1048576,'Over Under Bill 1 COPY 到CO欄位'!AY$1,0)-VLOOKUP($A25,'Over Under Bill 1 COPY 到CO欄位'!$1:$1048576,'Over Under Bill 1 COPY 到CO欄位'!AT$1,0)</f>
        <v>0</v>
      </c>
      <c r="AZ25" s="158">
        <f t="shared" si="19"/>
        <v>0</v>
      </c>
      <c r="BA25" s="157">
        <f>VLOOKUP($A25,'Over Under Bill 1 COPY 到CO欄位'!$1:$1048576,'Over Under Bill 1 COPY 到CO欄位'!BA$1,0)-VLOOKUP($A25,'Over Under Bill 1 COPY 到CO欄位'!$1:$1048576,'Over Under Bill 1 COPY 到CO欄位'!AV$1,0)</f>
        <v>0</v>
      </c>
      <c r="BB25" s="157">
        <f>VLOOKUP($A25,'Over Under Bill 1 COPY 到CO欄位'!$1:$1048576,'Over Under Bill 1 COPY 到CO欄位'!BB$1,0)-VLOOKUP($A25,'Over Under Bill 1 COPY 到CO欄位'!$1:$1048576,'Over Under Bill 1 COPY 到CO欄位'!AW$1,0)</f>
        <v>0</v>
      </c>
      <c r="BC25" s="157">
        <f t="shared" si="20"/>
        <v>0</v>
      </c>
      <c r="BD25" s="157">
        <f>VLOOKUP($A25,'Over Under Bill 1 COPY 到CO欄位'!$1:$1048576,'Over Under Bill 1 COPY 到CO欄位'!BD$1,0)-VLOOKUP($A25,'Over Under Bill 1 COPY 到CO欄位'!$1:$1048576,'Over Under Bill 1 COPY 到CO欄位'!AY$1,0)</f>
        <v>0</v>
      </c>
      <c r="BE25" s="157">
        <f t="shared" si="21"/>
        <v>0</v>
      </c>
      <c r="BF25" s="158">
        <f>VLOOKUP($A25,'Over Under Bill 1 COPY 到CO欄位'!$1:$1048576,'Over Under Bill 1 COPY 到CO欄位'!BF$1,0)-VLOOKUP($A25,'Over Under Bill 1 COPY 到CO欄位'!$1:$1048576,'Over Under Bill 1 COPY 到CO欄位'!BA$1,0)</f>
        <v>0</v>
      </c>
      <c r="BG25" s="158">
        <f>VLOOKUP($A25,'Over Under Bill 1 COPY 到CO欄位'!$1:$1048576,'Over Under Bill 1 COPY 到CO欄位'!BG$1,0)-VLOOKUP($A25,'Over Under Bill 1 COPY 到CO欄位'!$1:$1048576,'Over Under Bill 1 COPY 到CO欄位'!BB$1,0)</f>
        <v>0</v>
      </c>
      <c r="BH25" s="158">
        <f t="shared" si="22"/>
        <v>0</v>
      </c>
      <c r="BI25" s="158">
        <f>VLOOKUP($A25,'Over Under Bill 1 COPY 到CO欄位'!$1:$1048576,'Over Under Bill 1 COPY 到CO欄位'!BI$1,0)-VLOOKUP($A25,'Over Under Bill 1 COPY 到CO欄位'!$1:$1048576,'Over Under Bill 1 COPY 到CO欄位'!BD$1,0)</f>
        <v>0</v>
      </c>
      <c r="BJ25" s="158">
        <f t="shared" si="23"/>
        <v>0</v>
      </c>
      <c r="BK25" s="157">
        <f>VLOOKUP($A25,'Over Under Bill 1 COPY 到CO欄位'!$1:$1048576,'Over Under Bill 1 COPY 到CO欄位'!BK$1,0)-VLOOKUP($A25,'Over Under Bill 1 COPY 到CO欄位'!$1:$1048576,'Over Under Bill 1 COPY 到CO欄位'!BF$1,0)</f>
        <v>0</v>
      </c>
      <c r="BL25" s="157">
        <f>VLOOKUP($A25,'Over Under Bill 1 COPY 到CO欄位'!$1:$1048576,'Over Under Bill 1 COPY 到CO欄位'!BL$1,0)-VLOOKUP($A25,'Over Under Bill 1 COPY 到CO欄位'!$1:$1048576,'Over Under Bill 1 COPY 到CO欄位'!BG$1,0)</f>
        <v>0</v>
      </c>
      <c r="BM25" s="157">
        <f t="shared" si="24"/>
        <v>0</v>
      </c>
      <c r="BN25" s="157">
        <f>VLOOKUP($A25,'Over Under Bill 1 COPY 到CO欄位'!$1:$1048576,'Over Under Bill 1 COPY 到CO欄位'!BN$1,0)-VLOOKUP($A25,'Over Under Bill 1 COPY 到CO欄位'!$1:$1048576,'Over Under Bill 1 COPY 到CO欄位'!BI$1,0)</f>
        <v>0</v>
      </c>
      <c r="BO25" s="157">
        <f t="shared" si="25"/>
        <v>0</v>
      </c>
      <c r="BP25" s="158">
        <f>VLOOKUP($A25,'Over Under Bill 1 COPY 到CO欄位'!$1:$1048576,'Over Under Bill 1 COPY 到CO欄位'!BP$1,0)-VLOOKUP($A25,'Over Under Bill 1 COPY 到CO欄位'!$1:$1048576,'Over Under Bill 1 COPY 到CO欄位'!BK$1,0)</f>
        <v>0</v>
      </c>
      <c r="BQ25" s="158">
        <f>VLOOKUP($A25,'Over Under Bill 1 COPY 到CO欄位'!$1:$1048576,'Over Under Bill 1 COPY 到CO欄位'!BQ$1,0)-VLOOKUP($A25,'Over Under Bill 1 COPY 到CO欄位'!$1:$1048576,'Over Under Bill 1 COPY 到CO欄位'!BL$1,0)</f>
        <v>0</v>
      </c>
      <c r="BR25" s="158">
        <f t="shared" si="26"/>
        <v>0</v>
      </c>
      <c r="BS25" s="158">
        <f>VLOOKUP($A25,'Over Under Bill 1 COPY 到CO欄位'!$1:$1048576,'Over Under Bill 1 COPY 到CO欄位'!BS$1,0)-VLOOKUP($A25,'Over Under Bill 1 COPY 到CO欄位'!$1:$1048576,'Over Under Bill 1 COPY 到CO欄位'!BN$1,0)</f>
        <v>0</v>
      </c>
      <c r="BT25" s="158">
        <f t="shared" si="27"/>
        <v>0</v>
      </c>
      <c r="BU25" s="157">
        <f>VLOOKUP($A25,'Over Under Bill 1 COPY 到CO欄位'!$1:$1048576,'Over Under Bill 1 COPY 到CO欄位'!BP$1,0)-VLOOKUP($A25,'Over Under Bill 1 COPY 到CO欄位'!$1:$1048576,'Over Under Bill 1 COPY 到CO欄位'!H$1,0)</f>
        <v>0</v>
      </c>
      <c r="BV25" s="157">
        <f>VLOOKUP($A25,'Over Under Bill 1 COPY 到CO欄位'!$1:$1048576,'Over Under Bill 1 COPY 到CO欄位'!BQ$1,0)-VLOOKUP($A25,'Over Under Bill 1 COPY 到CO欄位'!$1:$1048576,'Over Under Bill 1 COPY 到CO欄位'!I$1,0)</f>
        <v>0</v>
      </c>
      <c r="BW25" s="157">
        <f t="shared" si="28"/>
        <v>0</v>
      </c>
      <c r="BX25" s="157">
        <f>VLOOKUP($A25,'Over Under Bill 1 COPY 到CO欄位'!$1:$1048576,'Over Under Bill 1 COPY 到CO欄位'!BS$1,0)-VLOOKUP($A25,'Over Under Bill 1 COPY 到CO欄位'!$1:$1048576,'Over Under Bill 1 COPY 到CO欄位'!K$1,0)</f>
        <v>0</v>
      </c>
      <c r="BY25" s="157">
        <f t="shared" si="29"/>
        <v>0</v>
      </c>
      <c r="BZ25" s="158">
        <f>VLOOKUP($A25,'Over Under Bill 1 COPY 到CO欄位'!$1:$1048576,'Over Under Bill 1 COPY 到CO欄位'!BU$1,0)-VLOOKUP($A25,'Over Under Bill 1 COPY 到CO欄位'!$1:$1048576,'Over Under Bill 1 COPY 到CO欄位'!BP$1,0)</f>
        <v>0</v>
      </c>
      <c r="CA25" s="158">
        <f>VLOOKUP($A25,'Over Under Bill 1 COPY 到CO欄位'!$1:$1048576,'Over Under Bill 1 COPY 到CO欄位'!BV$1,0)-VLOOKUP($A25,'Over Under Bill 1 COPY 到CO欄位'!$1:$1048576,'Over Under Bill 1 COPY 到CO欄位'!BQ$1,0)</f>
        <v>0</v>
      </c>
      <c r="CB25" s="158">
        <f t="shared" si="30"/>
        <v>0</v>
      </c>
      <c r="CC25" s="158">
        <f>VLOOKUP($A25,'Over Under Bill 1 COPY 到CO欄位'!$1:$1048576,'Over Under Bill 1 COPY 到CO欄位'!BX$1,0)-VLOOKUP($A25,'Over Under Bill 1 COPY 到CO欄位'!$1:$1048576,'Over Under Bill 1 COPY 到CO欄位'!BS$1,0)</f>
        <v>0</v>
      </c>
      <c r="CD25" s="158">
        <f t="shared" si="31"/>
        <v>0</v>
      </c>
      <c r="CE25" s="157">
        <f>VLOOKUP($A25,'Over Under Bill 1 COPY 到CO欄位'!$1:$1048576,'Over Under Bill 1 COPY 到CO欄位'!BZ$1,0)-VLOOKUP($A25,'Over Under Bill 1 COPY 到CO欄位'!$1:$1048576,'Over Under Bill 1 COPY 到CO欄位'!BU$1,0)</f>
        <v>0</v>
      </c>
      <c r="CF25" s="157">
        <f>VLOOKUP($A25,'Over Under Bill 1 COPY 到CO欄位'!$1:$1048576,'Over Under Bill 1 COPY 到CO欄位'!CA$1,0)-VLOOKUP($A25,'Over Under Bill 1 COPY 到CO欄位'!$1:$1048576,'Over Under Bill 1 COPY 到CO欄位'!BV$1,0)</f>
        <v>0</v>
      </c>
      <c r="CG25" s="157">
        <f t="shared" si="32"/>
        <v>0</v>
      </c>
      <c r="CH25" s="157">
        <f>VLOOKUP($A25,'Over Under Bill 1 COPY 到CO欄位'!$1:$1048576,'Over Under Bill 1 COPY 到CO欄位'!CC$1,0)-VLOOKUP($A25,'Over Under Bill 1 COPY 到CO欄位'!$1:$1048576,'Over Under Bill 1 COPY 到CO欄位'!BX$1,0)</f>
        <v>0</v>
      </c>
      <c r="CI25" s="157">
        <f t="shared" si="33"/>
        <v>0</v>
      </c>
      <c r="CJ25" s="158">
        <f>VLOOKUP($A25,'Over Under Bill 1 COPY 到CO欄位'!$1:$1048576,'Over Under Bill 1 COPY 到CO欄位'!CE$1,0)-VLOOKUP($A25,'Over Under Bill 1 COPY 到CO欄位'!$1:$1048576,'Over Under Bill 1 COPY 到CO欄位'!BZ$1,0)</f>
        <v>0</v>
      </c>
      <c r="CK25" s="158">
        <f>VLOOKUP($A25,'Over Under Bill 1 COPY 到CO欄位'!$1:$1048576,'Over Under Bill 1 COPY 到CO欄位'!CF$1,0)-VLOOKUP($A25,'Over Under Bill 1 COPY 到CO欄位'!$1:$1048576,'Over Under Bill 1 COPY 到CO欄位'!CA$1,0)</f>
        <v>0</v>
      </c>
      <c r="CL25" s="158">
        <f t="shared" si="34"/>
        <v>0</v>
      </c>
      <c r="CM25" s="158">
        <f>VLOOKUP($A25,'Over Under Bill 1 COPY 到CO欄位'!$1:$1048576,'Over Under Bill 1 COPY 到CO欄位'!CH$1,0)-VLOOKUP($A25,'Over Under Bill 1 COPY 到CO欄位'!$1:$1048576,'Over Under Bill 1 COPY 到CO欄位'!CC$1,0)</f>
        <v>0</v>
      </c>
      <c r="CN25" s="158">
        <f t="shared" si="35"/>
        <v>0</v>
      </c>
      <c r="CO25" s="157">
        <f>VLOOKUP($A25,'Over Under Bill 1 COPY 到CO欄位'!$1:$1048576,'Over Under Bill 1 COPY 到CO欄位'!CJ$1,0)-VLOOKUP($A25,'Over Under Bill 1 COPY 到CO欄位'!$1:$1048576,'Over Under Bill 1 COPY 到CO欄位'!CE$1,0)</f>
        <v>0</v>
      </c>
      <c r="CP25" s="157">
        <f>VLOOKUP($A25,'Over Under Bill 1 COPY 到CO欄位'!$1:$1048576,'Over Under Bill 1 COPY 到CO欄位'!CK$1,0)-VLOOKUP($A25,'Over Under Bill 1 COPY 到CO欄位'!$1:$1048576,'Over Under Bill 1 COPY 到CO欄位'!CF$1,0)</f>
        <v>0</v>
      </c>
      <c r="CQ25" s="157">
        <f t="shared" si="36"/>
        <v>0</v>
      </c>
      <c r="CR25" s="157">
        <f>VLOOKUP($A25,'Over Under Bill 1 COPY 到CO欄位'!$1:$1048576,'Over Under Bill 1 COPY 到CO欄位'!CM$1,0)-VLOOKUP($A25,'Over Under Bill 1 COPY 到CO欄位'!$1:$1048576,'Over Under Bill 1 COPY 到CO欄位'!CH$1,0)</f>
        <v>0</v>
      </c>
      <c r="CS25" s="157">
        <f t="shared" si="37"/>
        <v>0</v>
      </c>
    </row>
    <row r="26" spans="1:97">
      <c r="A26" s="155" t="s">
        <v>349</v>
      </c>
      <c r="B26" s="169" t="s">
        <v>350</v>
      </c>
      <c r="C26" s="157">
        <f>IFERROR(VLOOKUP($A26,'A0 BS 1240在建'!$1:$1048576,5,0),0)</f>
        <v>0</v>
      </c>
      <c r="D26" s="157">
        <f>IFERROR(VLOOKUP($A26,'B0 2264預收'!$1:$1048576,5,0),0)</f>
        <v>0</v>
      </c>
      <c r="E26" s="157">
        <f t="shared" si="0"/>
        <v>0</v>
      </c>
      <c r="F26" s="157">
        <f>IFERROR(VLOOKUP($A26,'B0 2264預收'!$1:$1048576,6,0),0)</f>
        <v>0</v>
      </c>
      <c r="G26" s="157">
        <f t="shared" si="1"/>
        <v>0</v>
      </c>
      <c r="H26" s="158">
        <f>IFERROR(VLOOKUP($A26,'A0 BS 1240在建'!$1:$1048576,13,0),0)-C26</f>
        <v>0</v>
      </c>
      <c r="I26" s="158">
        <f>IFERROR(VLOOKUP($A26,'B0 2264預收'!$1:$1048576,13,0),0)-D26</f>
        <v>0</v>
      </c>
      <c r="J26" s="158">
        <f t="shared" si="2"/>
        <v>0</v>
      </c>
      <c r="K26" s="158">
        <f>IFERROR(VLOOKUP($A26,'B0 2264預收'!$1:$1048576,14,0),0)-F26</f>
        <v>0</v>
      </c>
      <c r="L26" s="158">
        <f t="shared" si="3"/>
        <v>0</v>
      </c>
      <c r="M26" s="157">
        <f>VLOOKUP($A26,'Over Under Bill 1 COPY 到CO欄位'!$1:$1048576,'Over Under Bill 1 COPY 到CO欄位'!M$1,0)-VLOOKUP($A26,'Over Under Bill 1 COPY 到CO欄位'!$1:$1048576,'Over Under Bill 1 COPY 到CO欄位'!H$1,0)</f>
        <v>0</v>
      </c>
      <c r="N26" s="157">
        <f>VLOOKUP($A26,'Over Under Bill 1 COPY 到CO欄位'!$1:$1048576,'Over Under Bill 1 COPY 到CO欄位'!N$1,0)-VLOOKUP($A26,'Over Under Bill 1 COPY 到CO欄位'!$1:$1048576,'Over Under Bill 1 COPY 到CO欄位'!I$1,0)</f>
        <v>0</v>
      </c>
      <c r="O26" s="157">
        <f t="shared" si="4"/>
        <v>0</v>
      </c>
      <c r="P26" s="157">
        <f>VLOOKUP($A26,'Over Under Bill 1 COPY 到CO欄位'!$1:$1048576,'Over Under Bill 1 COPY 到CO欄位'!P$1,0)-VLOOKUP($A26,'Over Under Bill 1 COPY 到CO欄位'!$1:$1048576,'Over Under Bill 1 COPY 到CO欄位'!K$1,0)</f>
        <v>0</v>
      </c>
      <c r="Q26" s="157">
        <f t="shared" si="5"/>
        <v>0</v>
      </c>
      <c r="R26" s="158">
        <f>VLOOKUP($A26,'Over Under Bill 1 COPY 到CO欄位'!$1:$1048576,'Over Under Bill 1 COPY 到CO欄位'!R$1,0)-VLOOKUP($A26,'Over Under Bill 1 COPY 到CO欄位'!$1:$1048576,'Over Under Bill 1 COPY 到CO欄位'!M$1,0)</f>
        <v>0</v>
      </c>
      <c r="S26" s="158">
        <f>VLOOKUP($A26,'Over Under Bill 1 COPY 到CO欄位'!$1:$1048576,'Over Under Bill 1 COPY 到CO欄位'!S$1,0)-VLOOKUP($A26,'Over Under Bill 1 COPY 到CO欄位'!$1:$1048576,'Over Under Bill 1 COPY 到CO欄位'!N$1,0)</f>
        <v>0</v>
      </c>
      <c r="T26" s="158">
        <f t="shared" si="6"/>
        <v>0</v>
      </c>
      <c r="U26" s="158">
        <f>VLOOKUP($A26,'Over Under Bill 1 COPY 到CO欄位'!$1:$1048576,'Over Under Bill 1 COPY 到CO欄位'!U$1,0)-VLOOKUP($A26,'Over Under Bill 1 COPY 到CO欄位'!$1:$1048576,'Over Under Bill 1 COPY 到CO欄位'!P$1,0)</f>
        <v>0</v>
      </c>
      <c r="V26" s="158">
        <f t="shared" si="7"/>
        <v>0</v>
      </c>
      <c r="W26" s="157">
        <f>VLOOKUP($A26,'Over Under Bill 1 COPY 到CO欄位'!$1:$1048576,'Over Under Bill 1 COPY 到CO欄位'!W$1,0)-VLOOKUP($A26,'Over Under Bill 1 COPY 到CO欄位'!$1:$1048576,'Over Under Bill 1 COPY 到CO欄位'!R$1,0)</f>
        <v>0</v>
      </c>
      <c r="X26" s="157">
        <f>VLOOKUP($A26,'Over Under Bill 1 COPY 到CO欄位'!$1:$1048576,'Over Under Bill 1 COPY 到CO欄位'!X$1,0)-VLOOKUP($A26,'Over Under Bill 1 COPY 到CO欄位'!$1:$1048576,'Over Under Bill 1 COPY 到CO欄位'!S$1,0)</f>
        <v>0</v>
      </c>
      <c r="Y26" s="157">
        <f t="shared" si="8"/>
        <v>0</v>
      </c>
      <c r="Z26" s="157">
        <f>VLOOKUP($A26,'Over Under Bill 1 COPY 到CO欄位'!$1:$1048576,'Over Under Bill 1 COPY 到CO欄位'!Z$1,0)-VLOOKUP($A26,'Over Under Bill 1 COPY 到CO欄位'!$1:$1048576,'Over Under Bill 1 COPY 到CO欄位'!U$1,0)</f>
        <v>0</v>
      </c>
      <c r="AA26" s="157">
        <f t="shared" si="9"/>
        <v>0</v>
      </c>
      <c r="AB26" s="158">
        <f>VLOOKUP($A26,'Over Under Bill 1 COPY 到CO欄位'!$1:$1048576,'Over Under Bill 1 COPY 到CO欄位'!AB$1,0)-VLOOKUP($A26,'Over Under Bill 1 COPY 到CO欄位'!$1:$1048576,'Over Under Bill 1 COPY 到CO欄位'!W$1,0)</f>
        <v>0</v>
      </c>
      <c r="AC26" s="158">
        <f>VLOOKUP($A26,'Over Under Bill 1 COPY 到CO欄位'!$1:$1048576,'Over Under Bill 1 COPY 到CO欄位'!AC$1,0)-VLOOKUP($A26,'Over Under Bill 1 COPY 到CO欄位'!$1:$1048576,'Over Under Bill 1 COPY 到CO欄位'!X$1,0)</f>
        <v>0</v>
      </c>
      <c r="AD26" s="158">
        <f t="shared" si="10"/>
        <v>0</v>
      </c>
      <c r="AE26" s="158">
        <f>VLOOKUP($A26,'Over Under Bill 1 COPY 到CO欄位'!$1:$1048576,'Over Under Bill 1 COPY 到CO欄位'!AE$1,0)-VLOOKUP($A26,'Over Under Bill 1 COPY 到CO欄位'!$1:$1048576,'Over Under Bill 1 COPY 到CO欄位'!Z$1,0)</f>
        <v>0</v>
      </c>
      <c r="AF26" s="158">
        <f t="shared" si="11"/>
        <v>0</v>
      </c>
      <c r="AG26" s="157">
        <f>VLOOKUP($A26,'Over Under Bill 1 COPY 到CO欄位'!$1:$1048576,'Over Under Bill 1 COPY 到CO欄位'!AG$1,0)-VLOOKUP($A26,'Over Under Bill 1 COPY 到CO欄位'!$1:$1048576,'Over Under Bill 1 COPY 到CO欄位'!AB$1,0)</f>
        <v>0</v>
      </c>
      <c r="AH26" s="157">
        <f>VLOOKUP($A26,'Over Under Bill 1 COPY 到CO欄位'!$1:$1048576,'Over Under Bill 1 COPY 到CO欄位'!AH$1,0)-VLOOKUP($A26,'Over Under Bill 1 COPY 到CO欄位'!$1:$1048576,'Over Under Bill 1 COPY 到CO欄位'!AC$1,0)</f>
        <v>0</v>
      </c>
      <c r="AI26" s="157">
        <f t="shared" si="12"/>
        <v>0</v>
      </c>
      <c r="AJ26" s="157">
        <f>VLOOKUP($A26,'Over Under Bill 1 COPY 到CO欄位'!$1:$1048576,'Over Under Bill 1 COPY 到CO欄位'!AJ$1,0)-VLOOKUP($A26,'Over Under Bill 1 COPY 到CO欄位'!$1:$1048576,'Over Under Bill 1 COPY 到CO欄位'!AE$1,0)</f>
        <v>0</v>
      </c>
      <c r="AK26" s="157">
        <f t="shared" si="13"/>
        <v>0</v>
      </c>
      <c r="AL26" s="158">
        <f>VLOOKUP($A26,'Over Under Bill 1 COPY 到CO欄位'!$1:$1048576,'Over Under Bill 1 COPY 到CO欄位'!AL$1,0)-VLOOKUP($A26,'Over Under Bill 1 COPY 到CO欄位'!$1:$1048576,'Over Under Bill 1 COPY 到CO欄位'!AG$1,0)</f>
        <v>0</v>
      </c>
      <c r="AM26" s="158">
        <f>VLOOKUP($A26,'Over Under Bill 1 COPY 到CO欄位'!$1:$1048576,'Over Under Bill 1 COPY 到CO欄位'!AM$1,0)-VLOOKUP($A26,'Over Under Bill 1 COPY 到CO欄位'!$1:$1048576,'Over Under Bill 1 COPY 到CO欄位'!AH$1,0)</f>
        <v>0</v>
      </c>
      <c r="AN26" s="158">
        <f t="shared" si="14"/>
        <v>0</v>
      </c>
      <c r="AO26" s="158">
        <f>VLOOKUP($A26,'Over Under Bill 1 COPY 到CO欄位'!$1:$1048576,'Over Under Bill 1 COPY 到CO欄位'!AO$1,0)-VLOOKUP($A26,'Over Under Bill 1 COPY 到CO欄位'!$1:$1048576,'Over Under Bill 1 COPY 到CO欄位'!AJ$1,0)</f>
        <v>0</v>
      </c>
      <c r="AP26" s="158">
        <f t="shared" si="15"/>
        <v>0</v>
      </c>
      <c r="AQ26" s="157">
        <f>VLOOKUP($A26,'Over Under Bill 1 COPY 到CO欄位'!$1:$1048576,'Over Under Bill 1 COPY 到CO欄位'!AQ$1,0)-VLOOKUP($A26,'Over Under Bill 1 COPY 到CO欄位'!$1:$1048576,'Over Under Bill 1 COPY 到CO欄位'!AL$1,0)</f>
        <v>0</v>
      </c>
      <c r="AR26" s="157">
        <f>VLOOKUP($A26,'Over Under Bill 1 COPY 到CO欄位'!$1:$1048576,'Over Under Bill 1 COPY 到CO欄位'!AR$1,0)-VLOOKUP($A26,'Over Under Bill 1 COPY 到CO欄位'!$1:$1048576,'Over Under Bill 1 COPY 到CO欄位'!AM$1,0)</f>
        <v>0</v>
      </c>
      <c r="AS26" s="157">
        <f t="shared" si="16"/>
        <v>0</v>
      </c>
      <c r="AT26" s="157">
        <f>VLOOKUP($A26,'Over Under Bill 1 COPY 到CO欄位'!$1:$1048576,'Over Under Bill 1 COPY 到CO欄位'!AT$1,0)-VLOOKUP($A26,'Over Under Bill 1 COPY 到CO欄位'!$1:$1048576,'Over Under Bill 1 COPY 到CO欄位'!AO$1,0)</f>
        <v>0</v>
      </c>
      <c r="AU26" s="157">
        <f t="shared" si="17"/>
        <v>0</v>
      </c>
      <c r="AV26" s="158">
        <f>VLOOKUP($A26,'Over Under Bill 1 COPY 到CO欄位'!$1:$1048576,'Over Under Bill 1 COPY 到CO欄位'!AV$1,0)-VLOOKUP($A26,'Over Under Bill 1 COPY 到CO欄位'!$1:$1048576,'Over Under Bill 1 COPY 到CO欄位'!AQ$1,0)</f>
        <v>0</v>
      </c>
      <c r="AW26" s="158">
        <f>VLOOKUP($A26,'Over Under Bill 1 COPY 到CO欄位'!$1:$1048576,'Over Under Bill 1 COPY 到CO欄位'!AW$1,0)-VLOOKUP($A26,'Over Under Bill 1 COPY 到CO欄位'!$1:$1048576,'Over Under Bill 1 COPY 到CO欄位'!AR$1,0)</f>
        <v>0</v>
      </c>
      <c r="AX26" s="158">
        <f t="shared" si="18"/>
        <v>0</v>
      </c>
      <c r="AY26" s="158">
        <f>VLOOKUP($A26,'Over Under Bill 1 COPY 到CO欄位'!$1:$1048576,'Over Under Bill 1 COPY 到CO欄位'!AY$1,0)-VLOOKUP($A26,'Over Under Bill 1 COPY 到CO欄位'!$1:$1048576,'Over Under Bill 1 COPY 到CO欄位'!AT$1,0)</f>
        <v>0</v>
      </c>
      <c r="AZ26" s="158">
        <f t="shared" si="19"/>
        <v>0</v>
      </c>
      <c r="BA26" s="157">
        <f>VLOOKUP($A26,'Over Under Bill 1 COPY 到CO欄位'!$1:$1048576,'Over Under Bill 1 COPY 到CO欄位'!BA$1,0)-VLOOKUP($A26,'Over Under Bill 1 COPY 到CO欄位'!$1:$1048576,'Over Under Bill 1 COPY 到CO欄位'!AV$1,0)</f>
        <v>0</v>
      </c>
      <c r="BB26" s="157">
        <f>VLOOKUP($A26,'Over Under Bill 1 COPY 到CO欄位'!$1:$1048576,'Over Under Bill 1 COPY 到CO欄位'!BB$1,0)-VLOOKUP($A26,'Over Under Bill 1 COPY 到CO欄位'!$1:$1048576,'Over Under Bill 1 COPY 到CO欄位'!AW$1,0)</f>
        <v>0</v>
      </c>
      <c r="BC26" s="157">
        <f t="shared" si="20"/>
        <v>0</v>
      </c>
      <c r="BD26" s="157">
        <f>VLOOKUP($A26,'Over Under Bill 1 COPY 到CO欄位'!$1:$1048576,'Over Under Bill 1 COPY 到CO欄位'!BD$1,0)-VLOOKUP($A26,'Over Under Bill 1 COPY 到CO欄位'!$1:$1048576,'Over Under Bill 1 COPY 到CO欄位'!AY$1,0)</f>
        <v>0</v>
      </c>
      <c r="BE26" s="157">
        <f t="shared" si="21"/>
        <v>0</v>
      </c>
      <c r="BF26" s="158">
        <f>VLOOKUP($A26,'Over Under Bill 1 COPY 到CO欄位'!$1:$1048576,'Over Under Bill 1 COPY 到CO欄位'!BF$1,0)-VLOOKUP($A26,'Over Under Bill 1 COPY 到CO欄位'!$1:$1048576,'Over Under Bill 1 COPY 到CO欄位'!BA$1,0)</f>
        <v>0</v>
      </c>
      <c r="BG26" s="158">
        <f>VLOOKUP($A26,'Over Under Bill 1 COPY 到CO欄位'!$1:$1048576,'Over Under Bill 1 COPY 到CO欄位'!BG$1,0)-VLOOKUP($A26,'Over Under Bill 1 COPY 到CO欄位'!$1:$1048576,'Over Under Bill 1 COPY 到CO欄位'!BB$1,0)</f>
        <v>0</v>
      </c>
      <c r="BH26" s="158">
        <f t="shared" si="22"/>
        <v>0</v>
      </c>
      <c r="BI26" s="158">
        <f>VLOOKUP($A26,'Over Under Bill 1 COPY 到CO欄位'!$1:$1048576,'Over Under Bill 1 COPY 到CO欄位'!BI$1,0)-VLOOKUP($A26,'Over Under Bill 1 COPY 到CO欄位'!$1:$1048576,'Over Under Bill 1 COPY 到CO欄位'!BD$1,0)</f>
        <v>0</v>
      </c>
      <c r="BJ26" s="158">
        <f t="shared" si="23"/>
        <v>0</v>
      </c>
      <c r="BK26" s="157">
        <f>VLOOKUP($A26,'Over Under Bill 1 COPY 到CO欄位'!$1:$1048576,'Over Under Bill 1 COPY 到CO欄位'!BK$1,0)-VLOOKUP($A26,'Over Under Bill 1 COPY 到CO欄位'!$1:$1048576,'Over Under Bill 1 COPY 到CO欄位'!BF$1,0)</f>
        <v>0</v>
      </c>
      <c r="BL26" s="157">
        <f>VLOOKUP($A26,'Over Under Bill 1 COPY 到CO欄位'!$1:$1048576,'Over Under Bill 1 COPY 到CO欄位'!BL$1,0)-VLOOKUP($A26,'Over Under Bill 1 COPY 到CO欄位'!$1:$1048576,'Over Under Bill 1 COPY 到CO欄位'!BG$1,0)</f>
        <v>0</v>
      </c>
      <c r="BM26" s="157">
        <f t="shared" si="24"/>
        <v>0</v>
      </c>
      <c r="BN26" s="157">
        <f>VLOOKUP($A26,'Over Under Bill 1 COPY 到CO欄位'!$1:$1048576,'Over Under Bill 1 COPY 到CO欄位'!BN$1,0)-VLOOKUP($A26,'Over Under Bill 1 COPY 到CO欄位'!$1:$1048576,'Over Under Bill 1 COPY 到CO欄位'!BI$1,0)</f>
        <v>0</v>
      </c>
      <c r="BO26" s="157">
        <f t="shared" si="25"/>
        <v>0</v>
      </c>
      <c r="BP26" s="158">
        <f>VLOOKUP($A26,'Over Under Bill 1 COPY 到CO欄位'!$1:$1048576,'Over Under Bill 1 COPY 到CO欄位'!BP$1,0)-VLOOKUP($A26,'Over Under Bill 1 COPY 到CO欄位'!$1:$1048576,'Over Under Bill 1 COPY 到CO欄位'!BK$1,0)</f>
        <v>0</v>
      </c>
      <c r="BQ26" s="158">
        <f>VLOOKUP($A26,'Over Under Bill 1 COPY 到CO欄位'!$1:$1048576,'Over Under Bill 1 COPY 到CO欄位'!BQ$1,0)-VLOOKUP($A26,'Over Under Bill 1 COPY 到CO欄位'!$1:$1048576,'Over Under Bill 1 COPY 到CO欄位'!BL$1,0)</f>
        <v>0</v>
      </c>
      <c r="BR26" s="158">
        <f t="shared" si="26"/>
        <v>0</v>
      </c>
      <c r="BS26" s="158">
        <f>VLOOKUP($A26,'Over Under Bill 1 COPY 到CO欄位'!$1:$1048576,'Over Under Bill 1 COPY 到CO欄位'!BS$1,0)-VLOOKUP($A26,'Over Under Bill 1 COPY 到CO欄位'!$1:$1048576,'Over Under Bill 1 COPY 到CO欄位'!BN$1,0)</f>
        <v>0</v>
      </c>
      <c r="BT26" s="158">
        <f t="shared" si="27"/>
        <v>0</v>
      </c>
      <c r="BU26" s="157">
        <f>VLOOKUP($A26,'Over Under Bill 1 COPY 到CO欄位'!$1:$1048576,'Over Under Bill 1 COPY 到CO欄位'!BP$1,0)-VLOOKUP($A26,'Over Under Bill 1 COPY 到CO欄位'!$1:$1048576,'Over Under Bill 1 COPY 到CO欄位'!H$1,0)</f>
        <v>0</v>
      </c>
      <c r="BV26" s="157">
        <f>VLOOKUP($A26,'Over Under Bill 1 COPY 到CO欄位'!$1:$1048576,'Over Under Bill 1 COPY 到CO欄位'!BQ$1,0)-VLOOKUP($A26,'Over Under Bill 1 COPY 到CO欄位'!$1:$1048576,'Over Under Bill 1 COPY 到CO欄位'!I$1,0)</f>
        <v>0</v>
      </c>
      <c r="BW26" s="157">
        <f t="shared" si="28"/>
        <v>0</v>
      </c>
      <c r="BX26" s="157">
        <f>VLOOKUP($A26,'Over Under Bill 1 COPY 到CO欄位'!$1:$1048576,'Over Under Bill 1 COPY 到CO欄位'!BS$1,0)-VLOOKUP($A26,'Over Under Bill 1 COPY 到CO欄位'!$1:$1048576,'Over Under Bill 1 COPY 到CO欄位'!K$1,0)</f>
        <v>0</v>
      </c>
      <c r="BY26" s="157">
        <f t="shared" si="29"/>
        <v>0</v>
      </c>
      <c r="BZ26" s="158">
        <f>VLOOKUP($A26,'Over Under Bill 1 COPY 到CO欄位'!$1:$1048576,'Over Under Bill 1 COPY 到CO欄位'!BU$1,0)-VLOOKUP($A26,'Over Under Bill 1 COPY 到CO欄位'!$1:$1048576,'Over Under Bill 1 COPY 到CO欄位'!BP$1,0)</f>
        <v>0</v>
      </c>
      <c r="CA26" s="158">
        <f>VLOOKUP($A26,'Over Under Bill 1 COPY 到CO欄位'!$1:$1048576,'Over Under Bill 1 COPY 到CO欄位'!BV$1,0)-VLOOKUP($A26,'Over Under Bill 1 COPY 到CO欄位'!$1:$1048576,'Over Under Bill 1 COPY 到CO欄位'!BQ$1,0)</f>
        <v>0</v>
      </c>
      <c r="CB26" s="158">
        <f t="shared" si="30"/>
        <v>0</v>
      </c>
      <c r="CC26" s="158">
        <f>VLOOKUP($A26,'Over Under Bill 1 COPY 到CO欄位'!$1:$1048576,'Over Under Bill 1 COPY 到CO欄位'!BX$1,0)-VLOOKUP($A26,'Over Under Bill 1 COPY 到CO欄位'!$1:$1048576,'Over Under Bill 1 COPY 到CO欄位'!BS$1,0)</f>
        <v>0</v>
      </c>
      <c r="CD26" s="158">
        <f t="shared" si="31"/>
        <v>0</v>
      </c>
      <c r="CE26" s="157">
        <f>VLOOKUP($A26,'Over Under Bill 1 COPY 到CO欄位'!$1:$1048576,'Over Under Bill 1 COPY 到CO欄位'!BZ$1,0)-VLOOKUP($A26,'Over Under Bill 1 COPY 到CO欄位'!$1:$1048576,'Over Under Bill 1 COPY 到CO欄位'!BU$1,0)</f>
        <v>0</v>
      </c>
      <c r="CF26" s="157">
        <f>VLOOKUP($A26,'Over Under Bill 1 COPY 到CO欄位'!$1:$1048576,'Over Under Bill 1 COPY 到CO欄位'!CA$1,0)-VLOOKUP($A26,'Over Under Bill 1 COPY 到CO欄位'!$1:$1048576,'Over Under Bill 1 COPY 到CO欄位'!BV$1,0)</f>
        <v>0</v>
      </c>
      <c r="CG26" s="157">
        <f t="shared" si="32"/>
        <v>0</v>
      </c>
      <c r="CH26" s="157">
        <f>VLOOKUP($A26,'Over Under Bill 1 COPY 到CO欄位'!$1:$1048576,'Over Under Bill 1 COPY 到CO欄位'!CC$1,0)-VLOOKUP($A26,'Over Under Bill 1 COPY 到CO欄位'!$1:$1048576,'Over Under Bill 1 COPY 到CO欄位'!BX$1,0)</f>
        <v>0</v>
      </c>
      <c r="CI26" s="157">
        <f t="shared" si="33"/>
        <v>0</v>
      </c>
      <c r="CJ26" s="158">
        <f>VLOOKUP($A26,'Over Under Bill 1 COPY 到CO欄位'!$1:$1048576,'Over Under Bill 1 COPY 到CO欄位'!CE$1,0)-VLOOKUP($A26,'Over Under Bill 1 COPY 到CO欄位'!$1:$1048576,'Over Under Bill 1 COPY 到CO欄位'!BZ$1,0)</f>
        <v>0</v>
      </c>
      <c r="CK26" s="158">
        <f>VLOOKUP($A26,'Over Under Bill 1 COPY 到CO欄位'!$1:$1048576,'Over Under Bill 1 COPY 到CO欄位'!CF$1,0)-VLOOKUP($A26,'Over Under Bill 1 COPY 到CO欄位'!$1:$1048576,'Over Under Bill 1 COPY 到CO欄位'!CA$1,0)</f>
        <v>0</v>
      </c>
      <c r="CL26" s="158">
        <f t="shared" si="34"/>
        <v>0</v>
      </c>
      <c r="CM26" s="158">
        <f>VLOOKUP($A26,'Over Under Bill 1 COPY 到CO欄位'!$1:$1048576,'Over Under Bill 1 COPY 到CO欄位'!CH$1,0)-VLOOKUP($A26,'Over Under Bill 1 COPY 到CO欄位'!$1:$1048576,'Over Under Bill 1 COPY 到CO欄位'!CC$1,0)</f>
        <v>0</v>
      </c>
      <c r="CN26" s="158">
        <f t="shared" si="35"/>
        <v>0</v>
      </c>
      <c r="CO26" s="157">
        <f>VLOOKUP($A26,'Over Under Bill 1 COPY 到CO欄位'!$1:$1048576,'Over Under Bill 1 COPY 到CO欄位'!CJ$1,0)-VLOOKUP($A26,'Over Under Bill 1 COPY 到CO欄位'!$1:$1048576,'Over Under Bill 1 COPY 到CO欄位'!CE$1,0)</f>
        <v>0</v>
      </c>
      <c r="CP26" s="157">
        <f>VLOOKUP($A26,'Over Under Bill 1 COPY 到CO欄位'!$1:$1048576,'Over Under Bill 1 COPY 到CO欄位'!CK$1,0)-VLOOKUP($A26,'Over Under Bill 1 COPY 到CO欄位'!$1:$1048576,'Over Under Bill 1 COPY 到CO欄位'!CF$1,0)</f>
        <v>0</v>
      </c>
      <c r="CQ26" s="157">
        <f t="shared" si="36"/>
        <v>0</v>
      </c>
      <c r="CR26" s="157">
        <f>VLOOKUP($A26,'Over Under Bill 1 COPY 到CO欄位'!$1:$1048576,'Over Under Bill 1 COPY 到CO欄位'!CM$1,0)-VLOOKUP($A26,'Over Under Bill 1 COPY 到CO欄位'!$1:$1048576,'Over Under Bill 1 COPY 到CO欄位'!CH$1,0)</f>
        <v>0</v>
      </c>
      <c r="CS26" s="157">
        <f t="shared" si="37"/>
        <v>0</v>
      </c>
    </row>
    <row r="27" spans="1:97">
      <c r="A27" s="155" t="s">
        <v>351</v>
      </c>
      <c r="B27" s="169" t="s">
        <v>352</v>
      </c>
      <c r="C27" s="157">
        <f>IFERROR(VLOOKUP($A27,'A0 BS 1240在建'!$1:$1048576,5,0),0)</f>
        <v>0</v>
      </c>
      <c r="D27" s="157">
        <f>IFERROR(VLOOKUP($A27,'B0 2264預收'!$1:$1048576,5,0),0)</f>
        <v>0</v>
      </c>
      <c r="E27" s="157">
        <f t="shared" si="0"/>
        <v>0</v>
      </c>
      <c r="F27" s="157">
        <f>IFERROR(VLOOKUP($A27,'B0 2264預收'!$1:$1048576,6,0),0)</f>
        <v>0</v>
      </c>
      <c r="G27" s="157">
        <f t="shared" si="1"/>
        <v>0</v>
      </c>
      <c r="H27" s="158">
        <f>IFERROR(VLOOKUP($A27,'A0 BS 1240在建'!$1:$1048576,13,0),0)-C27</f>
        <v>0</v>
      </c>
      <c r="I27" s="158">
        <f>IFERROR(VLOOKUP($A27,'B0 2264預收'!$1:$1048576,13,0),0)-D27</f>
        <v>0</v>
      </c>
      <c r="J27" s="158">
        <f t="shared" si="2"/>
        <v>0</v>
      </c>
      <c r="K27" s="158">
        <f>IFERROR(VLOOKUP($A27,'B0 2264預收'!$1:$1048576,14,0),0)-F27</f>
        <v>0</v>
      </c>
      <c r="L27" s="158">
        <f t="shared" si="3"/>
        <v>0</v>
      </c>
      <c r="M27" s="157">
        <f>VLOOKUP($A27,'Over Under Bill 1 COPY 到CO欄位'!$1:$1048576,'Over Under Bill 1 COPY 到CO欄位'!M$1,0)-VLOOKUP($A27,'Over Under Bill 1 COPY 到CO欄位'!$1:$1048576,'Over Under Bill 1 COPY 到CO欄位'!H$1,0)</f>
        <v>0</v>
      </c>
      <c r="N27" s="157">
        <f>VLOOKUP($A27,'Over Under Bill 1 COPY 到CO欄位'!$1:$1048576,'Over Under Bill 1 COPY 到CO欄位'!N$1,0)-VLOOKUP($A27,'Over Under Bill 1 COPY 到CO欄位'!$1:$1048576,'Over Under Bill 1 COPY 到CO欄位'!I$1,0)</f>
        <v>0</v>
      </c>
      <c r="O27" s="157">
        <f t="shared" si="4"/>
        <v>0</v>
      </c>
      <c r="P27" s="157">
        <f>VLOOKUP($A27,'Over Under Bill 1 COPY 到CO欄位'!$1:$1048576,'Over Under Bill 1 COPY 到CO欄位'!P$1,0)-VLOOKUP($A27,'Over Under Bill 1 COPY 到CO欄位'!$1:$1048576,'Over Under Bill 1 COPY 到CO欄位'!K$1,0)</f>
        <v>0</v>
      </c>
      <c r="Q27" s="157">
        <f t="shared" si="5"/>
        <v>0</v>
      </c>
      <c r="R27" s="158">
        <f>VLOOKUP($A27,'Over Under Bill 1 COPY 到CO欄位'!$1:$1048576,'Over Under Bill 1 COPY 到CO欄位'!R$1,0)-VLOOKUP($A27,'Over Under Bill 1 COPY 到CO欄位'!$1:$1048576,'Over Under Bill 1 COPY 到CO欄位'!M$1,0)</f>
        <v>0</v>
      </c>
      <c r="S27" s="158">
        <f>VLOOKUP($A27,'Over Under Bill 1 COPY 到CO欄位'!$1:$1048576,'Over Under Bill 1 COPY 到CO欄位'!S$1,0)-VLOOKUP($A27,'Over Under Bill 1 COPY 到CO欄位'!$1:$1048576,'Over Under Bill 1 COPY 到CO欄位'!N$1,0)</f>
        <v>0</v>
      </c>
      <c r="T27" s="158">
        <f t="shared" si="6"/>
        <v>0</v>
      </c>
      <c r="U27" s="158">
        <f>VLOOKUP($A27,'Over Under Bill 1 COPY 到CO欄位'!$1:$1048576,'Over Under Bill 1 COPY 到CO欄位'!U$1,0)-VLOOKUP($A27,'Over Under Bill 1 COPY 到CO欄位'!$1:$1048576,'Over Under Bill 1 COPY 到CO欄位'!P$1,0)</f>
        <v>0</v>
      </c>
      <c r="V27" s="158">
        <f t="shared" si="7"/>
        <v>0</v>
      </c>
      <c r="W27" s="157">
        <f>VLOOKUP($A27,'Over Under Bill 1 COPY 到CO欄位'!$1:$1048576,'Over Under Bill 1 COPY 到CO欄位'!W$1,0)-VLOOKUP($A27,'Over Under Bill 1 COPY 到CO欄位'!$1:$1048576,'Over Under Bill 1 COPY 到CO欄位'!R$1,0)</f>
        <v>0</v>
      </c>
      <c r="X27" s="157">
        <f>VLOOKUP($A27,'Over Under Bill 1 COPY 到CO欄位'!$1:$1048576,'Over Under Bill 1 COPY 到CO欄位'!X$1,0)-VLOOKUP($A27,'Over Under Bill 1 COPY 到CO欄位'!$1:$1048576,'Over Under Bill 1 COPY 到CO欄位'!S$1,0)</f>
        <v>0</v>
      </c>
      <c r="Y27" s="157">
        <f t="shared" si="8"/>
        <v>0</v>
      </c>
      <c r="Z27" s="157">
        <f>VLOOKUP($A27,'Over Under Bill 1 COPY 到CO欄位'!$1:$1048576,'Over Under Bill 1 COPY 到CO欄位'!Z$1,0)-VLOOKUP($A27,'Over Under Bill 1 COPY 到CO欄位'!$1:$1048576,'Over Under Bill 1 COPY 到CO欄位'!U$1,0)</f>
        <v>0</v>
      </c>
      <c r="AA27" s="157">
        <f t="shared" si="9"/>
        <v>0</v>
      </c>
      <c r="AB27" s="158">
        <f>VLOOKUP($A27,'Over Under Bill 1 COPY 到CO欄位'!$1:$1048576,'Over Under Bill 1 COPY 到CO欄位'!AB$1,0)-VLOOKUP($A27,'Over Under Bill 1 COPY 到CO欄位'!$1:$1048576,'Over Under Bill 1 COPY 到CO欄位'!W$1,0)</f>
        <v>0</v>
      </c>
      <c r="AC27" s="158">
        <f>VLOOKUP($A27,'Over Under Bill 1 COPY 到CO欄位'!$1:$1048576,'Over Under Bill 1 COPY 到CO欄位'!AC$1,0)-VLOOKUP($A27,'Over Under Bill 1 COPY 到CO欄位'!$1:$1048576,'Over Under Bill 1 COPY 到CO欄位'!X$1,0)</f>
        <v>0</v>
      </c>
      <c r="AD27" s="158">
        <f t="shared" si="10"/>
        <v>0</v>
      </c>
      <c r="AE27" s="158">
        <f>VLOOKUP($A27,'Over Under Bill 1 COPY 到CO欄位'!$1:$1048576,'Over Under Bill 1 COPY 到CO欄位'!AE$1,0)-VLOOKUP($A27,'Over Under Bill 1 COPY 到CO欄位'!$1:$1048576,'Over Under Bill 1 COPY 到CO欄位'!Z$1,0)</f>
        <v>0</v>
      </c>
      <c r="AF27" s="158">
        <f t="shared" si="11"/>
        <v>0</v>
      </c>
      <c r="AG27" s="157">
        <f>VLOOKUP($A27,'Over Under Bill 1 COPY 到CO欄位'!$1:$1048576,'Over Under Bill 1 COPY 到CO欄位'!AG$1,0)-VLOOKUP($A27,'Over Under Bill 1 COPY 到CO欄位'!$1:$1048576,'Over Under Bill 1 COPY 到CO欄位'!AB$1,0)</f>
        <v>0</v>
      </c>
      <c r="AH27" s="157">
        <f>VLOOKUP($A27,'Over Under Bill 1 COPY 到CO欄位'!$1:$1048576,'Over Under Bill 1 COPY 到CO欄位'!AH$1,0)-VLOOKUP($A27,'Over Under Bill 1 COPY 到CO欄位'!$1:$1048576,'Over Under Bill 1 COPY 到CO欄位'!AC$1,0)</f>
        <v>0</v>
      </c>
      <c r="AI27" s="157">
        <f t="shared" si="12"/>
        <v>0</v>
      </c>
      <c r="AJ27" s="157">
        <f>VLOOKUP($A27,'Over Under Bill 1 COPY 到CO欄位'!$1:$1048576,'Over Under Bill 1 COPY 到CO欄位'!AJ$1,0)-VLOOKUP($A27,'Over Under Bill 1 COPY 到CO欄位'!$1:$1048576,'Over Under Bill 1 COPY 到CO欄位'!AE$1,0)</f>
        <v>0</v>
      </c>
      <c r="AK27" s="157">
        <f t="shared" si="13"/>
        <v>0</v>
      </c>
      <c r="AL27" s="158">
        <f>VLOOKUP($A27,'Over Under Bill 1 COPY 到CO欄位'!$1:$1048576,'Over Under Bill 1 COPY 到CO欄位'!AL$1,0)-VLOOKUP($A27,'Over Under Bill 1 COPY 到CO欄位'!$1:$1048576,'Over Under Bill 1 COPY 到CO欄位'!AG$1,0)</f>
        <v>0</v>
      </c>
      <c r="AM27" s="158">
        <f>VLOOKUP($A27,'Over Under Bill 1 COPY 到CO欄位'!$1:$1048576,'Over Under Bill 1 COPY 到CO欄位'!AM$1,0)-VLOOKUP($A27,'Over Under Bill 1 COPY 到CO欄位'!$1:$1048576,'Over Under Bill 1 COPY 到CO欄位'!AH$1,0)</f>
        <v>0</v>
      </c>
      <c r="AN27" s="158">
        <f t="shared" si="14"/>
        <v>0</v>
      </c>
      <c r="AO27" s="158">
        <f>VLOOKUP($A27,'Over Under Bill 1 COPY 到CO欄位'!$1:$1048576,'Over Under Bill 1 COPY 到CO欄位'!AO$1,0)-VLOOKUP($A27,'Over Under Bill 1 COPY 到CO欄位'!$1:$1048576,'Over Under Bill 1 COPY 到CO欄位'!AJ$1,0)</f>
        <v>0</v>
      </c>
      <c r="AP27" s="158">
        <f t="shared" si="15"/>
        <v>0</v>
      </c>
      <c r="AQ27" s="157">
        <f>VLOOKUP($A27,'Over Under Bill 1 COPY 到CO欄位'!$1:$1048576,'Over Under Bill 1 COPY 到CO欄位'!AQ$1,0)-VLOOKUP($A27,'Over Under Bill 1 COPY 到CO欄位'!$1:$1048576,'Over Under Bill 1 COPY 到CO欄位'!AL$1,0)</f>
        <v>0</v>
      </c>
      <c r="AR27" s="157">
        <f>VLOOKUP($A27,'Over Under Bill 1 COPY 到CO欄位'!$1:$1048576,'Over Under Bill 1 COPY 到CO欄位'!AR$1,0)-VLOOKUP($A27,'Over Under Bill 1 COPY 到CO欄位'!$1:$1048576,'Over Under Bill 1 COPY 到CO欄位'!AM$1,0)</f>
        <v>0</v>
      </c>
      <c r="AS27" s="157">
        <f t="shared" si="16"/>
        <v>0</v>
      </c>
      <c r="AT27" s="157">
        <f>VLOOKUP($A27,'Over Under Bill 1 COPY 到CO欄位'!$1:$1048576,'Over Under Bill 1 COPY 到CO欄位'!AT$1,0)-VLOOKUP($A27,'Over Under Bill 1 COPY 到CO欄位'!$1:$1048576,'Over Under Bill 1 COPY 到CO欄位'!AO$1,0)</f>
        <v>0</v>
      </c>
      <c r="AU27" s="157">
        <f t="shared" si="17"/>
        <v>0</v>
      </c>
      <c r="AV27" s="158">
        <f>VLOOKUP($A27,'Over Under Bill 1 COPY 到CO欄位'!$1:$1048576,'Over Under Bill 1 COPY 到CO欄位'!AV$1,0)-VLOOKUP($A27,'Over Under Bill 1 COPY 到CO欄位'!$1:$1048576,'Over Under Bill 1 COPY 到CO欄位'!AQ$1,0)</f>
        <v>0</v>
      </c>
      <c r="AW27" s="158">
        <f>VLOOKUP($A27,'Over Under Bill 1 COPY 到CO欄位'!$1:$1048576,'Over Under Bill 1 COPY 到CO欄位'!AW$1,0)-VLOOKUP($A27,'Over Under Bill 1 COPY 到CO欄位'!$1:$1048576,'Over Under Bill 1 COPY 到CO欄位'!AR$1,0)</f>
        <v>0</v>
      </c>
      <c r="AX27" s="158">
        <f t="shared" si="18"/>
        <v>0</v>
      </c>
      <c r="AY27" s="158">
        <f>VLOOKUP($A27,'Over Under Bill 1 COPY 到CO欄位'!$1:$1048576,'Over Under Bill 1 COPY 到CO欄位'!AY$1,0)-VLOOKUP($A27,'Over Under Bill 1 COPY 到CO欄位'!$1:$1048576,'Over Under Bill 1 COPY 到CO欄位'!AT$1,0)</f>
        <v>0</v>
      </c>
      <c r="AZ27" s="158">
        <f t="shared" si="19"/>
        <v>0</v>
      </c>
      <c r="BA27" s="157">
        <f>VLOOKUP($A27,'Over Under Bill 1 COPY 到CO欄位'!$1:$1048576,'Over Under Bill 1 COPY 到CO欄位'!BA$1,0)-VLOOKUP($A27,'Over Under Bill 1 COPY 到CO欄位'!$1:$1048576,'Over Under Bill 1 COPY 到CO欄位'!AV$1,0)</f>
        <v>0</v>
      </c>
      <c r="BB27" s="157">
        <f>VLOOKUP($A27,'Over Under Bill 1 COPY 到CO欄位'!$1:$1048576,'Over Under Bill 1 COPY 到CO欄位'!BB$1,0)-VLOOKUP($A27,'Over Under Bill 1 COPY 到CO欄位'!$1:$1048576,'Over Under Bill 1 COPY 到CO欄位'!AW$1,0)</f>
        <v>0</v>
      </c>
      <c r="BC27" s="157">
        <f t="shared" si="20"/>
        <v>0</v>
      </c>
      <c r="BD27" s="157">
        <f>VLOOKUP($A27,'Over Under Bill 1 COPY 到CO欄位'!$1:$1048576,'Over Under Bill 1 COPY 到CO欄位'!BD$1,0)-VLOOKUP($A27,'Over Under Bill 1 COPY 到CO欄位'!$1:$1048576,'Over Under Bill 1 COPY 到CO欄位'!AY$1,0)</f>
        <v>0</v>
      </c>
      <c r="BE27" s="157">
        <f t="shared" si="21"/>
        <v>0</v>
      </c>
      <c r="BF27" s="158">
        <f>VLOOKUP($A27,'Over Under Bill 1 COPY 到CO欄位'!$1:$1048576,'Over Under Bill 1 COPY 到CO欄位'!BF$1,0)-VLOOKUP($A27,'Over Under Bill 1 COPY 到CO欄位'!$1:$1048576,'Over Under Bill 1 COPY 到CO欄位'!BA$1,0)</f>
        <v>0</v>
      </c>
      <c r="BG27" s="158">
        <f>VLOOKUP($A27,'Over Under Bill 1 COPY 到CO欄位'!$1:$1048576,'Over Under Bill 1 COPY 到CO欄位'!BG$1,0)-VLOOKUP($A27,'Over Under Bill 1 COPY 到CO欄位'!$1:$1048576,'Over Under Bill 1 COPY 到CO欄位'!BB$1,0)</f>
        <v>0</v>
      </c>
      <c r="BH27" s="158">
        <f t="shared" si="22"/>
        <v>0</v>
      </c>
      <c r="BI27" s="158">
        <f>VLOOKUP($A27,'Over Under Bill 1 COPY 到CO欄位'!$1:$1048576,'Over Under Bill 1 COPY 到CO欄位'!BI$1,0)-VLOOKUP($A27,'Over Under Bill 1 COPY 到CO欄位'!$1:$1048576,'Over Under Bill 1 COPY 到CO欄位'!BD$1,0)</f>
        <v>0</v>
      </c>
      <c r="BJ27" s="158">
        <f t="shared" si="23"/>
        <v>0</v>
      </c>
      <c r="BK27" s="157">
        <f>VLOOKUP($A27,'Over Under Bill 1 COPY 到CO欄位'!$1:$1048576,'Over Under Bill 1 COPY 到CO欄位'!BK$1,0)-VLOOKUP($A27,'Over Under Bill 1 COPY 到CO欄位'!$1:$1048576,'Over Under Bill 1 COPY 到CO欄位'!BF$1,0)</f>
        <v>0</v>
      </c>
      <c r="BL27" s="157">
        <f>VLOOKUP($A27,'Over Under Bill 1 COPY 到CO欄位'!$1:$1048576,'Over Under Bill 1 COPY 到CO欄位'!BL$1,0)-VLOOKUP($A27,'Over Under Bill 1 COPY 到CO欄位'!$1:$1048576,'Over Under Bill 1 COPY 到CO欄位'!BG$1,0)</f>
        <v>0</v>
      </c>
      <c r="BM27" s="157">
        <f t="shared" si="24"/>
        <v>0</v>
      </c>
      <c r="BN27" s="157">
        <f>VLOOKUP($A27,'Over Under Bill 1 COPY 到CO欄位'!$1:$1048576,'Over Under Bill 1 COPY 到CO欄位'!BN$1,0)-VLOOKUP($A27,'Over Under Bill 1 COPY 到CO欄位'!$1:$1048576,'Over Under Bill 1 COPY 到CO欄位'!BI$1,0)</f>
        <v>0</v>
      </c>
      <c r="BO27" s="157">
        <f t="shared" si="25"/>
        <v>0</v>
      </c>
      <c r="BP27" s="158">
        <f>VLOOKUP($A27,'Over Under Bill 1 COPY 到CO欄位'!$1:$1048576,'Over Under Bill 1 COPY 到CO欄位'!BP$1,0)-VLOOKUP($A27,'Over Under Bill 1 COPY 到CO欄位'!$1:$1048576,'Over Under Bill 1 COPY 到CO欄位'!BK$1,0)</f>
        <v>0</v>
      </c>
      <c r="BQ27" s="158">
        <f>VLOOKUP($A27,'Over Under Bill 1 COPY 到CO欄位'!$1:$1048576,'Over Under Bill 1 COPY 到CO欄位'!BQ$1,0)-VLOOKUP($A27,'Over Under Bill 1 COPY 到CO欄位'!$1:$1048576,'Over Under Bill 1 COPY 到CO欄位'!BL$1,0)</f>
        <v>0</v>
      </c>
      <c r="BR27" s="158">
        <f t="shared" si="26"/>
        <v>0</v>
      </c>
      <c r="BS27" s="158">
        <f>VLOOKUP($A27,'Over Under Bill 1 COPY 到CO欄位'!$1:$1048576,'Over Under Bill 1 COPY 到CO欄位'!BS$1,0)-VLOOKUP($A27,'Over Under Bill 1 COPY 到CO欄位'!$1:$1048576,'Over Under Bill 1 COPY 到CO欄位'!BN$1,0)</f>
        <v>0</v>
      </c>
      <c r="BT27" s="158">
        <f t="shared" si="27"/>
        <v>0</v>
      </c>
      <c r="BU27" s="157">
        <f>VLOOKUP($A27,'Over Under Bill 1 COPY 到CO欄位'!$1:$1048576,'Over Under Bill 1 COPY 到CO欄位'!BP$1,0)-VLOOKUP($A27,'Over Under Bill 1 COPY 到CO欄位'!$1:$1048576,'Over Under Bill 1 COPY 到CO欄位'!H$1,0)</f>
        <v>0</v>
      </c>
      <c r="BV27" s="157">
        <f>VLOOKUP($A27,'Over Under Bill 1 COPY 到CO欄位'!$1:$1048576,'Over Under Bill 1 COPY 到CO欄位'!BQ$1,0)-VLOOKUP($A27,'Over Under Bill 1 COPY 到CO欄位'!$1:$1048576,'Over Under Bill 1 COPY 到CO欄位'!I$1,0)</f>
        <v>0</v>
      </c>
      <c r="BW27" s="157">
        <f t="shared" si="28"/>
        <v>0</v>
      </c>
      <c r="BX27" s="157">
        <f>VLOOKUP($A27,'Over Under Bill 1 COPY 到CO欄位'!$1:$1048576,'Over Under Bill 1 COPY 到CO欄位'!BS$1,0)-VLOOKUP($A27,'Over Under Bill 1 COPY 到CO欄位'!$1:$1048576,'Over Under Bill 1 COPY 到CO欄位'!K$1,0)</f>
        <v>0</v>
      </c>
      <c r="BY27" s="157">
        <f t="shared" si="29"/>
        <v>0</v>
      </c>
      <c r="BZ27" s="158">
        <f>VLOOKUP($A27,'Over Under Bill 1 COPY 到CO欄位'!$1:$1048576,'Over Under Bill 1 COPY 到CO欄位'!BU$1,0)-VLOOKUP($A27,'Over Under Bill 1 COPY 到CO欄位'!$1:$1048576,'Over Under Bill 1 COPY 到CO欄位'!BP$1,0)</f>
        <v>0</v>
      </c>
      <c r="CA27" s="158">
        <f>VLOOKUP($A27,'Over Under Bill 1 COPY 到CO欄位'!$1:$1048576,'Over Under Bill 1 COPY 到CO欄位'!BV$1,0)-VLOOKUP($A27,'Over Under Bill 1 COPY 到CO欄位'!$1:$1048576,'Over Under Bill 1 COPY 到CO欄位'!BQ$1,0)</f>
        <v>0</v>
      </c>
      <c r="CB27" s="158">
        <f t="shared" si="30"/>
        <v>0</v>
      </c>
      <c r="CC27" s="158">
        <f>VLOOKUP($A27,'Over Under Bill 1 COPY 到CO欄位'!$1:$1048576,'Over Under Bill 1 COPY 到CO欄位'!BX$1,0)-VLOOKUP($A27,'Over Under Bill 1 COPY 到CO欄位'!$1:$1048576,'Over Under Bill 1 COPY 到CO欄位'!BS$1,0)</f>
        <v>0</v>
      </c>
      <c r="CD27" s="158">
        <f t="shared" si="31"/>
        <v>0</v>
      </c>
      <c r="CE27" s="157">
        <f>VLOOKUP($A27,'Over Under Bill 1 COPY 到CO欄位'!$1:$1048576,'Over Under Bill 1 COPY 到CO欄位'!BZ$1,0)-VLOOKUP($A27,'Over Under Bill 1 COPY 到CO欄位'!$1:$1048576,'Over Under Bill 1 COPY 到CO欄位'!BU$1,0)</f>
        <v>0</v>
      </c>
      <c r="CF27" s="157">
        <f>VLOOKUP($A27,'Over Under Bill 1 COPY 到CO欄位'!$1:$1048576,'Over Under Bill 1 COPY 到CO欄位'!CA$1,0)-VLOOKUP($A27,'Over Under Bill 1 COPY 到CO欄位'!$1:$1048576,'Over Under Bill 1 COPY 到CO欄位'!BV$1,0)</f>
        <v>0</v>
      </c>
      <c r="CG27" s="157">
        <f t="shared" si="32"/>
        <v>0</v>
      </c>
      <c r="CH27" s="157">
        <f>VLOOKUP($A27,'Over Under Bill 1 COPY 到CO欄位'!$1:$1048576,'Over Under Bill 1 COPY 到CO欄位'!CC$1,0)-VLOOKUP($A27,'Over Under Bill 1 COPY 到CO欄位'!$1:$1048576,'Over Under Bill 1 COPY 到CO欄位'!BX$1,0)</f>
        <v>0</v>
      </c>
      <c r="CI27" s="157">
        <f t="shared" si="33"/>
        <v>0</v>
      </c>
      <c r="CJ27" s="158">
        <f>VLOOKUP($A27,'Over Under Bill 1 COPY 到CO欄位'!$1:$1048576,'Over Under Bill 1 COPY 到CO欄位'!CE$1,0)-VLOOKUP($A27,'Over Under Bill 1 COPY 到CO欄位'!$1:$1048576,'Over Under Bill 1 COPY 到CO欄位'!BZ$1,0)</f>
        <v>0</v>
      </c>
      <c r="CK27" s="158">
        <f>VLOOKUP($A27,'Over Under Bill 1 COPY 到CO欄位'!$1:$1048576,'Over Under Bill 1 COPY 到CO欄位'!CF$1,0)-VLOOKUP($A27,'Over Under Bill 1 COPY 到CO欄位'!$1:$1048576,'Over Under Bill 1 COPY 到CO欄位'!CA$1,0)</f>
        <v>0</v>
      </c>
      <c r="CL27" s="158">
        <f t="shared" si="34"/>
        <v>0</v>
      </c>
      <c r="CM27" s="158">
        <f>VLOOKUP($A27,'Over Under Bill 1 COPY 到CO欄位'!$1:$1048576,'Over Under Bill 1 COPY 到CO欄位'!CH$1,0)-VLOOKUP($A27,'Over Under Bill 1 COPY 到CO欄位'!$1:$1048576,'Over Under Bill 1 COPY 到CO欄位'!CC$1,0)</f>
        <v>0</v>
      </c>
      <c r="CN27" s="158">
        <f t="shared" si="35"/>
        <v>0</v>
      </c>
      <c r="CO27" s="157">
        <f>VLOOKUP($A27,'Over Under Bill 1 COPY 到CO欄位'!$1:$1048576,'Over Under Bill 1 COPY 到CO欄位'!CJ$1,0)-VLOOKUP($A27,'Over Under Bill 1 COPY 到CO欄位'!$1:$1048576,'Over Under Bill 1 COPY 到CO欄位'!CE$1,0)</f>
        <v>0</v>
      </c>
      <c r="CP27" s="157">
        <f>VLOOKUP($A27,'Over Under Bill 1 COPY 到CO欄位'!$1:$1048576,'Over Under Bill 1 COPY 到CO欄位'!CK$1,0)-VLOOKUP($A27,'Over Under Bill 1 COPY 到CO欄位'!$1:$1048576,'Over Under Bill 1 COPY 到CO欄位'!CF$1,0)</f>
        <v>0</v>
      </c>
      <c r="CQ27" s="157">
        <f t="shared" si="36"/>
        <v>0</v>
      </c>
      <c r="CR27" s="157">
        <f>VLOOKUP($A27,'Over Under Bill 1 COPY 到CO欄位'!$1:$1048576,'Over Under Bill 1 COPY 到CO欄位'!CM$1,0)-VLOOKUP($A27,'Over Under Bill 1 COPY 到CO欄位'!$1:$1048576,'Over Under Bill 1 COPY 到CO欄位'!CH$1,0)</f>
        <v>0</v>
      </c>
      <c r="CS27" s="157">
        <f t="shared" si="37"/>
        <v>0</v>
      </c>
    </row>
    <row r="28" spans="1:97">
      <c r="A28" s="171" t="s">
        <v>353</v>
      </c>
      <c r="B28" s="172" t="s">
        <v>354</v>
      </c>
      <c r="C28" s="157">
        <f>IFERROR(VLOOKUP($A28,'A0 BS 1240在建'!$1:$1048576,5,0),0)</f>
        <v>0</v>
      </c>
      <c r="D28" s="157">
        <f>IFERROR(VLOOKUP($A28,'B0 2264預收'!$1:$1048576,5,0),0)</f>
        <v>0</v>
      </c>
      <c r="E28" s="157">
        <f t="shared" si="0"/>
        <v>0</v>
      </c>
      <c r="F28" s="157">
        <f>IFERROR(VLOOKUP($A28,'B0 2264預收'!$1:$1048576,6,0),0)</f>
        <v>0</v>
      </c>
      <c r="G28" s="157">
        <f t="shared" si="1"/>
        <v>0</v>
      </c>
      <c r="H28" s="158">
        <f>IFERROR(VLOOKUP($A28,'A0 BS 1240在建'!$1:$1048576,13,0),0)-C28</f>
        <v>0</v>
      </c>
      <c r="I28" s="158">
        <f>IFERROR(VLOOKUP($A28,'B0 2264預收'!$1:$1048576,13,0),0)-D28</f>
        <v>0</v>
      </c>
      <c r="J28" s="158">
        <f t="shared" si="2"/>
        <v>0</v>
      </c>
      <c r="K28" s="158">
        <f>IFERROR(VLOOKUP($A28,'B0 2264預收'!$1:$1048576,14,0),0)-F28</f>
        <v>0</v>
      </c>
      <c r="L28" s="158">
        <f t="shared" si="3"/>
        <v>0</v>
      </c>
      <c r="M28" s="157">
        <f>VLOOKUP($A28,'Over Under Bill 1 COPY 到CO欄位'!$1:$1048576,'Over Under Bill 1 COPY 到CO欄位'!M$1,0)-VLOOKUP($A28,'Over Under Bill 1 COPY 到CO欄位'!$1:$1048576,'Over Under Bill 1 COPY 到CO欄位'!H$1,0)</f>
        <v>0</v>
      </c>
      <c r="N28" s="157">
        <f>VLOOKUP($A28,'Over Under Bill 1 COPY 到CO欄位'!$1:$1048576,'Over Under Bill 1 COPY 到CO欄位'!N$1,0)-VLOOKUP($A28,'Over Under Bill 1 COPY 到CO欄位'!$1:$1048576,'Over Under Bill 1 COPY 到CO欄位'!I$1,0)</f>
        <v>0</v>
      </c>
      <c r="O28" s="157">
        <f t="shared" si="4"/>
        <v>0</v>
      </c>
      <c r="P28" s="157">
        <f>VLOOKUP($A28,'Over Under Bill 1 COPY 到CO欄位'!$1:$1048576,'Over Under Bill 1 COPY 到CO欄位'!P$1,0)-VLOOKUP($A28,'Over Under Bill 1 COPY 到CO欄位'!$1:$1048576,'Over Under Bill 1 COPY 到CO欄位'!K$1,0)</f>
        <v>0</v>
      </c>
      <c r="Q28" s="157">
        <f t="shared" si="5"/>
        <v>0</v>
      </c>
      <c r="R28" s="158">
        <f>VLOOKUP($A28,'Over Under Bill 1 COPY 到CO欄位'!$1:$1048576,'Over Under Bill 1 COPY 到CO欄位'!R$1,0)-VLOOKUP($A28,'Over Under Bill 1 COPY 到CO欄位'!$1:$1048576,'Over Under Bill 1 COPY 到CO欄位'!M$1,0)</f>
        <v>0</v>
      </c>
      <c r="S28" s="158">
        <f>VLOOKUP($A28,'Over Under Bill 1 COPY 到CO欄位'!$1:$1048576,'Over Under Bill 1 COPY 到CO欄位'!S$1,0)-VLOOKUP($A28,'Over Under Bill 1 COPY 到CO欄位'!$1:$1048576,'Over Under Bill 1 COPY 到CO欄位'!N$1,0)</f>
        <v>0</v>
      </c>
      <c r="T28" s="158">
        <f t="shared" si="6"/>
        <v>0</v>
      </c>
      <c r="U28" s="158">
        <f>VLOOKUP($A28,'Over Under Bill 1 COPY 到CO欄位'!$1:$1048576,'Over Under Bill 1 COPY 到CO欄位'!U$1,0)-VLOOKUP($A28,'Over Under Bill 1 COPY 到CO欄位'!$1:$1048576,'Over Under Bill 1 COPY 到CO欄位'!P$1,0)</f>
        <v>0</v>
      </c>
      <c r="V28" s="158">
        <f t="shared" si="7"/>
        <v>0</v>
      </c>
      <c r="W28" s="157">
        <f>VLOOKUP($A28,'Over Under Bill 1 COPY 到CO欄位'!$1:$1048576,'Over Under Bill 1 COPY 到CO欄位'!W$1,0)-VLOOKUP($A28,'Over Under Bill 1 COPY 到CO欄位'!$1:$1048576,'Over Under Bill 1 COPY 到CO欄位'!R$1,0)</f>
        <v>0</v>
      </c>
      <c r="X28" s="157">
        <f>VLOOKUP($A28,'Over Under Bill 1 COPY 到CO欄位'!$1:$1048576,'Over Under Bill 1 COPY 到CO欄位'!X$1,0)-VLOOKUP($A28,'Over Under Bill 1 COPY 到CO欄位'!$1:$1048576,'Over Under Bill 1 COPY 到CO欄位'!S$1,0)</f>
        <v>0</v>
      </c>
      <c r="Y28" s="157">
        <f t="shared" si="8"/>
        <v>0</v>
      </c>
      <c r="Z28" s="157">
        <f>VLOOKUP($A28,'Over Under Bill 1 COPY 到CO欄位'!$1:$1048576,'Over Under Bill 1 COPY 到CO欄位'!Z$1,0)-VLOOKUP($A28,'Over Under Bill 1 COPY 到CO欄位'!$1:$1048576,'Over Under Bill 1 COPY 到CO欄位'!U$1,0)</f>
        <v>0</v>
      </c>
      <c r="AA28" s="157">
        <f t="shared" si="9"/>
        <v>0</v>
      </c>
      <c r="AB28" s="158">
        <f>VLOOKUP($A28,'Over Under Bill 1 COPY 到CO欄位'!$1:$1048576,'Over Under Bill 1 COPY 到CO欄位'!AB$1,0)-VLOOKUP($A28,'Over Under Bill 1 COPY 到CO欄位'!$1:$1048576,'Over Under Bill 1 COPY 到CO欄位'!W$1,0)</f>
        <v>0</v>
      </c>
      <c r="AC28" s="158">
        <f>VLOOKUP($A28,'Over Under Bill 1 COPY 到CO欄位'!$1:$1048576,'Over Under Bill 1 COPY 到CO欄位'!AC$1,0)-VLOOKUP($A28,'Over Under Bill 1 COPY 到CO欄位'!$1:$1048576,'Over Under Bill 1 COPY 到CO欄位'!X$1,0)</f>
        <v>0</v>
      </c>
      <c r="AD28" s="158">
        <f t="shared" si="10"/>
        <v>0</v>
      </c>
      <c r="AE28" s="158">
        <f>VLOOKUP($A28,'Over Under Bill 1 COPY 到CO欄位'!$1:$1048576,'Over Under Bill 1 COPY 到CO欄位'!AE$1,0)-VLOOKUP($A28,'Over Under Bill 1 COPY 到CO欄位'!$1:$1048576,'Over Under Bill 1 COPY 到CO欄位'!Z$1,0)</f>
        <v>0</v>
      </c>
      <c r="AF28" s="158">
        <f t="shared" si="11"/>
        <v>0</v>
      </c>
      <c r="AG28" s="157">
        <f>VLOOKUP($A28,'Over Under Bill 1 COPY 到CO欄位'!$1:$1048576,'Over Under Bill 1 COPY 到CO欄位'!AG$1,0)-VLOOKUP($A28,'Over Under Bill 1 COPY 到CO欄位'!$1:$1048576,'Over Under Bill 1 COPY 到CO欄位'!AB$1,0)</f>
        <v>0</v>
      </c>
      <c r="AH28" s="157">
        <f>VLOOKUP($A28,'Over Under Bill 1 COPY 到CO欄位'!$1:$1048576,'Over Under Bill 1 COPY 到CO欄位'!AH$1,0)-VLOOKUP($A28,'Over Under Bill 1 COPY 到CO欄位'!$1:$1048576,'Over Under Bill 1 COPY 到CO欄位'!AC$1,0)</f>
        <v>0</v>
      </c>
      <c r="AI28" s="157">
        <f t="shared" si="12"/>
        <v>0</v>
      </c>
      <c r="AJ28" s="157">
        <f>VLOOKUP($A28,'Over Under Bill 1 COPY 到CO欄位'!$1:$1048576,'Over Under Bill 1 COPY 到CO欄位'!AJ$1,0)-VLOOKUP($A28,'Over Under Bill 1 COPY 到CO欄位'!$1:$1048576,'Over Under Bill 1 COPY 到CO欄位'!AE$1,0)</f>
        <v>0</v>
      </c>
      <c r="AK28" s="157">
        <f t="shared" si="13"/>
        <v>0</v>
      </c>
      <c r="AL28" s="158">
        <f>VLOOKUP($A28,'Over Under Bill 1 COPY 到CO欄位'!$1:$1048576,'Over Under Bill 1 COPY 到CO欄位'!AL$1,0)-VLOOKUP($A28,'Over Under Bill 1 COPY 到CO欄位'!$1:$1048576,'Over Under Bill 1 COPY 到CO欄位'!AG$1,0)</f>
        <v>0</v>
      </c>
      <c r="AM28" s="158">
        <f>VLOOKUP($A28,'Over Under Bill 1 COPY 到CO欄位'!$1:$1048576,'Over Under Bill 1 COPY 到CO欄位'!AM$1,0)-VLOOKUP($A28,'Over Under Bill 1 COPY 到CO欄位'!$1:$1048576,'Over Under Bill 1 COPY 到CO欄位'!AH$1,0)</f>
        <v>0</v>
      </c>
      <c r="AN28" s="158">
        <f t="shared" si="14"/>
        <v>0</v>
      </c>
      <c r="AO28" s="158">
        <f>VLOOKUP($A28,'Over Under Bill 1 COPY 到CO欄位'!$1:$1048576,'Over Under Bill 1 COPY 到CO欄位'!AO$1,0)-VLOOKUP($A28,'Over Under Bill 1 COPY 到CO欄位'!$1:$1048576,'Over Under Bill 1 COPY 到CO欄位'!AJ$1,0)</f>
        <v>0</v>
      </c>
      <c r="AP28" s="158">
        <f t="shared" si="15"/>
        <v>0</v>
      </c>
      <c r="AQ28" s="157">
        <f>VLOOKUP($A28,'Over Under Bill 1 COPY 到CO欄位'!$1:$1048576,'Over Under Bill 1 COPY 到CO欄位'!AQ$1,0)-VLOOKUP($A28,'Over Under Bill 1 COPY 到CO欄位'!$1:$1048576,'Over Under Bill 1 COPY 到CO欄位'!AL$1,0)</f>
        <v>0</v>
      </c>
      <c r="AR28" s="157">
        <f>VLOOKUP($A28,'Over Under Bill 1 COPY 到CO欄位'!$1:$1048576,'Over Under Bill 1 COPY 到CO欄位'!AR$1,0)-VLOOKUP($A28,'Over Under Bill 1 COPY 到CO欄位'!$1:$1048576,'Over Under Bill 1 COPY 到CO欄位'!AM$1,0)</f>
        <v>0</v>
      </c>
      <c r="AS28" s="157">
        <f t="shared" si="16"/>
        <v>0</v>
      </c>
      <c r="AT28" s="157">
        <f>VLOOKUP($A28,'Over Under Bill 1 COPY 到CO欄位'!$1:$1048576,'Over Under Bill 1 COPY 到CO欄位'!AT$1,0)-VLOOKUP($A28,'Over Under Bill 1 COPY 到CO欄位'!$1:$1048576,'Over Under Bill 1 COPY 到CO欄位'!AO$1,0)</f>
        <v>0</v>
      </c>
      <c r="AU28" s="157">
        <f t="shared" si="17"/>
        <v>0</v>
      </c>
      <c r="AV28" s="158">
        <f>VLOOKUP($A28,'Over Under Bill 1 COPY 到CO欄位'!$1:$1048576,'Over Under Bill 1 COPY 到CO欄位'!AV$1,0)-VLOOKUP($A28,'Over Under Bill 1 COPY 到CO欄位'!$1:$1048576,'Over Under Bill 1 COPY 到CO欄位'!AQ$1,0)</f>
        <v>0</v>
      </c>
      <c r="AW28" s="158">
        <f>VLOOKUP($A28,'Over Under Bill 1 COPY 到CO欄位'!$1:$1048576,'Over Under Bill 1 COPY 到CO欄位'!AW$1,0)-VLOOKUP($A28,'Over Under Bill 1 COPY 到CO欄位'!$1:$1048576,'Over Under Bill 1 COPY 到CO欄位'!AR$1,0)</f>
        <v>0</v>
      </c>
      <c r="AX28" s="158">
        <f t="shared" si="18"/>
        <v>0</v>
      </c>
      <c r="AY28" s="158">
        <f>VLOOKUP($A28,'Over Under Bill 1 COPY 到CO欄位'!$1:$1048576,'Over Under Bill 1 COPY 到CO欄位'!AY$1,0)-VLOOKUP($A28,'Over Under Bill 1 COPY 到CO欄位'!$1:$1048576,'Over Under Bill 1 COPY 到CO欄位'!AT$1,0)</f>
        <v>0</v>
      </c>
      <c r="AZ28" s="158">
        <f t="shared" si="19"/>
        <v>0</v>
      </c>
      <c r="BA28" s="157">
        <f>VLOOKUP($A28,'Over Under Bill 1 COPY 到CO欄位'!$1:$1048576,'Over Under Bill 1 COPY 到CO欄位'!BA$1,0)-VLOOKUP($A28,'Over Under Bill 1 COPY 到CO欄位'!$1:$1048576,'Over Under Bill 1 COPY 到CO欄位'!AV$1,0)</f>
        <v>0</v>
      </c>
      <c r="BB28" s="157">
        <f>VLOOKUP($A28,'Over Under Bill 1 COPY 到CO欄位'!$1:$1048576,'Over Under Bill 1 COPY 到CO欄位'!BB$1,0)-VLOOKUP($A28,'Over Under Bill 1 COPY 到CO欄位'!$1:$1048576,'Over Under Bill 1 COPY 到CO欄位'!AW$1,0)</f>
        <v>0</v>
      </c>
      <c r="BC28" s="157">
        <f t="shared" si="20"/>
        <v>0</v>
      </c>
      <c r="BD28" s="157">
        <f>VLOOKUP($A28,'Over Under Bill 1 COPY 到CO欄位'!$1:$1048576,'Over Under Bill 1 COPY 到CO欄位'!BD$1,0)-VLOOKUP($A28,'Over Under Bill 1 COPY 到CO欄位'!$1:$1048576,'Over Under Bill 1 COPY 到CO欄位'!AY$1,0)</f>
        <v>0</v>
      </c>
      <c r="BE28" s="157">
        <f t="shared" si="21"/>
        <v>0</v>
      </c>
      <c r="BF28" s="158">
        <f>VLOOKUP($A28,'Over Under Bill 1 COPY 到CO欄位'!$1:$1048576,'Over Under Bill 1 COPY 到CO欄位'!BF$1,0)-VLOOKUP($A28,'Over Under Bill 1 COPY 到CO欄位'!$1:$1048576,'Over Under Bill 1 COPY 到CO欄位'!BA$1,0)</f>
        <v>0</v>
      </c>
      <c r="BG28" s="158">
        <f>VLOOKUP($A28,'Over Under Bill 1 COPY 到CO欄位'!$1:$1048576,'Over Under Bill 1 COPY 到CO欄位'!BG$1,0)-VLOOKUP($A28,'Over Under Bill 1 COPY 到CO欄位'!$1:$1048576,'Over Under Bill 1 COPY 到CO欄位'!BB$1,0)</f>
        <v>0</v>
      </c>
      <c r="BH28" s="158">
        <f t="shared" si="22"/>
        <v>0</v>
      </c>
      <c r="BI28" s="158">
        <f>VLOOKUP($A28,'Over Under Bill 1 COPY 到CO欄位'!$1:$1048576,'Over Under Bill 1 COPY 到CO欄位'!BI$1,0)-VLOOKUP($A28,'Over Under Bill 1 COPY 到CO欄位'!$1:$1048576,'Over Under Bill 1 COPY 到CO欄位'!BD$1,0)</f>
        <v>0</v>
      </c>
      <c r="BJ28" s="158">
        <f t="shared" si="23"/>
        <v>0</v>
      </c>
      <c r="BK28" s="157">
        <f>VLOOKUP($A28,'Over Under Bill 1 COPY 到CO欄位'!$1:$1048576,'Over Under Bill 1 COPY 到CO欄位'!BK$1,0)-VLOOKUP($A28,'Over Under Bill 1 COPY 到CO欄位'!$1:$1048576,'Over Under Bill 1 COPY 到CO欄位'!BF$1,0)</f>
        <v>0</v>
      </c>
      <c r="BL28" s="157">
        <f>VLOOKUP($A28,'Over Under Bill 1 COPY 到CO欄位'!$1:$1048576,'Over Under Bill 1 COPY 到CO欄位'!BL$1,0)-VLOOKUP($A28,'Over Under Bill 1 COPY 到CO欄位'!$1:$1048576,'Over Under Bill 1 COPY 到CO欄位'!BG$1,0)</f>
        <v>0</v>
      </c>
      <c r="BM28" s="157">
        <f t="shared" si="24"/>
        <v>0</v>
      </c>
      <c r="BN28" s="157">
        <f>VLOOKUP($A28,'Over Under Bill 1 COPY 到CO欄位'!$1:$1048576,'Over Under Bill 1 COPY 到CO欄位'!BN$1,0)-VLOOKUP($A28,'Over Under Bill 1 COPY 到CO欄位'!$1:$1048576,'Over Under Bill 1 COPY 到CO欄位'!BI$1,0)</f>
        <v>0</v>
      </c>
      <c r="BO28" s="157">
        <f t="shared" si="25"/>
        <v>0</v>
      </c>
      <c r="BP28" s="158">
        <f>VLOOKUP($A28,'Over Under Bill 1 COPY 到CO欄位'!$1:$1048576,'Over Under Bill 1 COPY 到CO欄位'!BP$1,0)-VLOOKUP($A28,'Over Under Bill 1 COPY 到CO欄位'!$1:$1048576,'Over Under Bill 1 COPY 到CO欄位'!BK$1,0)</f>
        <v>0</v>
      </c>
      <c r="BQ28" s="158">
        <f>VLOOKUP($A28,'Over Under Bill 1 COPY 到CO欄位'!$1:$1048576,'Over Under Bill 1 COPY 到CO欄位'!BQ$1,0)-VLOOKUP($A28,'Over Under Bill 1 COPY 到CO欄位'!$1:$1048576,'Over Under Bill 1 COPY 到CO欄位'!BL$1,0)</f>
        <v>0</v>
      </c>
      <c r="BR28" s="158">
        <f t="shared" si="26"/>
        <v>0</v>
      </c>
      <c r="BS28" s="158">
        <f>VLOOKUP($A28,'Over Under Bill 1 COPY 到CO欄位'!$1:$1048576,'Over Under Bill 1 COPY 到CO欄位'!BS$1,0)-VLOOKUP($A28,'Over Under Bill 1 COPY 到CO欄位'!$1:$1048576,'Over Under Bill 1 COPY 到CO欄位'!BN$1,0)</f>
        <v>0</v>
      </c>
      <c r="BT28" s="158">
        <f t="shared" si="27"/>
        <v>0</v>
      </c>
      <c r="BU28" s="157">
        <f>VLOOKUP($A28,'Over Under Bill 1 COPY 到CO欄位'!$1:$1048576,'Over Under Bill 1 COPY 到CO欄位'!BP$1,0)-VLOOKUP($A28,'Over Under Bill 1 COPY 到CO欄位'!$1:$1048576,'Over Under Bill 1 COPY 到CO欄位'!H$1,0)</f>
        <v>0</v>
      </c>
      <c r="BV28" s="157">
        <f>VLOOKUP($A28,'Over Under Bill 1 COPY 到CO欄位'!$1:$1048576,'Over Under Bill 1 COPY 到CO欄位'!BQ$1,0)-VLOOKUP($A28,'Over Under Bill 1 COPY 到CO欄位'!$1:$1048576,'Over Under Bill 1 COPY 到CO欄位'!I$1,0)</f>
        <v>0</v>
      </c>
      <c r="BW28" s="157">
        <f t="shared" si="28"/>
        <v>0</v>
      </c>
      <c r="BX28" s="157">
        <f>VLOOKUP($A28,'Over Under Bill 1 COPY 到CO欄位'!$1:$1048576,'Over Under Bill 1 COPY 到CO欄位'!BS$1,0)-VLOOKUP($A28,'Over Under Bill 1 COPY 到CO欄位'!$1:$1048576,'Over Under Bill 1 COPY 到CO欄位'!K$1,0)</f>
        <v>0</v>
      </c>
      <c r="BY28" s="157">
        <f t="shared" si="29"/>
        <v>0</v>
      </c>
      <c r="BZ28" s="158">
        <f>VLOOKUP($A28,'Over Under Bill 1 COPY 到CO欄位'!$1:$1048576,'Over Under Bill 1 COPY 到CO欄位'!BU$1,0)-VLOOKUP($A28,'Over Under Bill 1 COPY 到CO欄位'!$1:$1048576,'Over Under Bill 1 COPY 到CO欄位'!BP$1,0)</f>
        <v>0</v>
      </c>
      <c r="CA28" s="158">
        <f>VLOOKUP($A28,'Over Under Bill 1 COPY 到CO欄位'!$1:$1048576,'Over Under Bill 1 COPY 到CO欄位'!BV$1,0)-VLOOKUP($A28,'Over Under Bill 1 COPY 到CO欄位'!$1:$1048576,'Over Under Bill 1 COPY 到CO欄位'!BQ$1,0)</f>
        <v>0</v>
      </c>
      <c r="CB28" s="158">
        <f t="shared" si="30"/>
        <v>0</v>
      </c>
      <c r="CC28" s="158">
        <f>VLOOKUP($A28,'Over Under Bill 1 COPY 到CO欄位'!$1:$1048576,'Over Under Bill 1 COPY 到CO欄位'!BX$1,0)-VLOOKUP($A28,'Over Under Bill 1 COPY 到CO欄位'!$1:$1048576,'Over Under Bill 1 COPY 到CO欄位'!BS$1,0)</f>
        <v>0</v>
      </c>
      <c r="CD28" s="158">
        <f t="shared" si="31"/>
        <v>0</v>
      </c>
      <c r="CE28" s="157">
        <f>VLOOKUP($A28,'Over Under Bill 1 COPY 到CO欄位'!$1:$1048576,'Over Under Bill 1 COPY 到CO欄位'!BZ$1,0)-VLOOKUP($A28,'Over Under Bill 1 COPY 到CO欄位'!$1:$1048576,'Over Under Bill 1 COPY 到CO欄位'!BU$1,0)</f>
        <v>0</v>
      </c>
      <c r="CF28" s="157">
        <f>VLOOKUP($A28,'Over Under Bill 1 COPY 到CO欄位'!$1:$1048576,'Over Under Bill 1 COPY 到CO欄位'!CA$1,0)-VLOOKUP($A28,'Over Under Bill 1 COPY 到CO欄位'!$1:$1048576,'Over Under Bill 1 COPY 到CO欄位'!BV$1,0)</f>
        <v>0</v>
      </c>
      <c r="CG28" s="157">
        <f t="shared" si="32"/>
        <v>0</v>
      </c>
      <c r="CH28" s="157">
        <f>VLOOKUP($A28,'Over Under Bill 1 COPY 到CO欄位'!$1:$1048576,'Over Under Bill 1 COPY 到CO欄位'!CC$1,0)-VLOOKUP($A28,'Over Under Bill 1 COPY 到CO欄位'!$1:$1048576,'Over Under Bill 1 COPY 到CO欄位'!BX$1,0)</f>
        <v>0</v>
      </c>
      <c r="CI28" s="157">
        <f t="shared" si="33"/>
        <v>0</v>
      </c>
      <c r="CJ28" s="158">
        <f>VLOOKUP($A28,'Over Under Bill 1 COPY 到CO欄位'!$1:$1048576,'Over Under Bill 1 COPY 到CO欄位'!CE$1,0)-VLOOKUP($A28,'Over Under Bill 1 COPY 到CO欄位'!$1:$1048576,'Over Under Bill 1 COPY 到CO欄位'!BZ$1,0)</f>
        <v>0</v>
      </c>
      <c r="CK28" s="158">
        <f>VLOOKUP($A28,'Over Under Bill 1 COPY 到CO欄位'!$1:$1048576,'Over Under Bill 1 COPY 到CO欄位'!CF$1,0)-VLOOKUP($A28,'Over Under Bill 1 COPY 到CO欄位'!$1:$1048576,'Over Under Bill 1 COPY 到CO欄位'!CA$1,0)</f>
        <v>0</v>
      </c>
      <c r="CL28" s="158">
        <f t="shared" si="34"/>
        <v>0</v>
      </c>
      <c r="CM28" s="158">
        <f>VLOOKUP($A28,'Over Under Bill 1 COPY 到CO欄位'!$1:$1048576,'Over Under Bill 1 COPY 到CO欄位'!CH$1,0)-VLOOKUP($A28,'Over Under Bill 1 COPY 到CO欄位'!$1:$1048576,'Over Under Bill 1 COPY 到CO欄位'!CC$1,0)</f>
        <v>0</v>
      </c>
      <c r="CN28" s="158">
        <f t="shared" si="35"/>
        <v>0</v>
      </c>
      <c r="CO28" s="157">
        <f>VLOOKUP($A28,'Over Under Bill 1 COPY 到CO欄位'!$1:$1048576,'Over Under Bill 1 COPY 到CO欄位'!CJ$1,0)-VLOOKUP($A28,'Over Under Bill 1 COPY 到CO欄位'!$1:$1048576,'Over Under Bill 1 COPY 到CO欄位'!CE$1,0)</f>
        <v>0</v>
      </c>
      <c r="CP28" s="157">
        <f>VLOOKUP($A28,'Over Under Bill 1 COPY 到CO欄位'!$1:$1048576,'Over Under Bill 1 COPY 到CO欄位'!CK$1,0)-VLOOKUP($A28,'Over Under Bill 1 COPY 到CO欄位'!$1:$1048576,'Over Under Bill 1 COPY 到CO欄位'!CF$1,0)</f>
        <v>0</v>
      </c>
      <c r="CQ28" s="157">
        <f t="shared" si="36"/>
        <v>0</v>
      </c>
      <c r="CR28" s="157">
        <f>VLOOKUP($A28,'Over Under Bill 1 COPY 到CO欄位'!$1:$1048576,'Over Under Bill 1 COPY 到CO欄位'!CM$1,0)-VLOOKUP($A28,'Over Under Bill 1 COPY 到CO欄位'!$1:$1048576,'Over Under Bill 1 COPY 到CO欄位'!CH$1,0)</f>
        <v>0</v>
      </c>
      <c r="CS28" s="157">
        <f t="shared" si="37"/>
        <v>0</v>
      </c>
    </row>
    <row r="29" spans="1:97">
      <c r="A29" s="171" t="s">
        <v>355</v>
      </c>
      <c r="B29" s="172" t="s">
        <v>356</v>
      </c>
      <c r="C29" s="157">
        <f>IFERROR(VLOOKUP($A29,'A0 BS 1240在建'!$1:$1048576,5,0),0)</f>
        <v>0</v>
      </c>
      <c r="D29" s="157">
        <f>IFERROR(VLOOKUP($A29,'B0 2264預收'!$1:$1048576,5,0),0)</f>
        <v>0</v>
      </c>
      <c r="E29" s="157">
        <f t="shared" si="0"/>
        <v>0</v>
      </c>
      <c r="F29" s="157">
        <f>IFERROR(VLOOKUP($A29,'B0 2264預收'!$1:$1048576,6,0),0)</f>
        <v>0</v>
      </c>
      <c r="G29" s="157">
        <f t="shared" si="1"/>
        <v>0</v>
      </c>
      <c r="H29" s="158">
        <f>IFERROR(VLOOKUP($A29,'A0 BS 1240在建'!$1:$1048576,13,0),0)-C29</f>
        <v>0</v>
      </c>
      <c r="I29" s="158">
        <f>IFERROR(VLOOKUP($A29,'B0 2264預收'!$1:$1048576,13,0),0)-D29</f>
        <v>0</v>
      </c>
      <c r="J29" s="158">
        <f t="shared" si="2"/>
        <v>0</v>
      </c>
      <c r="K29" s="158">
        <f>IFERROR(VLOOKUP($A29,'B0 2264預收'!$1:$1048576,14,0),0)-F29</f>
        <v>0</v>
      </c>
      <c r="L29" s="158">
        <f t="shared" si="3"/>
        <v>0</v>
      </c>
      <c r="M29" s="157">
        <f>VLOOKUP($A29,'Over Under Bill 1 COPY 到CO欄位'!$1:$1048576,'Over Under Bill 1 COPY 到CO欄位'!M$1,0)-VLOOKUP($A29,'Over Under Bill 1 COPY 到CO欄位'!$1:$1048576,'Over Under Bill 1 COPY 到CO欄位'!H$1,0)</f>
        <v>0</v>
      </c>
      <c r="N29" s="157">
        <f>VLOOKUP($A29,'Over Under Bill 1 COPY 到CO欄位'!$1:$1048576,'Over Under Bill 1 COPY 到CO欄位'!N$1,0)-VLOOKUP($A29,'Over Under Bill 1 COPY 到CO欄位'!$1:$1048576,'Over Under Bill 1 COPY 到CO欄位'!I$1,0)</f>
        <v>0</v>
      </c>
      <c r="O29" s="157">
        <f t="shared" si="4"/>
        <v>0</v>
      </c>
      <c r="P29" s="157">
        <f>VLOOKUP($A29,'Over Under Bill 1 COPY 到CO欄位'!$1:$1048576,'Over Under Bill 1 COPY 到CO欄位'!P$1,0)-VLOOKUP($A29,'Over Under Bill 1 COPY 到CO欄位'!$1:$1048576,'Over Under Bill 1 COPY 到CO欄位'!K$1,0)</f>
        <v>0</v>
      </c>
      <c r="Q29" s="157">
        <f t="shared" si="5"/>
        <v>0</v>
      </c>
      <c r="R29" s="158">
        <f>VLOOKUP($A29,'Over Under Bill 1 COPY 到CO欄位'!$1:$1048576,'Over Under Bill 1 COPY 到CO欄位'!R$1,0)-VLOOKUP($A29,'Over Under Bill 1 COPY 到CO欄位'!$1:$1048576,'Over Under Bill 1 COPY 到CO欄位'!M$1,0)</f>
        <v>0</v>
      </c>
      <c r="S29" s="158">
        <f>VLOOKUP($A29,'Over Under Bill 1 COPY 到CO欄位'!$1:$1048576,'Over Under Bill 1 COPY 到CO欄位'!S$1,0)-VLOOKUP($A29,'Over Under Bill 1 COPY 到CO欄位'!$1:$1048576,'Over Under Bill 1 COPY 到CO欄位'!N$1,0)</f>
        <v>0</v>
      </c>
      <c r="T29" s="158">
        <f t="shared" si="6"/>
        <v>0</v>
      </c>
      <c r="U29" s="158">
        <f>VLOOKUP($A29,'Over Under Bill 1 COPY 到CO欄位'!$1:$1048576,'Over Under Bill 1 COPY 到CO欄位'!U$1,0)-VLOOKUP($A29,'Over Under Bill 1 COPY 到CO欄位'!$1:$1048576,'Over Under Bill 1 COPY 到CO欄位'!P$1,0)</f>
        <v>0</v>
      </c>
      <c r="V29" s="158">
        <f t="shared" si="7"/>
        <v>0</v>
      </c>
      <c r="W29" s="157">
        <f>VLOOKUP($A29,'Over Under Bill 1 COPY 到CO欄位'!$1:$1048576,'Over Under Bill 1 COPY 到CO欄位'!W$1,0)-VLOOKUP($A29,'Over Under Bill 1 COPY 到CO欄位'!$1:$1048576,'Over Under Bill 1 COPY 到CO欄位'!R$1,0)</f>
        <v>0</v>
      </c>
      <c r="X29" s="157">
        <f>VLOOKUP($A29,'Over Under Bill 1 COPY 到CO欄位'!$1:$1048576,'Over Under Bill 1 COPY 到CO欄位'!X$1,0)-VLOOKUP($A29,'Over Under Bill 1 COPY 到CO欄位'!$1:$1048576,'Over Under Bill 1 COPY 到CO欄位'!S$1,0)</f>
        <v>0</v>
      </c>
      <c r="Y29" s="157">
        <f t="shared" si="8"/>
        <v>0</v>
      </c>
      <c r="Z29" s="157">
        <f>VLOOKUP($A29,'Over Under Bill 1 COPY 到CO欄位'!$1:$1048576,'Over Under Bill 1 COPY 到CO欄位'!Z$1,0)-VLOOKUP($A29,'Over Under Bill 1 COPY 到CO欄位'!$1:$1048576,'Over Under Bill 1 COPY 到CO欄位'!U$1,0)</f>
        <v>0</v>
      </c>
      <c r="AA29" s="157">
        <f t="shared" si="9"/>
        <v>0</v>
      </c>
      <c r="AB29" s="158">
        <f>VLOOKUP($A29,'Over Under Bill 1 COPY 到CO欄位'!$1:$1048576,'Over Under Bill 1 COPY 到CO欄位'!AB$1,0)-VLOOKUP($A29,'Over Under Bill 1 COPY 到CO欄位'!$1:$1048576,'Over Under Bill 1 COPY 到CO欄位'!W$1,0)</f>
        <v>0</v>
      </c>
      <c r="AC29" s="158">
        <f>VLOOKUP($A29,'Over Under Bill 1 COPY 到CO欄位'!$1:$1048576,'Over Under Bill 1 COPY 到CO欄位'!AC$1,0)-VLOOKUP($A29,'Over Under Bill 1 COPY 到CO欄位'!$1:$1048576,'Over Under Bill 1 COPY 到CO欄位'!X$1,0)</f>
        <v>0</v>
      </c>
      <c r="AD29" s="158">
        <f t="shared" si="10"/>
        <v>0</v>
      </c>
      <c r="AE29" s="158">
        <f>VLOOKUP($A29,'Over Under Bill 1 COPY 到CO欄位'!$1:$1048576,'Over Under Bill 1 COPY 到CO欄位'!AE$1,0)-VLOOKUP($A29,'Over Under Bill 1 COPY 到CO欄位'!$1:$1048576,'Over Under Bill 1 COPY 到CO欄位'!Z$1,0)</f>
        <v>0</v>
      </c>
      <c r="AF29" s="158">
        <f t="shared" si="11"/>
        <v>0</v>
      </c>
      <c r="AG29" s="157">
        <f>VLOOKUP($A29,'Over Under Bill 1 COPY 到CO欄位'!$1:$1048576,'Over Under Bill 1 COPY 到CO欄位'!AG$1,0)-VLOOKUP($A29,'Over Under Bill 1 COPY 到CO欄位'!$1:$1048576,'Over Under Bill 1 COPY 到CO欄位'!AB$1,0)</f>
        <v>0</v>
      </c>
      <c r="AH29" s="157">
        <f>VLOOKUP($A29,'Over Under Bill 1 COPY 到CO欄位'!$1:$1048576,'Over Under Bill 1 COPY 到CO欄位'!AH$1,0)-VLOOKUP($A29,'Over Under Bill 1 COPY 到CO欄位'!$1:$1048576,'Over Under Bill 1 COPY 到CO欄位'!AC$1,0)</f>
        <v>0</v>
      </c>
      <c r="AI29" s="157">
        <f t="shared" si="12"/>
        <v>0</v>
      </c>
      <c r="AJ29" s="157">
        <f>VLOOKUP($A29,'Over Under Bill 1 COPY 到CO欄位'!$1:$1048576,'Over Under Bill 1 COPY 到CO欄位'!AJ$1,0)-VLOOKUP($A29,'Over Under Bill 1 COPY 到CO欄位'!$1:$1048576,'Over Under Bill 1 COPY 到CO欄位'!AE$1,0)</f>
        <v>0</v>
      </c>
      <c r="AK29" s="157">
        <f t="shared" si="13"/>
        <v>0</v>
      </c>
      <c r="AL29" s="158">
        <f>VLOOKUP($A29,'Over Under Bill 1 COPY 到CO欄位'!$1:$1048576,'Over Under Bill 1 COPY 到CO欄位'!AL$1,0)-VLOOKUP($A29,'Over Under Bill 1 COPY 到CO欄位'!$1:$1048576,'Over Under Bill 1 COPY 到CO欄位'!AG$1,0)</f>
        <v>0</v>
      </c>
      <c r="AM29" s="158">
        <f>VLOOKUP($A29,'Over Under Bill 1 COPY 到CO欄位'!$1:$1048576,'Over Under Bill 1 COPY 到CO欄位'!AM$1,0)-VLOOKUP($A29,'Over Under Bill 1 COPY 到CO欄位'!$1:$1048576,'Over Under Bill 1 COPY 到CO欄位'!AH$1,0)</f>
        <v>0</v>
      </c>
      <c r="AN29" s="158">
        <f t="shared" si="14"/>
        <v>0</v>
      </c>
      <c r="AO29" s="158">
        <f>VLOOKUP($A29,'Over Under Bill 1 COPY 到CO欄位'!$1:$1048576,'Over Under Bill 1 COPY 到CO欄位'!AO$1,0)-VLOOKUP($A29,'Over Under Bill 1 COPY 到CO欄位'!$1:$1048576,'Over Under Bill 1 COPY 到CO欄位'!AJ$1,0)</f>
        <v>0</v>
      </c>
      <c r="AP29" s="158">
        <f t="shared" si="15"/>
        <v>0</v>
      </c>
      <c r="AQ29" s="157">
        <f>VLOOKUP($A29,'Over Under Bill 1 COPY 到CO欄位'!$1:$1048576,'Over Under Bill 1 COPY 到CO欄位'!AQ$1,0)-VLOOKUP($A29,'Over Under Bill 1 COPY 到CO欄位'!$1:$1048576,'Over Under Bill 1 COPY 到CO欄位'!AL$1,0)</f>
        <v>0</v>
      </c>
      <c r="AR29" s="157">
        <f>VLOOKUP($A29,'Over Under Bill 1 COPY 到CO欄位'!$1:$1048576,'Over Under Bill 1 COPY 到CO欄位'!AR$1,0)-VLOOKUP($A29,'Over Under Bill 1 COPY 到CO欄位'!$1:$1048576,'Over Under Bill 1 COPY 到CO欄位'!AM$1,0)</f>
        <v>0</v>
      </c>
      <c r="AS29" s="157">
        <f t="shared" si="16"/>
        <v>0</v>
      </c>
      <c r="AT29" s="157">
        <f>VLOOKUP($A29,'Over Under Bill 1 COPY 到CO欄位'!$1:$1048576,'Over Under Bill 1 COPY 到CO欄位'!AT$1,0)-VLOOKUP($A29,'Over Under Bill 1 COPY 到CO欄位'!$1:$1048576,'Over Under Bill 1 COPY 到CO欄位'!AO$1,0)</f>
        <v>0</v>
      </c>
      <c r="AU29" s="157">
        <f t="shared" si="17"/>
        <v>0</v>
      </c>
      <c r="AV29" s="158">
        <f>VLOOKUP($A29,'Over Under Bill 1 COPY 到CO欄位'!$1:$1048576,'Over Under Bill 1 COPY 到CO欄位'!AV$1,0)-VLOOKUP($A29,'Over Under Bill 1 COPY 到CO欄位'!$1:$1048576,'Over Under Bill 1 COPY 到CO欄位'!AQ$1,0)</f>
        <v>0</v>
      </c>
      <c r="AW29" s="158">
        <f>VLOOKUP($A29,'Over Under Bill 1 COPY 到CO欄位'!$1:$1048576,'Over Under Bill 1 COPY 到CO欄位'!AW$1,0)-VLOOKUP($A29,'Over Under Bill 1 COPY 到CO欄位'!$1:$1048576,'Over Under Bill 1 COPY 到CO欄位'!AR$1,0)</f>
        <v>0</v>
      </c>
      <c r="AX29" s="158">
        <f t="shared" si="18"/>
        <v>0</v>
      </c>
      <c r="AY29" s="158">
        <f>VLOOKUP($A29,'Over Under Bill 1 COPY 到CO欄位'!$1:$1048576,'Over Under Bill 1 COPY 到CO欄位'!AY$1,0)-VLOOKUP($A29,'Over Under Bill 1 COPY 到CO欄位'!$1:$1048576,'Over Under Bill 1 COPY 到CO欄位'!AT$1,0)</f>
        <v>0</v>
      </c>
      <c r="AZ29" s="158">
        <f t="shared" si="19"/>
        <v>0</v>
      </c>
      <c r="BA29" s="157">
        <f>VLOOKUP($A29,'Over Under Bill 1 COPY 到CO欄位'!$1:$1048576,'Over Under Bill 1 COPY 到CO欄位'!BA$1,0)-VLOOKUP($A29,'Over Under Bill 1 COPY 到CO欄位'!$1:$1048576,'Over Under Bill 1 COPY 到CO欄位'!AV$1,0)</f>
        <v>0</v>
      </c>
      <c r="BB29" s="157">
        <f>VLOOKUP($A29,'Over Under Bill 1 COPY 到CO欄位'!$1:$1048576,'Over Under Bill 1 COPY 到CO欄位'!BB$1,0)-VLOOKUP($A29,'Over Under Bill 1 COPY 到CO欄位'!$1:$1048576,'Over Under Bill 1 COPY 到CO欄位'!AW$1,0)</f>
        <v>0</v>
      </c>
      <c r="BC29" s="157">
        <f t="shared" si="20"/>
        <v>0</v>
      </c>
      <c r="BD29" s="157">
        <f>VLOOKUP($A29,'Over Under Bill 1 COPY 到CO欄位'!$1:$1048576,'Over Under Bill 1 COPY 到CO欄位'!BD$1,0)-VLOOKUP($A29,'Over Under Bill 1 COPY 到CO欄位'!$1:$1048576,'Over Under Bill 1 COPY 到CO欄位'!AY$1,0)</f>
        <v>0</v>
      </c>
      <c r="BE29" s="157">
        <f t="shared" si="21"/>
        <v>0</v>
      </c>
      <c r="BF29" s="158">
        <f>VLOOKUP($A29,'Over Under Bill 1 COPY 到CO欄位'!$1:$1048576,'Over Under Bill 1 COPY 到CO欄位'!BF$1,0)-VLOOKUP($A29,'Over Under Bill 1 COPY 到CO欄位'!$1:$1048576,'Over Under Bill 1 COPY 到CO欄位'!BA$1,0)</f>
        <v>0</v>
      </c>
      <c r="BG29" s="158">
        <f>VLOOKUP($A29,'Over Under Bill 1 COPY 到CO欄位'!$1:$1048576,'Over Under Bill 1 COPY 到CO欄位'!BG$1,0)-VLOOKUP($A29,'Over Under Bill 1 COPY 到CO欄位'!$1:$1048576,'Over Under Bill 1 COPY 到CO欄位'!BB$1,0)</f>
        <v>0</v>
      </c>
      <c r="BH29" s="158">
        <f t="shared" si="22"/>
        <v>0</v>
      </c>
      <c r="BI29" s="158">
        <f>VLOOKUP($A29,'Over Under Bill 1 COPY 到CO欄位'!$1:$1048576,'Over Under Bill 1 COPY 到CO欄位'!BI$1,0)-VLOOKUP($A29,'Over Under Bill 1 COPY 到CO欄位'!$1:$1048576,'Over Under Bill 1 COPY 到CO欄位'!BD$1,0)</f>
        <v>0</v>
      </c>
      <c r="BJ29" s="158">
        <f t="shared" si="23"/>
        <v>0</v>
      </c>
      <c r="BK29" s="157">
        <f>VLOOKUP($A29,'Over Under Bill 1 COPY 到CO欄位'!$1:$1048576,'Over Under Bill 1 COPY 到CO欄位'!BK$1,0)-VLOOKUP($A29,'Over Under Bill 1 COPY 到CO欄位'!$1:$1048576,'Over Under Bill 1 COPY 到CO欄位'!BF$1,0)</f>
        <v>0</v>
      </c>
      <c r="BL29" s="157">
        <f>VLOOKUP($A29,'Over Under Bill 1 COPY 到CO欄位'!$1:$1048576,'Over Under Bill 1 COPY 到CO欄位'!BL$1,0)-VLOOKUP($A29,'Over Under Bill 1 COPY 到CO欄位'!$1:$1048576,'Over Under Bill 1 COPY 到CO欄位'!BG$1,0)</f>
        <v>0</v>
      </c>
      <c r="BM29" s="157">
        <f t="shared" si="24"/>
        <v>0</v>
      </c>
      <c r="BN29" s="157">
        <f>VLOOKUP($A29,'Over Under Bill 1 COPY 到CO欄位'!$1:$1048576,'Over Under Bill 1 COPY 到CO欄位'!BN$1,0)-VLOOKUP($A29,'Over Under Bill 1 COPY 到CO欄位'!$1:$1048576,'Over Under Bill 1 COPY 到CO欄位'!BI$1,0)</f>
        <v>0</v>
      </c>
      <c r="BO29" s="157">
        <f t="shared" si="25"/>
        <v>0</v>
      </c>
      <c r="BP29" s="158">
        <f>VLOOKUP($A29,'Over Under Bill 1 COPY 到CO欄位'!$1:$1048576,'Over Under Bill 1 COPY 到CO欄位'!BP$1,0)-VLOOKUP($A29,'Over Under Bill 1 COPY 到CO欄位'!$1:$1048576,'Over Under Bill 1 COPY 到CO欄位'!BK$1,0)</f>
        <v>0</v>
      </c>
      <c r="BQ29" s="158">
        <f>VLOOKUP($A29,'Over Under Bill 1 COPY 到CO欄位'!$1:$1048576,'Over Under Bill 1 COPY 到CO欄位'!BQ$1,0)-VLOOKUP($A29,'Over Under Bill 1 COPY 到CO欄位'!$1:$1048576,'Over Under Bill 1 COPY 到CO欄位'!BL$1,0)</f>
        <v>0</v>
      </c>
      <c r="BR29" s="158">
        <f t="shared" si="26"/>
        <v>0</v>
      </c>
      <c r="BS29" s="158">
        <f>VLOOKUP($A29,'Over Under Bill 1 COPY 到CO欄位'!$1:$1048576,'Over Under Bill 1 COPY 到CO欄位'!BS$1,0)-VLOOKUP($A29,'Over Under Bill 1 COPY 到CO欄位'!$1:$1048576,'Over Under Bill 1 COPY 到CO欄位'!BN$1,0)</f>
        <v>0</v>
      </c>
      <c r="BT29" s="158">
        <f t="shared" si="27"/>
        <v>0</v>
      </c>
      <c r="BU29" s="157">
        <f>VLOOKUP($A29,'Over Under Bill 1 COPY 到CO欄位'!$1:$1048576,'Over Under Bill 1 COPY 到CO欄位'!BP$1,0)-VLOOKUP($A29,'Over Under Bill 1 COPY 到CO欄位'!$1:$1048576,'Over Under Bill 1 COPY 到CO欄位'!H$1,0)</f>
        <v>0</v>
      </c>
      <c r="BV29" s="157">
        <f>VLOOKUP($A29,'Over Under Bill 1 COPY 到CO欄位'!$1:$1048576,'Over Under Bill 1 COPY 到CO欄位'!BQ$1,0)-VLOOKUP($A29,'Over Under Bill 1 COPY 到CO欄位'!$1:$1048576,'Over Under Bill 1 COPY 到CO欄位'!I$1,0)</f>
        <v>0</v>
      </c>
      <c r="BW29" s="157">
        <f t="shared" si="28"/>
        <v>0</v>
      </c>
      <c r="BX29" s="157">
        <f>VLOOKUP($A29,'Over Under Bill 1 COPY 到CO欄位'!$1:$1048576,'Over Under Bill 1 COPY 到CO欄位'!BS$1,0)-VLOOKUP($A29,'Over Under Bill 1 COPY 到CO欄位'!$1:$1048576,'Over Under Bill 1 COPY 到CO欄位'!K$1,0)</f>
        <v>0</v>
      </c>
      <c r="BY29" s="157">
        <f t="shared" si="29"/>
        <v>0</v>
      </c>
      <c r="BZ29" s="158">
        <f>VLOOKUP($A29,'Over Under Bill 1 COPY 到CO欄位'!$1:$1048576,'Over Under Bill 1 COPY 到CO欄位'!BU$1,0)-VLOOKUP($A29,'Over Under Bill 1 COPY 到CO欄位'!$1:$1048576,'Over Under Bill 1 COPY 到CO欄位'!BP$1,0)</f>
        <v>0</v>
      </c>
      <c r="CA29" s="158">
        <f>VLOOKUP($A29,'Over Under Bill 1 COPY 到CO欄位'!$1:$1048576,'Over Under Bill 1 COPY 到CO欄位'!BV$1,0)-VLOOKUP($A29,'Over Under Bill 1 COPY 到CO欄位'!$1:$1048576,'Over Under Bill 1 COPY 到CO欄位'!BQ$1,0)</f>
        <v>0</v>
      </c>
      <c r="CB29" s="158">
        <f t="shared" si="30"/>
        <v>0</v>
      </c>
      <c r="CC29" s="158">
        <f>VLOOKUP($A29,'Over Under Bill 1 COPY 到CO欄位'!$1:$1048576,'Over Under Bill 1 COPY 到CO欄位'!BX$1,0)-VLOOKUP($A29,'Over Under Bill 1 COPY 到CO欄位'!$1:$1048576,'Over Under Bill 1 COPY 到CO欄位'!BS$1,0)</f>
        <v>0</v>
      </c>
      <c r="CD29" s="158">
        <f t="shared" si="31"/>
        <v>0</v>
      </c>
      <c r="CE29" s="157">
        <f>VLOOKUP($A29,'Over Under Bill 1 COPY 到CO欄位'!$1:$1048576,'Over Under Bill 1 COPY 到CO欄位'!BZ$1,0)-VLOOKUP($A29,'Over Under Bill 1 COPY 到CO欄位'!$1:$1048576,'Over Under Bill 1 COPY 到CO欄位'!BU$1,0)</f>
        <v>0</v>
      </c>
      <c r="CF29" s="157">
        <f>VLOOKUP($A29,'Over Under Bill 1 COPY 到CO欄位'!$1:$1048576,'Over Under Bill 1 COPY 到CO欄位'!CA$1,0)-VLOOKUP($A29,'Over Under Bill 1 COPY 到CO欄位'!$1:$1048576,'Over Under Bill 1 COPY 到CO欄位'!BV$1,0)</f>
        <v>0</v>
      </c>
      <c r="CG29" s="157">
        <f t="shared" si="32"/>
        <v>0</v>
      </c>
      <c r="CH29" s="157">
        <f>VLOOKUP($A29,'Over Under Bill 1 COPY 到CO欄位'!$1:$1048576,'Over Under Bill 1 COPY 到CO欄位'!CC$1,0)-VLOOKUP($A29,'Over Under Bill 1 COPY 到CO欄位'!$1:$1048576,'Over Under Bill 1 COPY 到CO欄位'!BX$1,0)</f>
        <v>0</v>
      </c>
      <c r="CI29" s="157">
        <f t="shared" si="33"/>
        <v>0</v>
      </c>
      <c r="CJ29" s="158">
        <f>VLOOKUP($A29,'Over Under Bill 1 COPY 到CO欄位'!$1:$1048576,'Over Under Bill 1 COPY 到CO欄位'!CE$1,0)-VLOOKUP($A29,'Over Under Bill 1 COPY 到CO欄位'!$1:$1048576,'Over Under Bill 1 COPY 到CO欄位'!BZ$1,0)</f>
        <v>0</v>
      </c>
      <c r="CK29" s="158">
        <f>VLOOKUP($A29,'Over Under Bill 1 COPY 到CO欄位'!$1:$1048576,'Over Under Bill 1 COPY 到CO欄位'!CF$1,0)-VLOOKUP($A29,'Over Under Bill 1 COPY 到CO欄位'!$1:$1048576,'Over Under Bill 1 COPY 到CO欄位'!CA$1,0)</f>
        <v>0</v>
      </c>
      <c r="CL29" s="158">
        <f t="shared" si="34"/>
        <v>0</v>
      </c>
      <c r="CM29" s="158">
        <f>VLOOKUP($A29,'Over Under Bill 1 COPY 到CO欄位'!$1:$1048576,'Over Under Bill 1 COPY 到CO欄位'!CH$1,0)-VLOOKUP($A29,'Over Under Bill 1 COPY 到CO欄位'!$1:$1048576,'Over Under Bill 1 COPY 到CO欄位'!CC$1,0)</f>
        <v>0</v>
      </c>
      <c r="CN29" s="158">
        <f t="shared" si="35"/>
        <v>0</v>
      </c>
      <c r="CO29" s="157">
        <f>VLOOKUP($A29,'Over Under Bill 1 COPY 到CO欄位'!$1:$1048576,'Over Under Bill 1 COPY 到CO欄位'!CJ$1,0)-VLOOKUP($A29,'Over Under Bill 1 COPY 到CO欄位'!$1:$1048576,'Over Under Bill 1 COPY 到CO欄位'!CE$1,0)</f>
        <v>0</v>
      </c>
      <c r="CP29" s="157">
        <f>VLOOKUP($A29,'Over Under Bill 1 COPY 到CO欄位'!$1:$1048576,'Over Under Bill 1 COPY 到CO欄位'!CK$1,0)-VLOOKUP($A29,'Over Under Bill 1 COPY 到CO欄位'!$1:$1048576,'Over Under Bill 1 COPY 到CO欄位'!CF$1,0)</f>
        <v>0</v>
      </c>
      <c r="CQ29" s="157">
        <f t="shared" si="36"/>
        <v>0</v>
      </c>
      <c r="CR29" s="157">
        <f>VLOOKUP($A29,'Over Under Bill 1 COPY 到CO欄位'!$1:$1048576,'Over Under Bill 1 COPY 到CO欄位'!CM$1,0)-VLOOKUP($A29,'Over Under Bill 1 COPY 到CO欄位'!$1:$1048576,'Over Under Bill 1 COPY 到CO欄位'!CH$1,0)</f>
        <v>0</v>
      </c>
      <c r="CS29" s="157">
        <f t="shared" si="37"/>
        <v>0</v>
      </c>
    </row>
    <row r="30" spans="1:97">
      <c r="A30" s="171" t="s">
        <v>357</v>
      </c>
      <c r="B30" s="172" t="s">
        <v>358</v>
      </c>
      <c r="C30" s="157">
        <f>IFERROR(VLOOKUP($A30,'A0 BS 1240在建'!$1:$1048576,5,0),0)</f>
        <v>0</v>
      </c>
      <c r="D30" s="157">
        <f>IFERROR(VLOOKUP($A30,'B0 2264預收'!$1:$1048576,5,0),0)</f>
        <v>0</v>
      </c>
      <c r="E30" s="157">
        <f t="shared" si="0"/>
        <v>0</v>
      </c>
      <c r="F30" s="157">
        <f>IFERROR(VLOOKUP($A30,'B0 2264預收'!$1:$1048576,6,0),0)</f>
        <v>0</v>
      </c>
      <c r="G30" s="157">
        <f t="shared" si="1"/>
        <v>0</v>
      </c>
      <c r="H30" s="158">
        <f>IFERROR(VLOOKUP($A30,'A0 BS 1240在建'!$1:$1048576,13,0),0)-C30</f>
        <v>0</v>
      </c>
      <c r="I30" s="158">
        <f>IFERROR(VLOOKUP($A30,'B0 2264預收'!$1:$1048576,13,0),0)-D30</f>
        <v>0</v>
      </c>
      <c r="J30" s="158">
        <f t="shared" si="2"/>
        <v>0</v>
      </c>
      <c r="K30" s="158">
        <f>IFERROR(VLOOKUP($A30,'B0 2264預收'!$1:$1048576,14,0),0)-F30</f>
        <v>0</v>
      </c>
      <c r="L30" s="158">
        <f t="shared" si="3"/>
        <v>0</v>
      </c>
      <c r="M30" s="157">
        <f>VLOOKUP($A30,'Over Under Bill 1 COPY 到CO欄位'!$1:$1048576,'Over Under Bill 1 COPY 到CO欄位'!M$1,0)-VLOOKUP($A30,'Over Under Bill 1 COPY 到CO欄位'!$1:$1048576,'Over Under Bill 1 COPY 到CO欄位'!H$1,0)</f>
        <v>0</v>
      </c>
      <c r="N30" s="157">
        <f>VLOOKUP($A30,'Over Under Bill 1 COPY 到CO欄位'!$1:$1048576,'Over Under Bill 1 COPY 到CO欄位'!N$1,0)-VLOOKUP($A30,'Over Under Bill 1 COPY 到CO欄位'!$1:$1048576,'Over Under Bill 1 COPY 到CO欄位'!I$1,0)</f>
        <v>0</v>
      </c>
      <c r="O30" s="157">
        <f t="shared" si="4"/>
        <v>0</v>
      </c>
      <c r="P30" s="157">
        <f>VLOOKUP($A30,'Over Under Bill 1 COPY 到CO欄位'!$1:$1048576,'Over Under Bill 1 COPY 到CO欄位'!P$1,0)-VLOOKUP($A30,'Over Under Bill 1 COPY 到CO欄位'!$1:$1048576,'Over Under Bill 1 COPY 到CO欄位'!K$1,0)</f>
        <v>0</v>
      </c>
      <c r="Q30" s="157">
        <f t="shared" si="5"/>
        <v>0</v>
      </c>
      <c r="R30" s="158">
        <f>VLOOKUP($A30,'Over Under Bill 1 COPY 到CO欄位'!$1:$1048576,'Over Under Bill 1 COPY 到CO欄位'!R$1,0)-VLOOKUP($A30,'Over Under Bill 1 COPY 到CO欄位'!$1:$1048576,'Over Under Bill 1 COPY 到CO欄位'!M$1,0)</f>
        <v>0</v>
      </c>
      <c r="S30" s="158">
        <f>VLOOKUP($A30,'Over Under Bill 1 COPY 到CO欄位'!$1:$1048576,'Over Under Bill 1 COPY 到CO欄位'!S$1,0)-VLOOKUP($A30,'Over Under Bill 1 COPY 到CO欄位'!$1:$1048576,'Over Under Bill 1 COPY 到CO欄位'!N$1,0)</f>
        <v>0</v>
      </c>
      <c r="T30" s="158">
        <f t="shared" si="6"/>
        <v>0</v>
      </c>
      <c r="U30" s="158">
        <f>VLOOKUP($A30,'Over Under Bill 1 COPY 到CO欄位'!$1:$1048576,'Over Under Bill 1 COPY 到CO欄位'!U$1,0)-VLOOKUP($A30,'Over Under Bill 1 COPY 到CO欄位'!$1:$1048576,'Over Under Bill 1 COPY 到CO欄位'!P$1,0)</f>
        <v>0</v>
      </c>
      <c r="V30" s="158">
        <f t="shared" si="7"/>
        <v>0</v>
      </c>
      <c r="W30" s="157">
        <f>VLOOKUP($A30,'Over Under Bill 1 COPY 到CO欄位'!$1:$1048576,'Over Under Bill 1 COPY 到CO欄位'!W$1,0)-VLOOKUP($A30,'Over Under Bill 1 COPY 到CO欄位'!$1:$1048576,'Over Under Bill 1 COPY 到CO欄位'!R$1,0)</f>
        <v>0</v>
      </c>
      <c r="X30" s="157">
        <f>VLOOKUP($A30,'Over Under Bill 1 COPY 到CO欄位'!$1:$1048576,'Over Under Bill 1 COPY 到CO欄位'!X$1,0)-VLOOKUP($A30,'Over Under Bill 1 COPY 到CO欄位'!$1:$1048576,'Over Under Bill 1 COPY 到CO欄位'!S$1,0)</f>
        <v>0</v>
      </c>
      <c r="Y30" s="157">
        <f t="shared" si="8"/>
        <v>0</v>
      </c>
      <c r="Z30" s="157">
        <f>VLOOKUP($A30,'Over Under Bill 1 COPY 到CO欄位'!$1:$1048576,'Over Under Bill 1 COPY 到CO欄位'!Z$1,0)-VLOOKUP($A30,'Over Under Bill 1 COPY 到CO欄位'!$1:$1048576,'Over Under Bill 1 COPY 到CO欄位'!U$1,0)</f>
        <v>0</v>
      </c>
      <c r="AA30" s="157">
        <f t="shared" si="9"/>
        <v>0</v>
      </c>
      <c r="AB30" s="158">
        <f>VLOOKUP($A30,'Over Under Bill 1 COPY 到CO欄位'!$1:$1048576,'Over Under Bill 1 COPY 到CO欄位'!AB$1,0)-VLOOKUP($A30,'Over Under Bill 1 COPY 到CO欄位'!$1:$1048576,'Over Under Bill 1 COPY 到CO欄位'!W$1,0)</f>
        <v>0</v>
      </c>
      <c r="AC30" s="158">
        <f>VLOOKUP($A30,'Over Under Bill 1 COPY 到CO欄位'!$1:$1048576,'Over Under Bill 1 COPY 到CO欄位'!AC$1,0)-VLOOKUP($A30,'Over Under Bill 1 COPY 到CO欄位'!$1:$1048576,'Over Under Bill 1 COPY 到CO欄位'!X$1,0)</f>
        <v>0</v>
      </c>
      <c r="AD30" s="158">
        <f t="shared" si="10"/>
        <v>0</v>
      </c>
      <c r="AE30" s="158">
        <f>VLOOKUP($A30,'Over Under Bill 1 COPY 到CO欄位'!$1:$1048576,'Over Under Bill 1 COPY 到CO欄位'!AE$1,0)-VLOOKUP($A30,'Over Under Bill 1 COPY 到CO欄位'!$1:$1048576,'Over Under Bill 1 COPY 到CO欄位'!Z$1,0)</f>
        <v>0</v>
      </c>
      <c r="AF30" s="158">
        <f t="shared" si="11"/>
        <v>0</v>
      </c>
      <c r="AG30" s="157">
        <f>VLOOKUP($A30,'Over Under Bill 1 COPY 到CO欄位'!$1:$1048576,'Over Under Bill 1 COPY 到CO欄位'!AG$1,0)-VLOOKUP($A30,'Over Under Bill 1 COPY 到CO欄位'!$1:$1048576,'Over Under Bill 1 COPY 到CO欄位'!AB$1,0)</f>
        <v>0</v>
      </c>
      <c r="AH30" s="157">
        <f>VLOOKUP($A30,'Over Under Bill 1 COPY 到CO欄位'!$1:$1048576,'Over Under Bill 1 COPY 到CO欄位'!AH$1,0)-VLOOKUP($A30,'Over Under Bill 1 COPY 到CO欄位'!$1:$1048576,'Over Under Bill 1 COPY 到CO欄位'!AC$1,0)</f>
        <v>0</v>
      </c>
      <c r="AI30" s="157">
        <f t="shared" si="12"/>
        <v>0</v>
      </c>
      <c r="AJ30" s="157">
        <f>VLOOKUP($A30,'Over Under Bill 1 COPY 到CO欄位'!$1:$1048576,'Over Under Bill 1 COPY 到CO欄位'!AJ$1,0)-VLOOKUP($A30,'Over Under Bill 1 COPY 到CO欄位'!$1:$1048576,'Over Under Bill 1 COPY 到CO欄位'!AE$1,0)</f>
        <v>0</v>
      </c>
      <c r="AK30" s="157">
        <f t="shared" si="13"/>
        <v>0</v>
      </c>
      <c r="AL30" s="158">
        <f>VLOOKUP($A30,'Over Under Bill 1 COPY 到CO欄位'!$1:$1048576,'Over Under Bill 1 COPY 到CO欄位'!AL$1,0)-VLOOKUP($A30,'Over Under Bill 1 COPY 到CO欄位'!$1:$1048576,'Over Under Bill 1 COPY 到CO欄位'!AG$1,0)</f>
        <v>0</v>
      </c>
      <c r="AM30" s="158">
        <f>VLOOKUP($A30,'Over Under Bill 1 COPY 到CO欄位'!$1:$1048576,'Over Under Bill 1 COPY 到CO欄位'!AM$1,0)-VLOOKUP($A30,'Over Under Bill 1 COPY 到CO欄位'!$1:$1048576,'Over Under Bill 1 COPY 到CO欄位'!AH$1,0)</f>
        <v>0</v>
      </c>
      <c r="AN30" s="158">
        <f t="shared" si="14"/>
        <v>0</v>
      </c>
      <c r="AO30" s="158">
        <f>VLOOKUP($A30,'Over Under Bill 1 COPY 到CO欄位'!$1:$1048576,'Over Under Bill 1 COPY 到CO欄位'!AO$1,0)-VLOOKUP($A30,'Over Under Bill 1 COPY 到CO欄位'!$1:$1048576,'Over Under Bill 1 COPY 到CO欄位'!AJ$1,0)</f>
        <v>0</v>
      </c>
      <c r="AP30" s="158">
        <f t="shared" si="15"/>
        <v>0</v>
      </c>
      <c r="AQ30" s="157">
        <f>VLOOKUP($A30,'Over Under Bill 1 COPY 到CO欄位'!$1:$1048576,'Over Under Bill 1 COPY 到CO欄位'!AQ$1,0)-VLOOKUP($A30,'Over Under Bill 1 COPY 到CO欄位'!$1:$1048576,'Over Under Bill 1 COPY 到CO欄位'!AL$1,0)</f>
        <v>0</v>
      </c>
      <c r="AR30" s="157">
        <f>VLOOKUP($A30,'Over Under Bill 1 COPY 到CO欄位'!$1:$1048576,'Over Under Bill 1 COPY 到CO欄位'!AR$1,0)-VLOOKUP($A30,'Over Under Bill 1 COPY 到CO欄位'!$1:$1048576,'Over Under Bill 1 COPY 到CO欄位'!AM$1,0)</f>
        <v>0</v>
      </c>
      <c r="AS30" s="157">
        <f t="shared" si="16"/>
        <v>0</v>
      </c>
      <c r="AT30" s="157">
        <f>VLOOKUP($A30,'Over Under Bill 1 COPY 到CO欄位'!$1:$1048576,'Over Under Bill 1 COPY 到CO欄位'!AT$1,0)-VLOOKUP($A30,'Over Under Bill 1 COPY 到CO欄位'!$1:$1048576,'Over Under Bill 1 COPY 到CO欄位'!AO$1,0)</f>
        <v>0</v>
      </c>
      <c r="AU30" s="157">
        <f t="shared" si="17"/>
        <v>0</v>
      </c>
      <c r="AV30" s="158">
        <f>VLOOKUP($A30,'Over Under Bill 1 COPY 到CO欄位'!$1:$1048576,'Over Under Bill 1 COPY 到CO欄位'!AV$1,0)-VLOOKUP($A30,'Over Under Bill 1 COPY 到CO欄位'!$1:$1048576,'Over Under Bill 1 COPY 到CO欄位'!AQ$1,0)</f>
        <v>0</v>
      </c>
      <c r="AW30" s="158">
        <f>VLOOKUP($A30,'Over Under Bill 1 COPY 到CO欄位'!$1:$1048576,'Over Under Bill 1 COPY 到CO欄位'!AW$1,0)-VLOOKUP($A30,'Over Under Bill 1 COPY 到CO欄位'!$1:$1048576,'Over Under Bill 1 COPY 到CO欄位'!AR$1,0)</f>
        <v>0</v>
      </c>
      <c r="AX30" s="158">
        <f t="shared" si="18"/>
        <v>0</v>
      </c>
      <c r="AY30" s="158">
        <f>VLOOKUP($A30,'Over Under Bill 1 COPY 到CO欄位'!$1:$1048576,'Over Under Bill 1 COPY 到CO欄位'!AY$1,0)-VLOOKUP($A30,'Over Under Bill 1 COPY 到CO欄位'!$1:$1048576,'Over Under Bill 1 COPY 到CO欄位'!AT$1,0)</f>
        <v>0</v>
      </c>
      <c r="AZ30" s="158">
        <f t="shared" si="19"/>
        <v>0</v>
      </c>
      <c r="BA30" s="157">
        <f>VLOOKUP($A30,'Over Under Bill 1 COPY 到CO欄位'!$1:$1048576,'Over Under Bill 1 COPY 到CO欄位'!BA$1,0)-VLOOKUP($A30,'Over Under Bill 1 COPY 到CO欄位'!$1:$1048576,'Over Under Bill 1 COPY 到CO欄位'!AV$1,0)</f>
        <v>0</v>
      </c>
      <c r="BB30" s="157">
        <f>VLOOKUP($A30,'Over Under Bill 1 COPY 到CO欄位'!$1:$1048576,'Over Under Bill 1 COPY 到CO欄位'!BB$1,0)-VLOOKUP($A30,'Over Under Bill 1 COPY 到CO欄位'!$1:$1048576,'Over Under Bill 1 COPY 到CO欄位'!AW$1,0)</f>
        <v>0</v>
      </c>
      <c r="BC30" s="157">
        <f t="shared" si="20"/>
        <v>0</v>
      </c>
      <c r="BD30" s="157">
        <f>VLOOKUP($A30,'Over Under Bill 1 COPY 到CO欄位'!$1:$1048576,'Over Under Bill 1 COPY 到CO欄位'!BD$1,0)-VLOOKUP($A30,'Over Under Bill 1 COPY 到CO欄位'!$1:$1048576,'Over Under Bill 1 COPY 到CO欄位'!AY$1,0)</f>
        <v>0</v>
      </c>
      <c r="BE30" s="157">
        <f t="shared" si="21"/>
        <v>0</v>
      </c>
      <c r="BF30" s="158">
        <f>VLOOKUP($A30,'Over Under Bill 1 COPY 到CO欄位'!$1:$1048576,'Over Under Bill 1 COPY 到CO欄位'!BF$1,0)-VLOOKUP($A30,'Over Under Bill 1 COPY 到CO欄位'!$1:$1048576,'Over Under Bill 1 COPY 到CO欄位'!BA$1,0)</f>
        <v>0</v>
      </c>
      <c r="BG30" s="158">
        <f>VLOOKUP($A30,'Over Under Bill 1 COPY 到CO欄位'!$1:$1048576,'Over Under Bill 1 COPY 到CO欄位'!BG$1,0)-VLOOKUP($A30,'Over Under Bill 1 COPY 到CO欄位'!$1:$1048576,'Over Under Bill 1 COPY 到CO欄位'!BB$1,0)</f>
        <v>0</v>
      </c>
      <c r="BH30" s="158">
        <f t="shared" si="22"/>
        <v>0</v>
      </c>
      <c r="BI30" s="158">
        <f>VLOOKUP($A30,'Over Under Bill 1 COPY 到CO欄位'!$1:$1048576,'Over Under Bill 1 COPY 到CO欄位'!BI$1,0)-VLOOKUP($A30,'Over Under Bill 1 COPY 到CO欄位'!$1:$1048576,'Over Under Bill 1 COPY 到CO欄位'!BD$1,0)</f>
        <v>0</v>
      </c>
      <c r="BJ30" s="158">
        <f t="shared" si="23"/>
        <v>0</v>
      </c>
      <c r="BK30" s="157">
        <f>VLOOKUP($A30,'Over Under Bill 1 COPY 到CO欄位'!$1:$1048576,'Over Under Bill 1 COPY 到CO欄位'!BK$1,0)-VLOOKUP($A30,'Over Under Bill 1 COPY 到CO欄位'!$1:$1048576,'Over Under Bill 1 COPY 到CO欄位'!BF$1,0)</f>
        <v>0</v>
      </c>
      <c r="BL30" s="157">
        <f>VLOOKUP($A30,'Over Under Bill 1 COPY 到CO欄位'!$1:$1048576,'Over Under Bill 1 COPY 到CO欄位'!BL$1,0)-VLOOKUP($A30,'Over Under Bill 1 COPY 到CO欄位'!$1:$1048576,'Over Under Bill 1 COPY 到CO欄位'!BG$1,0)</f>
        <v>0</v>
      </c>
      <c r="BM30" s="157">
        <f t="shared" si="24"/>
        <v>0</v>
      </c>
      <c r="BN30" s="157">
        <f>VLOOKUP($A30,'Over Under Bill 1 COPY 到CO欄位'!$1:$1048576,'Over Under Bill 1 COPY 到CO欄位'!BN$1,0)-VLOOKUP($A30,'Over Under Bill 1 COPY 到CO欄位'!$1:$1048576,'Over Under Bill 1 COPY 到CO欄位'!BI$1,0)</f>
        <v>0</v>
      </c>
      <c r="BO30" s="157">
        <f t="shared" si="25"/>
        <v>0</v>
      </c>
      <c r="BP30" s="158">
        <f>VLOOKUP($A30,'Over Under Bill 1 COPY 到CO欄位'!$1:$1048576,'Over Under Bill 1 COPY 到CO欄位'!BP$1,0)-VLOOKUP($A30,'Over Under Bill 1 COPY 到CO欄位'!$1:$1048576,'Over Under Bill 1 COPY 到CO欄位'!BK$1,0)</f>
        <v>0</v>
      </c>
      <c r="BQ30" s="158">
        <f>VLOOKUP($A30,'Over Under Bill 1 COPY 到CO欄位'!$1:$1048576,'Over Under Bill 1 COPY 到CO欄位'!BQ$1,0)-VLOOKUP($A30,'Over Under Bill 1 COPY 到CO欄位'!$1:$1048576,'Over Under Bill 1 COPY 到CO欄位'!BL$1,0)</f>
        <v>0</v>
      </c>
      <c r="BR30" s="158">
        <f t="shared" si="26"/>
        <v>0</v>
      </c>
      <c r="BS30" s="158">
        <f>VLOOKUP($A30,'Over Under Bill 1 COPY 到CO欄位'!$1:$1048576,'Over Under Bill 1 COPY 到CO欄位'!BS$1,0)-VLOOKUP($A30,'Over Under Bill 1 COPY 到CO欄位'!$1:$1048576,'Over Under Bill 1 COPY 到CO欄位'!BN$1,0)</f>
        <v>0</v>
      </c>
      <c r="BT30" s="158">
        <f t="shared" si="27"/>
        <v>0</v>
      </c>
      <c r="BU30" s="157">
        <f>VLOOKUP($A30,'Over Under Bill 1 COPY 到CO欄位'!$1:$1048576,'Over Under Bill 1 COPY 到CO欄位'!BP$1,0)-VLOOKUP($A30,'Over Under Bill 1 COPY 到CO欄位'!$1:$1048576,'Over Under Bill 1 COPY 到CO欄位'!H$1,0)</f>
        <v>0</v>
      </c>
      <c r="BV30" s="157">
        <f>VLOOKUP($A30,'Over Under Bill 1 COPY 到CO欄位'!$1:$1048576,'Over Under Bill 1 COPY 到CO欄位'!BQ$1,0)-VLOOKUP($A30,'Over Under Bill 1 COPY 到CO欄位'!$1:$1048576,'Over Under Bill 1 COPY 到CO欄位'!I$1,0)</f>
        <v>0</v>
      </c>
      <c r="BW30" s="157">
        <f t="shared" si="28"/>
        <v>0</v>
      </c>
      <c r="BX30" s="157">
        <f>VLOOKUP($A30,'Over Under Bill 1 COPY 到CO欄位'!$1:$1048576,'Over Under Bill 1 COPY 到CO欄位'!BS$1,0)-VLOOKUP($A30,'Over Under Bill 1 COPY 到CO欄位'!$1:$1048576,'Over Under Bill 1 COPY 到CO欄位'!K$1,0)</f>
        <v>0</v>
      </c>
      <c r="BY30" s="157">
        <f t="shared" si="29"/>
        <v>0</v>
      </c>
      <c r="BZ30" s="158">
        <f>VLOOKUP($A30,'Over Under Bill 1 COPY 到CO欄位'!$1:$1048576,'Over Under Bill 1 COPY 到CO欄位'!BU$1,0)-VLOOKUP($A30,'Over Under Bill 1 COPY 到CO欄位'!$1:$1048576,'Over Under Bill 1 COPY 到CO欄位'!BP$1,0)</f>
        <v>0</v>
      </c>
      <c r="CA30" s="158">
        <f>VLOOKUP($A30,'Over Under Bill 1 COPY 到CO欄位'!$1:$1048576,'Over Under Bill 1 COPY 到CO欄位'!BV$1,0)-VLOOKUP($A30,'Over Under Bill 1 COPY 到CO欄位'!$1:$1048576,'Over Under Bill 1 COPY 到CO欄位'!BQ$1,0)</f>
        <v>0</v>
      </c>
      <c r="CB30" s="158">
        <f t="shared" si="30"/>
        <v>0</v>
      </c>
      <c r="CC30" s="158">
        <f>VLOOKUP($A30,'Over Under Bill 1 COPY 到CO欄位'!$1:$1048576,'Over Under Bill 1 COPY 到CO欄位'!BX$1,0)-VLOOKUP($A30,'Over Under Bill 1 COPY 到CO欄位'!$1:$1048576,'Over Under Bill 1 COPY 到CO欄位'!BS$1,0)</f>
        <v>0</v>
      </c>
      <c r="CD30" s="158">
        <f t="shared" si="31"/>
        <v>0</v>
      </c>
      <c r="CE30" s="157">
        <f>VLOOKUP($A30,'Over Under Bill 1 COPY 到CO欄位'!$1:$1048576,'Over Under Bill 1 COPY 到CO欄位'!BZ$1,0)-VLOOKUP($A30,'Over Under Bill 1 COPY 到CO欄位'!$1:$1048576,'Over Under Bill 1 COPY 到CO欄位'!BU$1,0)</f>
        <v>0</v>
      </c>
      <c r="CF30" s="157">
        <f>VLOOKUP($A30,'Over Under Bill 1 COPY 到CO欄位'!$1:$1048576,'Over Under Bill 1 COPY 到CO欄位'!CA$1,0)-VLOOKUP($A30,'Over Under Bill 1 COPY 到CO欄位'!$1:$1048576,'Over Under Bill 1 COPY 到CO欄位'!BV$1,0)</f>
        <v>0</v>
      </c>
      <c r="CG30" s="157">
        <f t="shared" si="32"/>
        <v>0</v>
      </c>
      <c r="CH30" s="157">
        <f>VLOOKUP($A30,'Over Under Bill 1 COPY 到CO欄位'!$1:$1048576,'Over Under Bill 1 COPY 到CO欄位'!CC$1,0)-VLOOKUP($A30,'Over Under Bill 1 COPY 到CO欄位'!$1:$1048576,'Over Under Bill 1 COPY 到CO欄位'!BX$1,0)</f>
        <v>0</v>
      </c>
      <c r="CI30" s="157">
        <f t="shared" si="33"/>
        <v>0</v>
      </c>
      <c r="CJ30" s="158">
        <f>VLOOKUP($A30,'Over Under Bill 1 COPY 到CO欄位'!$1:$1048576,'Over Under Bill 1 COPY 到CO欄位'!CE$1,0)-VLOOKUP($A30,'Over Under Bill 1 COPY 到CO欄位'!$1:$1048576,'Over Under Bill 1 COPY 到CO欄位'!BZ$1,0)</f>
        <v>0</v>
      </c>
      <c r="CK30" s="158">
        <f>VLOOKUP($A30,'Over Under Bill 1 COPY 到CO欄位'!$1:$1048576,'Over Under Bill 1 COPY 到CO欄位'!CF$1,0)-VLOOKUP($A30,'Over Under Bill 1 COPY 到CO欄位'!$1:$1048576,'Over Under Bill 1 COPY 到CO欄位'!CA$1,0)</f>
        <v>0</v>
      </c>
      <c r="CL30" s="158">
        <f t="shared" si="34"/>
        <v>0</v>
      </c>
      <c r="CM30" s="158">
        <f>VLOOKUP($A30,'Over Under Bill 1 COPY 到CO欄位'!$1:$1048576,'Over Under Bill 1 COPY 到CO欄位'!CH$1,0)-VLOOKUP($A30,'Over Under Bill 1 COPY 到CO欄位'!$1:$1048576,'Over Under Bill 1 COPY 到CO欄位'!CC$1,0)</f>
        <v>0</v>
      </c>
      <c r="CN30" s="158">
        <f t="shared" si="35"/>
        <v>0</v>
      </c>
      <c r="CO30" s="157">
        <f>VLOOKUP($A30,'Over Under Bill 1 COPY 到CO欄位'!$1:$1048576,'Over Under Bill 1 COPY 到CO欄位'!CJ$1,0)-VLOOKUP($A30,'Over Under Bill 1 COPY 到CO欄位'!$1:$1048576,'Over Under Bill 1 COPY 到CO欄位'!CE$1,0)</f>
        <v>0</v>
      </c>
      <c r="CP30" s="157">
        <f>VLOOKUP($A30,'Over Under Bill 1 COPY 到CO欄位'!$1:$1048576,'Over Under Bill 1 COPY 到CO欄位'!CK$1,0)-VLOOKUP($A30,'Over Under Bill 1 COPY 到CO欄位'!$1:$1048576,'Over Under Bill 1 COPY 到CO欄位'!CF$1,0)</f>
        <v>0</v>
      </c>
      <c r="CQ30" s="157">
        <f t="shared" si="36"/>
        <v>0</v>
      </c>
      <c r="CR30" s="157">
        <f>VLOOKUP($A30,'Over Under Bill 1 COPY 到CO欄位'!$1:$1048576,'Over Under Bill 1 COPY 到CO欄位'!CM$1,0)-VLOOKUP($A30,'Over Under Bill 1 COPY 到CO欄位'!$1:$1048576,'Over Under Bill 1 COPY 到CO欄位'!CH$1,0)</f>
        <v>0</v>
      </c>
      <c r="CS30" s="157">
        <f t="shared" si="37"/>
        <v>0</v>
      </c>
    </row>
    <row r="31" spans="1:97">
      <c r="A31" s="171" t="s">
        <v>359</v>
      </c>
      <c r="B31" s="172" t="s">
        <v>360</v>
      </c>
      <c r="C31" s="157">
        <f>IFERROR(VLOOKUP($A31,'A0 BS 1240在建'!$1:$1048576,5,0),0)</f>
        <v>0</v>
      </c>
      <c r="D31" s="157">
        <f>IFERROR(VLOOKUP($A31,'B0 2264預收'!$1:$1048576,5,0),0)</f>
        <v>0</v>
      </c>
      <c r="E31" s="157">
        <f t="shared" si="0"/>
        <v>0</v>
      </c>
      <c r="F31" s="157">
        <f>IFERROR(VLOOKUP($A31,'B0 2264預收'!$1:$1048576,6,0),0)</f>
        <v>0</v>
      </c>
      <c r="G31" s="157">
        <f t="shared" si="1"/>
        <v>0</v>
      </c>
      <c r="H31" s="158">
        <f>IFERROR(VLOOKUP($A31,'A0 BS 1240在建'!$1:$1048576,13,0),0)-C31</f>
        <v>0</v>
      </c>
      <c r="I31" s="158">
        <f>IFERROR(VLOOKUP($A31,'B0 2264預收'!$1:$1048576,13,0),0)-D31</f>
        <v>0</v>
      </c>
      <c r="J31" s="158">
        <f t="shared" si="2"/>
        <v>0</v>
      </c>
      <c r="K31" s="158">
        <f>IFERROR(VLOOKUP($A31,'B0 2264預收'!$1:$1048576,14,0),0)-F31</f>
        <v>0</v>
      </c>
      <c r="L31" s="158">
        <f t="shared" si="3"/>
        <v>0</v>
      </c>
      <c r="M31" s="157">
        <f>VLOOKUP($A31,'Over Under Bill 1 COPY 到CO欄位'!$1:$1048576,'Over Under Bill 1 COPY 到CO欄位'!M$1,0)-VLOOKUP($A31,'Over Under Bill 1 COPY 到CO欄位'!$1:$1048576,'Over Under Bill 1 COPY 到CO欄位'!H$1,0)</f>
        <v>0</v>
      </c>
      <c r="N31" s="157">
        <f>VLOOKUP($A31,'Over Under Bill 1 COPY 到CO欄位'!$1:$1048576,'Over Under Bill 1 COPY 到CO欄位'!N$1,0)-VLOOKUP($A31,'Over Under Bill 1 COPY 到CO欄位'!$1:$1048576,'Over Under Bill 1 COPY 到CO欄位'!I$1,0)</f>
        <v>0</v>
      </c>
      <c r="O31" s="157">
        <f t="shared" si="4"/>
        <v>0</v>
      </c>
      <c r="P31" s="157">
        <f>VLOOKUP($A31,'Over Under Bill 1 COPY 到CO欄位'!$1:$1048576,'Over Under Bill 1 COPY 到CO欄位'!P$1,0)-VLOOKUP($A31,'Over Under Bill 1 COPY 到CO欄位'!$1:$1048576,'Over Under Bill 1 COPY 到CO欄位'!K$1,0)</f>
        <v>0</v>
      </c>
      <c r="Q31" s="157">
        <f t="shared" si="5"/>
        <v>0</v>
      </c>
      <c r="R31" s="158">
        <f>VLOOKUP($A31,'Over Under Bill 1 COPY 到CO欄位'!$1:$1048576,'Over Under Bill 1 COPY 到CO欄位'!R$1,0)-VLOOKUP($A31,'Over Under Bill 1 COPY 到CO欄位'!$1:$1048576,'Over Under Bill 1 COPY 到CO欄位'!M$1,0)</f>
        <v>0</v>
      </c>
      <c r="S31" s="158">
        <f>VLOOKUP($A31,'Over Under Bill 1 COPY 到CO欄位'!$1:$1048576,'Over Under Bill 1 COPY 到CO欄位'!S$1,0)-VLOOKUP($A31,'Over Under Bill 1 COPY 到CO欄位'!$1:$1048576,'Over Under Bill 1 COPY 到CO欄位'!N$1,0)</f>
        <v>0</v>
      </c>
      <c r="T31" s="158">
        <f t="shared" si="6"/>
        <v>0</v>
      </c>
      <c r="U31" s="158">
        <f>VLOOKUP($A31,'Over Under Bill 1 COPY 到CO欄位'!$1:$1048576,'Over Under Bill 1 COPY 到CO欄位'!U$1,0)-VLOOKUP($A31,'Over Under Bill 1 COPY 到CO欄位'!$1:$1048576,'Over Under Bill 1 COPY 到CO欄位'!P$1,0)</f>
        <v>0</v>
      </c>
      <c r="V31" s="158">
        <f t="shared" si="7"/>
        <v>0</v>
      </c>
      <c r="W31" s="157">
        <f>VLOOKUP($A31,'Over Under Bill 1 COPY 到CO欄位'!$1:$1048576,'Over Under Bill 1 COPY 到CO欄位'!W$1,0)-VLOOKUP($A31,'Over Under Bill 1 COPY 到CO欄位'!$1:$1048576,'Over Under Bill 1 COPY 到CO欄位'!R$1,0)</f>
        <v>0</v>
      </c>
      <c r="X31" s="157">
        <f>VLOOKUP($A31,'Over Under Bill 1 COPY 到CO欄位'!$1:$1048576,'Over Under Bill 1 COPY 到CO欄位'!X$1,0)-VLOOKUP($A31,'Over Under Bill 1 COPY 到CO欄位'!$1:$1048576,'Over Under Bill 1 COPY 到CO欄位'!S$1,0)</f>
        <v>0</v>
      </c>
      <c r="Y31" s="157">
        <f t="shared" si="8"/>
        <v>0</v>
      </c>
      <c r="Z31" s="157">
        <f>VLOOKUP($A31,'Over Under Bill 1 COPY 到CO欄位'!$1:$1048576,'Over Under Bill 1 COPY 到CO欄位'!Z$1,0)-VLOOKUP($A31,'Over Under Bill 1 COPY 到CO欄位'!$1:$1048576,'Over Under Bill 1 COPY 到CO欄位'!U$1,0)</f>
        <v>0</v>
      </c>
      <c r="AA31" s="157">
        <f t="shared" si="9"/>
        <v>0</v>
      </c>
      <c r="AB31" s="158">
        <f>VLOOKUP($A31,'Over Under Bill 1 COPY 到CO欄位'!$1:$1048576,'Over Under Bill 1 COPY 到CO欄位'!AB$1,0)-VLOOKUP($A31,'Over Under Bill 1 COPY 到CO欄位'!$1:$1048576,'Over Under Bill 1 COPY 到CO欄位'!W$1,0)</f>
        <v>0</v>
      </c>
      <c r="AC31" s="158">
        <f>VLOOKUP($A31,'Over Under Bill 1 COPY 到CO欄位'!$1:$1048576,'Over Under Bill 1 COPY 到CO欄位'!AC$1,0)-VLOOKUP($A31,'Over Under Bill 1 COPY 到CO欄位'!$1:$1048576,'Over Under Bill 1 COPY 到CO欄位'!X$1,0)</f>
        <v>0</v>
      </c>
      <c r="AD31" s="158">
        <f t="shared" si="10"/>
        <v>0</v>
      </c>
      <c r="AE31" s="158">
        <f>VLOOKUP($A31,'Over Under Bill 1 COPY 到CO欄位'!$1:$1048576,'Over Under Bill 1 COPY 到CO欄位'!AE$1,0)-VLOOKUP($A31,'Over Under Bill 1 COPY 到CO欄位'!$1:$1048576,'Over Under Bill 1 COPY 到CO欄位'!Z$1,0)</f>
        <v>0</v>
      </c>
      <c r="AF31" s="158">
        <f t="shared" si="11"/>
        <v>0</v>
      </c>
      <c r="AG31" s="157">
        <f>VLOOKUP($A31,'Over Under Bill 1 COPY 到CO欄位'!$1:$1048576,'Over Under Bill 1 COPY 到CO欄位'!AG$1,0)-VLOOKUP($A31,'Over Under Bill 1 COPY 到CO欄位'!$1:$1048576,'Over Under Bill 1 COPY 到CO欄位'!AB$1,0)</f>
        <v>0</v>
      </c>
      <c r="AH31" s="157">
        <f>VLOOKUP($A31,'Over Under Bill 1 COPY 到CO欄位'!$1:$1048576,'Over Under Bill 1 COPY 到CO欄位'!AH$1,0)-VLOOKUP($A31,'Over Under Bill 1 COPY 到CO欄位'!$1:$1048576,'Over Under Bill 1 COPY 到CO欄位'!AC$1,0)</f>
        <v>0</v>
      </c>
      <c r="AI31" s="157">
        <f t="shared" si="12"/>
        <v>0</v>
      </c>
      <c r="AJ31" s="157">
        <f>VLOOKUP($A31,'Over Under Bill 1 COPY 到CO欄位'!$1:$1048576,'Over Under Bill 1 COPY 到CO欄位'!AJ$1,0)-VLOOKUP($A31,'Over Under Bill 1 COPY 到CO欄位'!$1:$1048576,'Over Under Bill 1 COPY 到CO欄位'!AE$1,0)</f>
        <v>0</v>
      </c>
      <c r="AK31" s="157">
        <f t="shared" si="13"/>
        <v>0</v>
      </c>
      <c r="AL31" s="158">
        <f>VLOOKUP($A31,'Over Under Bill 1 COPY 到CO欄位'!$1:$1048576,'Over Under Bill 1 COPY 到CO欄位'!AL$1,0)-VLOOKUP($A31,'Over Under Bill 1 COPY 到CO欄位'!$1:$1048576,'Over Under Bill 1 COPY 到CO欄位'!AG$1,0)</f>
        <v>0</v>
      </c>
      <c r="AM31" s="158">
        <f>VLOOKUP($A31,'Over Under Bill 1 COPY 到CO欄位'!$1:$1048576,'Over Under Bill 1 COPY 到CO欄位'!AM$1,0)-VLOOKUP($A31,'Over Under Bill 1 COPY 到CO欄位'!$1:$1048576,'Over Under Bill 1 COPY 到CO欄位'!AH$1,0)</f>
        <v>0</v>
      </c>
      <c r="AN31" s="158">
        <f t="shared" si="14"/>
        <v>0</v>
      </c>
      <c r="AO31" s="158">
        <f>VLOOKUP($A31,'Over Under Bill 1 COPY 到CO欄位'!$1:$1048576,'Over Under Bill 1 COPY 到CO欄位'!AO$1,0)-VLOOKUP($A31,'Over Under Bill 1 COPY 到CO欄位'!$1:$1048576,'Over Under Bill 1 COPY 到CO欄位'!AJ$1,0)</f>
        <v>0</v>
      </c>
      <c r="AP31" s="158">
        <f t="shared" si="15"/>
        <v>0</v>
      </c>
      <c r="AQ31" s="157">
        <f>VLOOKUP($A31,'Over Under Bill 1 COPY 到CO欄位'!$1:$1048576,'Over Under Bill 1 COPY 到CO欄位'!AQ$1,0)-VLOOKUP($A31,'Over Under Bill 1 COPY 到CO欄位'!$1:$1048576,'Over Under Bill 1 COPY 到CO欄位'!AL$1,0)</f>
        <v>0</v>
      </c>
      <c r="AR31" s="157">
        <f>VLOOKUP($A31,'Over Under Bill 1 COPY 到CO欄位'!$1:$1048576,'Over Under Bill 1 COPY 到CO欄位'!AR$1,0)-VLOOKUP($A31,'Over Under Bill 1 COPY 到CO欄位'!$1:$1048576,'Over Under Bill 1 COPY 到CO欄位'!AM$1,0)</f>
        <v>0</v>
      </c>
      <c r="AS31" s="157">
        <f t="shared" si="16"/>
        <v>0</v>
      </c>
      <c r="AT31" s="157">
        <f>VLOOKUP($A31,'Over Under Bill 1 COPY 到CO欄位'!$1:$1048576,'Over Under Bill 1 COPY 到CO欄位'!AT$1,0)-VLOOKUP($A31,'Over Under Bill 1 COPY 到CO欄位'!$1:$1048576,'Over Under Bill 1 COPY 到CO欄位'!AO$1,0)</f>
        <v>0</v>
      </c>
      <c r="AU31" s="157">
        <f t="shared" si="17"/>
        <v>0</v>
      </c>
      <c r="AV31" s="158">
        <f>VLOOKUP($A31,'Over Under Bill 1 COPY 到CO欄位'!$1:$1048576,'Over Under Bill 1 COPY 到CO欄位'!AV$1,0)-VLOOKUP($A31,'Over Under Bill 1 COPY 到CO欄位'!$1:$1048576,'Over Under Bill 1 COPY 到CO欄位'!AQ$1,0)</f>
        <v>0</v>
      </c>
      <c r="AW31" s="158">
        <f>VLOOKUP($A31,'Over Under Bill 1 COPY 到CO欄位'!$1:$1048576,'Over Under Bill 1 COPY 到CO欄位'!AW$1,0)-VLOOKUP($A31,'Over Under Bill 1 COPY 到CO欄位'!$1:$1048576,'Over Under Bill 1 COPY 到CO欄位'!AR$1,0)</f>
        <v>0</v>
      </c>
      <c r="AX31" s="158">
        <f t="shared" si="18"/>
        <v>0</v>
      </c>
      <c r="AY31" s="158">
        <f>VLOOKUP($A31,'Over Under Bill 1 COPY 到CO欄位'!$1:$1048576,'Over Under Bill 1 COPY 到CO欄位'!AY$1,0)-VLOOKUP($A31,'Over Under Bill 1 COPY 到CO欄位'!$1:$1048576,'Over Under Bill 1 COPY 到CO欄位'!AT$1,0)</f>
        <v>0</v>
      </c>
      <c r="AZ31" s="158">
        <f t="shared" si="19"/>
        <v>0</v>
      </c>
      <c r="BA31" s="157">
        <f>VLOOKUP($A31,'Over Under Bill 1 COPY 到CO欄位'!$1:$1048576,'Over Under Bill 1 COPY 到CO欄位'!BA$1,0)-VLOOKUP($A31,'Over Under Bill 1 COPY 到CO欄位'!$1:$1048576,'Over Under Bill 1 COPY 到CO欄位'!AV$1,0)</f>
        <v>0</v>
      </c>
      <c r="BB31" s="157">
        <f>VLOOKUP($A31,'Over Under Bill 1 COPY 到CO欄位'!$1:$1048576,'Over Under Bill 1 COPY 到CO欄位'!BB$1,0)-VLOOKUP($A31,'Over Under Bill 1 COPY 到CO欄位'!$1:$1048576,'Over Under Bill 1 COPY 到CO欄位'!AW$1,0)</f>
        <v>0</v>
      </c>
      <c r="BC31" s="157">
        <f t="shared" si="20"/>
        <v>0</v>
      </c>
      <c r="BD31" s="157">
        <f>VLOOKUP($A31,'Over Under Bill 1 COPY 到CO欄位'!$1:$1048576,'Over Under Bill 1 COPY 到CO欄位'!BD$1,0)-VLOOKUP($A31,'Over Under Bill 1 COPY 到CO欄位'!$1:$1048576,'Over Under Bill 1 COPY 到CO欄位'!AY$1,0)</f>
        <v>0</v>
      </c>
      <c r="BE31" s="157">
        <f t="shared" si="21"/>
        <v>0</v>
      </c>
      <c r="BF31" s="158">
        <f>VLOOKUP($A31,'Over Under Bill 1 COPY 到CO欄位'!$1:$1048576,'Over Under Bill 1 COPY 到CO欄位'!BF$1,0)-VLOOKUP($A31,'Over Under Bill 1 COPY 到CO欄位'!$1:$1048576,'Over Under Bill 1 COPY 到CO欄位'!BA$1,0)</f>
        <v>0</v>
      </c>
      <c r="BG31" s="158">
        <f>VLOOKUP($A31,'Over Under Bill 1 COPY 到CO欄位'!$1:$1048576,'Over Under Bill 1 COPY 到CO欄位'!BG$1,0)-VLOOKUP($A31,'Over Under Bill 1 COPY 到CO欄位'!$1:$1048576,'Over Under Bill 1 COPY 到CO欄位'!BB$1,0)</f>
        <v>0</v>
      </c>
      <c r="BH31" s="158">
        <f t="shared" si="22"/>
        <v>0</v>
      </c>
      <c r="BI31" s="158">
        <f>VLOOKUP($A31,'Over Under Bill 1 COPY 到CO欄位'!$1:$1048576,'Over Under Bill 1 COPY 到CO欄位'!BI$1,0)-VLOOKUP($A31,'Over Under Bill 1 COPY 到CO欄位'!$1:$1048576,'Over Under Bill 1 COPY 到CO欄位'!BD$1,0)</f>
        <v>0</v>
      </c>
      <c r="BJ31" s="158">
        <f t="shared" si="23"/>
        <v>0</v>
      </c>
      <c r="BK31" s="157">
        <f>VLOOKUP($A31,'Over Under Bill 1 COPY 到CO欄位'!$1:$1048576,'Over Under Bill 1 COPY 到CO欄位'!BK$1,0)-VLOOKUP($A31,'Over Under Bill 1 COPY 到CO欄位'!$1:$1048576,'Over Under Bill 1 COPY 到CO欄位'!BF$1,0)</f>
        <v>0</v>
      </c>
      <c r="BL31" s="157">
        <f>VLOOKUP($A31,'Over Under Bill 1 COPY 到CO欄位'!$1:$1048576,'Over Under Bill 1 COPY 到CO欄位'!BL$1,0)-VLOOKUP($A31,'Over Under Bill 1 COPY 到CO欄位'!$1:$1048576,'Over Under Bill 1 COPY 到CO欄位'!BG$1,0)</f>
        <v>0</v>
      </c>
      <c r="BM31" s="157">
        <f t="shared" si="24"/>
        <v>0</v>
      </c>
      <c r="BN31" s="157">
        <f>VLOOKUP($A31,'Over Under Bill 1 COPY 到CO欄位'!$1:$1048576,'Over Under Bill 1 COPY 到CO欄位'!BN$1,0)-VLOOKUP($A31,'Over Under Bill 1 COPY 到CO欄位'!$1:$1048576,'Over Under Bill 1 COPY 到CO欄位'!BI$1,0)</f>
        <v>0</v>
      </c>
      <c r="BO31" s="157">
        <f t="shared" si="25"/>
        <v>0</v>
      </c>
      <c r="BP31" s="158">
        <f>VLOOKUP($A31,'Over Under Bill 1 COPY 到CO欄位'!$1:$1048576,'Over Under Bill 1 COPY 到CO欄位'!BP$1,0)-VLOOKUP($A31,'Over Under Bill 1 COPY 到CO欄位'!$1:$1048576,'Over Under Bill 1 COPY 到CO欄位'!BK$1,0)</f>
        <v>0</v>
      </c>
      <c r="BQ31" s="158">
        <f>VLOOKUP($A31,'Over Under Bill 1 COPY 到CO欄位'!$1:$1048576,'Over Under Bill 1 COPY 到CO欄位'!BQ$1,0)-VLOOKUP($A31,'Over Under Bill 1 COPY 到CO欄位'!$1:$1048576,'Over Under Bill 1 COPY 到CO欄位'!BL$1,0)</f>
        <v>0</v>
      </c>
      <c r="BR31" s="158">
        <f t="shared" si="26"/>
        <v>0</v>
      </c>
      <c r="BS31" s="158">
        <f>VLOOKUP($A31,'Over Under Bill 1 COPY 到CO欄位'!$1:$1048576,'Over Under Bill 1 COPY 到CO欄位'!BS$1,0)-VLOOKUP($A31,'Over Under Bill 1 COPY 到CO欄位'!$1:$1048576,'Over Under Bill 1 COPY 到CO欄位'!BN$1,0)</f>
        <v>0</v>
      </c>
      <c r="BT31" s="158">
        <f t="shared" si="27"/>
        <v>0</v>
      </c>
      <c r="BU31" s="157">
        <f>VLOOKUP($A31,'Over Under Bill 1 COPY 到CO欄位'!$1:$1048576,'Over Under Bill 1 COPY 到CO欄位'!BP$1,0)-VLOOKUP($A31,'Over Under Bill 1 COPY 到CO欄位'!$1:$1048576,'Over Under Bill 1 COPY 到CO欄位'!H$1,0)</f>
        <v>0</v>
      </c>
      <c r="BV31" s="157">
        <f>VLOOKUP($A31,'Over Under Bill 1 COPY 到CO欄位'!$1:$1048576,'Over Under Bill 1 COPY 到CO欄位'!BQ$1,0)-VLOOKUP($A31,'Over Under Bill 1 COPY 到CO欄位'!$1:$1048576,'Over Under Bill 1 COPY 到CO欄位'!I$1,0)</f>
        <v>0</v>
      </c>
      <c r="BW31" s="157">
        <f t="shared" si="28"/>
        <v>0</v>
      </c>
      <c r="BX31" s="157">
        <f>VLOOKUP($A31,'Over Under Bill 1 COPY 到CO欄位'!$1:$1048576,'Over Under Bill 1 COPY 到CO欄位'!BS$1,0)-VLOOKUP($A31,'Over Under Bill 1 COPY 到CO欄位'!$1:$1048576,'Over Under Bill 1 COPY 到CO欄位'!K$1,0)</f>
        <v>0</v>
      </c>
      <c r="BY31" s="157">
        <f t="shared" si="29"/>
        <v>0</v>
      </c>
      <c r="BZ31" s="158">
        <f>VLOOKUP($A31,'Over Under Bill 1 COPY 到CO欄位'!$1:$1048576,'Over Under Bill 1 COPY 到CO欄位'!BU$1,0)-VLOOKUP($A31,'Over Under Bill 1 COPY 到CO欄位'!$1:$1048576,'Over Under Bill 1 COPY 到CO欄位'!BP$1,0)</f>
        <v>0</v>
      </c>
      <c r="CA31" s="158">
        <f>VLOOKUP($A31,'Over Under Bill 1 COPY 到CO欄位'!$1:$1048576,'Over Under Bill 1 COPY 到CO欄位'!BV$1,0)-VLOOKUP($A31,'Over Under Bill 1 COPY 到CO欄位'!$1:$1048576,'Over Under Bill 1 COPY 到CO欄位'!BQ$1,0)</f>
        <v>0</v>
      </c>
      <c r="CB31" s="158">
        <f t="shared" si="30"/>
        <v>0</v>
      </c>
      <c r="CC31" s="158">
        <f>VLOOKUP($A31,'Over Under Bill 1 COPY 到CO欄位'!$1:$1048576,'Over Under Bill 1 COPY 到CO欄位'!BX$1,0)-VLOOKUP($A31,'Over Under Bill 1 COPY 到CO欄位'!$1:$1048576,'Over Under Bill 1 COPY 到CO欄位'!BS$1,0)</f>
        <v>0</v>
      </c>
      <c r="CD31" s="158">
        <f t="shared" si="31"/>
        <v>0</v>
      </c>
      <c r="CE31" s="157">
        <f>VLOOKUP($A31,'Over Under Bill 1 COPY 到CO欄位'!$1:$1048576,'Over Under Bill 1 COPY 到CO欄位'!BZ$1,0)-VLOOKUP($A31,'Over Under Bill 1 COPY 到CO欄位'!$1:$1048576,'Over Under Bill 1 COPY 到CO欄位'!BU$1,0)</f>
        <v>0</v>
      </c>
      <c r="CF31" s="157">
        <f>VLOOKUP($A31,'Over Under Bill 1 COPY 到CO欄位'!$1:$1048576,'Over Under Bill 1 COPY 到CO欄位'!CA$1,0)-VLOOKUP($A31,'Over Under Bill 1 COPY 到CO欄位'!$1:$1048576,'Over Under Bill 1 COPY 到CO欄位'!BV$1,0)</f>
        <v>0</v>
      </c>
      <c r="CG31" s="157">
        <f t="shared" si="32"/>
        <v>0</v>
      </c>
      <c r="CH31" s="157">
        <f>VLOOKUP($A31,'Over Under Bill 1 COPY 到CO欄位'!$1:$1048576,'Over Under Bill 1 COPY 到CO欄位'!CC$1,0)-VLOOKUP($A31,'Over Under Bill 1 COPY 到CO欄位'!$1:$1048576,'Over Under Bill 1 COPY 到CO欄位'!BX$1,0)</f>
        <v>0</v>
      </c>
      <c r="CI31" s="157">
        <f t="shared" si="33"/>
        <v>0</v>
      </c>
      <c r="CJ31" s="158">
        <f>VLOOKUP($A31,'Over Under Bill 1 COPY 到CO欄位'!$1:$1048576,'Over Under Bill 1 COPY 到CO欄位'!CE$1,0)-VLOOKUP($A31,'Over Under Bill 1 COPY 到CO欄位'!$1:$1048576,'Over Under Bill 1 COPY 到CO欄位'!BZ$1,0)</f>
        <v>0</v>
      </c>
      <c r="CK31" s="158">
        <f>VLOOKUP($A31,'Over Under Bill 1 COPY 到CO欄位'!$1:$1048576,'Over Under Bill 1 COPY 到CO欄位'!CF$1,0)-VLOOKUP($A31,'Over Under Bill 1 COPY 到CO欄位'!$1:$1048576,'Over Under Bill 1 COPY 到CO欄位'!CA$1,0)</f>
        <v>0</v>
      </c>
      <c r="CL31" s="158">
        <f t="shared" si="34"/>
        <v>0</v>
      </c>
      <c r="CM31" s="158">
        <f>VLOOKUP($A31,'Over Under Bill 1 COPY 到CO欄位'!$1:$1048576,'Over Under Bill 1 COPY 到CO欄位'!CH$1,0)-VLOOKUP($A31,'Over Under Bill 1 COPY 到CO欄位'!$1:$1048576,'Over Under Bill 1 COPY 到CO欄位'!CC$1,0)</f>
        <v>0</v>
      </c>
      <c r="CN31" s="158">
        <f t="shared" si="35"/>
        <v>0</v>
      </c>
      <c r="CO31" s="157">
        <f>VLOOKUP($A31,'Over Under Bill 1 COPY 到CO欄位'!$1:$1048576,'Over Under Bill 1 COPY 到CO欄位'!CJ$1,0)-VLOOKUP($A31,'Over Under Bill 1 COPY 到CO欄位'!$1:$1048576,'Over Under Bill 1 COPY 到CO欄位'!CE$1,0)</f>
        <v>0</v>
      </c>
      <c r="CP31" s="157">
        <f>VLOOKUP($A31,'Over Under Bill 1 COPY 到CO欄位'!$1:$1048576,'Over Under Bill 1 COPY 到CO欄位'!CK$1,0)-VLOOKUP($A31,'Over Under Bill 1 COPY 到CO欄位'!$1:$1048576,'Over Under Bill 1 COPY 到CO欄位'!CF$1,0)</f>
        <v>0</v>
      </c>
      <c r="CQ31" s="157">
        <f t="shared" si="36"/>
        <v>0</v>
      </c>
      <c r="CR31" s="157">
        <f>VLOOKUP($A31,'Over Under Bill 1 COPY 到CO欄位'!$1:$1048576,'Over Under Bill 1 COPY 到CO欄位'!CM$1,0)-VLOOKUP($A31,'Over Under Bill 1 COPY 到CO欄位'!$1:$1048576,'Over Under Bill 1 COPY 到CO欄位'!CH$1,0)</f>
        <v>0</v>
      </c>
      <c r="CS31" s="157">
        <f t="shared" si="37"/>
        <v>0</v>
      </c>
    </row>
    <row r="32" spans="1:97">
      <c r="A32" s="171" t="s">
        <v>361</v>
      </c>
      <c r="B32" s="172" t="s">
        <v>362</v>
      </c>
      <c r="C32" s="157">
        <f>IFERROR(VLOOKUP($A32,'A0 BS 1240在建'!$1:$1048576,5,0),0)</f>
        <v>0</v>
      </c>
      <c r="D32" s="157">
        <f>IFERROR(VLOOKUP($A32,'B0 2264預收'!$1:$1048576,5,0),0)</f>
        <v>0</v>
      </c>
      <c r="E32" s="157">
        <f t="shared" si="0"/>
        <v>0</v>
      </c>
      <c r="F32" s="157">
        <f>IFERROR(VLOOKUP($A32,'B0 2264預收'!$1:$1048576,6,0),0)</f>
        <v>0</v>
      </c>
      <c r="G32" s="157">
        <f t="shared" si="1"/>
        <v>0</v>
      </c>
      <c r="H32" s="158">
        <f>IFERROR(VLOOKUP($A32,'A0 BS 1240在建'!$1:$1048576,13,0),0)-C32</f>
        <v>0</v>
      </c>
      <c r="I32" s="158">
        <f>IFERROR(VLOOKUP($A32,'B0 2264預收'!$1:$1048576,13,0),0)-D32</f>
        <v>0</v>
      </c>
      <c r="J32" s="158">
        <f t="shared" si="2"/>
        <v>0</v>
      </c>
      <c r="K32" s="158">
        <f>IFERROR(VLOOKUP($A32,'B0 2264預收'!$1:$1048576,14,0),0)-F32</f>
        <v>0</v>
      </c>
      <c r="L32" s="158">
        <f t="shared" si="3"/>
        <v>0</v>
      </c>
      <c r="M32" s="157">
        <f>VLOOKUP($A32,'Over Under Bill 1 COPY 到CO欄位'!$1:$1048576,'Over Under Bill 1 COPY 到CO欄位'!M$1,0)-VLOOKUP($A32,'Over Under Bill 1 COPY 到CO欄位'!$1:$1048576,'Over Under Bill 1 COPY 到CO欄位'!H$1,0)</f>
        <v>0</v>
      </c>
      <c r="N32" s="157">
        <f>VLOOKUP($A32,'Over Under Bill 1 COPY 到CO欄位'!$1:$1048576,'Over Under Bill 1 COPY 到CO欄位'!N$1,0)-VLOOKUP($A32,'Over Under Bill 1 COPY 到CO欄位'!$1:$1048576,'Over Under Bill 1 COPY 到CO欄位'!I$1,0)</f>
        <v>0</v>
      </c>
      <c r="O32" s="157">
        <f t="shared" si="4"/>
        <v>0</v>
      </c>
      <c r="P32" s="157">
        <f>VLOOKUP($A32,'Over Under Bill 1 COPY 到CO欄位'!$1:$1048576,'Over Under Bill 1 COPY 到CO欄位'!P$1,0)-VLOOKUP($A32,'Over Under Bill 1 COPY 到CO欄位'!$1:$1048576,'Over Under Bill 1 COPY 到CO欄位'!K$1,0)</f>
        <v>0</v>
      </c>
      <c r="Q32" s="157">
        <f t="shared" si="5"/>
        <v>0</v>
      </c>
      <c r="R32" s="158">
        <f>VLOOKUP($A32,'Over Under Bill 1 COPY 到CO欄位'!$1:$1048576,'Over Under Bill 1 COPY 到CO欄位'!R$1,0)-VLOOKUP($A32,'Over Under Bill 1 COPY 到CO欄位'!$1:$1048576,'Over Under Bill 1 COPY 到CO欄位'!M$1,0)</f>
        <v>0</v>
      </c>
      <c r="S32" s="158">
        <f>VLOOKUP($A32,'Over Under Bill 1 COPY 到CO欄位'!$1:$1048576,'Over Under Bill 1 COPY 到CO欄位'!S$1,0)-VLOOKUP($A32,'Over Under Bill 1 COPY 到CO欄位'!$1:$1048576,'Over Under Bill 1 COPY 到CO欄位'!N$1,0)</f>
        <v>0</v>
      </c>
      <c r="T32" s="158">
        <f t="shared" si="6"/>
        <v>0</v>
      </c>
      <c r="U32" s="158">
        <f>VLOOKUP($A32,'Over Under Bill 1 COPY 到CO欄位'!$1:$1048576,'Over Under Bill 1 COPY 到CO欄位'!U$1,0)-VLOOKUP($A32,'Over Under Bill 1 COPY 到CO欄位'!$1:$1048576,'Over Under Bill 1 COPY 到CO欄位'!P$1,0)</f>
        <v>0</v>
      </c>
      <c r="V32" s="158">
        <f t="shared" si="7"/>
        <v>0</v>
      </c>
      <c r="W32" s="157">
        <f>VLOOKUP($A32,'Over Under Bill 1 COPY 到CO欄位'!$1:$1048576,'Over Under Bill 1 COPY 到CO欄位'!W$1,0)-VLOOKUP($A32,'Over Under Bill 1 COPY 到CO欄位'!$1:$1048576,'Over Under Bill 1 COPY 到CO欄位'!R$1,0)</f>
        <v>0</v>
      </c>
      <c r="X32" s="157">
        <f>VLOOKUP($A32,'Over Under Bill 1 COPY 到CO欄位'!$1:$1048576,'Over Under Bill 1 COPY 到CO欄位'!X$1,0)-VLOOKUP($A32,'Over Under Bill 1 COPY 到CO欄位'!$1:$1048576,'Over Under Bill 1 COPY 到CO欄位'!S$1,0)</f>
        <v>0</v>
      </c>
      <c r="Y32" s="157">
        <f t="shared" si="8"/>
        <v>0</v>
      </c>
      <c r="Z32" s="157">
        <f>VLOOKUP($A32,'Over Under Bill 1 COPY 到CO欄位'!$1:$1048576,'Over Under Bill 1 COPY 到CO欄位'!Z$1,0)-VLOOKUP($A32,'Over Under Bill 1 COPY 到CO欄位'!$1:$1048576,'Over Under Bill 1 COPY 到CO欄位'!U$1,0)</f>
        <v>0</v>
      </c>
      <c r="AA32" s="157">
        <f t="shared" si="9"/>
        <v>0</v>
      </c>
      <c r="AB32" s="158">
        <f>VLOOKUP($A32,'Over Under Bill 1 COPY 到CO欄位'!$1:$1048576,'Over Under Bill 1 COPY 到CO欄位'!AB$1,0)-VLOOKUP($A32,'Over Under Bill 1 COPY 到CO欄位'!$1:$1048576,'Over Under Bill 1 COPY 到CO欄位'!W$1,0)</f>
        <v>0</v>
      </c>
      <c r="AC32" s="158">
        <f>VLOOKUP($A32,'Over Under Bill 1 COPY 到CO欄位'!$1:$1048576,'Over Under Bill 1 COPY 到CO欄位'!AC$1,0)-VLOOKUP($A32,'Over Under Bill 1 COPY 到CO欄位'!$1:$1048576,'Over Under Bill 1 COPY 到CO欄位'!X$1,0)</f>
        <v>0</v>
      </c>
      <c r="AD32" s="158">
        <f t="shared" si="10"/>
        <v>0</v>
      </c>
      <c r="AE32" s="158">
        <f>VLOOKUP($A32,'Over Under Bill 1 COPY 到CO欄位'!$1:$1048576,'Over Under Bill 1 COPY 到CO欄位'!AE$1,0)-VLOOKUP($A32,'Over Under Bill 1 COPY 到CO欄位'!$1:$1048576,'Over Under Bill 1 COPY 到CO欄位'!Z$1,0)</f>
        <v>0</v>
      </c>
      <c r="AF32" s="158">
        <f t="shared" si="11"/>
        <v>0</v>
      </c>
      <c r="AG32" s="157">
        <f>VLOOKUP($A32,'Over Under Bill 1 COPY 到CO欄位'!$1:$1048576,'Over Under Bill 1 COPY 到CO欄位'!AG$1,0)-VLOOKUP($A32,'Over Under Bill 1 COPY 到CO欄位'!$1:$1048576,'Over Under Bill 1 COPY 到CO欄位'!AB$1,0)</f>
        <v>0</v>
      </c>
      <c r="AH32" s="157">
        <f>VLOOKUP($A32,'Over Under Bill 1 COPY 到CO欄位'!$1:$1048576,'Over Under Bill 1 COPY 到CO欄位'!AH$1,0)-VLOOKUP($A32,'Over Under Bill 1 COPY 到CO欄位'!$1:$1048576,'Over Under Bill 1 COPY 到CO欄位'!AC$1,0)</f>
        <v>0</v>
      </c>
      <c r="AI32" s="157">
        <f t="shared" si="12"/>
        <v>0</v>
      </c>
      <c r="AJ32" s="157">
        <f>VLOOKUP($A32,'Over Under Bill 1 COPY 到CO欄位'!$1:$1048576,'Over Under Bill 1 COPY 到CO欄位'!AJ$1,0)-VLOOKUP($A32,'Over Under Bill 1 COPY 到CO欄位'!$1:$1048576,'Over Under Bill 1 COPY 到CO欄位'!AE$1,0)</f>
        <v>0</v>
      </c>
      <c r="AK32" s="157">
        <f t="shared" si="13"/>
        <v>0</v>
      </c>
      <c r="AL32" s="158">
        <f>VLOOKUP($A32,'Over Under Bill 1 COPY 到CO欄位'!$1:$1048576,'Over Under Bill 1 COPY 到CO欄位'!AL$1,0)-VLOOKUP($A32,'Over Under Bill 1 COPY 到CO欄位'!$1:$1048576,'Over Under Bill 1 COPY 到CO欄位'!AG$1,0)</f>
        <v>0</v>
      </c>
      <c r="AM32" s="158">
        <f>VLOOKUP($A32,'Over Under Bill 1 COPY 到CO欄位'!$1:$1048576,'Over Under Bill 1 COPY 到CO欄位'!AM$1,0)-VLOOKUP($A32,'Over Under Bill 1 COPY 到CO欄位'!$1:$1048576,'Over Under Bill 1 COPY 到CO欄位'!AH$1,0)</f>
        <v>0</v>
      </c>
      <c r="AN32" s="158">
        <f t="shared" si="14"/>
        <v>0</v>
      </c>
      <c r="AO32" s="158">
        <f>VLOOKUP($A32,'Over Under Bill 1 COPY 到CO欄位'!$1:$1048576,'Over Under Bill 1 COPY 到CO欄位'!AO$1,0)-VLOOKUP($A32,'Over Under Bill 1 COPY 到CO欄位'!$1:$1048576,'Over Under Bill 1 COPY 到CO欄位'!AJ$1,0)</f>
        <v>0</v>
      </c>
      <c r="AP32" s="158">
        <f t="shared" si="15"/>
        <v>0</v>
      </c>
      <c r="AQ32" s="157">
        <f>VLOOKUP($A32,'Over Under Bill 1 COPY 到CO欄位'!$1:$1048576,'Over Under Bill 1 COPY 到CO欄位'!AQ$1,0)-VLOOKUP($A32,'Over Under Bill 1 COPY 到CO欄位'!$1:$1048576,'Over Under Bill 1 COPY 到CO欄位'!AL$1,0)</f>
        <v>0</v>
      </c>
      <c r="AR32" s="157">
        <f>VLOOKUP($A32,'Over Under Bill 1 COPY 到CO欄位'!$1:$1048576,'Over Under Bill 1 COPY 到CO欄位'!AR$1,0)-VLOOKUP($A32,'Over Under Bill 1 COPY 到CO欄位'!$1:$1048576,'Over Under Bill 1 COPY 到CO欄位'!AM$1,0)</f>
        <v>0</v>
      </c>
      <c r="AS32" s="157">
        <f t="shared" si="16"/>
        <v>0</v>
      </c>
      <c r="AT32" s="157">
        <f>VLOOKUP($A32,'Over Under Bill 1 COPY 到CO欄位'!$1:$1048576,'Over Under Bill 1 COPY 到CO欄位'!AT$1,0)-VLOOKUP($A32,'Over Under Bill 1 COPY 到CO欄位'!$1:$1048576,'Over Under Bill 1 COPY 到CO欄位'!AO$1,0)</f>
        <v>0</v>
      </c>
      <c r="AU32" s="157">
        <f t="shared" si="17"/>
        <v>0</v>
      </c>
      <c r="AV32" s="158">
        <f>VLOOKUP($A32,'Over Under Bill 1 COPY 到CO欄位'!$1:$1048576,'Over Under Bill 1 COPY 到CO欄位'!AV$1,0)-VLOOKUP($A32,'Over Under Bill 1 COPY 到CO欄位'!$1:$1048576,'Over Under Bill 1 COPY 到CO欄位'!AQ$1,0)</f>
        <v>0</v>
      </c>
      <c r="AW32" s="158">
        <f>VLOOKUP($A32,'Over Under Bill 1 COPY 到CO欄位'!$1:$1048576,'Over Under Bill 1 COPY 到CO欄位'!AW$1,0)-VLOOKUP($A32,'Over Under Bill 1 COPY 到CO欄位'!$1:$1048576,'Over Under Bill 1 COPY 到CO欄位'!AR$1,0)</f>
        <v>0</v>
      </c>
      <c r="AX32" s="158">
        <f t="shared" si="18"/>
        <v>0</v>
      </c>
      <c r="AY32" s="158">
        <f>VLOOKUP($A32,'Over Under Bill 1 COPY 到CO欄位'!$1:$1048576,'Over Under Bill 1 COPY 到CO欄位'!AY$1,0)-VLOOKUP($A32,'Over Under Bill 1 COPY 到CO欄位'!$1:$1048576,'Over Under Bill 1 COPY 到CO欄位'!AT$1,0)</f>
        <v>0</v>
      </c>
      <c r="AZ32" s="158">
        <f t="shared" si="19"/>
        <v>0</v>
      </c>
      <c r="BA32" s="157">
        <f>VLOOKUP($A32,'Over Under Bill 1 COPY 到CO欄位'!$1:$1048576,'Over Under Bill 1 COPY 到CO欄位'!BA$1,0)-VLOOKUP($A32,'Over Under Bill 1 COPY 到CO欄位'!$1:$1048576,'Over Under Bill 1 COPY 到CO欄位'!AV$1,0)</f>
        <v>0</v>
      </c>
      <c r="BB32" s="157">
        <f>VLOOKUP($A32,'Over Under Bill 1 COPY 到CO欄位'!$1:$1048576,'Over Under Bill 1 COPY 到CO欄位'!BB$1,0)-VLOOKUP($A32,'Over Under Bill 1 COPY 到CO欄位'!$1:$1048576,'Over Under Bill 1 COPY 到CO欄位'!AW$1,0)</f>
        <v>0</v>
      </c>
      <c r="BC32" s="157">
        <f t="shared" si="20"/>
        <v>0</v>
      </c>
      <c r="BD32" s="157">
        <f>VLOOKUP($A32,'Over Under Bill 1 COPY 到CO欄位'!$1:$1048576,'Over Under Bill 1 COPY 到CO欄位'!BD$1,0)-VLOOKUP($A32,'Over Under Bill 1 COPY 到CO欄位'!$1:$1048576,'Over Under Bill 1 COPY 到CO欄位'!AY$1,0)</f>
        <v>0</v>
      </c>
      <c r="BE32" s="157">
        <f t="shared" si="21"/>
        <v>0</v>
      </c>
      <c r="BF32" s="158">
        <f>VLOOKUP($A32,'Over Under Bill 1 COPY 到CO欄位'!$1:$1048576,'Over Under Bill 1 COPY 到CO欄位'!BF$1,0)-VLOOKUP($A32,'Over Under Bill 1 COPY 到CO欄位'!$1:$1048576,'Over Under Bill 1 COPY 到CO欄位'!BA$1,0)</f>
        <v>0</v>
      </c>
      <c r="BG32" s="158">
        <f>VLOOKUP($A32,'Over Under Bill 1 COPY 到CO欄位'!$1:$1048576,'Over Under Bill 1 COPY 到CO欄位'!BG$1,0)-VLOOKUP($A32,'Over Under Bill 1 COPY 到CO欄位'!$1:$1048576,'Over Under Bill 1 COPY 到CO欄位'!BB$1,0)</f>
        <v>0</v>
      </c>
      <c r="BH32" s="158">
        <f t="shared" si="22"/>
        <v>0</v>
      </c>
      <c r="BI32" s="158">
        <f>VLOOKUP($A32,'Over Under Bill 1 COPY 到CO欄位'!$1:$1048576,'Over Under Bill 1 COPY 到CO欄位'!BI$1,0)-VLOOKUP($A32,'Over Under Bill 1 COPY 到CO欄位'!$1:$1048576,'Over Under Bill 1 COPY 到CO欄位'!BD$1,0)</f>
        <v>0</v>
      </c>
      <c r="BJ32" s="158">
        <f t="shared" si="23"/>
        <v>0</v>
      </c>
      <c r="BK32" s="157">
        <f>VLOOKUP($A32,'Over Under Bill 1 COPY 到CO欄位'!$1:$1048576,'Over Under Bill 1 COPY 到CO欄位'!BK$1,0)-VLOOKUP($A32,'Over Under Bill 1 COPY 到CO欄位'!$1:$1048576,'Over Under Bill 1 COPY 到CO欄位'!BF$1,0)</f>
        <v>0</v>
      </c>
      <c r="BL32" s="157">
        <f>VLOOKUP($A32,'Over Under Bill 1 COPY 到CO欄位'!$1:$1048576,'Over Under Bill 1 COPY 到CO欄位'!BL$1,0)-VLOOKUP($A32,'Over Under Bill 1 COPY 到CO欄位'!$1:$1048576,'Over Under Bill 1 COPY 到CO欄位'!BG$1,0)</f>
        <v>0</v>
      </c>
      <c r="BM32" s="157">
        <f t="shared" si="24"/>
        <v>0</v>
      </c>
      <c r="BN32" s="157">
        <f>VLOOKUP($A32,'Over Under Bill 1 COPY 到CO欄位'!$1:$1048576,'Over Under Bill 1 COPY 到CO欄位'!BN$1,0)-VLOOKUP($A32,'Over Under Bill 1 COPY 到CO欄位'!$1:$1048576,'Over Under Bill 1 COPY 到CO欄位'!BI$1,0)</f>
        <v>0</v>
      </c>
      <c r="BO32" s="157">
        <f t="shared" si="25"/>
        <v>0</v>
      </c>
      <c r="BP32" s="158">
        <f>VLOOKUP($A32,'Over Under Bill 1 COPY 到CO欄位'!$1:$1048576,'Over Under Bill 1 COPY 到CO欄位'!BP$1,0)-VLOOKUP($A32,'Over Under Bill 1 COPY 到CO欄位'!$1:$1048576,'Over Under Bill 1 COPY 到CO欄位'!BK$1,0)</f>
        <v>0</v>
      </c>
      <c r="BQ32" s="158">
        <f>VLOOKUP($A32,'Over Under Bill 1 COPY 到CO欄位'!$1:$1048576,'Over Under Bill 1 COPY 到CO欄位'!BQ$1,0)-VLOOKUP($A32,'Over Under Bill 1 COPY 到CO欄位'!$1:$1048576,'Over Under Bill 1 COPY 到CO欄位'!BL$1,0)</f>
        <v>0</v>
      </c>
      <c r="BR32" s="158">
        <f t="shared" si="26"/>
        <v>0</v>
      </c>
      <c r="BS32" s="158">
        <f>VLOOKUP($A32,'Over Under Bill 1 COPY 到CO欄位'!$1:$1048576,'Over Under Bill 1 COPY 到CO欄位'!BS$1,0)-VLOOKUP($A32,'Over Under Bill 1 COPY 到CO欄位'!$1:$1048576,'Over Under Bill 1 COPY 到CO欄位'!BN$1,0)</f>
        <v>0</v>
      </c>
      <c r="BT32" s="158">
        <f t="shared" si="27"/>
        <v>0</v>
      </c>
      <c r="BU32" s="157">
        <f>VLOOKUP($A32,'Over Under Bill 1 COPY 到CO欄位'!$1:$1048576,'Over Under Bill 1 COPY 到CO欄位'!BP$1,0)-VLOOKUP($A32,'Over Under Bill 1 COPY 到CO欄位'!$1:$1048576,'Over Under Bill 1 COPY 到CO欄位'!H$1,0)</f>
        <v>0</v>
      </c>
      <c r="BV32" s="157">
        <f>VLOOKUP($A32,'Over Under Bill 1 COPY 到CO欄位'!$1:$1048576,'Over Under Bill 1 COPY 到CO欄位'!BQ$1,0)-VLOOKUP($A32,'Over Under Bill 1 COPY 到CO欄位'!$1:$1048576,'Over Under Bill 1 COPY 到CO欄位'!I$1,0)</f>
        <v>0</v>
      </c>
      <c r="BW32" s="157">
        <f t="shared" si="28"/>
        <v>0</v>
      </c>
      <c r="BX32" s="157">
        <f>VLOOKUP($A32,'Over Under Bill 1 COPY 到CO欄位'!$1:$1048576,'Over Under Bill 1 COPY 到CO欄位'!BS$1,0)-VLOOKUP($A32,'Over Under Bill 1 COPY 到CO欄位'!$1:$1048576,'Over Under Bill 1 COPY 到CO欄位'!K$1,0)</f>
        <v>0</v>
      </c>
      <c r="BY32" s="157">
        <f t="shared" si="29"/>
        <v>0</v>
      </c>
      <c r="BZ32" s="158">
        <f>VLOOKUP($A32,'Over Under Bill 1 COPY 到CO欄位'!$1:$1048576,'Over Under Bill 1 COPY 到CO欄位'!BU$1,0)-VLOOKUP($A32,'Over Under Bill 1 COPY 到CO欄位'!$1:$1048576,'Over Under Bill 1 COPY 到CO欄位'!BP$1,0)</f>
        <v>0</v>
      </c>
      <c r="CA32" s="158">
        <f>VLOOKUP($A32,'Over Under Bill 1 COPY 到CO欄位'!$1:$1048576,'Over Under Bill 1 COPY 到CO欄位'!BV$1,0)-VLOOKUP($A32,'Over Under Bill 1 COPY 到CO欄位'!$1:$1048576,'Over Under Bill 1 COPY 到CO欄位'!BQ$1,0)</f>
        <v>0</v>
      </c>
      <c r="CB32" s="158">
        <f t="shared" si="30"/>
        <v>0</v>
      </c>
      <c r="CC32" s="158">
        <f>VLOOKUP($A32,'Over Under Bill 1 COPY 到CO欄位'!$1:$1048576,'Over Under Bill 1 COPY 到CO欄位'!BX$1,0)-VLOOKUP($A32,'Over Under Bill 1 COPY 到CO欄位'!$1:$1048576,'Over Under Bill 1 COPY 到CO欄位'!BS$1,0)</f>
        <v>0</v>
      </c>
      <c r="CD32" s="158">
        <f t="shared" si="31"/>
        <v>0</v>
      </c>
      <c r="CE32" s="157">
        <f>VLOOKUP($A32,'Over Under Bill 1 COPY 到CO欄位'!$1:$1048576,'Over Under Bill 1 COPY 到CO欄位'!BZ$1,0)-VLOOKUP($A32,'Over Under Bill 1 COPY 到CO欄位'!$1:$1048576,'Over Under Bill 1 COPY 到CO欄位'!BU$1,0)</f>
        <v>0</v>
      </c>
      <c r="CF32" s="157">
        <f>VLOOKUP($A32,'Over Under Bill 1 COPY 到CO欄位'!$1:$1048576,'Over Under Bill 1 COPY 到CO欄位'!CA$1,0)-VLOOKUP($A32,'Over Under Bill 1 COPY 到CO欄位'!$1:$1048576,'Over Under Bill 1 COPY 到CO欄位'!BV$1,0)</f>
        <v>0</v>
      </c>
      <c r="CG32" s="157">
        <f t="shared" si="32"/>
        <v>0</v>
      </c>
      <c r="CH32" s="157">
        <f>VLOOKUP($A32,'Over Under Bill 1 COPY 到CO欄位'!$1:$1048576,'Over Under Bill 1 COPY 到CO欄位'!CC$1,0)-VLOOKUP($A32,'Over Under Bill 1 COPY 到CO欄位'!$1:$1048576,'Over Under Bill 1 COPY 到CO欄位'!BX$1,0)</f>
        <v>0</v>
      </c>
      <c r="CI32" s="157">
        <f t="shared" si="33"/>
        <v>0</v>
      </c>
      <c r="CJ32" s="158">
        <f>VLOOKUP($A32,'Over Under Bill 1 COPY 到CO欄位'!$1:$1048576,'Over Under Bill 1 COPY 到CO欄位'!CE$1,0)-VLOOKUP($A32,'Over Under Bill 1 COPY 到CO欄位'!$1:$1048576,'Over Under Bill 1 COPY 到CO欄位'!BZ$1,0)</f>
        <v>0</v>
      </c>
      <c r="CK32" s="158">
        <f>VLOOKUP($A32,'Over Under Bill 1 COPY 到CO欄位'!$1:$1048576,'Over Under Bill 1 COPY 到CO欄位'!CF$1,0)-VLOOKUP($A32,'Over Under Bill 1 COPY 到CO欄位'!$1:$1048576,'Over Under Bill 1 COPY 到CO欄位'!CA$1,0)</f>
        <v>0</v>
      </c>
      <c r="CL32" s="158">
        <f t="shared" si="34"/>
        <v>0</v>
      </c>
      <c r="CM32" s="158">
        <f>VLOOKUP($A32,'Over Under Bill 1 COPY 到CO欄位'!$1:$1048576,'Over Under Bill 1 COPY 到CO欄位'!CH$1,0)-VLOOKUP($A32,'Over Under Bill 1 COPY 到CO欄位'!$1:$1048576,'Over Under Bill 1 COPY 到CO欄位'!CC$1,0)</f>
        <v>0</v>
      </c>
      <c r="CN32" s="158">
        <f t="shared" si="35"/>
        <v>0</v>
      </c>
      <c r="CO32" s="157">
        <f>VLOOKUP($A32,'Over Under Bill 1 COPY 到CO欄位'!$1:$1048576,'Over Under Bill 1 COPY 到CO欄位'!CJ$1,0)-VLOOKUP($A32,'Over Under Bill 1 COPY 到CO欄位'!$1:$1048576,'Over Under Bill 1 COPY 到CO欄位'!CE$1,0)</f>
        <v>0</v>
      </c>
      <c r="CP32" s="157">
        <f>VLOOKUP($A32,'Over Under Bill 1 COPY 到CO欄位'!$1:$1048576,'Over Under Bill 1 COPY 到CO欄位'!CK$1,0)-VLOOKUP($A32,'Over Under Bill 1 COPY 到CO欄位'!$1:$1048576,'Over Under Bill 1 COPY 到CO欄位'!CF$1,0)</f>
        <v>0</v>
      </c>
      <c r="CQ32" s="157">
        <f t="shared" si="36"/>
        <v>0</v>
      </c>
      <c r="CR32" s="157">
        <f>VLOOKUP($A32,'Over Under Bill 1 COPY 到CO欄位'!$1:$1048576,'Over Under Bill 1 COPY 到CO欄位'!CM$1,0)-VLOOKUP($A32,'Over Under Bill 1 COPY 到CO欄位'!$1:$1048576,'Over Under Bill 1 COPY 到CO欄位'!CH$1,0)</f>
        <v>0</v>
      </c>
      <c r="CS32" s="157">
        <f t="shared" si="37"/>
        <v>0</v>
      </c>
    </row>
    <row r="33" spans="1:97">
      <c r="A33" s="171" t="s">
        <v>363</v>
      </c>
      <c r="B33" s="172" t="s">
        <v>364</v>
      </c>
      <c r="C33" s="157">
        <f>IFERROR(VLOOKUP($A33,'A0 BS 1240在建'!$1:$1048576,5,0),0)</f>
        <v>0</v>
      </c>
      <c r="D33" s="157">
        <f>IFERROR(VLOOKUP($A33,'B0 2264預收'!$1:$1048576,5,0),0)</f>
        <v>0</v>
      </c>
      <c r="E33" s="157">
        <f t="shared" si="0"/>
        <v>0</v>
      </c>
      <c r="F33" s="157">
        <f>IFERROR(VLOOKUP($A33,'B0 2264預收'!$1:$1048576,6,0),0)</f>
        <v>0</v>
      </c>
      <c r="G33" s="157">
        <f t="shared" si="1"/>
        <v>0</v>
      </c>
      <c r="H33" s="158">
        <f>IFERROR(VLOOKUP($A33,'A0 BS 1240在建'!$1:$1048576,13,0),0)-C33</f>
        <v>0</v>
      </c>
      <c r="I33" s="158">
        <f>IFERROR(VLOOKUP($A33,'B0 2264預收'!$1:$1048576,13,0),0)-D33</f>
        <v>0</v>
      </c>
      <c r="J33" s="158">
        <f t="shared" si="2"/>
        <v>0</v>
      </c>
      <c r="K33" s="158">
        <f>IFERROR(VLOOKUP($A33,'B0 2264預收'!$1:$1048576,14,0),0)-F33</f>
        <v>0</v>
      </c>
      <c r="L33" s="158">
        <f t="shared" si="3"/>
        <v>0</v>
      </c>
      <c r="M33" s="157">
        <f>VLOOKUP($A33,'Over Under Bill 1 COPY 到CO欄位'!$1:$1048576,'Over Under Bill 1 COPY 到CO欄位'!M$1,0)-VLOOKUP($A33,'Over Under Bill 1 COPY 到CO欄位'!$1:$1048576,'Over Under Bill 1 COPY 到CO欄位'!H$1,0)</f>
        <v>0</v>
      </c>
      <c r="N33" s="157">
        <f>VLOOKUP($A33,'Over Under Bill 1 COPY 到CO欄位'!$1:$1048576,'Over Under Bill 1 COPY 到CO欄位'!N$1,0)-VLOOKUP($A33,'Over Under Bill 1 COPY 到CO欄位'!$1:$1048576,'Over Under Bill 1 COPY 到CO欄位'!I$1,0)</f>
        <v>0</v>
      </c>
      <c r="O33" s="157">
        <f t="shared" si="4"/>
        <v>0</v>
      </c>
      <c r="P33" s="157">
        <f>VLOOKUP($A33,'Over Under Bill 1 COPY 到CO欄位'!$1:$1048576,'Over Under Bill 1 COPY 到CO欄位'!P$1,0)-VLOOKUP($A33,'Over Under Bill 1 COPY 到CO欄位'!$1:$1048576,'Over Under Bill 1 COPY 到CO欄位'!K$1,0)</f>
        <v>0</v>
      </c>
      <c r="Q33" s="157">
        <f t="shared" si="5"/>
        <v>0</v>
      </c>
      <c r="R33" s="158">
        <f>VLOOKUP($A33,'Over Under Bill 1 COPY 到CO欄位'!$1:$1048576,'Over Under Bill 1 COPY 到CO欄位'!R$1,0)-VLOOKUP($A33,'Over Under Bill 1 COPY 到CO欄位'!$1:$1048576,'Over Under Bill 1 COPY 到CO欄位'!M$1,0)</f>
        <v>0</v>
      </c>
      <c r="S33" s="158">
        <f>VLOOKUP($A33,'Over Under Bill 1 COPY 到CO欄位'!$1:$1048576,'Over Under Bill 1 COPY 到CO欄位'!S$1,0)-VLOOKUP($A33,'Over Under Bill 1 COPY 到CO欄位'!$1:$1048576,'Over Under Bill 1 COPY 到CO欄位'!N$1,0)</f>
        <v>0</v>
      </c>
      <c r="T33" s="158">
        <f t="shared" si="6"/>
        <v>0</v>
      </c>
      <c r="U33" s="158">
        <f>VLOOKUP($A33,'Over Under Bill 1 COPY 到CO欄位'!$1:$1048576,'Over Under Bill 1 COPY 到CO欄位'!U$1,0)-VLOOKUP($A33,'Over Under Bill 1 COPY 到CO欄位'!$1:$1048576,'Over Under Bill 1 COPY 到CO欄位'!P$1,0)</f>
        <v>0</v>
      </c>
      <c r="V33" s="158">
        <f t="shared" si="7"/>
        <v>0</v>
      </c>
      <c r="W33" s="157">
        <f>VLOOKUP($A33,'Over Under Bill 1 COPY 到CO欄位'!$1:$1048576,'Over Under Bill 1 COPY 到CO欄位'!W$1,0)-VLOOKUP($A33,'Over Under Bill 1 COPY 到CO欄位'!$1:$1048576,'Over Under Bill 1 COPY 到CO欄位'!R$1,0)</f>
        <v>0</v>
      </c>
      <c r="X33" s="157">
        <f>VLOOKUP($A33,'Over Under Bill 1 COPY 到CO欄位'!$1:$1048576,'Over Under Bill 1 COPY 到CO欄位'!X$1,0)-VLOOKUP($A33,'Over Under Bill 1 COPY 到CO欄位'!$1:$1048576,'Over Under Bill 1 COPY 到CO欄位'!S$1,0)</f>
        <v>0</v>
      </c>
      <c r="Y33" s="157">
        <f t="shared" si="8"/>
        <v>0</v>
      </c>
      <c r="Z33" s="157">
        <f>VLOOKUP($A33,'Over Under Bill 1 COPY 到CO欄位'!$1:$1048576,'Over Under Bill 1 COPY 到CO欄位'!Z$1,0)-VLOOKUP($A33,'Over Under Bill 1 COPY 到CO欄位'!$1:$1048576,'Over Under Bill 1 COPY 到CO欄位'!U$1,0)</f>
        <v>0</v>
      </c>
      <c r="AA33" s="157">
        <f t="shared" si="9"/>
        <v>0</v>
      </c>
      <c r="AB33" s="158">
        <f>VLOOKUP($A33,'Over Under Bill 1 COPY 到CO欄位'!$1:$1048576,'Over Under Bill 1 COPY 到CO欄位'!AB$1,0)-VLOOKUP($A33,'Over Under Bill 1 COPY 到CO欄位'!$1:$1048576,'Over Under Bill 1 COPY 到CO欄位'!W$1,0)</f>
        <v>0</v>
      </c>
      <c r="AC33" s="158">
        <f>VLOOKUP($A33,'Over Under Bill 1 COPY 到CO欄位'!$1:$1048576,'Over Under Bill 1 COPY 到CO欄位'!AC$1,0)-VLOOKUP($A33,'Over Under Bill 1 COPY 到CO欄位'!$1:$1048576,'Over Under Bill 1 COPY 到CO欄位'!X$1,0)</f>
        <v>0</v>
      </c>
      <c r="AD33" s="158">
        <f t="shared" si="10"/>
        <v>0</v>
      </c>
      <c r="AE33" s="158">
        <f>VLOOKUP($A33,'Over Under Bill 1 COPY 到CO欄位'!$1:$1048576,'Over Under Bill 1 COPY 到CO欄位'!AE$1,0)-VLOOKUP($A33,'Over Under Bill 1 COPY 到CO欄位'!$1:$1048576,'Over Under Bill 1 COPY 到CO欄位'!Z$1,0)</f>
        <v>0</v>
      </c>
      <c r="AF33" s="158">
        <f t="shared" si="11"/>
        <v>0</v>
      </c>
      <c r="AG33" s="157">
        <f>VLOOKUP($A33,'Over Under Bill 1 COPY 到CO欄位'!$1:$1048576,'Over Under Bill 1 COPY 到CO欄位'!AG$1,0)-VLOOKUP($A33,'Over Under Bill 1 COPY 到CO欄位'!$1:$1048576,'Over Under Bill 1 COPY 到CO欄位'!AB$1,0)</f>
        <v>0</v>
      </c>
      <c r="AH33" s="157">
        <f>VLOOKUP($A33,'Over Under Bill 1 COPY 到CO欄位'!$1:$1048576,'Over Under Bill 1 COPY 到CO欄位'!AH$1,0)-VLOOKUP($A33,'Over Under Bill 1 COPY 到CO欄位'!$1:$1048576,'Over Under Bill 1 COPY 到CO欄位'!AC$1,0)</f>
        <v>0</v>
      </c>
      <c r="AI33" s="157">
        <f t="shared" si="12"/>
        <v>0</v>
      </c>
      <c r="AJ33" s="157">
        <f>VLOOKUP($A33,'Over Under Bill 1 COPY 到CO欄位'!$1:$1048576,'Over Under Bill 1 COPY 到CO欄位'!AJ$1,0)-VLOOKUP($A33,'Over Under Bill 1 COPY 到CO欄位'!$1:$1048576,'Over Under Bill 1 COPY 到CO欄位'!AE$1,0)</f>
        <v>0</v>
      </c>
      <c r="AK33" s="157">
        <f t="shared" si="13"/>
        <v>0</v>
      </c>
      <c r="AL33" s="158">
        <f>VLOOKUP($A33,'Over Under Bill 1 COPY 到CO欄位'!$1:$1048576,'Over Under Bill 1 COPY 到CO欄位'!AL$1,0)-VLOOKUP($A33,'Over Under Bill 1 COPY 到CO欄位'!$1:$1048576,'Over Under Bill 1 COPY 到CO欄位'!AG$1,0)</f>
        <v>0</v>
      </c>
      <c r="AM33" s="158">
        <f>VLOOKUP($A33,'Over Under Bill 1 COPY 到CO欄位'!$1:$1048576,'Over Under Bill 1 COPY 到CO欄位'!AM$1,0)-VLOOKUP($A33,'Over Under Bill 1 COPY 到CO欄位'!$1:$1048576,'Over Under Bill 1 COPY 到CO欄位'!AH$1,0)</f>
        <v>0</v>
      </c>
      <c r="AN33" s="158">
        <f t="shared" si="14"/>
        <v>0</v>
      </c>
      <c r="AO33" s="158">
        <f>VLOOKUP($A33,'Over Under Bill 1 COPY 到CO欄位'!$1:$1048576,'Over Under Bill 1 COPY 到CO欄位'!AO$1,0)-VLOOKUP($A33,'Over Under Bill 1 COPY 到CO欄位'!$1:$1048576,'Over Under Bill 1 COPY 到CO欄位'!AJ$1,0)</f>
        <v>0</v>
      </c>
      <c r="AP33" s="158">
        <f t="shared" si="15"/>
        <v>0</v>
      </c>
      <c r="AQ33" s="157">
        <f>VLOOKUP($A33,'Over Under Bill 1 COPY 到CO欄位'!$1:$1048576,'Over Under Bill 1 COPY 到CO欄位'!AQ$1,0)-VLOOKUP($A33,'Over Under Bill 1 COPY 到CO欄位'!$1:$1048576,'Over Under Bill 1 COPY 到CO欄位'!AL$1,0)</f>
        <v>0</v>
      </c>
      <c r="AR33" s="157">
        <f>VLOOKUP($A33,'Over Under Bill 1 COPY 到CO欄位'!$1:$1048576,'Over Under Bill 1 COPY 到CO欄位'!AR$1,0)-VLOOKUP($A33,'Over Under Bill 1 COPY 到CO欄位'!$1:$1048576,'Over Under Bill 1 COPY 到CO欄位'!AM$1,0)</f>
        <v>0</v>
      </c>
      <c r="AS33" s="157">
        <f t="shared" si="16"/>
        <v>0</v>
      </c>
      <c r="AT33" s="157">
        <f>VLOOKUP($A33,'Over Under Bill 1 COPY 到CO欄位'!$1:$1048576,'Over Under Bill 1 COPY 到CO欄位'!AT$1,0)-VLOOKUP($A33,'Over Under Bill 1 COPY 到CO欄位'!$1:$1048576,'Over Under Bill 1 COPY 到CO欄位'!AO$1,0)</f>
        <v>0</v>
      </c>
      <c r="AU33" s="157">
        <f t="shared" si="17"/>
        <v>0</v>
      </c>
      <c r="AV33" s="158">
        <f>VLOOKUP($A33,'Over Under Bill 1 COPY 到CO欄位'!$1:$1048576,'Over Under Bill 1 COPY 到CO欄位'!AV$1,0)-VLOOKUP($A33,'Over Under Bill 1 COPY 到CO欄位'!$1:$1048576,'Over Under Bill 1 COPY 到CO欄位'!AQ$1,0)</f>
        <v>0</v>
      </c>
      <c r="AW33" s="158">
        <f>VLOOKUP($A33,'Over Under Bill 1 COPY 到CO欄位'!$1:$1048576,'Over Under Bill 1 COPY 到CO欄位'!AW$1,0)-VLOOKUP($A33,'Over Under Bill 1 COPY 到CO欄位'!$1:$1048576,'Over Under Bill 1 COPY 到CO欄位'!AR$1,0)</f>
        <v>0</v>
      </c>
      <c r="AX33" s="158">
        <f t="shared" si="18"/>
        <v>0</v>
      </c>
      <c r="AY33" s="158">
        <f>VLOOKUP($A33,'Over Under Bill 1 COPY 到CO欄位'!$1:$1048576,'Over Under Bill 1 COPY 到CO欄位'!AY$1,0)-VLOOKUP($A33,'Over Under Bill 1 COPY 到CO欄位'!$1:$1048576,'Over Under Bill 1 COPY 到CO欄位'!AT$1,0)</f>
        <v>0</v>
      </c>
      <c r="AZ33" s="158">
        <f t="shared" si="19"/>
        <v>0</v>
      </c>
      <c r="BA33" s="157">
        <f>VLOOKUP($A33,'Over Under Bill 1 COPY 到CO欄位'!$1:$1048576,'Over Under Bill 1 COPY 到CO欄位'!BA$1,0)-VLOOKUP($A33,'Over Under Bill 1 COPY 到CO欄位'!$1:$1048576,'Over Under Bill 1 COPY 到CO欄位'!AV$1,0)</f>
        <v>0</v>
      </c>
      <c r="BB33" s="157">
        <f>VLOOKUP($A33,'Over Under Bill 1 COPY 到CO欄位'!$1:$1048576,'Over Under Bill 1 COPY 到CO欄位'!BB$1,0)-VLOOKUP($A33,'Over Under Bill 1 COPY 到CO欄位'!$1:$1048576,'Over Under Bill 1 COPY 到CO欄位'!AW$1,0)</f>
        <v>0</v>
      </c>
      <c r="BC33" s="157">
        <f t="shared" si="20"/>
        <v>0</v>
      </c>
      <c r="BD33" s="157">
        <f>VLOOKUP($A33,'Over Under Bill 1 COPY 到CO欄位'!$1:$1048576,'Over Under Bill 1 COPY 到CO欄位'!BD$1,0)-VLOOKUP($A33,'Over Under Bill 1 COPY 到CO欄位'!$1:$1048576,'Over Under Bill 1 COPY 到CO欄位'!AY$1,0)</f>
        <v>0</v>
      </c>
      <c r="BE33" s="157">
        <f t="shared" si="21"/>
        <v>0</v>
      </c>
      <c r="BF33" s="158">
        <f>VLOOKUP($A33,'Over Under Bill 1 COPY 到CO欄位'!$1:$1048576,'Over Under Bill 1 COPY 到CO欄位'!BF$1,0)-VLOOKUP($A33,'Over Under Bill 1 COPY 到CO欄位'!$1:$1048576,'Over Under Bill 1 COPY 到CO欄位'!BA$1,0)</f>
        <v>0</v>
      </c>
      <c r="BG33" s="158">
        <f>VLOOKUP($A33,'Over Under Bill 1 COPY 到CO欄位'!$1:$1048576,'Over Under Bill 1 COPY 到CO欄位'!BG$1,0)-VLOOKUP($A33,'Over Under Bill 1 COPY 到CO欄位'!$1:$1048576,'Over Under Bill 1 COPY 到CO欄位'!BB$1,0)</f>
        <v>0</v>
      </c>
      <c r="BH33" s="158">
        <f t="shared" si="22"/>
        <v>0</v>
      </c>
      <c r="BI33" s="158">
        <f>VLOOKUP($A33,'Over Under Bill 1 COPY 到CO欄位'!$1:$1048576,'Over Under Bill 1 COPY 到CO欄位'!BI$1,0)-VLOOKUP($A33,'Over Under Bill 1 COPY 到CO欄位'!$1:$1048576,'Over Under Bill 1 COPY 到CO欄位'!BD$1,0)</f>
        <v>0</v>
      </c>
      <c r="BJ33" s="158">
        <f t="shared" si="23"/>
        <v>0</v>
      </c>
      <c r="BK33" s="157">
        <f>VLOOKUP($A33,'Over Under Bill 1 COPY 到CO欄位'!$1:$1048576,'Over Under Bill 1 COPY 到CO欄位'!BK$1,0)-VLOOKUP($A33,'Over Under Bill 1 COPY 到CO欄位'!$1:$1048576,'Over Under Bill 1 COPY 到CO欄位'!BF$1,0)</f>
        <v>0</v>
      </c>
      <c r="BL33" s="157">
        <f>VLOOKUP($A33,'Over Under Bill 1 COPY 到CO欄位'!$1:$1048576,'Over Under Bill 1 COPY 到CO欄位'!BL$1,0)-VLOOKUP($A33,'Over Under Bill 1 COPY 到CO欄位'!$1:$1048576,'Over Under Bill 1 COPY 到CO欄位'!BG$1,0)</f>
        <v>0</v>
      </c>
      <c r="BM33" s="157">
        <f t="shared" si="24"/>
        <v>0</v>
      </c>
      <c r="BN33" s="157">
        <f>VLOOKUP($A33,'Over Under Bill 1 COPY 到CO欄位'!$1:$1048576,'Over Under Bill 1 COPY 到CO欄位'!BN$1,0)-VLOOKUP($A33,'Over Under Bill 1 COPY 到CO欄位'!$1:$1048576,'Over Under Bill 1 COPY 到CO欄位'!BI$1,0)</f>
        <v>0</v>
      </c>
      <c r="BO33" s="157">
        <f t="shared" si="25"/>
        <v>0</v>
      </c>
      <c r="BP33" s="158">
        <f>VLOOKUP($A33,'Over Under Bill 1 COPY 到CO欄位'!$1:$1048576,'Over Under Bill 1 COPY 到CO欄位'!BP$1,0)-VLOOKUP($A33,'Over Under Bill 1 COPY 到CO欄位'!$1:$1048576,'Over Under Bill 1 COPY 到CO欄位'!BK$1,0)</f>
        <v>0</v>
      </c>
      <c r="BQ33" s="158">
        <f>VLOOKUP($A33,'Over Under Bill 1 COPY 到CO欄位'!$1:$1048576,'Over Under Bill 1 COPY 到CO欄位'!BQ$1,0)-VLOOKUP($A33,'Over Under Bill 1 COPY 到CO欄位'!$1:$1048576,'Over Under Bill 1 COPY 到CO欄位'!BL$1,0)</f>
        <v>0</v>
      </c>
      <c r="BR33" s="158">
        <f t="shared" si="26"/>
        <v>0</v>
      </c>
      <c r="BS33" s="158">
        <f>VLOOKUP($A33,'Over Under Bill 1 COPY 到CO欄位'!$1:$1048576,'Over Under Bill 1 COPY 到CO欄位'!BS$1,0)-VLOOKUP($A33,'Over Under Bill 1 COPY 到CO欄位'!$1:$1048576,'Over Under Bill 1 COPY 到CO欄位'!BN$1,0)</f>
        <v>0</v>
      </c>
      <c r="BT33" s="158">
        <f t="shared" si="27"/>
        <v>0</v>
      </c>
      <c r="BU33" s="157">
        <f>VLOOKUP($A33,'Over Under Bill 1 COPY 到CO欄位'!$1:$1048576,'Over Under Bill 1 COPY 到CO欄位'!BP$1,0)-VLOOKUP($A33,'Over Under Bill 1 COPY 到CO欄位'!$1:$1048576,'Over Under Bill 1 COPY 到CO欄位'!H$1,0)</f>
        <v>0</v>
      </c>
      <c r="BV33" s="157">
        <f>VLOOKUP($A33,'Over Under Bill 1 COPY 到CO欄位'!$1:$1048576,'Over Under Bill 1 COPY 到CO欄位'!BQ$1,0)-VLOOKUP($A33,'Over Under Bill 1 COPY 到CO欄位'!$1:$1048576,'Over Under Bill 1 COPY 到CO欄位'!I$1,0)</f>
        <v>0</v>
      </c>
      <c r="BW33" s="157">
        <f t="shared" si="28"/>
        <v>0</v>
      </c>
      <c r="BX33" s="157">
        <f>VLOOKUP($A33,'Over Under Bill 1 COPY 到CO欄位'!$1:$1048576,'Over Under Bill 1 COPY 到CO欄位'!BS$1,0)-VLOOKUP($A33,'Over Under Bill 1 COPY 到CO欄位'!$1:$1048576,'Over Under Bill 1 COPY 到CO欄位'!K$1,0)</f>
        <v>0</v>
      </c>
      <c r="BY33" s="157">
        <f t="shared" si="29"/>
        <v>0</v>
      </c>
      <c r="BZ33" s="158">
        <f>VLOOKUP($A33,'Over Under Bill 1 COPY 到CO欄位'!$1:$1048576,'Over Under Bill 1 COPY 到CO欄位'!BU$1,0)-VLOOKUP($A33,'Over Under Bill 1 COPY 到CO欄位'!$1:$1048576,'Over Under Bill 1 COPY 到CO欄位'!BP$1,0)</f>
        <v>0</v>
      </c>
      <c r="CA33" s="158">
        <f>VLOOKUP($A33,'Over Under Bill 1 COPY 到CO欄位'!$1:$1048576,'Over Under Bill 1 COPY 到CO欄位'!BV$1,0)-VLOOKUP($A33,'Over Under Bill 1 COPY 到CO欄位'!$1:$1048576,'Over Under Bill 1 COPY 到CO欄位'!BQ$1,0)</f>
        <v>0</v>
      </c>
      <c r="CB33" s="158">
        <f t="shared" si="30"/>
        <v>0</v>
      </c>
      <c r="CC33" s="158">
        <f>VLOOKUP($A33,'Over Under Bill 1 COPY 到CO欄位'!$1:$1048576,'Over Under Bill 1 COPY 到CO欄位'!BX$1,0)-VLOOKUP($A33,'Over Under Bill 1 COPY 到CO欄位'!$1:$1048576,'Over Under Bill 1 COPY 到CO欄位'!BS$1,0)</f>
        <v>0</v>
      </c>
      <c r="CD33" s="158">
        <f t="shared" si="31"/>
        <v>0</v>
      </c>
      <c r="CE33" s="157">
        <f>VLOOKUP($A33,'Over Under Bill 1 COPY 到CO欄位'!$1:$1048576,'Over Under Bill 1 COPY 到CO欄位'!BZ$1,0)-VLOOKUP($A33,'Over Under Bill 1 COPY 到CO欄位'!$1:$1048576,'Over Under Bill 1 COPY 到CO欄位'!BU$1,0)</f>
        <v>0</v>
      </c>
      <c r="CF33" s="157">
        <f>VLOOKUP($A33,'Over Under Bill 1 COPY 到CO欄位'!$1:$1048576,'Over Under Bill 1 COPY 到CO欄位'!CA$1,0)-VLOOKUP($A33,'Over Under Bill 1 COPY 到CO欄位'!$1:$1048576,'Over Under Bill 1 COPY 到CO欄位'!BV$1,0)</f>
        <v>0</v>
      </c>
      <c r="CG33" s="157">
        <f t="shared" si="32"/>
        <v>0</v>
      </c>
      <c r="CH33" s="157">
        <f>VLOOKUP($A33,'Over Under Bill 1 COPY 到CO欄位'!$1:$1048576,'Over Under Bill 1 COPY 到CO欄位'!CC$1,0)-VLOOKUP($A33,'Over Under Bill 1 COPY 到CO欄位'!$1:$1048576,'Over Under Bill 1 COPY 到CO欄位'!BX$1,0)</f>
        <v>0</v>
      </c>
      <c r="CI33" s="157">
        <f t="shared" si="33"/>
        <v>0</v>
      </c>
      <c r="CJ33" s="158">
        <f>VLOOKUP($A33,'Over Under Bill 1 COPY 到CO欄位'!$1:$1048576,'Over Under Bill 1 COPY 到CO欄位'!CE$1,0)-VLOOKUP($A33,'Over Under Bill 1 COPY 到CO欄位'!$1:$1048576,'Over Under Bill 1 COPY 到CO欄位'!BZ$1,0)</f>
        <v>0</v>
      </c>
      <c r="CK33" s="158">
        <f>VLOOKUP($A33,'Over Under Bill 1 COPY 到CO欄位'!$1:$1048576,'Over Under Bill 1 COPY 到CO欄位'!CF$1,0)-VLOOKUP($A33,'Over Under Bill 1 COPY 到CO欄位'!$1:$1048576,'Over Under Bill 1 COPY 到CO欄位'!CA$1,0)</f>
        <v>0</v>
      </c>
      <c r="CL33" s="158">
        <f t="shared" si="34"/>
        <v>0</v>
      </c>
      <c r="CM33" s="158">
        <f>VLOOKUP($A33,'Over Under Bill 1 COPY 到CO欄位'!$1:$1048576,'Over Under Bill 1 COPY 到CO欄位'!CH$1,0)-VLOOKUP($A33,'Over Under Bill 1 COPY 到CO欄位'!$1:$1048576,'Over Under Bill 1 COPY 到CO欄位'!CC$1,0)</f>
        <v>0</v>
      </c>
      <c r="CN33" s="158">
        <f t="shared" si="35"/>
        <v>0</v>
      </c>
      <c r="CO33" s="157">
        <f>VLOOKUP($A33,'Over Under Bill 1 COPY 到CO欄位'!$1:$1048576,'Over Under Bill 1 COPY 到CO欄位'!CJ$1,0)-VLOOKUP($A33,'Over Under Bill 1 COPY 到CO欄位'!$1:$1048576,'Over Under Bill 1 COPY 到CO欄位'!CE$1,0)</f>
        <v>0</v>
      </c>
      <c r="CP33" s="157">
        <f>VLOOKUP($A33,'Over Under Bill 1 COPY 到CO欄位'!$1:$1048576,'Over Under Bill 1 COPY 到CO欄位'!CK$1,0)-VLOOKUP($A33,'Over Under Bill 1 COPY 到CO欄位'!$1:$1048576,'Over Under Bill 1 COPY 到CO欄位'!CF$1,0)</f>
        <v>0</v>
      </c>
      <c r="CQ33" s="157">
        <f t="shared" si="36"/>
        <v>0</v>
      </c>
      <c r="CR33" s="157">
        <f>VLOOKUP($A33,'Over Under Bill 1 COPY 到CO欄位'!$1:$1048576,'Over Under Bill 1 COPY 到CO欄位'!CM$1,0)-VLOOKUP($A33,'Over Under Bill 1 COPY 到CO欄位'!$1:$1048576,'Over Under Bill 1 COPY 到CO欄位'!CH$1,0)</f>
        <v>0</v>
      </c>
      <c r="CS33" s="157">
        <f t="shared" si="37"/>
        <v>0</v>
      </c>
    </row>
    <row r="34" spans="1:97">
      <c r="A34" s="171" t="s">
        <v>365</v>
      </c>
      <c r="B34" s="172" t="s">
        <v>366</v>
      </c>
      <c r="C34" s="157">
        <f>IFERROR(VLOOKUP($A34,'A0 BS 1240在建'!$1:$1048576,5,0),0)</f>
        <v>0</v>
      </c>
      <c r="D34" s="157">
        <f>IFERROR(VLOOKUP($A34,'B0 2264預收'!$1:$1048576,5,0),0)</f>
        <v>0</v>
      </c>
      <c r="E34" s="157">
        <f t="shared" si="0"/>
        <v>0</v>
      </c>
      <c r="F34" s="157">
        <f>IFERROR(VLOOKUP($A34,'B0 2264預收'!$1:$1048576,6,0),0)</f>
        <v>0</v>
      </c>
      <c r="G34" s="157">
        <f t="shared" si="1"/>
        <v>0</v>
      </c>
      <c r="H34" s="158">
        <f>IFERROR(VLOOKUP($A34,'A0 BS 1240在建'!$1:$1048576,13,0),0)-C34</f>
        <v>0</v>
      </c>
      <c r="I34" s="158">
        <f>IFERROR(VLOOKUP($A34,'B0 2264預收'!$1:$1048576,13,0),0)-D34</f>
        <v>0</v>
      </c>
      <c r="J34" s="158">
        <f t="shared" si="2"/>
        <v>0</v>
      </c>
      <c r="K34" s="158">
        <f>IFERROR(VLOOKUP($A34,'B0 2264預收'!$1:$1048576,14,0),0)-F34</f>
        <v>0</v>
      </c>
      <c r="L34" s="158">
        <f t="shared" si="3"/>
        <v>0</v>
      </c>
      <c r="M34" s="157">
        <f>VLOOKUP($A34,'Over Under Bill 1 COPY 到CO欄位'!$1:$1048576,'Over Under Bill 1 COPY 到CO欄位'!M$1,0)-VLOOKUP($A34,'Over Under Bill 1 COPY 到CO欄位'!$1:$1048576,'Over Under Bill 1 COPY 到CO欄位'!H$1,0)</f>
        <v>0</v>
      </c>
      <c r="N34" s="157">
        <f>VLOOKUP($A34,'Over Under Bill 1 COPY 到CO欄位'!$1:$1048576,'Over Under Bill 1 COPY 到CO欄位'!N$1,0)-VLOOKUP($A34,'Over Under Bill 1 COPY 到CO欄位'!$1:$1048576,'Over Under Bill 1 COPY 到CO欄位'!I$1,0)</f>
        <v>0</v>
      </c>
      <c r="O34" s="157">
        <f t="shared" si="4"/>
        <v>0</v>
      </c>
      <c r="P34" s="157">
        <f>VLOOKUP($A34,'Over Under Bill 1 COPY 到CO欄位'!$1:$1048576,'Over Under Bill 1 COPY 到CO欄位'!P$1,0)-VLOOKUP($A34,'Over Under Bill 1 COPY 到CO欄位'!$1:$1048576,'Over Under Bill 1 COPY 到CO欄位'!K$1,0)</f>
        <v>0</v>
      </c>
      <c r="Q34" s="157">
        <f t="shared" si="5"/>
        <v>0</v>
      </c>
      <c r="R34" s="158">
        <f>VLOOKUP($A34,'Over Under Bill 1 COPY 到CO欄位'!$1:$1048576,'Over Under Bill 1 COPY 到CO欄位'!R$1,0)-VLOOKUP($A34,'Over Under Bill 1 COPY 到CO欄位'!$1:$1048576,'Over Under Bill 1 COPY 到CO欄位'!M$1,0)</f>
        <v>0</v>
      </c>
      <c r="S34" s="158">
        <f>VLOOKUP($A34,'Over Under Bill 1 COPY 到CO欄位'!$1:$1048576,'Over Under Bill 1 COPY 到CO欄位'!S$1,0)-VLOOKUP($A34,'Over Under Bill 1 COPY 到CO欄位'!$1:$1048576,'Over Under Bill 1 COPY 到CO欄位'!N$1,0)</f>
        <v>0</v>
      </c>
      <c r="T34" s="158">
        <f t="shared" si="6"/>
        <v>0</v>
      </c>
      <c r="U34" s="158">
        <f>VLOOKUP($A34,'Over Under Bill 1 COPY 到CO欄位'!$1:$1048576,'Over Under Bill 1 COPY 到CO欄位'!U$1,0)-VLOOKUP($A34,'Over Under Bill 1 COPY 到CO欄位'!$1:$1048576,'Over Under Bill 1 COPY 到CO欄位'!P$1,0)</f>
        <v>0</v>
      </c>
      <c r="V34" s="158">
        <f t="shared" si="7"/>
        <v>0</v>
      </c>
      <c r="W34" s="157">
        <f>VLOOKUP($A34,'Over Under Bill 1 COPY 到CO欄位'!$1:$1048576,'Over Under Bill 1 COPY 到CO欄位'!W$1,0)-VLOOKUP($A34,'Over Under Bill 1 COPY 到CO欄位'!$1:$1048576,'Over Under Bill 1 COPY 到CO欄位'!R$1,0)</f>
        <v>0</v>
      </c>
      <c r="X34" s="157">
        <f>VLOOKUP($A34,'Over Under Bill 1 COPY 到CO欄位'!$1:$1048576,'Over Under Bill 1 COPY 到CO欄位'!X$1,0)-VLOOKUP($A34,'Over Under Bill 1 COPY 到CO欄位'!$1:$1048576,'Over Under Bill 1 COPY 到CO欄位'!S$1,0)</f>
        <v>0</v>
      </c>
      <c r="Y34" s="157">
        <f t="shared" si="8"/>
        <v>0</v>
      </c>
      <c r="Z34" s="157">
        <f>VLOOKUP($A34,'Over Under Bill 1 COPY 到CO欄位'!$1:$1048576,'Over Under Bill 1 COPY 到CO欄位'!Z$1,0)-VLOOKUP($A34,'Over Under Bill 1 COPY 到CO欄位'!$1:$1048576,'Over Under Bill 1 COPY 到CO欄位'!U$1,0)</f>
        <v>0</v>
      </c>
      <c r="AA34" s="157">
        <f t="shared" si="9"/>
        <v>0</v>
      </c>
      <c r="AB34" s="158">
        <f>VLOOKUP($A34,'Over Under Bill 1 COPY 到CO欄位'!$1:$1048576,'Over Under Bill 1 COPY 到CO欄位'!AB$1,0)-VLOOKUP($A34,'Over Under Bill 1 COPY 到CO欄位'!$1:$1048576,'Over Under Bill 1 COPY 到CO欄位'!W$1,0)</f>
        <v>0</v>
      </c>
      <c r="AC34" s="158">
        <f>VLOOKUP($A34,'Over Under Bill 1 COPY 到CO欄位'!$1:$1048576,'Over Under Bill 1 COPY 到CO欄位'!AC$1,0)-VLOOKUP($A34,'Over Under Bill 1 COPY 到CO欄位'!$1:$1048576,'Over Under Bill 1 COPY 到CO欄位'!X$1,0)</f>
        <v>0</v>
      </c>
      <c r="AD34" s="158">
        <f t="shared" si="10"/>
        <v>0</v>
      </c>
      <c r="AE34" s="158">
        <f>VLOOKUP($A34,'Over Under Bill 1 COPY 到CO欄位'!$1:$1048576,'Over Under Bill 1 COPY 到CO欄位'!AE$1,0)-VLOOKUP($A34,'Over Under Bill 1 COPY 到CO欄位'!$1:$1048576,'Over Under Bill 1 COPY 到CO欄位'!Z$1,0)</f>
        <v>0</v>
      </c>
      <c r="AF34" s="158">
        <f t="shared" si="11"/>
        <v>0</v>
      </c>
      <c r="AG34" s="157">
        <f>VLOOKUP($A34,'Over Under Bill 1 COPY 到CO欄位'!$1:$1048576,'Over Under Bill 1 COPY 到CO欄位'!AG$1,0)-VLOOKUP($A34,'Over Under Bill 1 COPY 到CO欄位'!$1:$1048576,'Over Under Bill 1 COPY 到CO欄位'!AB$1,0)</f>
        <v>0</v>
      </c>
      <c r="AH34" s="157">
        <f>VLOOKUP($A34,'Over Under Bill 1 COPY 到CO欄位'!$1:$1048576,'Over Under Bill 1 COPY 到CO欄位'!AH$1,0)-VLOOKUP($A34,'Over Under Bill 1 COPY 到CO欄位'!$1:$1048576,'Over Under Bill 1 COPY 到CO欄位'!AC$1,0)</f>
        <v>0</v>
      </c>
      <c r="AI34" s="157">
        <f t="shared" si="12"/>
        <v>0</v>
      </c>
      <c r="AJ34" s="157">
        <f>VLOOKUP($A34,'Over Under Bill 1 COPY 到CO欄位'!$1:$1048576,'Over Under Bill 1 COPY 到CO欄位'!AJ$1,0)-VLOOKUP($A34,'Over Under Bill 1 COPY 到CO欄位'!$1:$1048576,'Over Under Bill 1 COPY 到CO欄位'!AE$1,0)</f>
        <v>0</v>
      </c>
      <c r="AK34" s="157">
        <f t="shared" si="13"/>
        <v>0</v>
      </c>
      <c r="AL34" s="158">
        <f>VLOOKUP($A34,'Over Under Bill 1 COPY 到CO欄位'!$1:$1048576,'Over Under Bill 1 COPY 到CO欄位'!AL$1,0)-VLOOKUP($A34,'Over Under Bill 1 COPY 到CO欄位'!$1:$1048576,'Over Under Bill 1 COPY 到CO欄位'!AG$1,0)</f>
        <v>0</v>
      </c>
      <c r="AM34" s="158">
        <f>VLOOKUP($A34,'Over Under Bill 1 COPY 到CO欄位'!$1:$1048576,'Over Under Bill 1 COPY 到CO欄位'!AM$1,0)-VLOOKUP($A34,'Over Under Bill 1 COPY 到CO欄位'!$1:$1048576,'Over Under Bill 1 COPY 到CO欄位'!AH$1,0)</f>
        <v>0</v>
      </c>
      <c r="AN34" s="158">
        <f t="shared" si="14"/>
        <v>0</v>
      </c>
      <c r="AO34" s="158">
        <f>VLOOKUP($A34,'Over Under Bill 1 COPY 到CO欄位'!$1:$1048576,'Over Under Bill 1 COPY 到CO欄位'!AO$1,0)-VLOOKUP($A34,'Over Under Bill 1 COPY 到CO欄位'!$1:$1048576,'Over Under Bill 1 COPY 到CO欄位'!AJ$1,0)</f>
        <v>0</v>
      </c>
      <c r="AP34" s="158">
        <f t="shared" si="15"/>
        <v>0</v>
      </c>
      <c r="AQ34" s="157">
        <f>VLOOKUP($A34,'Over Under Bill 1 COPY 到CO欄位'!$1:$1048576,'Over Under Bill 1 COPY 到CO欄位'!AQ$1,0)-VLOOKUP($A34,'Over Under Bill 1 COPY 到CO欄位'!$1:$1048576,'Over Under Bill 1 COPY 到CO欄位'!AL$1,0)</f>
        <v>0</v>
      </c>
      <c r="AR34" s="157">
        <f>VLOOKUP($A34,'Over Under Bill 1 COPY 到CO欄位'!$1:$1048576,'Over Under Bill 1 COPY 到CO欄位'!AR$1,0)-VLOOKUP($A34,'Over Under Bill 1 COPY 到CO欄位'!$1:$1048576,'Over Under Bill 1 COPY 到CO欄位'!AM$1,0)</f>
        <v>0</v>
      </c>
      <c r="AS34" s="157">
        <f t="shared" si="16"/>
        <v>0</v>
      </c>
      <c r="AT34" s="157">
        <f>VLOOKUP($A34,'Over Under Bill 1 COPY 到CO欄位'!$1:$1048576,'Over Under Bill 1 COPY 到CO欄位'!AT$1,0)-VLOOKUP($A34,'Over Under Bill 1 COPY 到CO欄位'!$1:$1048576,'Over Under Bill 1 COPY 到CO欄位'!AO$1,0)</f>
        <v>0</v>
      </c>
      <c r="AU34" s="157">
        <f t="shared" si="17"/>
        <v>0</v>
      </c>
      <c r="AV34" s="158">
        <f>VLOOKUP($A34,'Over Under Bill 1 COPY 到CO欄位'!$1:$1048576,'Over Under Bill 1 COPY 到CO欄位'!AV$1,0)-VLOOKUP($A34,'Over Under Bill 1 COPY 到CO欄位'!$1:$1048576,'Over Under Bill 1 COPY 到CO欄位'!AQ$1,0)</f>
        <v>0</v>
      </c>
      <c r="AW34" s="158">
        <f>VLOOKUP($A34,'Over Under Bill 1 COPY 到CO欄位'!$1:$1048576,'Over Under Bill 1 COPY 到CO欄位'!AW$1,0)-VLOOKUP($A34,'Over Under Bill 1 COPY 到CO欄位'!$1:$1048576,'Over Under Bill 1 COPY 到CO欄位'!AR$1,0)</f>
        <v>0</v>
      </c>
      <c r="AX34" s="158">
        <f t="shared" si="18"/>
        <v>0</v>
      </c>
      <c r="AY34" s="158">
        <f>VLOOKUP($A34,'Over Under Bill 1 COPY 到CO欄位'!$1:$1048576,'Over Under Bill 1 COPY 到CO欄位'!AY$1,0)-VLOOKUP($A34,'Over Under Bill 1 COPY 到CO欄位'!$1:$1048576,'Over Under Bill 1 COPY 到CO欄位'!AT$1,0)</f>
        <v>0</v>
      </c>
      <c r="AZ34" s="158">
        <f t="shared" si="19"/>
        <v>0</v>
      </c>
      <c r="BA34" s="157">
        <f>VLOOKUP($A34,'Over Under Bill 1 COPY 到CO欄位'!$1:$1048576,'Over Under Bill 1 COPY 到CO欄位'!BA$1,0)-VLOOKUP($A34,'Over Under Bill 1 COPY 到CO欄位'!$1:$1048576,'Over Under Bill 1 COPY 到CO欄位'!AV$1,0)</f>
        <v>0</v>
      </c>
      <c r="BB34" s="157">
        <f>VLOOKUP($A34,'Over Under Bill 1 COPY 到CO欄位'!$1:$1048576,'Over Under Bill 1 COPY 到CO欄位'!BB$1,0)-VLOOKUP($A34,'Over Under Bill 1 COPY 到CO欄位'!$1:$1048576,'Over Under Bill 1 COPY 到CO欄位'!AW$1,0)</f>
        <v>0</v>
      </c>
      <c r="BC34" s="157">
        <f t="shared" si="20"/>
        <v>0</v>
      </c>
      <c r="BD34" s="157">
        <f>VLOOKUP($A34,'Over Under Bill 1 COPY 到CO欄位'!$1:$1048576,'Over Under Bill 1 COPY 到CO欄位'!BD$1,0)-VLOOKUP($A34,'Over Under Bill 1 COPY 到CO欄位'!$1:$1048576,'Over Under Bill 1 COPY 到CO欄位'!AY$1,0)</f>
        <v>0</v>
      </c>
      <c r="BE34" s="157">
        <f t="shared" si="21"/>
        <v>0</v>
      </c>
      <c r="BF34" s="158">
        <f>VLOOKUP($A34,'Over Under Bill 1 COPY 到CO欄位'!$1:$1048576,'Over Under Bill 1 COPY 到CO欄位'!BF$1,0)-VLOOKUP($A34,'Over Under Bill 1 COPY 到CO欄位'!$1:$1048576,'Over Under Bill 1 COPY 到CO欄位'!BA$1,0)</f>
        <v>0</v>
      </c>
      <c r="BG34" s="158">
        <f>VLOOKUP($A34,'Over Under Bill 1 COPY 到CO欄位'!$1:$1048576,'Over Under Bill 1 COPY 到CO欄位'!BG$1,0)-VLOOKUP($A34,'Over Under Bill 1 COPY 到CO欄位'!$1:$1048576,'Over Under Bill 1 COPY 到CO欄位'!BB$1,0)</f>
        <v>0</v>
      </c>
      <c r="BH34" s="158">
        <f t="shared" si="22"/>
        <v>0</v>
      </c>
      <c r="BI34" s="158">
        <f>VLOOKUP($A34,'Over Under Bill 1 COPY 到CO欄位'!$1:$1048576,'Over Under Bill 1 COPY 到CO欄位'!BI$1,0)-VLOOKUP($A34,'Over Under Bill 1 COPY 到CO欄位'!$1:$1048576,'Over Under Bill 1 COPY 到CO欄位'!BD$1,0)</f>
        <v>0</v>
      </c>
      <c r="BJ34" s="158">
        <f t="shared" si="23"/>
        <v>0</v>
      </c>
      <c r="BK34" s="157">
        <f>VLOOKUP($A34,'Over Under Bill 1 COPY 到CO欄位'!$1:$1048576,'Over Under Bill 1 COPY 到CO欄位'!BK$1,0)-VLOOKUP($A34,'Over Under Bill 1 COPY 到CO欄位'!$1:$1048576,'Over Under Bill 1 COPY 到CO欄位'!BF$1,0)</f>
        <v>0</v>
      </c>
      <c r="BL34" s="157">
        <f>VLOOKUP($A34,'Over Under Bill 1 COPY 到CO欄位'!$1:$1048576,'Over Under Bill 1 COPY 到CO欄位'!BL$1,0)-VLOOKUP($A34,'Over Under Bill 1 COPY 到CO欄位'!$1:$1048576,'Over Under Bill 1 COPY 到CO欄位'!BG$1,0)</f>
        <v>0</v>
      </c>
      <c r="BM34" s="157">
        <f t="shared" si="24"/>
        <v>0</v>
      </c>
      <c r="BN34" s="157">
        <f>VLOOKUP($A34,'Over Under Bill 1 COPY 到CO欄位'!$1:$1048576,'Over Under Bill 1 COPY 到CO欄位'!BN$1,0)-VLOOKUP($A34,'Over Under Bill 1 COPY 到CO欄位'!$1:$1048576,'Over Under Bill 1 COPY 到CO欄位'!BI$1,0)</f>
        <v>0</v>
      </c>
      <c r="BO34" s="157">
        <f t="shared" si="25"/>
        <v>0</v>
      </c>
      <c r="BP34" s="158">
        <f>VLOOKUP($A34,'Over Under Bill 1 COPY 到CO欄位'!$1:$1048576,'Over Under Bill 1 COPY 到CO欄位'!BP$1,0)-VLOOKUP($A34,'Over Under Bill 1 COPY 到CO欄位'!$1:$1048576,'Over Under Bill 1 COPY 到CO欄位'!BK$1,0)</f>
        <v>0</v>
      </c>
      <c r="BQ34" s="158">
        <f>VLOOKUP($A34,'Over Under Bill 1 COPY 到CO欄位'!$1:$1048576,'Over Under Bill 1 COPY 到CO欄位'!BQ$1,0)-VLOOKUP($A34,'Over Under Bill 1 COPY 到CO欄位'!$1:$1048576,'Over Under Bill 1 COPY 到CO欄位'!BL$1,0)</f>
        <v>0</v>
      </c>
      <c r="BR34" s="158">
        <f t="shared" si="26"/>
        <v>0</v>
      </c>
      <c r="BS34" s="158">
        <f>VLOOKUP($A34,'Over Under Bill 1 COPY 到CO欄位'!$1:$1048576,'Over Under Bill 1 COPY 到CO欄位'!BS$1,0)-VLOOKUP($A34,'Over Under Bill 1 COPY 到CO欄位'!$1:$1048576,'Over Under Bill 1 COPY 到CO欄位'!BN$1,0)</f>
        <v>0</v>
      </c>
      <c r="BT34" s="158">
        <f t="shared" si="27"/>
        <v>0</v>
      </c>
      <c r="BU34" s="157">
        <f>VLOOKUP($A34,'Over Under Bill 1 COPY 到CO欄位'!$1:$1048576,'Over Under Bill 1 COPY 到CO欄位'!BP$1,0)-VLOOKUP($A34,'Over Under Bill 1 COPY 到CO欄位'!$1:$1048576,'Over Under Bill 1 COPY 到CO欄位'!H$1,0)</f>
        <v>0</v>
      </c>
      <c r="BV34" s="157">
        <f>VLOOKUP($A34,'Over Under Bill 1 COPY 到CO欄位'!$1:$1048576,'Over Under Bill 1 COPY 到CO欄位'!BQ$1,0)-VLOOKUP($A34,'Over Under Bill 1 COPY 到CO欄位'!$1:$1048576,'Over Under Bill 1 COPY 到CO欄位'!I$1,0)</f>
        <v>0</v>
      </c>
      <c r="BW34" s="157">
        <f t="shared" si="28"/>
        <v>0</v>
      </c>
      <c r="BX34" s="157">
        <f>VLOOKUP($A34,'Over Under Bill 1 COPY 到CO欄位'!$1:$1048576,'Over Under Bill 1 COPY 到CO欄位'!BS$1,0)-VLOOKUP($A34,'Over Under Bill 1 COPY 到CO欄位'!$1:$1048576,'Over Under Bill 1 COPY 到CO欄位'!K$1,0)</f>
        <v>0</v>
      </c>
      <c r="BY34" s="157">
        <f t="shared" si="29"/>
        <v>0</v>
      </c>
      <c r="BZ34" s="158">
        <f>VLOOKUP($A34,'Over Under Bill 1 COPY 到CO欄位'!$1:$1048576,'Over Under Bill 1 COPY 到CO欄位'!BU$1,0)-VLOOKUP($A34,'Over Under Bill 1 COPY 到CO欄位'!$1:$1048576,'Over Under Bill 1 COPY 到CO欄位'!BP$1,0)</f>
        <v>0</v>
      </c>
      <c r="CA34" s="158">
        <f>VLOOKUP($A34,'Over Under Bill 1 COPY 到CO欄位'!$1:$1048576,'Over Under Bill 1 COPY 到CO欄位'!BV$1,0)-VLOOKUP($A34,'Over Under Bill 1 COPY 到CO欄位'!$1:$1048576,'Over Under Bill 1 COPY 到CO欄位'!BQ$1,0)</f>
        <v>0</v>
      </c>
      <c r="CB34" s="158">
        <f t="shared" si="30"/>
        <v>0</v>
      </c>
      <c r="CC34" s="158">
        <f>VLOOKUP($A34,'Over Under Bill 1 COPY 到CO欄位'!$1:$1048576,'Over Under Bill 1 COPY 到CO欄位'!BX$1,0)-VLOOKUP($A34,'Over Under Bill 1 COPY 到CO欄位'!$1:$1048576,'Over Under Bill 1 COPY 到CO欄位'!BS$1,0)</f>
        <v>0</v>
      </c>
      <c r="CD34" s="158">
        <f t="shared" si="31"/>
        <v>0</v>
      </c>
      <c r="CE34" s="157">
        <f>VLOOKUP($A34,'Over Under Bill 1 COPY 到CO欄位'!$1:$1048576,'Over Under Bill 1 COPY 到CO欄位'!BZ$1,0)-VLOOKUP($A34,'Over Under Bill 1 COPY 到CO欄位'!$1:$1048576,'Over Under Bill 1 COPY 到CO欄位'!BU$1,0)</f>
        <v>0</v>
      </c>
      <c r="CF34" s="157">
        <f>VLOOKUP($A34,'Over Under Bill 1 COPY 到CO欄位'!$1:$1048576,'Over Under Bill 1 COPY 到CO欄位'!CA$1,0)-VLOOKUP($A34,'Over Under Bill 1 COPY 到CO欄位'!$1:$1048576,'Over Under Bill 1 COPY 到CO欄位'!BV$1,0)</f>
        <v>0</v>
      </c>
      <c r="CG34" s="157">
        <f t="shared" si="32"/>
        <v>0</v>
      </c>
      <c r="CH34" s="157">
        <f>VLOOKUP($A34,'Over Under Bill 1 COPY 到CO欄位'!$1:$1048576,'Over Under Bill 1 COPY 到CO欄位'!CC$1,0)-VLOOKUP($A34,'Over Under Bill 1 COPY 到CO欄位'!$1:$1048576,'Over Under Bill 1 COPY 到CO欄位'!BX$1,0)</f>
        <v>0</v>
      </c>
      <c r="CI34" s="157">
        <f t="shared" si="33"/>
        <v>0</v>
      </c>
      <c r="CJ34" s="158">
        <f>VLOOKUP($A34,'Over Under Bill 1 COPY 到CO欄位'!$1:$1048576,'Over Under Bill 1 COPY 到CO欄位'!CE$1,0)-VLOOKUP($A34,'Over Under Bill 1 COPY 到CO欄位'!$1:$1048576,'Over Under Bill 1 COPY 到CO欄位'!BZ$1,0)</f>
        <v>0</v>
      </c>
      <c r="CK34" s="158">
        <f>VLOOKUP($A34,'Over Under Bill 1 COPY 到CO欄位'!$1:$1048576,'Over Under Bill 1 COPY 到CO欄位'!CF$1,0)-VLOOKUP($A34,'Over Under Bill 1 COPY 到CO欄位'!$1:$1048576,'Over Under Bill 1 COPY 到CO欄位'!CA$1,0)</f>
        <v>0</v>
      </c>
      <c r="CL34" s="158">
        <f t="shared" si="34"/>
        <v>0</v>
      </c>
      <c r="CM34" s="158">
        <f>VLOOKUP($A34,'Over Under Bill 1 COPY 到CO欄位'!$1:$1048576,'Over Under Bill 1 COPY 到CO欄位'!CH$1,0)-VLOOKUP($A34,'Over Under Bill 1 COPY 到CO欄位'!$1:$1048576,'Over Under Bill 1 COPY 到CO欄位'!CC$1,0)</f>
        <v>0</v>
      </c>
      <c r="CN34" s="158">
        <f t="shared" si="35"/>
        <v>0</v>
      </c>
      <c r="CO34" s="157">
        <f>VLOOKUP($A34,'Over Under Bill 1 COPY 到CO欄位'!$1:$1048576,'Over Under Bill 1 COPY 到CO欄位'!CJ$1,0)-VLOOKUP($A34,'Over Under Bill 1 COPY 到CO欄位'!$1:$1048576,'Over Under Bill 1 COPY 到CO欄位'!CE$1,0)</f>
        <v>0</v>
      </c>
      <c r="CP34" s="157">
        <f>VLOOKUP($A34,'Over Under Bill 1 COPY 到CO欄位'!$1:$1048576,'Over Under Bill 1 COPY 到CO欄位'!CK$1,0)-VLOOKUP($A34,'Over Under Bill 1 COPY 到CO欄位'!$1:$1048576,'Over Under Bill 1 COPY 到CO欄位'!CF$1,0)</f>
        <v>0</v>
      </c>
      <c r="CQ34" s="157">
        <f t="shared" si="36"/>
        <v>0</v>
      </c>
      <c r="CR34" s="157">
        <f>VLOOKUP($A34,'Over Under Bill 1 COPY 到CO欄位'!$1:$1048576,'Over Under Bill 1 COPY 到CO欄位'!CM$1,0)-VLOOKUP($A34,'Over Under Bill 1 COPY 到CO欄位'!$1:$1048576,'Over Under Bill 1 COPY 到CO欄位'!CH$1,0)</f>
        <v>0</v>
      </c>
      <c r="CS34" s="157">
        <f t="shared" si="37"/>
        <v>0</v>
      </c>
    </row>
    <row r="35" spans="1:97">
      <c r="A35" s="171" t="s">
        <v>367</v>
      </c>
      <c r="B35" s="172" t="s">
        <v>368</v>
      </c>
      <c r="C35" s="157">
        <f>IFERROR(VLOOKUP($A35,'A0 BS 1240在建'!$1:$1048576,5,0),0)</f>
        <v>0</v>
      </c>
      <c r="D35" s="157">
        <f>IFERROR(VLOOKUP($A35,'B0 2264預收'!$1:$1048576,5,0),0)</f>
        <v>0</v>
      </c>
      <c r="E35" s="157">
        <f t="shared" si="0"/>
        <v>0</v>
      </c>
      <c r="F35" s="157">
        <f>IFERROR(VLOOKUP($A35,'B0 2264預收'!$1:$1048576,6,0),0)</f>
        <v>0</v>
      </c>
      <c r="G35" s="157">
        <f t="shared" si="1"/>
        <v>0</v>
      </c>
      <c r="H35" s="158">
        <f>IFERROR(VLOOKUP($A35,'A0 BS 1240在建'!$1:$1048576,13,0),0)-C35</f>
        <v>0</v>
      </c>
      <c r="I35" s="158">
        <f>IFERROR(VLOOKUP($A35,'B0 2264預收'!$1:$1048576,13,0),0)-D35</f>
        <v>0</v>
      </c>
      <c r="J35" s="158">
        <f t="shared" si="2"/>
        <v>0</v>
      </c>
      <c r="K35" s="158">
        <f>IFERROR(VLOOKUP($A35,'B0 2264預收'!$1:$1048576,14,0),0)-F35</f>
        <v>0</v>
      </c>
      <c r="L35" s="158">
        <f t="shared" si="3"/>
        <v>0</v>
      </c>
      <c r="M35" s="157">
        <f>VLOOKUP($A35,'Over Under Bill 1 COPY 到CO欄位'!$1:$1048576,'Over Under Bill 1 COPY 到CO欄位'!M$1,0)-VLOOKUP($A35,'Over Under Bill 1 COPY 到CO欄位'!$1:$1048576,'Over Under Bill 1 COPY 到CO欄位'!H$1,0)</f>
        <v>0</v>
      </c>
      <c r="N35" s="157">
        <f>VLOOKUP($A35,'Over Under Bill 1 COPY 到CO欄位'!$1:$1048576,'Over Under Bill 1 COPY 到CO欄位'!N$1,0)-VLOOKUP($A35,'Over Under Bill 1 COPY 到CO欄位'!$1:$1048576,'Over Under Bill 1 COPY 到CO欄位'!I$1,0)</f>
        <v>0</v>
      </c>
      <c r="O35" s="157">
        <f t="shared" si="4"/>
        <v>0</v>
      </c>
      <c r="P35" s="157">
        <f>VLOOKUP($A35,'Over Under Bill 1 COPY 到CO欄位'!$1:$1048576,'Over Under Bill 1 COPY 到CO欄位'!P$1,0)-VLOOKUP($A35,'Over Under Bill 1 COPY 到CO欄位'!$1:$1048576,'Over Under Bill 1 COPY 到CO欄位'!K$1,0)</f>
        <v>0</v>
      </c>
      <c r="Q35" s="157">
        <f t="shared" si="5"/>
        <v>0</v>
      </c>
      <c r="R35" s="158">
        <f>VLOOKUP($A35,'Over Under Bill 1 COPY 到CO欄位'!$1:$1048576,'Over Under Bill 1 COPY 到CO欄位'!R$1,0)-VLOOKUP($A35,'Over Under Bill 1 COPY 到CO欄位'!$1:$1048576,'Over Under Bill 1 COPY 到CO欄位'!M$1,0)</f>
        <v>0</v>
      </c>
      <c r="S35" s="158">
        <f>VLOOKUP($A35,'Over Under Bill 1 COPY 到CO欄位'!$1:$1048576,'Over Under Bill 1 COPY 到CO欄位'!S$1,0)-VLOOKUP($A35,'Over Under Bill 1 COPY 到CO欄位'!$1:$1048576,'Over Under Bill 1 COPY 到CO欄位'!N$1,0)</f>
        <v>0</v>
      </c>
      <c r="T35" s="158">
        <f t="shared" si="6"/>
        <v>0</v>
      </c>
      <c r="U35" s="158">
        <f>VLOOKUP($A35,'Over Under Bill 1 COPY 到CO欄位'!$1:$1048576,'Over Under Bill 1 COPY 到CO欄位'!U$1,0)-VLOOKUP($A35,'Over Under Bill 1 COPY 到CO欄位'!$1:$1048576,'Over Under Bill 1 COPY 到CO欄位'!P$1,0)</f>
        <v>0</v>
      </c>
      <c r="V35" s="158">
        <f t="shared" si="7"/>
        <v>0</v>
      </c>
      <c r="W35" s="157">
        <f>VLOOKUP($A35,'Over Under Bill 1 COPY 到CO欄位'!$1:$1048576,'Over Under Bill 1 COPY 到CO欄位'!W$1,0)-VLOOKUP($A35,'Over Under Bill 1 COPY 到CO欄位'!$1:$1048576,'Over Under Bill 1 COPY 到CO欄位'!R$1,0)</f>
        <v>0</v>
      </c>
      <c r="X35" s="157">
        <f>VLOOKUP($A35,'Over Under Bill 1 COPY 到CO欄位'!$1:$1048576,'Over Under Bill 1 COPY 到CO欄位'!X$1,0)-VLOOKUP($A35,'Over Under Bill 1 COPY 到CO欄位'!$1:$1048576,'Over Under Bill 1 COPY 到CO欄位'!S$1,0)</f>
        <v>0</v>
      </c>
      <c r="Y35" s="157">
        <f t="shared" si="8"/>
        <v>0</v>
      </c>
      <c r="Z35" s="157">
        <f>VLOOKUP($A35,'Over Under Bill 1 COPY 到CO欄位'!$1:$1048576,'Over Under Bill 1 COPY 到CO欄位'!Z$1,0)-VLOOKUP($A35,'Over Under Bill 1 COPY 到CO欄位'!$1:$1048576,'Over Under Bill 1 COPY 到CO欄位'!U$1,0)</f>
        <v>0</v>
      </c>
      <c r="AA35" s="157">
        <f t="shared" si="9"/>
        <v>0</v>
      </c>
      <c r="AB35" s="158">
        <f>VLOOKUP($A35,'Over Under Bill 1 COPY 到CO欄位'!$1:$1048576,'Over Under Bill 1 COPY 到CO欄位'!AB$1,0)-VLOOKUP($A35,'Over Under Bill 1 COPY 到CO欄位'!$1:$1048576,'Over Under Bill 1 COPY 到CO欄位'!W$1,0)</f>
        <v>0</v>
      </c>
      <c r="AC35" s="158">
        <f>VLOOKUP($A35,'Over Under Bill 1 COPY 到CO欄位'!$1:$1048576,'Over Under Bill 1 COPY 到CO欄位'!AC$1,0)-VLOOKUP($A35,'Over Under Bill 1 COPY 到CO欄位'!$1:$1048576,'Over Under Bill 1 COPY 到CO欄位'!X$1,0)</f>
        <v>0</v>
      </c>
      <c r="AD35" s="158">
        <f t="shared" si="10"/>
        <v>0</v>
      </c>
      <c r="AE35" s="158">
        <f>VLOOKUP($A35,'Over Under Bill 1 COPY 到CO欄位'!$1:$1048576,'Over Under Bill 1 COPY 到CO欄位'!AE$1,0)-VLOOKUP($A35,'Over Under Bill 1 COPY 到CO欄位'!$1:$1048576,'Over Under Bill 1 COPY 到CO欄位'!Z$1,0)</f>
        <v>0</v>
      </c>
      <c r="AF35" s="158">
        <f t="shared" si="11"/>
        <v>0</v>
      </c>
      <c r="AG35" s="157">
        <f>VLOOKUP($A35,'Over Under Bill 1 COPY 到CO欄位'!$1:$1048576,'Over Under Bill 1 COPY 到CO欄位'!AG$1,0)-VLOOKUP($A35,'Over Under Bill 1 COPY 到CO欄位'!$1:$1048576,'Over Under Bill 1 COPY 到CO欄位'!AB$1,0)</f>
        <v>0</v>
      </c>
      <c r="AH35" s="157">
        <f>VLOOKUP($A35,'Over Under Bill 1 COPY 到CO欄位'!$1:$1048576,'Over Under Bill 1 COPY 到CO欄位'!AH$1,0)-VLOOKUP($A35,'Over Under Bill 1 COPY 到CO欄位'!$1:$1048576,'Over Under Bill 1 COPY 到CO欄位'!AC$1,0)</f>
        <v>0</v>
      </c>
      <c r="AI35" s="157">
        <f t="shared" si="12"/>
        <v>0</v>
      </c>
      <c r="AJ35" s="157">
        <f>VLOOKUP($A35,'Over Under Bill 1 COPY 到CO欄位'!$1:$1048576,'Over Under Bill 1 COPY 到CO欄位'!AJ$1,0)-VLOOKUP($A35,'Over Under Bill 1 COPY 到CO欄位'!$1:$1048576,'Over Under Bill 1 COPY 到CO欄位'!AE$1,0)</f>
        <v>0</v>
      </c>
      <c r="AK35" s="157">
        <f t="shared" si="13"/>
        <v>0</v>
      </c>
      <c r="AL35" s="158">
        <f>VLOOKUP($A35,'Over Under Bill 1 COPY 到CO欄位'!$1:$1048576,'Over Under Bill 1 COPY 到CO欄位'!AL$1,0)-VLOOKUP($A35,'Over Under Bill 1 COPY 到CO欄位'!$1:$1048576,'Over Under Bill 1 COPY 到CO欄位'!AG$1,0)</f>
        <v>0</v>
      </c>
      <c r="AM35" s="158">
        <f>VLOOKUP($A35,'Over Under Bill 1 COPY 到CO欄位'!$1:$1048576,'Over Under Bill 1 COPY 到CO欄位'!AM$1,0)-VLOOKUP($A35,'Over Under Bill 1 COPY 到CO欄位'!$1:$1048576,'Over Under Bill 1 COPY 到CO欄位'!AH$1,0)</f>
        <v>0</v>
      </c>
      <c r="AN35" s="158">
        <f t="shared" si="14"/>
        <v>0</v>
      </c>
      <c r="AO35" s="158">
        <f>VLOOKUP($A35,'Over Under Bill 1 COPY 到CO欄位'!$1:$1048576,'Over Under Bill 1 COPY 到CO欄位'!AO$1,0)-VLOOKUP($A35,'Over Under Bill 1 COPY 到CO欄位'!$1:$1048576,'Over Under Bill 1 COPY 到CO欄位'!AJ$1,0)</f>
        <v>0</v>
      </c>
      <c r="AP35" s="158">
        <f t="shared" si="15"/>
        <v>0</v>
      </c>
      <c r="AQ35" s="157">
        <f>VLOOKUP($A35,'Over Under Bill 1 COPY 到CO欄位'!$1:$1048576,'Over Under Bill 1 COPY 到CO欄位'!AQ$1,0)-VLOOKUP($A35,'Over Under Bill 1 COPY 到CO欄位'!$1:$1048576,'Over Under Bill 1 COPY 到CO欄位'!AL$1,0)</f>
        <v>0</v>
      </c>
      <c r="AR35" s="157">
        <f>VLOOKUP($A35,'Over Under Bill 1 COPY 到CO欄位'!$1:$1048576,'Over Under Bill 1 COPY 到CO欄位'!AR$1,0)-VLOOKUP($A35,'Over Under Bill 1 COPY 到CO欄位'!$1:$1048576,'Over Under Bill 1 COPY 到CO欄位'!AM$1,0)</f>
        <v>0</v>
      </c>
      <c r="AS35" s="157">
        <f t="shared" si="16"/>
        <v>0</v>
      </c>
      <c r="AT35" s="157">
        <f>VLOOKUP($A35,'Over Under Bill 1 COPY 到CO欄位'!$1:$1048576,'Over Under Bill 1 COPY 到CO欄位'!AT$1,0)-VLOOKUP($A35,'Over Under Bill 1 COPY 到CO欄位'!$1:$1048576,'Over Under Bill 1 COPY 到CO欄位'!AO$1,0)</f>
        <v>0</v>
      </c>
      <c r="AU35" s="157">
        <f t="shared" si="17"/>
        <v>0</v>
      </c>
      <c r="AV35" s="158">
        <f>VLOOKUP($A35,'Over Under Bill 1 COPY 到CO欄位'!$1:$1048576,'Over Under Bill 1 COPY 到CO欄位'!AV$1,0)-VLOOKUP($A35,'Over Under Bill 1 COPY 到CO欄位'!$1:$1048576,'Over Under Bill 1 COPY 到CO欄位'!AQ$1,0)</f>
        <v>0</v>
      </c>
      <c r="AW35" s="158">
        <f>VLOOKUP($A35,'Over Under Bill 1 COPY 到CO欄位'!$1:$1048576,'Over Under Bill 1 COPY 到CO欄位'!AW$1,0)-VLOOKUP($A35,'Over Under Bill 1 COPY 到CO欄位'!$1:$1048576,'Over Under Bill 1 COPY 到CO欄位'!AR$1,0)</f>
        <v>0</v>
      </c>
      <c r="AX35" s="158">
        <f t="shared" si="18"/>
        <v>0</v>
      </c>
      <c r="AY35" s="158">
        <f>VLOOKUP($A35,'Over Under Bill 1 COPY 到CO欄位'!$1:$1048576,'Over Under Bill 1 COPY 到CO欄位'!AY$1,0)-VLOOKUP($A35,'Over Under Bill 1 COPY 到CO欄位'!$1:$1048576,'Over Under Bill 1 COPY 到CO欄位'!AT$1,0)</f>
        <v>0</v>
      </c>
      <c r="AZ35" s="158">
        <f t="shared" si="19"/>
        <v>0</v>
      </c>
      <c r="BA35" s="157">
        <f>VLOOKUP($A35,'Over Under Bill 1 COPY 到CO欄位'!$1:$1048576,'Over Under Bill 1 COPY 到CO欄位'!BA$1,0)-VLOOKUP($A35,'Over Under Bill 1 COPY 到CO欄位'!$1:$1048576,'Over Under Bill 1 COPY 到CO欄位'!AV$1,0)</f>
        <v>0</v>
      </c>
      <c r="BB35" s="157">
        <f>VLOOKUP($A35,'Over Under Bill 1 COPY 到CO欄位'!$1:$1048576,'Over Under Bill 1 COPY 到CO欄位'!BB$1,0)-VLOOKUP($A35,'Over Under Bill 1 COPY 到CO欄位'!$1:$1048576,'Over Under Bill 1 COPY 到CO欄位'!AW$1,0)</f>
        <v>0</v>
      </c>
      <c r="BC35" s="157">
        <f t="shared" si="20"/>
        <v>0</v>
      </c>
      <c r="BD35" s="157">
        <f>VLOOKUP($A35,'Over Under Bill 1 COPY 到CO欄位'!$1:$1048576,'Over Under Bill 1 COPY 到CO欄位'!BD$1,0)-VLOOKUP($A35,'Over Under Bill 1 COPY 到CO欄位'!$1:$1048576,'Over Under Bill 1 COPY 到CO欄位'!AY$1,0)</f>
        <v>0</v>
      </c>
      <c r="BE35" s="157">
        <f t="shared" si="21"/>
        <v>0</v>
      </c>
      <c r="BF35" s="158">
        <f>VLOOKUP($A35,'Over Under Bill 1 COPY 到CO欄位'!$1:$1048576,'Over Under Bill 1 COPY 到CO欄位'!BF$1,0)-VLOOKUP($A35,'Over Under Bill 1 COPY 到CO欄位'!$1:$1048576,'Over Under Bill 1 COPY 到CO欄位'!BA$1,0)</f>
        <v>0</v>
      </c>
      <c r="BG35" s="158">
        <f>VLOOKUP($A35,'Over Under Bill 1 COPY 到CO欄位'!$1:$1048576,'Over Under Bill 1 COPY 到CO欄位'!BG$1,0)-VLOOKUP($A35,'Over Under Bill 1 COPY 到CO欄位'!$1:$1048576,'Over Under Bill 1 COPY 到CO欄位'!BB$1,0)</f>
        <v>0</v>
      </c>
      <c r="BH35" s="158">
        <f t="shared" si="22"/>
        <v>0</v>
      </c>
      <c r="BI35" s="158">
        <f>VLOOKUP($A35,'Over Under Bill 1 COPY 到CO欄位'!$1:$1048576,'Over Under Bill 1 COPY 到CO欄位'!BI$1,0)-VLOOKUP($A35,'Over Under Bill 1 COPY 到CO欄位'!$1:$1048576,'Over Under Bill 1 COPY 到CO欄位'!BD$1,0)</f>
        <v>0</v>
      </c>
      <c r="BJ35" s="158">
        <f t="shared" si="23"/>
        <v>0</v>
      </c>
      <c r="BK35" s="157">
        <f>VLOOKUP($A35,'Over Under Bill 1 COPY 到CO欄位'!$1:$1048576,'Over Under Bill 1 COPY 到CO欄位'!BK$1,0)-VLOOKUP($A35,'Over Under Bill 1 COPY 到CO欄位'!$1:$1048576,'Over Under Bill 1 COPY 到CO欄位'!BF$1,0)</f>
        <v>0</v>
      </c>
      <c r="BL35" s="157">
        <f>VLOOKUP($A35,'Over Under Bill 1 COPY 到CO欄位'!$1:$1048576,'Over Under Bill 1 COPY 到CO欄位'!BL$1,0)-VLOOKUP($A35,'Over Under Bill 1 COPY 到CO欄位'!$1:$1048576,'Over Under Bill 1 COPY 到CO欄位'!BG$1,0)</f>
        <v>0</v>
      </c>
      <c r="BM35" s="157">
        <f t="shared" si="24"/>
        <v>0</v>
      </c>
      <c r="BN35" s="157">
        <f>VLOOKUP($A35,'Over Under Bill 1 COPY 到CO欄位'!$1:$1048576,'Over Under Bill 1 COPY 到CO欄位'!BN$1,0)-VLOOKUP($A35,'Over Under Bill 1 COPY 到CO欄位'!$1:$1048576,'Over Under Bill 1 COPY 到CO欄位'!BI$1,0)</f>
        <v>0</v>
      </c>
      <c r="BO35" s="157">
        <f t="shared" si="25"/>
        <v>0</v>
      </c>
      <c r="BP35" s="158">
        <f>VLOOKUP($A35,'Over Under Bill 1 COPY 到CO欄位'!$1:$1048576,'Over Under Bill 1 COPY 到CO欄位'!BP$1,0)-VLOOKUP($A35,'Over Under Bill 1 COPY 到CO欄位'!$1:$1048576,'Over Under Bill 1 COPY 到CO欄位'!BK$1,0)</f>
        <v>0</v>
      </c>
      <c r="BQ35" s="158">
        <f>VLOOKUP($A35,'Over Under Bill 1 COPY 到CO欄位'!$1:$1048576,'Over Under Bill 1 COPY 到CO欄位'!BQ$1,0)-VLOOKUP($A35,'Over Under Bill 1 COPY 到CO欄位'!$1:$1048576,'Over Under Bill 1 COPY 到CO欄位'!BL$1,0)</f>
        <v>0</v>
      </c>
      <c r="BR35" s="158">
        <f t="shared" si="26"/>
        <v>0</v>
      </c>
      <c r="BS35" s="158">
        <f>VLOOKUP($A35,'Over Under Bill 1 COPY 到CO欄位'!$1:$1048576,'Over Under Bill 1 COPY 到CO欄位'!BS$1,0)-VLOOKUP($A35,'Over Under Bill 1 COPY 到CO欄位'!$1:$1048576,'Over Under Bill 1 COPY 到CO欄位'!BN$1,0)</f>
        <v>0</v>
      </c>
      <c r="BT35" s="158">
        <f t="shared" si="27"/>
        <v>0</v>
      </c>
      <c r="BU35" s="157">
        <f>VLOOKUP($A35,'Over Under Bill 1 COPY 到CO欄位'!$1:$1048576,'Over Under Bill 1 COPY 到CO欄位'!BP$1,0)-VLOOKUP($A35,'Over Under Bill 1 COPY 到CO欄位'!$1:$1048576,'Over Under Bill 1 COPY 到CO欄位'!H$1,0)</f>
        <v>0</v>
      </c>
      <c r="BV35" s="157">
        <f>VLOOKUP($A35,'Over Under Bill 1 COPY 到CO欄位'!$1:$1048576,'Over Under Bill 1 COPY 到CO欄位'!BQ$1,0)-VLOOKUP($A35,'Over Under Bill 1 COPY 到CO欄位'!$1:$1048576,'Over Under Bill 1 COPY 到CO欄位'!I$1,0)</f>
        <v>0</v>
      </c>
      <c r="BW35" s="157">
        <f t="shared" si="28"/>
        <v>0</v>
      </c>
      <c r="BX35" s="157">
        <f>VLOOKUP($A35,'Over Under Bill 1 COPY 到CO欄位'!$1:$1048576,'Over Under Bill 1 COPY 到CO欄位'!BS$1,0)-VLOOKUP($A35,'Over Under Bill 1 COPY 到CO欄位'!$1:$1048576,'Over Under Bill 1 COPY 到CO欄位'!K$1,0)</f>
        <v>0</v>
      </c>
      <c r="BY35" s="157">
        <f t="shared" si="29"/>
        <v>0</v>
      </c>
      <c r="BZ35" s="158">
        <f>VLOOKUP($A35,'Over Under Bill 1 COPY 到CO欄位'!$1:$1048576,'Over Under Bill 1 COPY 到CO欄位'!BU$1,0)-VLOOKUP($A35,'Over Under Bill 1 COPY 到CO欄位'!$1:$1048576,'Over Under Bill 1 COPY 到CO欄位'!BP$1,0)</f>
        <v>0</v>
      </c>
      <c r="CA35" s="158">
        <f>VLOOKUP($A35,'Over Under Bill 1 COPY 到CO欄位'!$1:$1048576,'Over Under Bill 1 COPY 到CO欄位'!BV$1,0)-VLOOKUP($A35,'Over Under Bill 1 COPY 到CO欄位'!$1:$1048576,'Over Under Bill 1 COPY 到CO欄位'!BQ$1,0)</f>
        <v>0</v>
      </c>
      <c r="CB35" s="158">
        <f t="shared" si="30"/>
        <v>0</v>
      </c>
      <c r="CC35" s="158">
        <f>VLOOKUP($A35,'Over Under Bill 1 COPY 到CO欄位'!$1:$1048576,'Over Under Bill 1 COPY 到CO欄位'!BX$1,0)-VLOOKUP($A35,'Over Under Bill 1 COPY 到CO欄位'!$1:$1048576,'Over Under Bill 1 COPY 到CO欄位'!BS$1,0)</f>
        <v>0</v>
      </c>
      <c r="CD35" s="158">
        <f t="shared" si="31"/>
        <v>0</v>
      </c>
      <c r="CE35" s="157">
        <f>VLOOKUP($A35,'Over Under Bill 1 COPY 到CO欄位'!$1:$1048576,'Over Under Bill 1 COPY 到CO欄位'!BZ$1,0)-VLOOKUP($A35,'Over Under Bill 1 COPY 到CO欄位'!$1:$1048576,'Over Under Bill 1 COPY 到CO欄位'!BU$1,0)</f>
        <v>0</v>
      </c>
      <c r="CF35" s="157">
        <f>VLOOKUP($A35,'Over Under Bill 1 COPY 到CO欄位'!$1:$1048576,'Over Under Bill 1 COPY 到CO欄位'!CA$1,0)-VLOOKUP($A35,'Over Under Bill 1 COPY 到CO欄位'!$1:$1048576,'Over Under Bill 1 COPY 到CO欄位'!BV$1,0)</f>
        <v>0</v>
      </c>
      <c r="CG35" s="157">
        <f t="shared" si="32"/>
        <v>0</v>
      </c>
      <c r="CH35" s="157">
        <f>VLOOKUP($A35,'Over Under Bill 1 COPY 到CO欄位'!$1:$1048576,'Over Under Bill 1 COPY 到CO欄位'!CC$1,0)-VLOOKUP($A35,'Over Under Bill 1 COPY 到CO欄位'!$1:$1048576,'Over Under Bill 1 COPY 到CO欄位'!BX$1,0)</f>
        <v>0</v>
      </c>
      <c r="CI35" s="157">
        <f t="shared" si="33"/>
        <v>0</v>
      </c>
      <c r="CJ35" s="158">
        <f>VLOOKUP($A35,'Over Under Bill 1 COPY 到CO欄位'!$1:$1048576,'Over Under Bill 1 COPY 到CO欄位'!CE$1,0)-VLOOKUP($A35,'Over Under Bill 1 COPY 到CO欄位'!$1:$1048576,'Over Under Bill 1 COPY 到CO欄位'!BZ$1,0)</f>
        <v>0</v>
      </c>
      <c r="CK35" s="158">
        <f>VLOOKUP($A35,'Over Under Bill 1 COPY 到CO欄位'!$1:$1048576,'Over Under Bill 1 COPY 到CO欄位'!CF$1,0)-VLOOKUP($A35,'Over Under Bill 1 COPY 到CO欄位'!$1:$1048576,'Over Under Bill 1 COPY 到CO欄位'!CA$1,0)</f>
        <v>0</v>
      </c>
      <c r="CL35" s="158">
        <f t="shared" si="34"/>
        <v>0</v>
      </c>
      <c r="CM35" s="158">
        <f>VLOOKUP($A35,'Over Under Bill 1 COPY 到CO欄位'!$1:$1048576,'Over Under Bill 1 COPY 到CO欄位'!CH$1,0)-VLOOKUP($A35,'Over Under Bill 1 COPY 到CO欄位'!$1:$1048576,'Over Under Bill 1 COPY 到CO欄位'!CC$1,0)</f>
        <v>0</v>
      </c>
      <c r="CN35" s="158">
        <f t="shared" si="35"/>
        <v>0</v>
      </c>
      <c r="CO35" s="157">
        <f>VLOOKUP($A35,'Over Under Bill 1 COPY 到CO欄位'!$1:$1048576,'Over Under Bill 1 COPY 到CO欄位'!CJ$1,0)-VLOOKUP($A35,'Over Under Bill 1 COPY 到CO欄位'!$1:$1048576,'Over Under Bill 1 COPY 到CO欄位'!CE$1,0)</f>
        <v>0</v>
      </c>
      <c r="CP35" s="157">
        <f>VLOOKUP($A35,'Over Under Bill 1 COPY 到CO欄位'!$1:$1048576,'Over Under Bill 1 COPY 到CO欄位'!CK$1,0)-VLOOKUP($A35,'Over Under Bill 1 COPY 到CO欄位'!$1:$1048576,'Over Under Bill 1 COPY 到CO欄位'!CF$1,0)</f>
        <v>0</v>
      </c>
      <c r="CQ35" s="157">
        <f t="shared" si="36"/>
        <v>0</v>
      </c>
      <c r="CR35" s="157">
        <f>VLOOKUP($A35,'Over Under Bill 1 COPY 到CO欄位'!$1:$1048576,'Over Under Bill 1 COPY 到CO欄位'!CM$1,0)-VLOOKUP($A35,'Over Under Bill 1 COPY 到CO欄位'!$1:$1048576,'Over Under Bill 1 COPY 到CO欄位'!CH$1,0)</f>
        <v>0</v>
      </c>
      <c r="CS35" s="157">
        <f t="shared" si="37"/>
        <v>0</v>
      </c>
    </row>
    <row r="36" spans="1:97">
      <c r="A36" s="171" t="s">
        <v>369</v>
      </c>
      <c r="B36" s="172" t="s">
        <v>370</v>
      </c>
      <c r="C36" s="157">
        <f>IFERROR(VLOOKUP($A36,'A0 BS 1240在建'!$1:$1048576,5,0),0)</f>
        <v>0</v>
      </c>
      <c r="D36" s="157">
        <f>IFERROR(VLOOKUP($A36,'B0 2264預收'!$1:$1048576,5,0),0)</f>
        <v>0</v>
      </c>
      <c r="E36" s="157">
        <f t="shared" si="0"/>
        <v>0</v>
      </c>
      <c r="F36" s="157">
        <f>IFERROR(VLOOKUP($A36,'B0 2264預收'!$1:$1048576,6,0),0)</f>
        <v>0</v>
      </c>
      <c r="G36" s="157">
        <f t="shared" si="1"/>
        <v>0</v>
      </c>
      <c r="H36" s="158">
        <f>IFERROR(VLOOKUP($A36,'A0 BS 1240在建'!$1:$1048576,13,0),0)-C36</f>
        <v>0</v>
      </c>
      <c r="I36" s="158">
        <f>IFERROR(VLOOKUP($A36,'B0 2264預收'!$1:$1048576,13,0),0)-D36</f>
        <v>0</v>
      </c>
      <c r="J36" s="158">
        <f t="shared" si="2"/>
        <v>0</v>
      </c>
      <c r="K36" s="158">
        <f>IFERROR(VLOOKUP($A36,'B0 2264預收'!$1:$1048576,14,0),0)-F36</f>
        <v>0</v>
      </c>
      <c r="L36" s="158">
        <f t="shared" si="3"/>
        <v>0</v>
      </c>
      <c r="M36" s="157">
        <f>VLOOKUP($A36,'Over Under Bill 1 COPY 到CO欄位'!$1:$1048576,'Over Under Bill 1 COPY 到CO欄位'!M$1,0)-VLOOKUP($A36,'Over Under Bill 1 COPY 到CO欄位'!$1:$1048576,'Over Under Bill 1 COPY 到CO欄位'!H$1,0)</f>
        <v>0</v>
      </c>
      <c r="N36" s="157">
        <f>VLOOKUP($A36,'Over Under Bill 1 COPY 到CO欄位'!$1:$1048576,'Over Under Bill 1 COPY 到CO欄位'!N$1,0)-VLOOKUP($A36,'Over Under Bill 1 COPY 到CO欄位'!$1:$1048576,'Over Under Bill 1 COPY 到CO欄位'!I$1,0)</f>
        <v>0</v>
      </c>
      <c r="O36" s="157">
        <f t="shared" si="4"/>
        <v>0</v>
      </c>
      <c r="P36" s="157">
        <f>VLOOKUP($A36,'Over Under Bill 1 COPY 到CO欄位'!$1:$1048576,'Over Under Bill 1 COPY 到CO欄位'!P$1,0)-VLOOKUP($A36,'Over Under Bill 1 COPY 到CO欄位'!$1:$1048576,'Over Under Bill 1 COPY 到CO欄位'!K$1,0)</f>
        <v>0</v>
      </c>
      <c r="Q36" s="157">
        <f t="shared" si="5"/>
        <v>0</v>
      </c>
      <c r="R36" s="158">
        <f>VLOOKUP($A36,'Over Under Bill 1 COPY 到CO欄位'!$1:$1048576,'Over Under Bill 1 COPY 到CO欄位'!R$1,0)-VLOOKUP($A36,'Over Under Bill 1 COPY 到CO欄位'!$1:$1048576,'Over Under Bill 1 COPY 到CO欄位'!M$1,0)</f>
        <v>0</v>
      </c>
      <c r="S36" s="158">
        <f>VLOOKUP($A36,'Over Under Bill 1 COPY 到CO欄位'!$1:$1048576,'Over Under Bill 1 COPY 到CO欄位'!S$1,0)-VLOOKUP($A36,'Over Under Bill 1 COPY 到CO欄位'!$1:$1048576,'Over Under Bill 1 COPY 到CO欄位'!N$1,0)</f>
        <v>0</v>
      </c>
      <c r="T36" s="158">
        <f t="shared" si="6"/>
        <v>0</v>
      </c>
      <c r="U36" s="158">
        <f>VLOOKUP($A36,'Over Under Bill 1 COPY 到CO欄位'!$1:$1048576,'Over Under Bill 1 COPY 到CO欄位'!U$1,0)-VLOOKUP($A36,'Over Under Bill 1 COPY 到CO欄位'!$1:$1048576,'Over Under Bill 1 COPY 到CO欄位'!P$1,0)</f>
        <v>0</v>
      </c>
      <c r="V36" s="158">
        <f t="shared" si="7"/>
        <v>0</v>
      </c>
      <c r="W36" s="157">
        <f>VLOOKUP($A36,'Over Under Bill 1 COPY 到CO欄位'!$1:$1048576,'Over Under Bill 1 COPY 到CO欄位'!W$1,0)-VLOOKUP($A36,'Over Under Bill 1 COPY 到CO欄位'!$1:$1048576,'Over Under Bill 1 COPY 到CO欄位'!R$1,0)</f>
        <v>0</v>
      </c>
      <c r="X36" s="157">
        <f>VLOOKUP($A36,'Over Under Bill 1 COPY 到CO欄位'!$1:$1048576,'Over Under Bill 1 COPY 到CO欄位'!X$1,0)-VLOOKUP($A36,'Over Under Bill 1 COPY 到CO欄位'!$1:$1048576,'Over Under Bill 1 COPY 到CO欄位'!S$1,0)</f>
        <v>0</v>
      </c>
      <c r="Y36" s="157">
        <f t="shared" si="8"/>
        <v>0</v>
      </c>
      <c r="Z36" s="157">
        <f>VLOOKUP($A36,'Over Under Bill 1 COPY 到CO欄位'!$1:$1048576,'Over Under Bill 1 COPY 到CO欄位'!Z$1,0)-VLOOKUP($A36,'Over Under Bill 1 COPY 到CO欄位'!$1:$1048576,'Over Under Bill 1 COPY 到CO欄位'!U$1,0)</f>
        <v>0</v>
      </c>
      <c r="AA36" s="157">
        <f t="shared" si="9"/>
        <v>0</v>
      </c>
      <c r="AB36" s="158">
        <f>VLOOKUP($A36,'Over Under Bill 1 COPY 到CO欄位'!$1:$1048576,'Over Under Bill 1 COPY 到CO欄位'!AB$1,0)-VLOOKUP($A36,'Over Under Bill 1 COPY 到CO欄位'!$1:$1048576,'Over Under Bill 1 COPY 到CO欄位'!W$1,0)</f>
        <v>0</v>
      </c>
      <c r="AC36" s="158">
        <f>VLOOKUP($A36,'Over Under Bill 1 COPY 到CO欄位'!$1:$1048576,'Over Under Bill 1 COPY 到CO欄位'!AC$1,0)-VLOOKUP($A36,'Over Under Bill 1 COPY 到CO欄位'!$1:$1048576,'Over Under Bill 1 COPY 到CO欄位'!X$1,0)</f>
        <v>0</v>
      </c>
      <c r="AD36" s="158">
        <f t="shared" si="10"/>
        <v>0</v>
      </c>
      <c r="AE36" s="158">
        <f>VLOOKUP($A36,'Over Under Bill 1 COPY 到CO欄位'!$1:$1048576,'Over Under Bill 1 COPY 到CO欄位'!AE$1,0)-VLOOKUP($A36,'Over Under Bill 1 COPY 到CO欄位'!$1:$1048576,'Over Under Bill 1 COPY 到CO欄位'!Z$1,0)</f>
        <v>0</v>
      </c>
      <c r="AF36" s="158">
        <f t="shared" si="11"/>
        <v>0</v>
      </c>
      <c r="AG36" s="157">
        <f>VLOOKUP($A36,'Over Under Bill 1 COPY 到CO欄位'!$1:$1048576,'Over Under Bill 1 COPY 到CO欄位'!AG$1,0)-VLOOKUP($A36,'Over Under Bill 1 COPY 到CO欄位'!$1:$1048576,'Over Under Bill 1 COPY 到CO欄位'!AB$1,0)</f>
        <v>0</v>
      </c>
      <c r="AH36" s="157">
        <f>VLOOKUP($A36,'Over Under Bill 1 COPY 到CO欄位'!$1:$1048576,'Over Under Bill 1 COPY 到CO欄位'!AH$1,0)-VLOOKUP($A36,'Over Under Bill 1 COPY 到CO欄位'!$1:$1048576,'Over Under Bill 1 COPY 到CO欄位'!AC$1,0)</f>
        <v>0</v>
      </c>
      <c r="AI36" s="157">
        <f t="shared" si="12"/>
        <v>0</v>
      </c>
      <c r="AJ36" s="157">
        <f>VLOOKUP($A36,'Over Under Bill 1 COPY 到CO欄位'!$1:$1048576,'Over Under Bill 1 COPY 到CO欄位'!AJ$1,0)-VLOOKUP($A36,'Over Under Bill 1 COPY 到CO欄位'!$1:$1048576,'Over Under Bill 1 COPY 到CO欄位'!AE$1,0)</f>
        <v>0</v>
      </c>
      <c r="AK36" s="157">
        <f t="shared" si="13"/>
        <v>0</v>
      </c>
      <c r="AL36" s="158">
        <f>VLOOKUP($A36,'Over Under Bill 1 COPY 到CO欄位'!$1:$1048576,'Over Under Bill 1 COPY 到CO欄位'!AL$1,0)-VLOOKUP($A36,'Over Under Bill 1 COPY 到CO欄位'!$1:$1048576,'Over Under Bill 1 COPY 到CO欄位'!AG$1,0)</f>
        <v>0</v>
      </c>
      <c r="AM36" s="158">
        <f>VLOOKUP($A36,'Over Under Bill 1 COPY 到CO欄位'!$1:$1048576,'Over Under Bill 1 COPY 到CO欄位'!AM$1,0)-VLOOKUP($A36,'Over Under Bill 1 COPY 到CO欄位'!$1:$1048576,'Over Under Bill 1 COPY 到CO欄位'!AH$1,0)</f>
        <v>0</v>
      </c>
      <c r="AN36" s="158">
        <f t="shared" si="14"/>
        <v>0</v>
      </c>
      <c r="AO36" s="158">
        <f>VLOOKUP($A36,'Over Under Bill 1 COPY 到CO欄位'!$1:$1048576,'Over Under Bill 1 COPY 到CO欄位'!AO$1,0)-VLOOKUP($A36,'Over Under Bill 1 COPY 到CO欄位'!$1:$1048576,'Over Under Bill 1 COPY 到CO欄位'!AJ$1,0)</f>
        <v>0</v>
      </c>
      <c r="AP36" s="158">
        <f t="shared" si="15"/>
        <v>0</v>
      </c>
      <c r="AQ36" s="157">
        <f>VLOOKUP($A36,'Over Under Bill 1 COPY 到CO欄位'!$1:$1048576,'Over Under Bill 1 COPY 到CO欄位'!AQ$1,0)-VLOOKUP($A36,'Over Under Bill 1 COPY 到CO欄位'!$1:$1048576,'Over Under Bill 1 COPY 到CO欄位'!AL$1,0)</f>
        <v>0</v>
      </c>
      <c r="AR36" s="157">
        <f>VLOOKUP($A36,'Over Under Bill 1 COPY 到CO欄位'!$1:$1048576,'Over Under Bill 1 COPY 到CO欄位'!AR$1,0)-VLOOKUP($A36,'Over Under Bill 1 COPY 到CO欄位'!$1:$1048576,'Over Under Bill 1 COPY 到CO欄位'!AM$1,0)</f>
        <v>0</v>
      </c>
      <c r="AS36" s="157">
        <f t="shared" si="16"/>
        <v>0</v>
      </c>
      <c r="AT36" s="157">
        <f>VLOOKUP($A36,'Over Under Bill 1 COPY 到CO欄位'!$1:$1048576,'Over Under Bill 1 COPY 到CO欄位'!AT$1,0)-VLOOKUP($A36,'Over Under Bill 1 COPY 到CO欄位'!$1:$1048576,'Over Under Bill 1 COPY 到CO欄位'!AO$1,0)</f>
        <v>0</v>
      </c>
      <c r="AU36" s="157">
        <f t="shared" si="17"/>
        <v>0</v>
      </c>
      <c r="AV36" s="158">
        <f>VLOOKUP($A36,'Over Under Bill 1 COPY 到CO欄位'!$1:$1048576,'Over Under Bill 1 COPY 到CO欄位'!AV$1,0)-VLOOKUP($A36,'Over Under Bill 1 COPY 到CO欄位'!$1:$1048576,'Over Under Bill 1 COPY 到CO欄位'!AQ$1,0)</f>
        <v>0</v>
      </c>
      <c r="AW36" s="158">
        <f>VLOOKUP($A36,'Over Under Bill 1 COPY 到CO欄位'!$1:$1048576,'Over Under Bill 1 COPY 到CO欄位'!AW$1,0)-VLOOKUP($A36,'Over Under Bill 1 COPY 到CO欄位'!$1:$1048576,'Over Under Bill 1 COPY 到CO欄位'!AR$1,0)</f>
        <v>0</v>
      </c>
      <c r="AX36" s="158">
        <f t="shared" si="18"/>
        <v>0</v>
      </c>
      <c r="AY36" s="158">
        <f>VLOOKUP($A36,'Over Under Bill 1 COPY 到CO欄位'!$1:$1048576,'Over Under Bill 1 COPY 到CO欄位'!AY$1,0)-VLOOKUP($A36,'Over Under Bill 1 COPY 到CO欄位'!$1:$1048576,'Over Under Bill 1 COPY 到CO欄位'!AT$1,0)</f>
        <v>0</v>
      </c>
      <c r="AZ36" s="158">
        <f t="shared" si="19"/>
        <v>0</v>
      </c>
      <c r="BA36" s="157">
        <f>VLOOKUP($A36,'Over Under Bill 1 COPY 到CO欄位'!$1:$1048576,'Over Under Bill 1 COPY 到CO欄位'!BA$1,0)-VLOOKUP($A36,'Over Under Bill 1 COPY 到CO欄位'!$1:$1048576,'Over Under Bill 1 COPY 到CO欄位'!AV$1,0)</f>
        <v>0</v>
      </c>
      <c r="BB36" s="157">
        <f>VLOOKUP($A36,'Over Under Bill 1 COPY 到CO欄位'!$1:$1048576,'Over Under Bill 1 COPY 到CO欄位'!BB$1,0)-VLOOKUP($A36,'Over Under Bill 1 COPY 到CO欄位'!$1:$1048576,'Over Under Bill 1 COPY 到CO欄位'!AW$1,0)</f>
        <v>0</v>
      </c>
      <c r="BC36" s="157">
        <f t="shared" si="20"/>
        <v>0</v>
      </c>
      <c r="BD36" s="157">
        <f>VLOOKUP($A36,'Over Under Bill 1 COPY 到CO欄位'!$1:$1048576,'Over Under Bill 1 COPY 到CO欄位'!BD$1,0)-VLOOKUP($A36,'Over Under Bill 1 COPY 到CO欄位'!$1:$1048576,'Over Under Bill 1 COPY 到CO欄位'!AY$1,0)</f>
        <v>0</v>
      </c>
      <c r="BE36" s="157">
        <f t="shared" si="21"/>
        <v>0</v>
      </c>
      <c r="BF36" s="158">
        <f>VLOOKUP($A36,'Over Under Bill 1 COPY 到CO欄位'!$1:$1048576,'Over Under Bill 1 COPY 到CO欄位'!BF$1,0)-VLOOKUP($A36,'Over Under Bill 1 COPY 到CO欄位'!$1:$1048576,'Over Under Bill 1 COPY 到CO欄位'!BA$1,0)</f>
        <v>0</v>
      </c>
      <c r="BG36" s="158">
        <f>VLOOKUP($A36,'Over Under Bill 1 COPY 到CO欄位'!$1:$1048576,'Over Under Bill 1 COPY 到CO欄位'!BG$1,0)-VLOOKUP($A36,'Over Under Bill 1 COPY 到CO欄位'!$1:$1048576,'Over Under Bill 1 COPY 到CO欄位'!BB$1,0)</f>
        <v>0</v>
      </c>
      <c r="BH36" s="158">
        <f t="shared" si="22"/>
        <v>0</v>
      </c>
      <c r="BI36" s="158">
        <f>VLOOKUP($A36,'Over Under Bill 1 COPY 到CO欄位'!$1:$1048576,'Over Under Bill 1 COPY 到CO欄位'!BI$1,0)-VLOOKUP($A36,'Over Under Bill 1 COPY 到CO欄位'!$1:$1048576,'Over Under Bill 1 COPY 到CO欄位'!BD$1,0)</f>
        <v>0</v>
      </c>
      <c r="BJ36" s="158">
        <f t="shared" si="23"/>
        <v>0</v>
      </c>
      <c r="BK36" s="157">
        <f>VLOOKUP($A36,'Over Under Bill 1 COPY 到CO欄位'!$1:$1048576,'Over Under Bill 1 COPY 到CO欄位'!BK$1,0)-VLOOKUP($A36,'Over Under Bill 1 COPY 到CO欄位'!$1:$1048576,'Over Under Bill 1 COPY 到CO欄位'!BF$1,0)</f>
        <v>0</v>
      </c>
      <c r="BL36" s="157">
        <f>VLOOKUP($A36,'Over Under Bill 1 COPY 到CO欄位'!$1:$1048576,'Over Under Bill 1 COPY 到CO欄位'!BL$1,0)-VLOOKUP($A36,'Over Under Bill 1 COPY 到CO欄位'!$1:$1048576,'Over Under Bill 1 COPY 到CO欄位'!BG$1,0)</f>
        <v>0</v>
      </c>
      <c r="BM36" s="157">
        <f t="shared" si="24"/>
        <v>0</v>
      </c>
      <c r="BN36" s="157">
        <f>VLOOKUP($A36,'Over Under Bill 1 COPY 到CO欄位'!$1:$1048576,'Over Under Bill 1 COPY 到CO欄位'!BN$1,0)-VLOOKUP($A36,'Over Under Bill 1 COPY 到CO欄位'!$1:$1048576,'Over Under Bill 1 COPY 到CO欄位'!BI$1,0)</f>
        <v>0</v>
      </c>
      <c r="BO36" s="157">
        <f t="shared" si="25"/>
        <v>0</v>
      </c>
      <c r="BP36" s="158">
        <f>VLOOKUP($A36,'Over Under Bill 1 COPY 到CO欄位'!$1:$1048576,'Over Under Bill 1 COPY 到CO欄位'!BP$1,0)-VLOOKUP($A36,'Over Under Bill 1 COPY 到CO欄位'!$1:$1048576,'Over Under Bill 1 COPY 到CO欄位'!BK$1,0)</f>
        <v>0</v>
      </c>
      <c r="BQ36" s="158">
        <f>VLOOKUP($A36,'Over Under Bill 1 COPY 到CO欄位'!$1:$1048576,'Over Under Bill 1 COPY 到CO欄位'!BQ$1,0)-VLOOKUP($A36,'Over Under Bill 1 COPY 到CO欄位'!$1:$1048576,'Over Under Bill 1 COPY 到CO欄位'!BL$1,0)</f>
        <v>0</v>
      </c>
      <c r="BR36" s="158">
        <f t="shared" si="26"/>
        <v>0</v>
      </c>
      <c r="BS36" s="158">
        <f>VLOOKUP($A36,'Over Under Bill 1 COPY 到CO欄位'!$1:$1048576,'Over Under Bill 1 COPY 到CO欄位'!BS$1,0)-VLOOKUP($A36,'Over Under Bill 1 COPY 到CO欄位'!$1:$1048576,'Over Under Bill 1 COPY 到CO欄位'!BN$1,0)</f>
        <v>0</v>
      </c>
      <c r="BT36" s="158">
        <f t="shared" si="27"/>
        <v>0</v>
      </c>
      <c r="BU36" s="157">
        <f>VLOOKUP($A36,'Over Under Bill 1 COPY 到CO欄位'!$1:$1048576,'Over Under Bill 1 COPY 到CO欄位'!BP$1,0)-VLOOKUP($A36,'Over Under Bill 1 COPY 到CO欄位'!$1:$1048576,'Over Under Bill 1 COPY 到CO欄位'!H$1,0)</f>
        <v>0</v>
      </c>
      <c r="BV36" s="157">
        <f>VLOOKUP($A36,'Over Under Bill 1 COPY 到CO欄位'!$1:$1048576,'Over Under Bill 1 COPY 到CO欄位'!BQ$1,0)-VLOOKUP($A36,'Over Under Bill 1 COPY 到CO欄位'!$1:$1048576,'Over Under Bill 1 COPY 到CO欄位'!I$1,0)</f>
        <v>0</v>
      </c>
      <c r="BW36" s="157">
        <f t="shared" si="28"/>
        <v>0</v>
      </c>
      <c r="BX36" s="157">
        <f>VLOOKUP($A36,'Over Under Bill 1 COPY 到CO欄位'!$1:$1048576,'Over Under Bill 1 COPY 到CO欄位'!BS$1,0)-VLOOKUP($A36,'Over Under Bill 1 COPY 到CO欄位'!$1:$1048576,'Over Under Bill 1 COPY 到CO欄位'!K$1,0)</f>
        <v>0</v>
      </c>
      <c r="BY36" s="157">
        <f t="shared" si="29"/>
        <v>0</v>
      </c>
      <c r="BZ36" s="158">
        <f>VLOOKUP($A36,'Over Under Bill 1 COPY 到CO欄位'!$1:$1048576,'Over Under Bill 1 COPY 到CO欄位'!BU$1,0)-VLOOKUP($A36,'Over Under Bill 1 COPY 到CO欄位'!$1:$1048576,'Over Under Bill 1 COPY 到CO欄位'!BP$1,0)</f>
        <v>0</v>
      </c>
      <c r="CA36" s="158">
        <f>VLOOKUP($A36,'Over Under Bill 1 COPY 到CO欄位'!$1:$1048576,'Over Under Bill 1 COPY 到CO欄位'!BV$1,0)-VLOOKUP($A36,'Over Under Bill 1 COPY 到CO欄位'!$1:$1048576,'Over Under Bill 1 COPY 到CO欄位'!BQ$1,0)</f>
        <v>0</v>
      </c>
      <c r="CB36" s="158">
        <f t="shared" si="30"/>
        <v>0</v>
      </c>
      <c r="CC36" s="158">
        <f>VLOOKUP($A36,'Over Under Bill 1 COPY 到CO欄位'!$1:$1048576,'Over Under Bill 1 COPY 到CO欄位'!BX$1,0)-VLOOKUP($A36,'Over Under Bill 1 COPY 到CO欄位'!$1:$1048576,'Over Under Bill 1 COPY 到CO欄位'!BS$1,0)</f>
        <v>0</v>
      </c>
      <c r="CD36" s="158">
        <f t="shared" si="31"/>
        <v>0</v>
      </c>
      <c r="CE36" s="157">
        <f>VLOOKUP($A36,'Over Under Bill 1 COPY 到CO欄位'!$1:$1048576,'Over Under Bill 1 COPY 到CO欄位'!BZ$1,0)-VLOOKUP($A36,'Over Under Bill 1 COPY 到CO欄位'!$1:$1048576,'Over Under Bill 1 COPY 到CO欄位'!BU$1,0)</f>
        <v>0</v>
      </c>
      <c r="CF36" s="157">
        <f>VLOOKUP($A36,'Over Under Bill 1 COPY 到CO欄位'!$1:$1048576,'Over Under Bill 1 COPY 到CO欄位'!CA$1,0)-VLOOKUP($A36,'Over Under Bill 1 COPY 到CO欄位'!$1:$1048576,'Over Under Bill 1 COPY 到CO欄位'!BV$1,0)</f>
        <v>0</v>
      </c>
      <c r="CG36" s="157">
        <f t="shared" si="32"/>
        <v>0</v>
      </c>
      <c r="CH36" s="157">
        <f>VLOOKUP($A36,'Over Under Bill 1 COPY 到CO欄位'!$1:$1048576,'Over Under Bill 1 COPY 到CO欄位'!CC$1,0)-VLOOKUP($A36,'Over Under Bill 1 COPY 到CO欄位'!$1:$1048576,'Over Under Bill 1 COPY 到CO欄位'!BX$1,0)</f>
        <v>0</v>
      </c>
      <c r="CI36" s="157">
        <f t="shared" si="33"/>
        <v>0</v>
      </c>
      <c r="CJ36" s="158">
        <f>VLOOKUP($A36,'Over Under Bill 1 COPY 到CO欄位'!$1:$1048576,'Over Under Bill 1 COPY 到CO欄位'!CE$1,0)-VLOOKUP($A36,'Over Under Bill 1 COPY 到CO欄位'!$1:$1048576,'Over Under Bill 1 COPY 到CO欄位'!BZ$1,0)</f>
        <v>0</v>
      </c>
      <c r="CK36" s="158">
        <f>VLOOKUP($A36,'Over Under Bill 1 COPY 到CO欄位'!$1:$1048576,'Over Under Bill 1 COPY 到CO欄位'!CF$1,0)-VLOOKUP($A36,'Over Under Bill 1 COPY 到CO欄位'!$1:$1048576,'Over Under Bill 1 COPY 到CO欄位'!CA$1,0)</f>
        <v>0</v>
      </c>
      <c r="CL36" s="158">
        <f t="shared" si="34"/>
        <v>0</v>
      </c>
      <c r="CM36" s="158">
        <f>VLOOKUP($A36,'Over Under Bill 1 COPY 到CO欄位'!$1:$1048576,'Over Under Bill 1 COPY 到CO欄位'!CH$1,0)-VLOOKUP($A36,'Over Under Bill 1 COPY 到CO欄位'!$1:$1048576,'Over Under Bill 1 COPY 到CO欄位'!CC$1,0)</f>
        <v>0</v>
      </c>
      <c r="CN36" s="158">
        <f t="shared" si="35"/>
        <v>0</v>
      </c>
      <c r="CO36" s="157">
        <f>VLOOKUP($A36,'Over Under Bill 1 COPY 到CO欄位'!$1:$1048576,'Over Under Bill 1 COPY 到CO欄位'!CJ$1,0)-VLOOKUP($A36,'Over Under Bill 1 COPY 到CO欄位'!$1:$1048576,'Over Under Bill 1 COPY 到CO欄位'!CE$1,0)</f>
        <v>0</v>
      </c>
      <c r="CP36" s="157">
        <f>VLOOKUP($A36,'Over Under Bill 1 COPY 到CO欄位'!$1:$1048576,'Over Under Bill 1 COPY 到CO欄位'!CK$1,0)-VLOOKUP($A36,'Over Under Bill 1 COPY 到CO欄位'!$1:$1048576,'Over Under Bill 1 COPY 到CO欄位'!CF$1,0)</f>
        <v>0</v>
      </c>
      <c r="CQ36" s="157">
        <f t="shared" si="36"/>
        <v>0</v>
      </c>
      <c r="CR36" s="157">
        <f>VLOOKUP($A36,'Over Under Bill 1 COPY 到CO欄位'!$1:$1048576,'Over Under Bill 1 COPY 到CO欄位'!CM$1,0)-VLOOKUP($A36,'Over Under Bill 1 COPY 到CO欄位'!$1:$1048576,'Over Under Bill 1 COPY 到CO欄位'!CH$1,0)</f>
        <v>0</v>
      </c>
      <c r="CS36" s="157">
        <f t="shared" si="37"/>
        <v>0</v>
      </c>
    </row>
    <row r="37" spans="1:97">
      <c r="A37" s="171" t="s">
        <v>371</v>
      </c>
      <c r="B37" s="172" t="s">
        <v>372</v>
      </c>
      <c r="C37" s="157">
        <f>IFERROR(VLOOKUP($A37,'A0 BS 1240在建'!$1:$1048576,5,0),0)</f>
        <v>0</v>
      </c>
      <c r="D37" s="157">
        <f>IFERROR(VLOOKUP($A37,'B0 2264預收'!$1:$1048576,5,0),0)</f>
        <v>0</v>
      </c>
      <c r="E37" s="157">
        <f t="shared" ref="E37:E54" si="38">+C37-D37</f>
        <v>0</v>
      </c>
      <c r="F37" s="157">
        <f>IFERROR(VLOOKUP($A37,'B0 2264預收'!$1:$1048576,6,0),0)</f>
        <v>0</v>
      </c>
      <c r="G37" s="157">
        <f t="shared" ref="G37:G54" si="39">+C37-D37-F37</f>
        <v>0</v>
      </c>
      <c r="H37" s="158">
        <f>IFERROR(VLOOKUP($A37,'A0 BS 1240在建'!$1:$1048576,13,0),0)-C37</f>
        <v>0</v>
      </c>
      <c r="I37" s="158">
        <f>IFERROR(VLOOKUP($A37,'B0 2264預收'!$1:$1048576,13,0),0)-D37</f>
        <v>0</v>
      </c>
      <c r="J37" s="158">
        <f t="shared" ref="J37:J54" si="40">+H37-I37</f>
        <v>0</v>
      </c>
      <c r="K37" s="158">
        <f>IFERROR(VLOOKUP($A37,'B0 2264預收'!$1:$1048576,14,0),0)-F37</f>
        <v>0</v>
      </c>
      <c r="L37" s="158">
        <f t="shared" ref="L37:L54" si="41">+J37-K37</f>
        <v>0</v>
      </c>
      <c r="M37" s="157">
        <f>VLOOKUP($A37,'Over Under Bill 1 COPY 到CO欄位'!$1:$1048576,'Over Under Bill 1 COPY 到CO欄位'!M$1,0)-VLOOKUP($A37,'Over Under Bill 1 COPY 到CO欄位'!$1:$1048576,'Over Under Bill 1 COPY 到CO欄位'!H$1,0)</f>
        <v>0</v>
      </c>
      <c r="N37" s="157">
        <f>VLOOKUP($A37,'Over Under Bill 1 COPY 到CO欄位'!$1:$1048576,'Over Under Bill 1 COPY 到CO欄位'!N$1,0)-VLOOKUP($A37,'Over Under Bill 1 COPY 到CO欄位'!$1:$1048576,'Over Under Bill 1 COPY 到CO欄位'!I$1,0)</f>
        <v>0</v>
      </c>
      <c r="O37" s="157">
        <f t="shared" ref="O37:O54" si="42">+M37-N37</f>
        <v>0</v>
      </c>
      <c r="P37" s="157">
        <f>VLOOKUP($A37,'Over Under Bill 1 COPY 到CO欄位'!$1:$1048576,'Over Under Bill 1 COPY 到CO欄位'!P$1,0)-VLOOKUP($A37,'Over Under Bill 1 COPY 到CO欄位'!$1:$1048576,'Over Under Bill 1 COPY 到CO欄位'!K$1,0)</f>
        <v>0</v>
      </c>
      <c r="Q37" s="157">
        <f t="shared" ref="Q37:Q54" si="43">+O37-P37</f>
        <v>0</v>
      </c>
      <c r="R37" s="158">
        <f>VLOOKUP($A37,'Over Under Bill 1 COPY 到CO欄位'!$1:$1048576,'Over Under Bill 1 COPY 到CO欄位'!R$1,0)-VLOOKUP($A37,'Over Under Bill 1 COPY 到CO欄位'!$1:$1048576,'Over Under Bill 1 COPY 到CO欄位'!M$1,0)</f>
        <v>0</v>
      </c>
      <c r="S37" s="158">
        <f>VLOOKUP($A37,'Over Under Bill 1 COPY 到CO欄位'!$1:$1048576,'Over Under Bill 1 COPY 到CO欄位'!S$1,0)-VLOOKUP($A37,'Over Under Bill 1 COPY 到CO欄位'!$1:$1048576,'Over Under Bill 1 COPY 到CO欄位'!N$1,0)</f>
        <v>0</v>
      </c>
      <c r="T37" s="158">
        <f t="shared" ref="T37:T54" si="44">+R37-S37</f>
        <v>0</v>
      </c>
      <c r="U37" s="158">
        <f>VLOOKUP($A37,'Over Under Bill 1 COPY 到CO欄位'!$1:$1048576,'Over Under Bill 1 COPY 到CO欄位'!U$1,0)-VLOOKUP($A37,'Over Under Bill 1 COPY 到CO欄位'!$1:$1048576,'Over Under Bill 1 COPY 到CO欄位'!P$1,0)</f>
        <v>0</v>
      </c>
      <c r="V37" s="158">
        <f t="shared" ref="V37:V54" si="45">+T37-U37</f>
        <v>0</v>
      </c>
      <c r="W37" s="157">
        <f>VLOOKUP($A37,'Over Under Bill 1 COPY 到CO欄位'!$1:$1048576,'Over Under Bill 1 COPY 到CO欄位'!W$1,0)-VLOOKUP($A37,'Over Under Bill 1 COPY 到CO欄位'!$1:$1048576,'Over Under Bill 1 COPY 到CO欄位'!R$1,0)</f>
        <v>0</v>
      </c>
      <c r="X37" s="157">
        <f>VLOOKUP($A37,'Over Under Bill 1 COPY 到CO欄位'!$1:$1048576,'Over Under Bill 1 COPY 到CO欄位'!X$1,0)-VLOOKUP($A37,'Over Under Bill 1 COPY 到CO欄位'!$1:$1048576,'Over Under Bill 1 COPY 到CO欄位'!S$1,0)</f>
        <v>0</v>
      </c>
      <c r="Y37" s="157">
        <f t="shared" ref="Y37:Y54" si="46">+W37-X37</f>
        <v>0</v>
      </c>
      <c r="Z37" s="157">
        <f>VLOOKUP($A37,'Over Under Bill 1 COPY 到CO欄位'!$1:$1048576,'Over Under Bill 1 COPY 到CO欄位'!Z$1,0)-VLOOKUP($A37,'Over Under Bill 1 COPY 到CO欄位'!$1:$1048576,'Over Under Bill 1 COPY 到CO欄位'!U$1,0)</f>
        <v>0</v>
      </c>
      <c r="AA37" s="157">
        <f t="shared" ref="AA37:AA54" si="47">+Y37-Z37</f>
        <v>0</v>
      </c>
      <c r="AB37" s="158">
        <f>VLOOKUP($A37,'Over Under Bill 1 COPY 到CO欄位'!$1:$1048576,'Over Under Bill 1 COPY 到CO欄位'!AB$1,0)-VLOOKUP($A37,'Over Under Bill 1 COPY 到CO欄位'!$1:$1048576,'Over Under Bill 1 COPY 到CO欄位'!W$1,0)</f>
        <v>0</v>
      </c>
      <c r="AC37" s="158">
        <f>VLOOKUP($A37,'Over Under Bill 1 COPY 到CO欄位'!$1:$1048576,'Over Under Bill 1 COPY 到CO欄位'!AC$1,0)-VLOOKUP($A37,'Over Under Bill 1 COPY 到CO欄位'!$1:$1048576,'Over Under Bill 1 COPY 到CO欄位'!X$1,0)</f>
        <v>0</v>
      </c>
      <c r="AD37" s="158">
        <f t="shared" ref="AD37:AD54" si="48">+AB37-AC37</f>
        <v>0</v>
      </c>
      <c r="AE37" s="158">
        <f>VLOOKUP($A37,'Over Under Bill 1 COPY 到CO欄位'!$1:$1048576,'Over Under Bill 1 COPY 到CO欄位'!AE$1,0)-VLOOKUP($A37,'Over Under Bill 1 COPY 到CO欄位'!$1:$1048576,'Over Under Bill 1 COPY 到CO欄位'!Z$1,0)</f>
        <v>0</v>
      </c>
      <c r="AF37" s="158">
        <f t="shared" ref="AF37:AF54" si="49">+AD37-AE37</f>
        <v>0</v>
      </c>
      <c r="AG37" s="157">
        <f>VLOOKUP($A37,'Over Under Bill 1 COPY 到CO欄位'!$1:$1048576,'Over Under Bill 1 COPY 到CO欄位'!AG$1,0)-VLOOKUP($A37,'Over Under Bill 1 COPY 到CO欄位'!$1:$1048576,'Over Under Bill 1 COPY 到CO欄位'!AB$1,0)</f>
        <v>0</v>
      </c>
      <c r="AH37" s="157">
        <f>VLOOKUP($A37,'Over Under Bill 1 COPY 到CO欄位'!$1:$1048576,'Over Under Bill 1 COPY 到CO欄位'!AH$1,0)-VLOOKUP($A37,'Over Under Bill 1 COPY 到CO欄位'!$1:$1048576,'Over Under Bill 1 COPY 到CO欄位'!AC$1,0)</f>
        <v>0</v>
      </c>
      <c r="AI37" s="157">
        <f t="shared" ref="AI37:AI54" si="50">+AG37-AH37</f>
        <v>0</v>
      </c>
      <c r="AJ37" s="157">
        <f>VLOOKUP($A37,'Over Under Bill 1 COPY 到CO欄位'!$1:$1048576,'Over Under Bill 1 COPY 到CO欄位'!AJ$1,0)-VLOOKUP($A37,'Over Under Bill 1 COPY 到CO欄位'!$1:$1048576,'Over Under Bill 1 COPY 到CO欄位'!AE$1,0)</f>
        <v>0</v>
      </c>
      <c r="AK37" s="157">
        <f t="shared" ref="AK37:AK54" si="51">+AI37-AJ37</f>
        <v>0</v>
      </c>
      <c r="AL37" s="158">
        <f>VLOOKUP($A37,'Over Under Bill 1 COPY 到CO欄位'!$1:$1048576,'Over Under Bill 1 COPY 到CO欄位'!AL$1,0)-VLOOKUP($A37,'Over Under Bill 1 COPY 到CO欄位'!$1:$1048576,'Over Under Bill 1 COPY 到CO欄位'!AG$1,0)</f>
        <v>0</v>
      </c>
      <c r="AM37" s="158">
        <f>VLOOKUP($A37,'Over Under Bill 1 COPY 到CO欄位'!$1:$1048576,'Over Under Bill 1 COPY 到CO欄位'!AM$1,0)-VLOOKUP($A37,'Over Under Bill 1 COPY 到CO欄位'!$1:$1048576,'Over Under Bill 1 COPY 到CO欄位'!AH$1,0)</f>
        <v>0</v>
      </c>
      <c r="AN37" s="158">
        <f t="shared" ref="AN37:AN54" si="52">+AL37-AM37</f>
        <v>0</v>
      </c>
      <c r="AO37" s="158">
        <f>VLOOKUP($A37,'Over Under Bill 1 COPY 到CO欄位'!$1:$1048576,'Over Under Bill 1 COPY 到CO欄位'!AO$1,0)-VLOOKUP($A37,'Over Under Bill 1 COPY 到CO欄位'!$1:$1048576,'Over Under Bill 1 COPY 到CO欄位'!AJ$1,0)</f>
        <v>0</v>
      </c>
      <c r="AP37" s="158">
        <f t="shared" ref="AP37:AP54" si="53">+AN37-AO37</f>
        <v>0</v>
      </c>
      <c r="AQ37" s="157">
        <f>VLOOKUP($A37,'Over Under Bill 1 COPY 到CO欄位'!$1:$1048576,'Over Under Bill 1 COPY 到CO欄位'!AQ$1,0)-VLOOKUP($A37,'Over Under Bill 1 COPY 到CO欄位'!$1:$1048576,'Over Under Bill 1 COPY 到CO欄位'!AL$1,0)</f>
        <v>0</v>
      </c>
      <c r="AR37" s="157">
        <f>VLOOKUP($A37,'Over Under Bill 1 COPY 到CO欄位'!$1:$1048576,'Over Under Bill 1 COPY 到CO欄位'!AR$1,0)-VLOOKUP($A37,'Over Under Bill 1 COPY 到CO欄位'!$1:$1048576,'Over Under Bill 1 COPY 到CO欄位'!AM$1,0)</f>
        <v>0</v>
      </c>
      <c r="AS37" s="157">
        <f t="shared" ref="AS37:AS54" si="54">+AQ37-AR37</f>
        <v>0</v>
      </c>
      <c r="AT37" s="157">
        <f>VLOOKUP($A37,'Over Under Bill 1 COPY 到CO欄位'!$1:$1048576,'Over Under Bill 1 COPY 到CO欄位'!AT$1,0)-VLOOKUP($A37,'Over Under Bill 1 COPY 到CO欄位'!$1:$1048576,'Over Under Bill 1 COPY 到CO欄位'!AO$1,0)</f>
        <v>0</v>
      </c>
      <c r="AU37" s="157">
        <f t="shared" ref="AU37:AU54" si="55">+AS37-AT37</f>
        <v>0</v>
      </c>
      <c r="AV37" s="158">
        <f>VLOOKUP($A37,'Over Under Bill 1 COPY 到CO欄位'!$1:$1048576,'Over Under Bill 1 COPY 到CO欄位'!AV$1,0)-VLOOKUP($A37,'Over Under Bill 1 COPY 到CO欄位'!$1:$1048576,'Over Under Bill 1 COPY 到CO欄位'!AQ$1,0)</f>
        <v>0</v>
      </c>
      <c r="AW37" s="158">
        <f>VLOOKUP($A37,'Over Under Bill 1 COPY 到CO欄位'!$1:$1048576,'Over Under Bill 1 COPY 到CO欄位'!AW$1,0)-VLOOKUP($A37,'Over Under Bill 1 COPY 到CO欄位'!$1:$1048576,'Over Under Bill 1 COPY 到CO欄位'!AR$1,0)</f>
        <v>0</v>
      </c>
      <c r="AX37" s="158">
        <f t="shared" ref="AX37:AX54" si="56">+AV37-AW37</f>
        <v>0</v>
      </c>
      <c r="AY37" s="158">
        <f>VLOOKUP($A37,'Over Under Bill 1 COPY 到CO欄位'!$1:$1048576,'Over Under Bill 1 COPY 到CO欄位'!AY$1,0)-VLOOKUP($A37,'Over Under Bill 1 COPY 到CO欄位'!$1:$1048576,'Over Under Bill 1 COPY 到CO欄位'!AT$1,0)</f>
        <v>0</v>
      </c>
      <c r="AZ37" s="158">
        <f t="shared" ref="AZ37:AZ54" si="57">+AX37-AY37</f>
        <v>0</v>
      </c>
      <c r="BA37" s="157">
        <f>VLOOKUP($A37,'Over Under Bill 1 COPY 到CO欄位'!$1:$1048576,'Over Under Bill 1 COPY 到CO欄位'!BA$1,0)-VLOOKUP($A37,'Over Under Bill 1 COPY 到CO欄位'!$1:$1048576,'Over Under Bill 1 COPY 到CO欄位'!AV$1,0)</f>
        <v>0</v>
      </c>
      <c r="BB37" s="157">
        <f>VLOOKUP($A37,'Over Under Bill 1 COPY 到CO欄位'!$1:$1048576,'Over Under Bill 1 COPY 到CO欄位'!BB$1,0)-VLOOKUP($A37,'Over Under Bill 1 COPY 到CO欄位'!$1:$1048576,'Over Under Bill 1 COPY 到CO欄位'!AW$1,0)</f>
        <v>0</v>
      </c>
      <c r="BC37" s="157">
        <f t="shared" ref="BC37:BC54" si="58">+BA37-BB37</f>
        <v>0</v>
      </c>
      <c r="BD37" s="157">
        <f>VLOOKUP($A37,'Over Under Bill 1 COPY 到CO欄位'!$1:$1048576,'Over Under Bill 1 COPY 到CO欄位'!BD$1,0)-VLOOKUP($A37,'Over Under Bill 1 COPY 到CO欄位'!$1:$1048576,'Over Under Bill 1 COPY 到CO欄位'!AY$1,0)</f>
        <v>0</v>
      </c>
      <c r="BE37" s="157">
        <f t="shared" ref="BE37:BE54" si="59">+BC37-BD37</f>
        <v>0</v>
      </c>
      <c r="BF37" s="158">
        <f>VLOOKUP($A37,'Over Under Bill 1 COPY 到CO欄位'!$1:$1048576,'Over Under Bill 1 COPY 到CO欄位'!BF$1,0)-VLOOKUP($A37,'Over Under Bill 1 COPY 到CO欄位'!$1:$1048576,'Over Under Bill 1 COPY 到CO欄位'!BA$1,0)</f>
        <v>0</v>
      </c>
      <c r="BG37" s="158">
        <f>VLOOKUP($A37,'Over Under Bill 1 COPY 到CO欄位'!$1:$1048576,'Over Under Bill 1 COPY 到CO欄位'!BG$1,0)-VLOOKUP($A37,'Over Under Bill 1 COPY 到CO欄位'!$1:$1048576,'Over Under Bill 1 COPY 到CO欄位'!BB$1,0)</f>
        <v>0</v>
      </c>
      <c r="BH37" s="158">
        <f t="shared" ref="BH37:BH54" si="60">+BF37-BG37</f>
        <v>0</v>
      </c>
      <c r="BI37" s="158">
        <f>VLOOKUP($A37,'Over Under Bill 1 COPY 到CO欄位'!$1:$1048576,'Over Under Bill 1 COPY 到CO欄位'!BI$1,0)-VLOOKUP($A37,'Over Under Bill 1 COPY 到CO欄位'!$1:$1048576,'Over Under Bill 1 COPY 到CO欄位'!BD$1,0)</f>
        <v>0</v>
      </c>
      <c r="BJ37" s="158">
        <f t="shared" ref="BJ37:BJ54" si="61">+BH37-BI37</f>
        <v>0</v>
      </c>
      <c r="BK37" s="157">
        <f>VLOOKUP($A37,'Over Under Bill 1 COPY 到CO欄位'!$1:$1048576,'Over Under Bill 1 COPY 到CO欄位'!BK$1,0)-VLOOKUP($A37,'Over Under Bill 1 COPY 到CO欄位'!$1:$1048576,'Over Under Bill 1 COPY 到CO欄位'!BF$1,0)</f>
        <v>0</v>
      </c>
      <c r="BL37" s="157">
        <f>VLOOKUP($A37,'Over Under Bill 1 COPY 到CO欄位'!$1:$1048576,'Over Under Bill 1 COPY 到CO欄位'!BL$1,0)-VLOOKUP($A37,'Over Under Bill 1 COPY 到CO欄位'!$1:$1048576,'Over Under Bill 1 COPY 到CO欄位'!BG$1,0)</f>
        <v>0</v>
      </c>
      <c r="BM37" s="157">
        <f t="shared" ref="BM37:BM54" si="62">+BK37-BL37</f>
        <v>0</v>
      </c>
      <c r="BN37" s="157">
        <f>VLOOKUP($A37,'Over Under Bill 1 COPY 到CO欄位'!$1:$1048576,'Over Under Bill 1 COPY 到CO欄位'!BN$1,0)-VLOOKUP($A37,'Over Under Bill 1 COPY 到CO欄位'!$1:$1048576,'Over Under Bill 1 COPY 到CO欄位'!BI$1,0)</f>
        <v>0</v>
      </c>
      <c r="BO37" s="157">
        <f t="shared" ref="BO37:BO54" si="63">+BM37-BN37</f>
        <v>0</v>
      </c>
      <c r="BP37" s="158">
        <f>VLOOKUP($A37,'Over Under Bill 1 COPY 到CO欄位'!$1:$1048576,'Over Under Bill 1 COPY 到CO欄位'!BP$1,0)-VLOOKUP($A37,'Over Under Bill 1 COPY 到CO欄位'!$1:$1048576,'Over Under Bill 1 COPY 到CO欄位'!BK$1,0)</f>
        <v>0</v>
      </c>
      <c r="BQ37" s="158">
        <f>VLOOKUP($A37,'Over Under Bill 1 COPY 到CO欄位'!$1:$1048576,'Over Under Bill 1 COPY 到CO欄位'!BQ$1,0)-VLOOKUP($A37,'Over Under Bill 1 COPY 到CO欄位'!$1:$1048576,'Over Under Bill 1 COPY 到CO欄位'!BL$1,0)</f>
        <v>0</v>
      </c>
      <c r="BR37" s="158">
        <f t="shared" ref="BR37:BR54" si="64">+BP37-BQ37</f>
        <v>0</v>
      </c>
      <c r="BS37" s="158">
        <f>VLOOKUP($A37,'Over Under Bill 1 COPY 到CO欄位'!$1:$1048576,'Over Under Bill 1 COPY 到CO欄位'!BS$1,0)-VLOOKUP($A37,'Over Under Bill 1 COPY 到CO欄位'!$1:$1048576,'Over Under Bill 1 COPY 到CO欄位'!BN$1,0)</f>
        <v>0</v>
      </c>
      <c r="BT37" s="158">
        <f t="shared" ref="BT37:BT54" si="65">+BR37-BS37</f>
        <v>0</v>
      </c>
      <c r="BU37" s="157">
        <f>VLOOKUP($A37,'Over Under Bill 1 COPY 到CO欄位'!$1:$1048576,'Over Under Bill 1 COPY 到CO欄位'!BP$1,0)-VLOOKUP($A37,'Over Under Bill 1 COPY 到CO欄位'!$1:$1048576,'Over Under Bill 1 COPY 到CO欄位'!H$1,0)</f>
        <v>0</v>
      </c>
      <c r="BV37" s="157">
        <f>VLOOKUP($A37,'Over Under Bill 1 COPY 到CO欄位'!$1:$1048576,'Over Under Bill 1 COPY 到CO欄位'!BQ$1,0)-VLOOKUP($A37,'Over Under Bill 1 COPY 到CO欄位'!$1:$1048576,'Over Under Bill 1 COPY 到CO欄位'!I$1,0)</f>
        <v>0</v>
      </c>
      <c r="BW37" s="157">
        <f t="shared" ref="BW37:BW54" si="66">+BU37-BV37</f>
        <v>0</v>
      </c>
      <c r="BX37" s="157">
        <f>VLOOKUP($A37,'Over Under Bill 1 COPY 到CO欄位'!$1:$1048576,'Over Under Bill 1 COPY 到CO欄位'!BS$1,0)-VLOOKUP($A37,'Over Under Bill 1 COPY 到CO欄位'!$1:$1048576,'Over Under Bill 1 COPY 到CO欄位'!K$1,0)</f>
        <v>0</v>
      </c>
      <c r="BY37" s="157">
        <f t="shared" ref="BY37:BY54" si="67">+BW37-BX37</f>
        <v>0</v>
      </c>
      <c r="BZ37" s="158">
        <f>VLOOKUP($A37,'Over Under Bill 1 COPY 到CO欄位'!$1:$1048576,'Over Under Bill 1 COPY 到CO欄位'!BU$1,0)-VLOOKUP($A37,'Over Under Bill 1 COPY 到CO欄位'!$1:$1048576,'Over Under Bill 1 COPY 到CO欄位'!BP$1,0)</f>
        <v>0</v>
      </c>
      <c r="CA37" s="158">
        <f>VLOOKUP($A37,'Over Under Bill 1 COPY 到CO欄位'!$1:$1048576,'Over Under Bill 1 COPY 到CO欄位'!BV$1,0)-VLOOKUP($A37,'Over Under Bill 1 COPY 到CO欄位'!$1:$1048576,'Over Under Bill 1 COPY 到CO欄位'!BQ$1,0)</f>
        <v>0</v>
      </c>
      <c r="CB37" s="158">
        <f t="shared" ref="CB37:CB54" si="68">+BZ37-CA37</f>
        <v>0</v>
      </c>
      <c r="CC37" s="158">
        <f>VLOOKUP($A37,'Over Under Bill 1 COPY 到CO欄位'!$1:$1048576,'Over Under Bill 1 COPY 到CO欄位'!BX$1,0)-VLOOKUP($A37,'Over Under Bill 1 COPY 到CO欄位'!$1:$1048576,'Over Under Bill 1 COPY 到CO欄位'!BS$1,0)</f>
        <v>0</v>
      </c>
      <c r="CD37" s="158">
        <f t="shared" ref="CD37:CD54" si="69">+CB37-CC37</f>
        <v>0</v>
      </c>
      <c r="CE37" s="157">
        <f>VLOOKUP($A37,'Over Under Bill 1 COPY 到CO欄位'!$1:$1048576,'Over Under Bill 1 COPY 到CO欄位'!BZ$1,0)-VLOOKUP($A37,'Over Under Bill 1 COPY 到CO欄位'!$1:$1048576,'Over Under Bill 1 COPY 到CO欄位'!BU$1,0)</f>
        <v>0</v>
      </c>
      <c r="CF37" s="157">
        <f>VLOOKUP($A37,'Over Under Bill 1 COPY 到CO欄位'!$1:$1048576,'Over Under Bill 1 COPY 到CO欄位'!CA$1,0)-VLOOKUP($A37,'Over Under Bill 1 COPY 到CO欄位'!$1:$1048576,'Over Under Bill 1 COPY 到CO欄位'!BV$1,0)</f>
        <v>0</v>
      </c>
      <c r="CG37" s="157">
        <f t="shared" ref="CG37:CG54" si="70">+CE37-CF37</f>
        <v>0</v>
      </c>
      <c r="CH37" s="157">
        <f>VLOOKUP($A37,'Over Under Bill 1 COPY 到CO欄位'!$1:$1048576,'Over Under Bill 1 COPY 到CO欄位'!CC$1,0)-VLOOKUP($A37,'Over Under Bill 1 COPY 到CO欄位'!$1:$1048576,'Over Under Bill 1 COPY 到CO欄位'!BX$1,0)</f>
        <v>0</v>
      </c>
      <c r="CI37" s="157">
        <f t="shared" ref="CI37:CI54" si="71">+CG37-CH37</f>
        <v>0</v>
      </c>
      <c r="CJ37" s="158">
        <f>VLOOKUP($A37,'Over Under Bill 1 COPY 到CO欄位'!$1:$1048576,'Over Under Bill 1 COPY 到CO欄位'!CE$1,0)-VLOOKUP($A37,'Over Under Bill 1 COPY 到CO欄位'!$1:$1048576,'Over Under Bill 1 COPY 到CO欄位'!BZ$1,0)</f>
        <v>0</v>
      </c>
      <c r="CK37" s="158">
        <f>VLOOKUP($A37,'Over Under Bill 1 COPY 到CO欄位'!$1:$1048576,'Over Under Bill 1 COPY 到CO欄位'!CF$1,0)-VLOOKUP($A37,'Over Under Bill 1 COPY 到CO欄位'!$1:$1048576,'Over Under Bill 1 COPY 到CO欄位'!CA$1,0)</f>
        <v>0</v>
      </c>
      <c r="CL37" s="158">
        <f t="shared" ref="CL37:CL54" si="72">+CJ37-CK37</f>
        <v>0</v>
      </c>
      <c r="CM37" s="158">
        <f>VLOOKUP($A37,'Over Under Bill 1 COPY 到CO欄位'!$1:$1048576,'Over Under Bill 1 COPY 到CO欄位'!CH$1,0)-VLOOKUP($A37,'Over Under Bill 1 COPY 到CO欄位'!$1:$1048576,'Over Under Bill 1 COPY 到CO欄位'!CC$1,0)</f>
        <v>0</v>
      </c>
      <c r="CN37" s="158">
        <f t="shared" ref="CN37:CN54" si="73">+CL37-CM37</f>
        <v>0</v>
      </c>
      <c r="CO37" s="157">
        <f>VLOOKUP($A37,'Over Under Bill 1 COPY 到CO欄位'!$1:$1048576,'Over Under Bill 1 COPY 到CO欄位'!CJ$1,0)-VLOOKUP($A37,'Over Under Bill 1 COPY 到CO欄位'!$1:$1048576,'Over Under Bill 1 COPY 到CO欄位'!CE$1,0)</f>
        <v>0</v>
      </c>
      <c r="CP37" s="157">
        <f>VLOOKUP($A37,'Over Under Bill 1 COPY 到CO欄位'!$1:$1048576,'Over Under Bill 1 COPY 到CO欄位'!CK$1,0)-VLOOKUP($A37,'Over Under Bill 1 COPY 到CO欄位'!$1:$1048576,'Over Under Bill 1 COPY 到CO欄位'!CF$1,0)</f>
        <v>0</v>
      </c>
      <c r="CQ37" s="157">
        <f t="shared" ref="CQ37:CQ54" si="74">+CO37-CP37</f>
        <v>0</v>
      </c>
      <c r="CR37" s="157">
        <f>VLOOKUP($A37,'Over Under Bill 1 COPY 到CO欄位'!$1:$1048576,'Over Under Bill 1 COPY 到CO欄位'!CM$1,0)-VLOOKUP($A37,'Over Under Bill 1 COPY 到CO欄位'!$1:$1048576,'Over Under Bill 1 COPY 到CO欄位'!CH$1,0)</f>
        <v>0</v>
      </c>
      <c r="CS37" s="157">
        <f t="shared" ref="CS37:CS54" si="75">+CQ37-CR37</f>
        <v>0</v>
      </c>
    </row>
    <row r="38" spans="1:97">
      <c r="A38" s="171" t="s">
        <v>373</v>
      </c>
      <c r="B38" s="172" t="s">
        <v>374</v>
      </c>
      <c r="C38" s="157">
        <f>IFERROR(VLOOKUP($A38,'A0 BS 1240在建'!$1:$1048576,5,0),0)</f>
        <v>0</v>
      </c>
      <c r="D38" s="157">
        <f>IFERROR(VLOOKUP($A38,'B0 2264預收'!$1:$1048576,5,0),0)</f>
        <v>0</v>
      </c>
      <c r="E38" s="157">
        <f t="shared" si="38"/>
        <v>0</v>
      </c>
      <c r="F38" s="157">
        <f>IFERROR(VLOOKUP($A38,'B0 2264預收'!$1:$1048576,6,0),0)</f>
        <v>0</v>
      </c>
      <c r="G38" s="157">
        <f t="shared" si="39"/>
        <v>0</v>
      </c>
      <c r="H38" s="158">
        <f>IFERROR(VLOOKUP($A38,'A0 BS 1240在建'!$1:$1048576,13,0),0)-C38</f>
        <v>0</v>
      </c>
      <c r="I38" s="158">
        <f>IFERROR(VLOOKUP($A38,'B0 2264預收'!$1:$1048576,13,0),0)-D38</f>
        <v>0</v>
      </c>
      <c r="J38" s="158">
        <f t="shared" si="40"/>
        <v>0</v>
      </c>
      <c r="K38" s="158">
        <f>IFERROR(VLOOKUP($A38,'B0 2264預收'!$1:$1048576,14,0),0)-F38</f>
        <v>0</v>
      </c>
      <c r="L38" s="158">
        <f t="shared" si="41"/>
        <v>0</v>
      </c>
      <c r="M38" s="157">
        <f>VLOOKUP($A38,'Over Under Bill 1 COPY 到CO欄位'!$1:$1048576,'Over Under Bill 1 COPY 到CO欄位'!M$1,0)-VLOOKUP($A38,'Over Under Bill 1 COPY 到CO欄位'!$1:$1048576,'Over Under Bill 1 COPY 到CO欄位'!H$1,0)</f>
        <v>0</v>
      </c>
      <c r="N38" s="157">
        <f>VLOOKUP($A38,'Over Under Bill 1 COPY 到CO欄位'!$1:$1048576,'Over Under Bill 1 COPY 到CO欄位'!N$1,0)-VLOOKUP($A38,'Over Under Bill 1 COPY 到CO欄位'!$1:$1048576,'Over Under Bill 1 COPY 到CO欄位'!I$1,0)</f>
        <v>0</v>
      </c>
      <c r="O38" s="157">
        <f t="shared" si="42"/>
        <v>0</v>
      </c>
      <c r="P38" s="157">
        <f>VLOOKUP($A38,'Over Under Bill 1 COPY 到CO欄位'!$1:$1048576,'Over Under Bill 1 COPY 到CO欄位'!P$1,0)-VLOOKUP($A38,'Over Under Bill 1 COPY 到CO欄位'!$1:$1048576,'Over Under Bill 1 COPY 到CO欄位'!K$1,0)</f>
        <v>0</v>
      </c>
      <c r="Q38" s="157">
        <f t="shared" si="43"/>
        <v>0</v>
      </c>
      <c r="R38" s="158">
        <f>VLOOKUP($A38,'Over Under Bill 1 COPY 到CO欄位'!$1:$1048576,'Over Under Bill 1 COPY 到CO欄位'!R$1,0)-VLOOKUP($A38,'Over Under Bill 1 COPY 到CO欄位'!$1:$1048576,'Over Under Bill 1 COPY 到CO欄位'!M$1,0)</f>
        <v>0</v>
      </c>
      <c r="S38" s="158">
        <f>VLOOKUP($A38,'Over Under Bill 1 COPY 到CO欄位'!$1:$1048576,'Over Under Bill 1 COPY 到CO欄位'!S$1,0)-VLOOKUP($A38,'Over Under Bill 1 COPY 到CO欄位'!$1:$1048576,'Over Under Bill 1 COPY 到CO欄位'!N$1,0)</f>
        <v>0</v>
      </c>
      <c r="T38" s="158">
        <f t="shared" si="44"/>
        <v>0</v>
      </c>
      <c r="U38" s="158">
        <f>VLOOKUP($A38,'Over Under Bill 1 COPY 到CO欄位'!$1:$1048576,'Over Under Bill 1 COPY 到CO欄位'!U$1,0)-VLOOKUP($A38,'Over Under Bill 1 COPY 到CO欄位'!$1:$1048576,'Over Under Bill 1 COPY 到CO欄位'!P$1,0)</f>
        <v>0</v>
      </c>
      <c r="V38" s="158">
        <f t="shared" si="45"/>
        <v>0</v>
      </c>
      <c r="W38" s="157">
        <f>VLOOKUP($A38,'Over Under Bill 1 COPY 到CO欄位'!$1:$1048576,'Over Under Bill 1 COPY 到CO欄位'!W$1,0)-VLOOKUP($A38,'Over Under Bill 1 COPY 到CO欄位'!$1:$1048576,'Over Under Bill 1 COPY 到CO欄位'!R$1,0)</f>
        <v>0</v>
      </c>
      <c r="X38" s="157">
        <f>VLOOKUP($A38,'Over Under Bill 1 COPY 到CO欄位'!$1:$1048576,'Over Under Bill 1 COPY 到CO欄位'!X$1,0)-VLOOKUP($A38,'Over Under Bill 1 COPY 到CO欄位'!$1:$1048576,'Over Under Bill 1 COPY 到CO欄位'!S$1,0)</f>
        <v>0</v>
      </c>
      <c r="Y38" s="157">
        <f t="shared" si="46"/>
        <v>0</v>
      </c>
      <c r="Z38" s="157">
        <f>VLOOKUP($A38,'Over Under Bill 1 COPY 到CO欄位'!$1:$1048576,'Over Under Bill 1 COPY 到CO欄位'!Z$1,0)-VLOOKUP($A38,'Over Under Bill 1 COPY 到CO欄位'!$1:$1048576,'Over Under Bill 1 COPY 到CO欄位'!U$1,0)</f>
        <v>0</v>
      </c>
      <c r="AA38" s="157">
        <f t="shared" si="47"/>
        <v>0</v>
      </c>
      <c r="AB38" s="158">
        <f>VLOOKUP($A38,'Over Under Bill 1 COPY 到CO欄位'!$1:$1048576,'Over Under Bill 1 COPY 到CO欄位'!AB$1,0)-VLOOKUP($A38,'Over Under Bill 1 COPY 到CO欄位'!$1:$1048576,'Over Under Bill 1 COPY 到CO欄位'!W$1,0)</f>
        <v>0</v>
      </c>
      <c r="AC38" s="158">
        <f>VLOOKUP($A38,'Over Under Bill 1 COPY 到CO欄位'!$1:$1048576,'Over Under Bill 1 COPY 到CO欄位'!AC$1,0)-VLOOKUP($A38,'Over Under Bill 1 COPY 到CO欄位'!$1:$1048576,'Over Under Bill 1 COPY 到CO欄位'!X$1,0)</f>
        <v>0</v>
      </c>
      <c r="AD38" s="158">
        <f t="shared" si="48"/>
        <v>0</v>
      </c>
      <c r="AE38" s="158">
        <f>VLOOKUP($A38,'Over Under Bill 1 COPY 到CO欄位'!$1:$1048576,'Over Under Bill 1 COPY 到CO欄位'!AE$1,0)-VLOOKUP($A38,'Over Under Bill 1 COPY 到CO欄位'!$1:$1048576,'Over Under Bill 1 COPY 到CO欄位'!Z$1,0)</f>
        <v>0</v>
      </c>
      <c r="AF38" s="158">
        <f t="shared" si="49"/>
        <v>0</v>
      </c>
      <c r="AG38" s="157">
        <f>VLOOKUP($A38,'Over Under Bill 1 COPY 到CO欄位'!$1:$1048576,'Over Under Bill 1 COPY 到CO欄位'!AG$1,0)-VLOOKUP($A38,'Over Under Bill 1 COPY 到CO欄位'!$1:$1048576,'Over Under Bill 1 COPY 到CO欄位'!AB$1,0)</f>
        <v>0</v>
      </c>
      <c r="AH38" s="157">
        <f>VLOOKUP($A38,'Over Under Bill 1 COPY 到CO欄位'!$1:$1048576,'Over Under Bill 1 COPY 到CO欄位'!AH$1,0)-VLOOKUP($A38,'Over Under Bill 1 COPY 到CO欄位'!$1:$1048576,'Over Under Bill 1 COPY 到CO欄位'!AC$1,0)</f>
        <v>0</v>
      </c>
      <c r="AI38" s="157">
        <f t="shared" si="50"/>
        <v>0</v>
      </c>
      <c r="AJ38" s="157">
        <f>VLOOKUP($A38,'Over Under Bill 1 COPY 到CO欄位'!$1:$1048576,'Over Under Bill 1 COPY 到CO欄位'!AJ$1,0)-VLOOKUP($A38,'Over Under Bill 1 COPY 到CO欄位'!$1:$1048576,'Over Under Bill 1 COPY 到CO欄位'!AE$1,0)</f>
        <v>0</v>
      </c>
      <c r="AK38" s="157">
        <f t="shared" si="51"/>
        <v>0</v>
      </c>
      <c r="AL38" s="158">
        <f>VLOOKUP($A38,'Over Under Bill 1 COPY 到CO欄位'!$1:$1048576,'Over Under Bill 1 COPY 到CO欄位'!AL$1,0)-VLOOKUP($A38,'Over Under Bill 1 COPY 到CO欄位'!$1:$1048576,'Over Under Bill 1 COPY 到CO欄位'!AG$1,0)</f>
        <v>0</v>
      </c>
      <c r="AM38" s="158">
        <f>VLOOKUP($A38,'Over Under Bill 1 COPY 到CO欄位'!$1:$1048576,'Over Under Bill 1 COPY 到CO欄位'!AM$1,0)-VLOOKUP($A38,'Over Under Bill 1 COPY 到CO欄位'!$1:$1048576,'Over Under Bill 1 COPY 到CO欄位'!AH$1,0)</f>
        <v>0</v>
      </c>
      <c r="AN38" s="158">
        <f t="shared" si="52"/>
        <v>0</v>
      </c>
      <c r="AO38" s="158">
        <f>VLOOKUP($A38,'Over Under Bill 1 COPY 到CO欄位'!$1:$1048576,'Over Under Bill 1 COPY 到CO欄位'!AO$1,0)-VLOOKUP($A38,'Over Under Bill 1 COPY 到CO欄位'!$1:$1048576,'Over Under Bill 1 COPY 到CO欄位'!AJ$1,0)</f>
        <v>0</v>
      </c>
      <c r="AP38" s="158">
        <f t="shared" si="53"/>
        <v>0</v>
      </c>
      <c r="AQ38" s="157">
        <f>VLOOKUP($A38,'Over Under Bill 1 COPY 到CO欄位'!$1:$1048576,'Over Under Bill 1 COPY 到CO欄位'!AQ$1,0)-VLOOKUP($A38,'Over Under Bill 1 COPY 到CO欄位'!$1:$1048576,'Over Under Bill 1 COPY 到CO欄位'!AL$1,0)</f>
        <v>0</v>
      </c>
      <c r="AR38" s="157">
        <f>VLOOKUP($A38,'Over Under Bill 1 COPY 到CO欄位'!$1:$1048576,'Over Under Bill 1 COPY 到CO欄位'!AR$1,0)-VLOOKUP($A38,'Over Under Bill 1 COPY 到CO欄位'!$1:$1048576,'Over Under Bill 1 COPY 到CO欄位'!AM$1,0)</f>
        <v>0</v>
      </c>
      <c r="AS38" s="157">
        <f t="shared" si="54"/>
        <v>0</v>
      </c>
      <c r="AT38" s="157">
        <f>VLOOKUP($A38,'Over Under Bill 1 COPY 到CO欄位'!$1:$1048576,'Over Under Bill 1 COPY 到CO欄位'!AT$1,0)-VLOOKUP($A38,'Over Under Bill 1 COPY 到CO欄位'!$1:$1048576,'Over Under Bill 1 COPY 到CO欄位'!AO$1,0)</f>
        <v>0</v>
      </c>
      <c r="AU38" s="157">
        <f t="shared" si="55"/>
        <v>0</v>
      </c>
      <c r="AV38" s="158">
        <f>VLOOKUP($A38,'Over Under Bill 1 COPY 到CO欄位'!$1:$1048576,'Over Under Bill 1 COPY 到CO欄位'!AV$1,0)-VLOOKUP($A38,'Over Under Bill 1 COPY 到CO欄位'!$1:$1048576,'Over Under Bill 1 COPY 到CO欄位'!AQ$1,0)</f>
        <v>0</v>
      </c>
      <c r="AW38" s="158">
        <f>VLOOKUP($A38,'Over Under Bill 1 COPY 到CO欄位'!$1:$1048576,'Over Under Bill 1 COPY 到CO欄位'!AW$1,0)-VLOOKUP($A38,'Over Under Bill 1 COPY 到CO欄位'!$1:$1048576,'Over Under Bill 1 COPY 到CO欄位'!AR$1,0)</f>
        <v>0</v>
      </c>
      <c r="AX38" s="158">
        <f t="shared" si="56"/>
        <v>0</v>
      </c>
      <c r="AY38" s="158">
        <f>VLOOKUP($A38,'Over Under Bill 1 COPY 到CO欄位'!$1:$1048576,'Over Under Bill 1 COPY 到CO欄位'!AY$1,0)-VLOOKUP($A38,'Over Under Bill 1 COPY 到CO欄位'!$1:$1048576,'Over Under Bill 1 COPY 到CO欄位'!AT$1,0)</f>
        <v>0</v>
      </c>
      <c r="AZ38" s="158">
        <f t="shared" si="57"/>
        <v>0</v>
      </c>
      <c r="BA38" s="157">
        <f>VLOOKUP($A38,'Over Under Bill 1 COPY 到CO欄位'!$1:$1048576,'Over Under Bill 1 COPY 到CO欄位'!BA$1,0)-VLOOKUP($A38,'Over Under Bill 1 COPY 到CO欄位'!$1:$1048576,'Over Under Bill 1 COPY 到CO欄位'!AV$1,0)</f>
        <v>0</v>
      </c>
      <c r="BB38" s="157">
        <f>VLOOKUP($A38,'Over Under Bill 1 COPY 到CO欄位'!$1:$1048576,'Over Under Bill 1 COPY 到CO欄位'!BB$1,0)-VLOOKUP($A38,'Over Under Bill 1 COPY 到CO欄位'!$1:$1048576,'Over Under Bill 1 COPY 到CO欄位'!AW$1,0)</f>
        <v>0</v>
      </c>
      <c r="BC38" s="157">
        <f t="shared" si="58"/>
        <v>0</v>
      </c>
      <c r="BD38" s="157">
        <f>VLOOKUP($A38,'Over Under Bill 1 COPY 到CO欄位'!$1:$1048576,'Over Under Bill 1 COPY 到CO欄位'!BD$1,0)-VLOOKUP($A38,'Over Under Bill 1 COPY 到CO欄位'!$1:$1048576,'Over Under Bill 1 COPY 到CO欄位'!AY$1,0)</f>
        <v>0</v>
      </c>
      <c r="BE38" s="157">
        <f t="shared" si="59"/>
        <v>0</v>
      </c>
      <c r="BF38" s="158">
        <f>VLOOKUP($A38,'Over Under Bill 1 COPY 到CO欄位'!$1:$1048576,'Over Under Bill 1 COPY 到CO欄位'!BF$1,0)-VLOOKUP($A38,'Over Under Bill 1 COPY 到CO欄位'!$1:$1048576,'Over Under Bill 1 COPY 到CO欄位'!BA$1,0)</f>
        <v>0</v>
      </c>
      <c r="BG38" s="158">
        <f>VLOOKUP($A38,'Over Under Bill 1 COPY 到CO欄位'!$1:$1048576,'Over Under Bill 1 COPY 到CO欄位'!BG$1,0)-VLOOKUP($A38,'Over Under Bill 1 COPY 到CO欄位'!$1:$1048576,'Over Under Bill 1 COPY 到CO欄位'!BB$1,0)</f>
        <v>0</v>
      </c>
      <c r="BH38" s="158">
        <f t="shared" si="60"/>
        <v>0</v>
      </c>
      <c r="BI38" s="158">
        <f>VLOOKUP($A38,'Over Under Bill 1 COPY 到CO欄位'!$1:$1048576,'Over Under Bill 1 COPY 到CO欄位'!BI$1,0)-VLOOKUP($A38,'Over Under Bill 1 COPY 到CO欄位'!$1:$1048576,'Over Under Bill 1 COPY 到CO欄位'!BD$1,0)</f>
        <v>0</v>
      </c>
      <c r="BJ38" s="158">
        <f t="shared" si="61"/>
        <v>0</v>
      </c>
      <c r="BK38" s="157">
        <f>VLOOKUP($A38,'Over Under Bill 1 COPY 到CO欄位'!$1:$1048576,'Over Under Bill 1 COPY 到CO欄位'!BK$1,0)-VLOOKUP($A38,'Over Under Bill 1 COPY 到CO欄位'!$1:$1048576,'Over Under Bill 1 COPY 到CO欄位'!BF$1,0)</f>
        <v>0</v>
      </c>
      <c r="BL38" s="157">
        <f>VLOOKUP($A38,'Over Under Bill 1 COPY 到CO欄位'!$1:$1048576,'Over Under Bill 1 COPY 到CO欄位'!BL$1,0)-VLOOKUP($A38,'Over Under Bill 1 COPY 到CO欄位'!$1:$1048576,'Over Under Bill 1 COPY 到CO欄位'!BG$1,0)</f>
        <v>0</v>
      </c>
      <c r="BM38" s="157">
        <f t="shared" si="62"/>
        <v>0</v>
      </c>
      <c r="BN38" s="157">
        <f>VLOOKUP($A38,'Over Under Bill 1 COPY 到CO欄位'!$1:$1048576,'Over Under Bill 1 COPY 到CO欄位'!BN$1,0)-VLOOKUP($A38,'Over Under Bill 1 COPY 到CO欄位'!$1:$1048576,'Over Under Bill 1 COPY 到CO欄位'!BI$1,0)</f>
        <v>0</v>
      </c>
      <c r="BO38" s="157">
        <f t="shared" si="63"/>
        <v>0</v>
      </c>
      <c r="BP38" s="158">
        <f>VLOOKUP($A38,'Over Under Bill 1 COPY 到CO欄位'!$1:$1048576,'Over Under Bill 1 COPY 到CO欄位'!BP$1,0)-VLOOKUP($A38,'Over Under Bill 1 COPY 到CO欄位'!$1:$1048576,'Over Under Bill 1 COPY 到CO欄位'!BK$1,0)</f>
        <v>0</v>
      </c>
      <c r="BQ38" s="158">
        <f>VLOOKUP($A38,'Over Under Bill 1 COPY 到CO欄位'!$1:$1048576,'Over Under Bill 1 COPY 到CO欄位'!BQ$1,0)-VLOOKUP($A38,'Over Under Bill 1 COPY 到CO欄位'!$1:$1048576,'Over Under Bill 1 COPY 到CO欄位'!BL$1,0)</f>
        <v>0</v>
      </c>
      <c r="BR38" s="158">
        <f t="shared" si="64"/>
        <v>0</v>
      </c>
      <c r="BS38" s="158">
        <f>VLOOKUP($A38,'Over Under Bill 1 COPY 到CO欄位'!$1:$1048576,'Over Under Bill 1 COPY 到CO欄位'!BS$1,0)-VLOOKUP($A38,'Over Under Bill 1 COPY 到CO欄位'!$1:$1048576,'Over Under Bill 1 COPY 到CO欄位'!BN$1,0)</f>
        <v>0</v>
      </c>
      <c r="BT38" s="158">
        <f t="shared" si="65"/>
        <v>0</v>
      </c>
      <c r="BU38" s="157">
        <f>VLOOKUP($A38,'Over Under Bill 1 COPY 到CO欄位'!$1:$1048576,'Over Under Bill 1 COPY 到CO欄位'!BP$1,0)-VLOOKUP($A38,'Over Under Bill 1 COPY 到CO欄位'!$1:$1048576,'Over Under Bill 1 COPY 到CO欄位'!H$1,0)</f>
        <v>0</v>
      </c>
      <c r="BV38" s="157">
        <f>VLOOKUP($A38,'Over Under Bill 1 COPY 到CO欄位'!$1:$1048576,'Over Under Bill 1 COPY 到CO欄位'!BQ$1,0)-VLOOKUP($A38,'Over Under Bill 1 COPY 到CO欄位'!$1:$1048576,'Over Under Bill 1 COPY 到CO欄位'!I$1,0)</f>
        <v>0</v>
      </c>
      <c r="BW38" s="157">
        <f t="shared" si="66"/>
        <v>0</v>
      </c>
      <c r="BX38" s="157">
        <f>VLOOKUP($A38,'Over Under Bill 1 COPY 到CO欄位'!$1:$1048576,'Over Under Bill 1 COPY 到CO欄位'!BS$1,0)-VLOOKUP($A38,'Over Under Bill 1 COPY 到CO欄位'!$1:$1048576,'Over Under Bill 1 COPY 到CO欄位'!K$1,0)</f>
        <v>0</v>
      </c>
      <c r="BY38" s="157">
        <f t="shared" si="67"/>
        <v>0</v>
      </c>
      <c r="BZ38" s="158">
        <f>VLOOKUP($A38,'Over Under Bill 1 COPY 到CO欄位'!$1:$1048576,'Over Under Bill 1 COPY 到CO欄位'!BU$1,0)-VLOOKUP($A38,'Over Under Bill 1 COPY 到CO欄位'!$1:$1048576,'Over Under Bill 1 COPY 到CO欄位'!BP$1,0)</f>
        <v>0</v>
      </c>
      <c r="CA38" s="158">
        <f>VLOOKUP($A38,'Over Under Bill 1 COPY 到CO欄位'!$1:$1048576,'Over Under Bill 1 COPY 到CO欄位'!BV$1,0)-VLOOKUP($A38,'Over Under Bill 1 COPY 到CO欄位'!$1:$1048576,'Over Under Bill 1 COPY 到CO欄位'!BQ$1,0)</f>
        <v>0</v>
      </c>
      <c r="CB38" s="158">
        <f t="shared" si="68"/>
        <v>0</v>
      </c>
      <c r="CC38" s="158">
        <f>VLOOKUP($A38,'Over Under Bill 1 COPY 到CO欄位'!$1:$1048576,'Over Under Bill 1 COPY 到CO欄位'!BX$1,0)-VLOOKUP($A38,'Over Under Bill 1 COPY 到CO欄位'!$1:$1048576,'Over Under Bill 1 COPY 到CO欄位'!BS$1,0)</f>
        <v>0</v>
      </c>
      <c r="CD38" s="158">
        <f t="shared" si="69"/>
        <v>0</v>
      </c>
      <c r="CE38" s="157">
        <f>VLOOKUP($A38,'Over Under Bill 1 COPY 到CO欄位'!$1:$1048576,'Over Under Bill 1 COPY 到CO欄位'!BZ$1,0)-VLOOKUP($A38,'Over Under Bill 1 COPY 到CO欄位'!$1:$1048576,'Over Under Bill 1 COPY 到CO欄位'!BU$1,0)</f>
        <v>0</v>
      </c>
      <c r="CF38" s="157">
        <f>VLOOKUP($A38,'Over Under Bill 1 COPY 到CO欄位'!$1:$1048576,'Over Under Bill 1 COPY 到CO欄位'!CA$1,0)-VLOOKUP($A38,'Over Under Bill 1 COPY 到CO欄位'!$1:$1048576,'Over Under Bill 1 COPY 到CO欄位'!BV$1,0)</f>
        <v>0</v>
      </c>
      <c r="CG38" s="157">
        <f t="shared" si="70"/>
        <v>0</v>
      </c>
      <c r="CH38" s="157">
        <f>VLOOKUP($A38,'Over Under Bill 1 COPY 到CO欄位'!$1:$1048576,'Over Under Bill 1 COPY 到CO欄位'!CC$1,0)-VLOOKUP($A38,'Over Under Bill 1 COPY 到CO欄位'!$1:$1048576,'Over Under Bill 1 COPY 到CO欄位'!BX$1,0)</f>
        <v>0</v>
      </c>
      <c r="CI38" s="157">
        <f t="shared" si="71"/>
        <v>0</v>
      </c>
      <c r="CJ38" s="158">
        <f>VLOOKUP($A38,'Over Under Bill 1 COPY 到CO欄位'!$1:$1048576,'Over Under Bill 1 COPY 到CO欄位'!CE$1,0)-VLOOKUP($A38,'Over Under Bill 1 COPY 到CO欄位'!$1:$1048576,'Over Under Bill 1 COPY 到CO欄位'!BZ$1,0)</f>
        <v>0</v>
      </c>
      <c r="CK38" s="158">
        <f>VLOOKUP($A38,'Over Under Bill 1 COPY 到CO欄位'!$1:$1048576,'Over Under Bill 1 COPY 到CO欄位'!CF$1,0)-VLOOKUP($A38,'Over Under Bill 1 COPY 到CO欄位'!$1:$1048576,'Over Under Bill 1 COPY 到CO欄位'!CA$1,0)</f>
        <v>0</v>
      </c>
      <c r="CL38" s="158">
        <f t="shared" si="72"/>
        <v>0</v>
      </c>
      <c r="CM38" s="158">
        <f>VLOOKUP($A38,'Over Under Bill 1 COPY 到CO欄位'!$1:$1048576,'Over Under Bill 1 COPY 到CO欄位'!CH$1,0)-VLOOKUP($A38,'Over Under Bill 1 COPY 到CO欄位'!$1:$1048576,'Over Under Bill 1 COPY 到CO欄位'!CC$1,0)</f>
        <v>0</v>
      </c>
      <c r="CN38" s="158">
        <f t="shared" si="73"/>
        <v>0</v>
      </c>
      <c r="CO38" s="157">
        <f>VLOOKUP($A38,'Over Under Bill 1 COPY 到CO欄位'!$1:$1048576,'Over Under Bill 1 COPY 到CO欄位'!CJ$1,0)-VLOOKUP($A38,'Over Under Bill 1 COPY 到CO欄位'!$1:$1048576,'Over Under Bill 1 COPY 到CO欄位'!CE$1,0)</f>
        <v>0</v>
      </c>
      <c r="CP38" s="157">
        <f>VLOOKUP($A38,'Over Under Bill 1 COPY 到CO欄位'!$1:$1048576,'Over Under Bill 1 COPY 到CO欄位'!CK$1,0)-VLOOKUP($A38,'Over Under Bill 1 COPY 到CO欄位'!$1:$1048576,'Over Under Bill 1 COPY 到CO欄位'!CF$1,0)</f>
        <v>0</v>
      </c>
      <c r="CQ38" s="157">
        <f t="shared" si="74"/>
        <v>0</v>
      </c>
      <c r="CR38" s="157">
        <f>VLOOKUP($A38,'Over Under Bill 1 COPY 到CO欄位'!$1:$1048576,'Over Under Bill 1 COPY 到CO欄位'!CM$1,0)-VLOOKUP($A38,'Over Under Bill 1 COPY 到CO欄位'!$1:$1048576,'Over Under Bill 1 COPY 到CO欄位'!CH$1,0)</f>
        <v>0</v>
      </c>
      <c r="CS38" s="157">
        <f t="shared" si="75"/>
        <v>0</v>
      </c>
    </row>
    <row r="39" spans="1:97">
      <c r="A39" s="171" t="s">
        <v>375</v>
      </c>
      <c r="B39" s="172" t="s">
        <v>376</v>
      </c>
      <c r="C39" s="157">
        <f>IFERROR(VLOOKUP($A39,'A0 BS 1240在建'!$1:$1048576,5,0),0)</f>
        <v>0</v>
      </c>
      <c r="D39" s="157">
        <f>IFERROR(VLOOKUP($A39,'B0 2264預收'!$1:$1048576,5,0),0)</f>
        <v>0</v>
      </c>
      <c r="E39" s="157">
        <f t="shared" si="38"/>
        <v>0</v>
      </c>
      <c r="F39" s="157">
        <f>IFERROR(VLOOKUP($A39,'B0 2264預收'!$1:$1048576,6,0),0)</f>
        <v>0</v>
      </c>
      <c r="G39" s="157">
        <f t="shared" si="39"/>
        <v>0</v>
      </c>
      <c r="H39" s="158">
        <f>IFERROR(VLOOKUP($A39,'A0 BS 1240在建'!$1:$1048576,13,0),0)-C39</f>
        <v>0</v>
      </c>
      <c r="I39" s="158">
        <f>IFERROR(VLOOKUP($A39,'B0 2264預收'!$1:$1048576,13,0),0)-D39</f>
        <v>0</v>
      </c>
      <c r="J39" s="158">
        <f t="shared" si="40"/>
        <v>0</v>
      </c>
      <c r="K39" s="158">
        <f>IFERROR(VLOOKUP($A39,'B0 2264預收'!$1:$1048576,14,0),0)-F39</f>
        <v>0</v>
      </c>
      <c r="L39" s="158">
        <f t="shared" si="41"/>
        <v>0</v>
      </c>
      <c r="M39" s="157">
        <f>VLOOKUP($A39,'Over Under Bill 1 COPY 到CO欄位'!$1:$1048576,'Over Under Bill 1 COPY 到CO欄位'!M$1,0)-VLOOKUP($A39,'Over Under Bill 1 COPY 到CO欄位'!$1:$1048576,'Over Under Bill 1 COPY 到CO欄位'!H$1,0)</f>
        <v>0</v>
      </c>
      <c r="N39" s="157">
        <f>VLOOKUP($A39,'Over Under Bill 1 COPY 到CO欄位'!$1:$1048576,'Over Under Bill 1 COPY 到CO欄位'!N$1,0)-VLOOKUP($A39,'Over Under Bill 1 COPY 到CO欄位'!$1:$1048576,'Over Under Bill 1 COPY 到CO欄位'!I$1,0)</f>
        <v>0</v>
      </c>
      <c r="O39" s="157">
        <f t="shared" si="42"/>
        <v>0</v>
      </c>
      <c r="P39" s="157">
        <f>VLOOKUP($A39,'Over Under Bill 1 COPY 到CO欄位'!$1:$1048576,'Over Under Bill 1 COPY 到CO欄位'!P$1,0)-VLOOKUP($A39,'Over Under Bill 1 COPY 到CO欄位'!$1:$1048576,'Over Under Bill 1 COPY 到CO欄位'!K$1,0)</f>
        <v>0</v>
      </c>
      <c r="Q39" s="157">
        <f t="shared" si="43"/>
        <v>0</v>
      </c>
      <c r="R39" s="158">
        <f>VLOOKUP($A39,'Over Under Bill 1 COPY 到CO欄位'!$1:$1048576,'Over Under Bill 1 COPY 到CO欄位'!R$1,0)-VLOOKUP($A39,'Over Under Bill 1 COPY 到CO欄位'!$1:$1048576,'Over Under Bill 1 COPY 到CO欄位'!M$1,0)</f>
        <v>0</v>
      </c>
      <c r="S39" s="158">
        <f>VLOOKUP($A39,'Over Under Bill 1 COPY 到CO欄位'!$1:$1048576,'Over Under Bill 1 COPY 到CO欄位'!S$1,0)-VLOOKUP($A39,'Over Under Bill 1 COPY 到CO欄位'!$1:$1048576,'Over Under Bill 1 COPY 到CO欄位'!N$1,0)</f>
        <v>0</v>
      </c>
      <c r="T39" s="158">
        <f t="shared" si="44"/>
        <v>0</v>
      </c>
      <c r="U39" s="158">
        <f>VLOOKUP($A39,'Over Under Bill 1 COPY 到CO欄位'!$1:$1048576,'Over Under Bill 1 COPY 到CO欄位'!U$1,0)-VLOOKUP($A39,'Over Under Bill 1 COPY 到CO欄位'!$1:$1048576,'Over Under Bill 1 COPY 到CO欄位'!P$1,0)</f>
        <v>0</v>
      </c>
      <c r="V39" s="158">
        <f t="shared" si="45"/>
        <v>0</v>
      </c>
      <c r="W39" s="157">
        <f>VLOOKUP($A39,'Over Under Bill 1 COPY 到CO欄位'!$1:$1048576,'Over Under Bill 1 COPY 到CO欄位'!W$1,0)-VLOOKUP($A39,'Over Under Bill 1 COPY 到CO欄位'!$1:$1048576,'Over Under Bill 1 COPY 到CO欄位'!R$1,0)</f>
        <v>0</v>
      </c>
      <c r="X39" s="157">
        <f>VLOOKUP($A39,'Over Under Bill 1 COPY 到CO欄位'!$1:$1048576,'Over Under Bill 1 COPY 到CO欄位'!X$1,0)-VLOOKUP($A39,'Over Under Bill 1 COPY 到CO欄位'!$1:$1048576,'Over Under Bill 1 COPY 到CO欄位'!S$1,0)</f>
        <v>0</v>
      </c>
      <c r="Y39" s="157">
        <f t="shared" si="46"/>
        <v>0</v>
      </c>
      <c r="Z39" s="157">
        <f>VLOOKUP($A39,'Over Under Bill 1 COPY 到CO欄位'!$1:$1048576,'Over Under Bill 1 COPY 到CO欄位'!Z$1,0)-VLOOKUP($A39,'Over Under Bill 1 COPY 到CO欄位'!$1:$1048576,'Over Under Bill 1 COPY 到CO欄位'!U$1,0)</f>
        <v>0</v>
      </c>
      <c r="AA39" s="157">
        <f t="shared" si="47"/>
        <v>0</v>
      </c>
      <c r="AB39" s="158">
        <f>VLOOKUP($A39,'Over Under Bill 1 COPY 到CO欄位'!$1:$1048576,'Over Under Bill 1 COPY 到CO欄位'!AB$1,0)-VLOOKUP($A39,'Over Under Bill 1 COPY 到CO欄位'!$1:$1048576,'Over Under Bill 1 COPY 到CO欄位'!W$1,0)</f>
        <v>0</v>
      </c>
      <c r="AC39" s="158">
        <f>VLOOKUP($A39,'Over Under Bill 1 COPY 到CO欄位'!$1:$1048576,'Over Under Bill 1 COPY 到CO欄位'!AC$1,0)-VLOOKUP($A39,'Over Under Bill 1 COPY 到CO欄位'!$1:$1048576,'Over Under Bill 1 COPY 到CO欄位'!X$1,0)</f>
        <v>0</v>
      </c>
      <c r="AD39" s="158">
        <f t="shared" si="48"/>
        <v>0</v>
      </c>
      <c r="AE39" s="158">
        <f>VLOOKUP($A39,'Over Under Bill 1 COPY 到CO欄位'!$1:$1048576,'Over Under Bill 1 COPY 到CO欄位'!AE$1,0)-VLOOKUP($A39,'Over Under Bill 1 COPY 到CO欄位'!$1:$1048576,'Over Under Bill 1 COPY 到CO欄位'!Z$1,0)</f>
        <v>0</v>
      </c>
      <c r="AF39" s="158">
        <f t="shared" si="49"/>
        <v>0</v>
      </c>
      <c r="AG39" s="157">
        <f>VLOOKUP($A39,'Over Under Bill 1 COPY 到CO欄位'!$1:$1048576,'Over Under Bill 1 COPY 到CO欄位'!AG$1,0)-VLOOKUP($A39,'Over Under Bill 1 COPY 到CO欄位'!$1:$1048576,'Over Under Bill 1 COPY 到CO欄位'!AB$1,0)</f>
        <v>0</v>
      </c>
      <c r="AH39" s="157">
        <f>VLOOKUP($A39,'Over Under Bill 1 COPY 到CO欄位'!$1:$1048576,'Over Under Bill 1 COPY 到CO欄位'!AH$1,0)-VLOOKUP($A39,'Over Under Bill 1 COPY 到CO欄位'!$1:$1048576,'Over Under Bill 1 COPY 到CO欄位'!AC$1,0)</f>
        <v>0</v>
      </c>
      <c r="AI39" s="157">
        <f t="shared" si="50"/>
        <v>0</v>
      </c>
      <c r="AJ39" s="157">
        <f>VLOOKUP($A39,'Over Under Bill 1 COPY 到CO欄位'!$1:$1048576,'Over Under Bill 1 COPY 到CO欄位'!AJ$1,0)-VLOOKUP($A39,'Over Under Bill 1 COPY 到CO欄位'!$1:$1048576,'Over Under Bill 1 COPY 到CO欄位'!AE$1,0)</f>
        <v>0</v>
      </c>
      <c r="AK39" s="157">
        <f t="shared" si="51"/>
        <v>0</v>
      </c>
      <c r="AL39" s="158">
        <f>VLOOKUP($A39,'Over Under Bill 1 COPY 到CO欄位'!$1:$1048576,'Over Under Bill 1 COPY 到CO欄位'!AL$1,0)-VLOOKUP($A39,'Over Under Bill 1 COPY 到CO欄位'!$1:$1048576,'Over Under Bill 1 COPY 到CO欄位'!AG$1,0)</f>
        <v>0</v>
      </c>
      <c r="AM39" s="158">
        <f>VLOOKUP($A39,'Over Under Bill 1 COPY 到CO欄位'!$1:$1048576,'Over Under Bill 1 COPY 到CO欄位'!AM$1,0)-VLOOKUP($A39,'Over Under Bill 1 COPY 到CO欄位'!$1:$1048576,'Over Under Bill 1 COPY 到CO欄位'!AH$1,0)</f>
        <v>0</v>
      </c>
      <c r="AN39" s="158">
        <f t="shared" si="52"/>
        <v>0</v>
      </c>
      <c r="AO39" s="158">
        <f>VLOOKUP($A39,'Over Under Bill 1 COPY 到CO欄位'!$1:$1048576,'Over Under Bill 1 COPY 到CO欄位'!AO$1,0)-VLOOKUP($A39,'Over Under Bill 1 COPY 到CO欄位'!$1:$1048576,'Over Under Bill 1 COPY 到CO欄位'!AJ$1,0)</f>
        <v>0</v>
      </c>
      <c r="AP39" s="158">
        <f t="shared" si="53"/>
        <v>0</v>
      </c>
      <c r="AQ39" s="157">
        <f>VLOOKUP($A39,'Over Under Bill 1 COPY 到CO欄位'!$1:$1048576,'Over Under Bill 1 COPY 到CO欄位'!AQ$1,0)-VLOOKUP($A39,'Over Under Bill 1 COPY 到CO欄位'!$1:$1048576,'Over Under Bill 1 COPY 到CO欄位'!AL$1,0)</f>
        <v>0</v>
      </c>
      <c r="AR39" s="157">
        <f>VLOOKUP($A39,'Over Under Bill 1 COPY 到CO欄位'!$1:$1048576,'Over Under Bill 1 COPY 到CO欄位'!AR$1,0)-VLOOKUP($A39,'Over Under Bill 1 COPY 到CO欄位'!$1:$1048576,'Over Under Bill 1 COPY 到CO欄位'!AM$1,0)</f>
        <v>0</v>
      </c>
      <c r="AS39" s="157">
        <f t="shared" si="54"/>
        <v>0</v>
      </c>
      <c r="AT39" s="157">
        <f>VLOOKUP($A39,'Over Under Bill 1 COPY 到CO欄位'!$1:$1048576,'Over Under Bill 1 COPY 到CO欄位'!AT$1,0)-VLOOKUP($A39,'Over Under Bill 1 COPY 到CO欄位'!$1:$1048576,'Over Under Bill 1 COPY 到CO欄位'!AO$1,0)</f>
        <v>0</v>
      </c>
      <c r="AU39" s="157">
        <f t="shared" si="55"/>
        <v>0</v>
      </c>
      <c r="AV39" s="158">
        <f>VLOOKUP($A39,'Over Under Bill 1 COPY 到CO欄位'!$1:$1048576,'Over Under Bill 1 COPY 到CO欄位'!AV$1,0)-VLOOKUP($A39,'Over Under Bill 1 COPY 到CO欄位'!$1:$1048576,'Over Under Bill 1 COPY 到CO欄位'!AQ$1,0)</f>
        <v>0</v>
      </c>
      <c r="AW39" s="158">
        <f>VLOOKUP($A39,'Over Under Bill 1 COPY 到CO欄位'!$1:$1048576,'Over Under Bill 1 COPY 到CO欄位'!AW$1,0)-VLOOKUP($A39,'Over Under Bill 1 COPY 到CO欄位'!$1:$1048576,'Over Under Bill 1 COPY 到CO欄位'!AR$1,0)</f>
        <v>0</v>
      </c>
      <c r="AX39" s="158">
        <f t="shared" si="56"/>
        <v>0</v>
      </c>
      <c r="AY39" s="158">
        <f>VLOOKUP($A39,'Over Under Bill 1 COPY 到CO欄位'!$1:$1048576,'Over Under Bill 1 COPY 到CO欄位'!AY$1,0)-VLOOKUP($A39,'Over Under Bill 1 COPY 到CO欄位'!$1:$1048576,'Over Under Bill 1 COPY 到CO欄位'!AT$1,0)</f>
        <v>0</v>
      </c>
      <c r="AZ39" s="158">
        <f t="shared" si="57"/>
        <v>0</v>
      </c>
      <c r="BA39" s="157">
        <f>VLOOKUP($A39,'Over Under Bill 1 COPY 到CO欄位'!$1:$1048576,'Over Under Bill 1 COPY 到CO欄位'!BA$1,0)-VLOOKUP($A39,'Over Under Bill 1 COPY 到CO欄位'!$1:$1048576,'Over Under Bill 1 COPY 到CO欄位'!AV$1,0)</f>
        <v>0</v>
      </c>
      <c r="BB39" s="157">
        <f>VLOOKUP($A39,'Over Under Bill 1 COPY 到CO欄位'!$1:$1048576,'Over Under Bill 1 COPY 到CO欄位'!BB$1,0)-VLOOKUP($A39,'Over Under Bill 1 COPY 到CO欄位'!$1:$1048576,'Over Under Bill 1 COPY 到CO欄位'!AW$1,0)</f>
        <v>0</v>
      </c>
      <c r="BC39" s="157">
        <f t="shared" si="58"/>
        <v>0</v>
      </c>
      <c r="BD39" s="157">
        <f>VLOOKUP($A39,'Over Under Bill 1 COPY 到CO欄位'!$1:$1048576,'Over Under Bill 1 COPY 到CO欄位'!BD$1,0)-VLOOKUP($A39,'Over Under Bill 1 COPY 到CO欄位'!$1:$1048576,'Over Under Bill 1 COPY 到CO欄位'!AY$1,0)</f>
        <v>0</v>
      </c>
      <c r="BE39" s="157">
        <f t="shared" si="59"/>
        <v>0</v>
      </c>
      <c r="BF39" s="158">
        <f>VLOOKUP($A39,'Over Under Bill 1 COPY 到CO欄位'!$1:$1048576,'Over Under Bill 1 COPY 到CO欄位'!BF$1,0)-VLOOKUP($A39,'Over Under Bill 1 COPY 到CO欄位'!$1:$1048576,'Over Under Bill 1 COPY 到CO欄位'!BA$1,0)</f>
        <v>0</v>
      </c>
      <c r="BG39" s="158">
        <f>VLOOKUP($A39,'Over Under Bill 1 COPY 到CO欄位'!$1:$1048576,'Over Under Bill 1 COPY 到CO欄位'!BG$1,0)-VLOOKUP($A39,'Over Under Bill 1 COPY 到CO欄位'!$1:$1048576,'Over Under Bill 1 COPY 到CO欄位'!BB$1,0)</f>
        <v>0</v>
      </c>
      <c r="BH39" s="158">
        <f t="shared" si="60"/>
        <v>0</v>
      </c>
      <c r="BI39" s="158">
        <f>VLOOKUP($A39,'Over Under Bill 1 COPY 到CO欄位'!$1:$1048576,'Over Under Bill 1 COPY 到CO欄位'!BI$1,0)-VLOOKUP($A39,'Over Under Bill 1 COPY 到CO欄位'!$1:$1048576,'Over Under Bill 1 COPY 到CO欄位'!BD$1,0)</f>
        <v>0</v>
      </c>
      <c r="BJ39" s="158">
        <f t="shared" si="61"/>
        <v>0</v>
      </c>
      <c r="BK39" s="157">
        <f>VLOOKUP($A39,'Over Under Bill 1 COPY 到CO欄位'!$1:$1048576,'Over Under Bill 1 COPY 到CO欄位'!BK$1,0)-VLOOKUP($A39,'Over Under Bill 1 COPY 到CO欄位'!$1:$1048576,'Over Under Bill 1 COPY 到CO欄位'!BF$1,0)</f>
        <v>0</v>
      </c>
      <c r="BL39" s="157">
        <f>VLOOKUP($A39,'Over Under Bill 1 COPY 到CO欄位'!$1:$1048576,'Over Under Bill 1 COPY 到CO欄位'!BL$1,0)-VLOOKUP($A39,'Over Under Bill 1 COPY 到CO欄位'!$1:$1048576,'Over Under Bill 1 COPY 到CO欄位'!BG$1,0)</f>
        <v>0</v>
      </c>
      <c r="BM39" s="157">
        <f t="shared" si="62"/>
        <v>0</v>
      </c>
      <c r="BN39" s="157">
        <f>VLOOKUP($A39,'Over Under Bill 1 COPY 到CO欄位'!$1:$1048576,'Over Under Bill 1 COPY 到CO欄位'!BN$1,0)-VLOOKUP($A39,'Over Under Bill 1 COPY 到CO欄位'!$1:$1048576,'Over Under Bill 1 COPY 到CO欄位'!BI$1,0)</f>
        <v>0</v>
      </c>
      <c r="BO39" s="157">
        <f t="shared" si="63"/>
        <v>0</v>
      </c>
      <c r="BP39" s="158">
        <f>VLOOKUP($A39,'Over Under Bill 1 COPY 到CO欄位'!$1:$1048576,'Over Under Bill 1 COPY 到CO欄位'!BP$1,0)-VLOOKUP($A39,'Over Under Bill 1 COPY 到CO欄位'!$1:$1048576,'Over Under Bill 1 COPY 到CO欄位'!BK$1,0)</f>
        <v>0</v>
      </c>
      <c r="BQ39" s="158">
        <f>VLOOKUP($A39,'Over Under Bill 1 COPY 到CO欄位'!$1:$1048576,'Over Under Bill 1 COPY 到CO欄位'!BQ$1,0)-VLOOKUP($A39,'Over Under Bill 1 COPY 到CO欄位'!$1:$1048576,'Over Under Bill 1 COPY 到CO欄位'!BL$1,0)</f>
        <v>0</v>
      </c>
      <c r="BR39" s="158">
        <f t="shared" si="64"/>
        <v>0</v>
      </c>
      <c r="BS39" s="158">
        <f>VLOOKUP($A39,'Over Under Bill 1 COPY 到CO欄位'!$1:$1048576,'Over Under Bill 1 COPY 到CO欄位'!BS$1,0)-VLOOKUP($A39,'Over Under Bill 1 COPY 到CO欄位'!$1:$1048576,'Over Under Bill 1 COPY 到CO欄位'!BN$1,0)</f>
        <v>0</v>
      </c>
      <c r="BT39" s="158">
        <f t="shared" si="65"/>
        <v>0</v>
      </c>
      <c r="BU39" s="157">
        <f>VLOOKUP($A39,'Over Under Bill 1 COPY 到CO欄位'!$1:$1048576,'Over Under Bill 1 COPY 到CO欄位'!BP$1,0)-VLOOKUP($A39,'Over Under Bill 1 COPY 到CO欄位'!$1:$1048576,'Over Under Bill 1 COPY 到CO欄位'!H$1,0)</f>
        <v>0</v>
      </c>
      <c r="BV39" s="157">
        <f>VLOOKUP($A39,'Over Under Bill 1 COPY 到CO欄位'!$1:$1048576,'Over Under Bill 1 COPY 到CO欄位'!BQ$1,0)-VLOOKUP($A39,'Over Under Bill 1 COPY 到CO欄位'!$1:$1048576,'Over Under Bill 1 COPY 到CO欄位'!I$1,0)</f>
        <v>0</v>
      </c>
      <c r="BW39" s="157">
        <f t="shared" si="66"/>
        <v>0</v>
      </c>
      <c r="BX39" s="157">
        <f>VLOOKUP($A39,'Over Under Bill 1 COPY 到CO欄位'!$1:$1048576,'Over Under Bill 1 COPY 到CO欄位'!BS$1,0)-VLOOKUP($A39,'Over Under Bill 1 COPY 到CO欄位'!$1:$1048576,'Over Under Bill 1 COPY 到CO欄位'!K$1,0)</f>
        <v>0</v>
      </c>
      <c r="BY39" s="157">
        <f t="shared" si="67"/>
        <v>0</v>
      </c>
      <c r="BZ39" s="158">
        <f>VLOOKUP($A39,'Over Under Bill 1 COPY 到CO欄位'!$1:$1048576,'Over Under Bill 1 COPY 到CO欄位'!BU$1,0)-VLOOKUP($A39,'Over Under Bill 1 COPY 到CO欄位'!$1:$1048576,'Over Under Bill 1 COPY 到CO欄位'!BP$1,0)</f>
        <v>0</v>
      </c>
      <c r="CA39" s="158">
        <f>VLOOKUP($A39,'Over Under Bill 1 COPY 到CO欄位'!$1:$1048576,'Over Under Bill 1 COPY 到CO欄位'!BV$1,0)-VLOOKUP($A39,'Over Under Bill 1 COPY 到CO欄位'!$1:$1048576,'Over Under Bill 1 COPY 到CO欄位'!BQ$1,0)</f>
        <v>0</v>
      </c>
      <c r="CB39" s="158">
        <f t="shared" si="68"/>
        <v>0</v>
      </c>
      <c r="CC39" s="158">
        <f>VLOOKUP($A39,'Over Under Bill 1 COPY 到CO欄位'!$1:$1048576,'Over Under Bill 1 COPY 到CO欄位'!BX$1,0)-VLOOKUP($A39,'Over Under Bill 1 COPY 到CO欄位'!$1:$1048576,'Over Under Bill 1 COPY 到CO欄位'!BS$1,0)</f>
        <v>0</v>
      </c>
      <c r="CD39" s="158">
        <f t="shared" si="69"/>
        <v>0</v>
      </c>
      <c r="CE39" s="157">
        <f>VLOOKUP($A39,'Over Under Bill 1 COPY 到CO欄位'!$1:$1048576,'Over Under Bill 1 COPY 到CO欄位'!BZ$1,0)-VLOOKUP($A39,'Over Under Bill 1 COPY 到CO欄位'!$1:$1048576,'Over Under Bill 1 COPY 到CO欄位'!BU$1,0)</f>
        <v>0</v>
      </c>
      <c r="CF39" s="157">
        <f>VLOOKUP($A39,'Over Under Bill 1 COPY 到CO欄位'!$1:$1048576,'Over Under Bill 1 COPY 到CO欄位'!CA$1,0)-VLOOKUP($A39,'Over Under Bill 1 COPY 到CO欄位'!$1:$1048576,'Over Under Bill 1 COPY 到CO欄位'!BV$1,0)</f>
        <v>0</v>
      </c>
      <c r="CG39" s="157">
        <f t="shared" si="70"/>
        <v>0</v>
      </c>
      <c r="CH39" s="157">
        <f>VLOOKUP($A39,'Over Under Bill 1 COPY 到CO欄位'!$1:$1048576,'Over Under Bill 1 COPY 到CO欄位'!CC$1,0)-VLOOKUP($A39,'Over Under Bill 1 COPY 到CO欄位'!$1:$1048576,'Over Under Bill 1 COPY 到CO欄位'!BX$1,0)</f>
        <v>0</v>
      </c>
      <c r="CI39" s="157">
        <f t="shared" si="71"/>
        <v>0</v>
      </c>
      <c r="CJ39" s="158">
        <f>VLOOKUP($A39,'Over Under Bill 1 COPY 到CO欄位'!$1:$1048576,'Over Under Bill 1 COPY 到CO欄位'!CE$1,0)-VLOOKUP($A39,'Over Under Bill 1 COPY 到CO欄位'!$1:$1048576,'Over Under Bill 1 COPY 到CO欄位'!BZ$1,0)</f>
        <v>0</v>
      </c>
      <c r="CK39" s="158">
        <f>VLOOKUP($A39,'Over Under Bill 1 COPY 到CO欄位'!$1:$1048576,'Over Under Bill 1 COPY 到CO欄位'!CF$1,0)-VLOOKUP($A39,'Over Under Bill 1 COPY 到CO欄位'!$1:$1048576,'Over Under Bill 1 COPY 到CO欄位'!CA$1,0)</f>
        <v>0</v>
      </c>
      <c r="CL39" s="158">
        <f t="shared" si="72"/>
        <v>0</v>
      </c>
      <c r="CM39" s="158">
        <f>VLOOKUP($A39,'Over Under Bill 1 COPY 到CO欄位'!$1:$1048576,'Over Under Bill 1 COPY 到CO欄位'!CH$1,0)-VLOOKUP($A39,'Over Under Bill 1 COPY 到CO欄位'!$1:$1048576,'Over Under Bill 1 COPY 到CO欄位'!CC$1,0)</f>
        <v>0</v>
      </c>
      <c r="CN39" s="158">
        <f t="shared" si="73"/>
        <v>0</v>
      </c>
      <c r="CO39" s="157">
        <f>VLOOKUP($A39,'Over Under Bill 1 COPY 到CO欄位'!$1:$1048576,'Over Under Bill 1 COPY 到CO欄位'!CJ$1,0)-VLOOKUP($A39,'Over Under Bill 1 COPY 到CO欄位'!$1:$1048576,'Over Under Bill 1 COPY 到CO欄位'!CE$1,0)</f>
        <v>0</v>
      </c>
      <c r="CP39" s="157">
        <f>VLOOKUP($A39,'Over Under Bill 1 COPY 到CO欄位'!$1:$1048576,'Over Under Bill 1 COPY 到CO欄位'!CK$1,0)-VLOOKUP($A39,'Over Under Bill 1 COPY 到CO欄位'!$1:$1048576,'Over Under Bill 1 COPY 到CO欄位'!CF$1,0)</f>
        <v>0</v>
      </c>
      <c r="CQ39" s="157">
        <f t="shared" si="74"/>
        <v>0</v>
      </c>
      <c r="CR39" s="157">
        <f>VLOOKUP($A39,'Over Under Bill 1 COPY 到CO欄位'!$1:$1048576,'Over Under Bill 1 COPY 到CO欄位'!CM$1,0)-VLOOKUP($A39,'Over Under Bill 1 COPY 到CO欄位'!$1:$1048576,'Over Under Bill 1 COPY 到CO欄位'!CH$1,0)</f>
        <v>0</v>
      </c>
      <c r="CS39" s="157">
        <f t="shared" si="75"/>
        <v>0</v>
      </c>
    </row>
    <row r="40" spans="1:97">
      <c r="A40" s="171" t="s">
        <v>377</v>
      </c>
      <c r="B40" s="172" t="s">
        <v>378</v>
      </c>
      <c r="C40" s="157">
        <f>IFERROR(VLOOKUP($A40,'A0 BS 1240在建'!$1:$1048576,5,0),0)</f>
        <v>0</v>
      </c>
      <c r="D40" s="157">
        <f>IFERROR(VLOOKUP($A40,'B0 2264預收'!$1:$1048576,5,0),0)</f>
        <v>0</v>
      </c>
      <c r="E40" s="157">
        <f t="shared" si="38"/>
        <v>0</v>
      </c>
      <c r="F40" s="157">
        <f>IFERROR(VLOOKUP($A40,'B0 2264預收'!$1:$1048576,6,0),0)</f>
        <v>0</v>
      </c>
      <c r="G40" s="157">
        <f t="shared" si="39"/>
        <v>0</v>
      </c>
      <c r="H40" s="158">
        <f>IFERROR(VLOOKUP($A40,'A0 BS 1240在建'!$1:$1048576,13,0),0)-C40</f>
        <v>0</v>
      </c>
      <c r="I40" s="158">
        <f>IFERROR(VLOOKUP($A40,'B0 2264預收'!$1:$1048576,13,0),0)-D40</f>
        <v>0</v>
      </c>
      <c r="J40" s="158">
        <f t="shared" si="40"/>
        <v>0</v>
      </c>
      <c r="K40" s="158">
        <f>IFERROR(VLOOKUP($A40,'B0 2264預收'!$1:$1048576,14,0),0)-F40</f>
        <v>0</v>
      </c>
      <c r="L40" s="158">
        <f t="shared" si="41"/>
        <v>0</v>
      </c>
      <c r="M40" s="157">
        <f>VLOOKUP($A40,'Over Under Bill 1 COPY 到CO欄位'!$1:$1048576,'Over Under Bill 1 COPY 到CO欄位'!M$1,0)-VLOOKUP($A40,'Over Under Bill 1 COPY 到CO欄位'!$1:$1048576,'Over Under Bill 1 COPY 到CO欄位'!H$1,0)</f>
        <v>0</v>
      </c>
      <c r="N40" s="157">
        <f>VLOOKUP($A40,'Over Under Bill 1 COPY 到CO欄位'!$1:$1048576,'Over Under Bill 1 COPY 到CO欄位'!N$1,0)-VLOOKUP($A40,'Over Under Bill 1 COPY 到CO欄位'!$1:$1048576,'Over Under Bill 1 COPY 到CO欄位'!I$1,0)</f>
        <v>0</v>
      </c>
      <c r="O40" s="157">
        <f t="shared" si="42"/>
        <v>0</v>
      </c>
      <c r="P40" s="157">
        <f>VLOOKUP($A40,'Over Under Bill 1 COPY 到CO欄位'!$1:$1048576,'Over Under Bill 1 COPY 到CO欄位'!P$1,0)-VLOOKUP($A40,'Over Under Bill 1 COPY 到CO欄位'!$1:$1048576,'Over Under Bill 1 COPY 到CO欄位'!K$1,0)</f>
        <v>0</v>
      </c>
      <c r="Q40" s="157">
        <f t="shared" si="43"/>
        <v>0</v>
      </c>
      <c r="R40" s="158">
        <f>VLOOKUP($A40,'Over Under Bill 1 COPY 到CO欄位'!$1:$1048576,'Over Under Bill 1 COPY 到CO欄位'!R$1,0)-VLOOKUP($A40,'Over Under Bill 1 COPY 到CO欄位'!$1:$1048576,'Over Under Bill 1 COPY 到CO欄位'!M$1,0)</f>
        <v>0</v>
      </c>
      <c r="S40" s="158">
        <f>VLOOKUP($A40,'Over Under Bill 1 COPY 到CO欄位'!$1:$1048576,'Over Under Bill 1 COPY 到CO欄位'!S$1,0)-VLOOKUP($A40,'Over Under Bill 1 COPY 到CO欄位'!$1:$1048576,'Over Under Bill 1 COPY 到CO欄位'!N$1,0)</f>
        <v>0</v>
      </c>
      <c r="T40" s="158">
        <f t="shared" si="44"/>
        <v>0</v>
      </c>
      <c r="U40" s="158">
        <f>VLOOKUP($A40,'Over Under Bill 1 COPY 到CO欄位'!$1:$1048576,'Over Under Bill 1 COPY 到CO欄位'!U$1,0)-VLOOKUP($A40,'Over Under Bill 1 COPY 到CO欄位'!$1:$1048576,'Over Under Bill 1 COPY 到CO欄位'!P$1,0)</f>
        <v>0</v>
      </c>
      <c r="V40" s="158">
        <f t="shared" si="45"/>
        <v>0</v>
      </c>
      <c r="W40" s="157">
        <f>VLOOKUP($A40,'Over Under Bill 1 COPY 到CO欄位'!$1:$1048576,'Over Under Bill 1 COPY 到CO欄位'!W$1,0)-VLOOKUP($A40,'Over Under Bill 1 COPY 到CO欄位'!$1:$1048576,'Over Under Bill 1 COPY 到CO欄位'!R$1,0)</f>
        <v>0</v>
      </c>
      <c r="X40" s="157">
        <f>VLOOKUP($A40,'Over Under Bill 1 COPY 到CO欄位'!$1:$1048576,'Over Under Bill 1 COPY 到CO欄位'!X$1,0)-VLOOKUP($A40,'Over Under Bill 1 COPY 到CO欄位'!$1:$1048576,'Over Under Bill 1 COPY 到CO欄位'!S$1,0)</f>
        <v>0</v>
      </c>
      <c r="Y40" s="157">
        <f t="shared" si="46"/>
        <v>0</v>
      </c>
      <c r="Z40" s="157">
        <f>VLOOKUP($A40,'Over Under Bill 1 COPY 到CO欄位'!$1:$1048576,'Over Under Bill 1 COPY 到CO欄位'!Z$1,0)-VLOOKUP($A40,'Over Under Bill 1 COPY 到CO欄位'!$1:$1048576,'Over Under Bill 1 COPY 到CO欄位'!U$1,0)</f>
        <v>0</v>
      </c>
      <c r="AA40" s="157">
        <f t="shared" si="47"/>
        <v>0</v>
      </c>
      <c r="AB40" s="158">
        <f>VLOOKUP($A40,'Over Under Bill 1 COPY 到CO欄位'!$1:$1048576,'Over Under Bill 1 COPY 到CO欄位'!AB$1,0)-VLOOKUP($A40,'Over Under Bill 1 COPY 到CO欄位'!$1:$1048576,'Over Under Bill 1 COPY 到CO欄位'!W$1,0)</f>
        <v>0</v>
      </c>
      <c r="AC40" s="158">
        <f>VLOOKUP($A40,'Over Under Bill 1 COPY 到CO欄位'!$1:$1048576,'Over Under Bill 1 COPY 到CO欄位'!AC$1,0)-VLOOKUP($A40,'Over Under Bill 1 COPY 到CO欄位'!$1:$1048576,'Over Under Bill 1 COPY 到CO欄位'!X$1,0)</f>
        <v>0</v>
      </c>
      <c r="AD40" s="158">
        <f t="shared" si="48"/>
        <v>0</v>
      </c>
      <c r="AE40" s="158">
        <f>VLOOKUP($A40,'Over Under Bill 1 COPY 到CO欄位'!$1:$1048576,'Over Under Bill 1 COPY 到CO欄位'!AE$1,0)-VLOOKUP($A40,'Over Under Bill 1 COPY 到CO欄位'!$1:$1048576,'Over Under Bill 1 COPY 到CO欄位'!Z$1,0)</f>
        <v>0</v>
      </c>
      <c r="AF40" s="158">
        <f t="shared" si="49"/>
        <v>0</v>
      </c>
      <c r="AG40" s="157">
        <f>VLOOKUP($A40,'Over Under Bill 1 COPY 到CO欄位'!$1:$1048576,'Over Under Bill 1 COPY 到CO欄位'!AG$1,0)-VLOOKUP($A40,'Over Under Bill 1 COPY 到CO欄位'!$1:$1048576,'Over Under Bill 1 COPY 到CO欄位'!AB$1,0)</f>
        <v>0</v>
      </c>
      <c r="AH40" s="157">
        <f>VLOOKUP($A40,'Over Under Bill 1 COPY 到CO欄位'!$1:$1048576,'Over Under Bill 1 COPY 到CO欄位'!AH$1,0)-VLOOKUP($A40,'Over Under Bill 1 COPY 到CO欄位'!$1:$1048576,'Over Under Bill 1 COPY 到CO欄位'!AC$1,0)</f>
        <v>0</v>
      </c>
      <c r="AI40" s="157">
        <f t="shared" si="50"/>
        <v>0</v>
      </c>
      <c r="AJ40" s="157">
        <f>VLOOKUP($A40,'Over Under Bill 1 COPY 到CO欄位'!$1:$1048576,'Over Under Bill 1 COPY 到CO欄位'!AJ$1,0)-VLOOKUP($A40,'Over Under Bill 1 COPY 到CO欄位'!$1:$1048576,'Over Under Bill 1 COPY 到CO欄位'!AE$1,0)</f>
        <v>0</v>
      </c>
      <c r="AK40" s="157">
        <f t="shared" si="51"/>
        <v>0</v>
      </c>
      <c r="AL40" s="158">
        <f>VLOOKUP($A40,'Over Under Bill 1 COPY 到CO欄位'!$1:$1048576,'Over Under Bill 1 COPY 到CO欄位'!AL$1,0)-VLOOKUP($A40,'Over Under Bill 1 COPY 到CO欄位'!$1:$1048576,'Over Under Bill 1 COPY 到CO欄位'!AG$1,0)</f>
        <v>0</v>
      </c>
      <c r="AM40" s="158">
        <f>VLOOKUP($A40,'Over Under Bill 1 COPY 到CO欄位'!$1:$1048576,'Over Under Bill 1 COPY 到CO欄位'!AM$1,0)-VLOOKUP($A40,'Over Under Bill 1 COPY 到CO欄位'!$1:$1048576,'Over Under Bill 1 COPY 到CO欄位'!AH$1,0)</f>
        <v>0</v>
      </c>
      <c r="AN40" s="158">
        <f t="shared" si="52"/>
        <v>0</v>
      </c>
      <c r="AO40" s="158">
        <f>VLOOKUP($A40,'Over Under Bill 1 COPY 到CO欄位'!$1:$1048576,'Over Under Bill 1 COPY 到CO欄位'!AO$1,0)-VLOOKUP($A40,'Over Under Bill 1 COPY 到CO欄位'!$1:$1048576,'Over Under Bill 1 COPY 到CO欄位'!AJ$1,0)</f>
        <v>0</v>
      </c>
      <c r="AP40" s="158">
        <f t="shared" si="53"/>
        <v>0</v>
      </c>
      <c r="AQ40" s="157">
        <f>VLOOKUP($A40,'Over Under Bill 1 COPY 到CO欄位'!$1:$1048576,'Over Under Bill 1 COPY 到CO欄位'!AQ$1,0)-VLOOKUP($A40,'Over Under Bill 1 COPY 到CO欄位'!$1:$1048576,'Over Under Bill 1 COPY 到CO欄位'!AL$1,0)</f>
        <v>0</v>
      </c>
      <c r="AR40" s="157">
        <f>VLOOKUP($A40,'Over Under Bill 1 COPY 到CO欄位'!$1:$1048576,'Over Under Bill 1 COPY 到CO欄位'!AR$1,0)-VLOOKUP($A40,'Over Under Bill 1 COPY 到CO欄位'!$1:$1048576,'Over Under Bill 1 COPY 到CO欄位'!AM$1,0)</f>
        <v>0</v>
      </c>
      <c r="AS40" s="157">
        <f t="shared" si="54"/>
        <v>0</v>
      </c>
      <c r="AT40" s="157">
        <f>VLOOKUP($A40,'Over Under Bill 1 COPY 到CO欄位'!$1:$1048576,'Over Under Bill 1 COPY 到CO欄位'!AT$1,0)-VLOOKUP($A40,'Over Under Bill 1 COPY 到CO欄位'!$1:$1048576,'Over Under Bill 1 COPY 到CO欄位'!AO$1,0)</f>
        <v>0</v>
      </c>
      <c r="AU40" s="157">
        <f t="shared" si="55"/>
        <v>0</v>
      </c>
      <c r="AV40" s="158">
        <f>VLOOKUP($A40,'Over Under Bill 1 COPY 到CO欄位'!$1:$1048576,'Over Under Bill 1 COPY 到CO欄位'!AV$1,0)-VLOOKUP($A40,'Over Under Bill 1 COPY 到CO欄位'!$1:$1048576,'Over Under Bill 1 COPY 到CO欄位'!AQ$1,0)</f>
        <v>0</v>
      </c>
      <c r="AW40" s="158">
        <f>VLOOKUP($A40,'Over Under Bill 1 COPY 到CO欄位'!$1:$1048576,'Over Under Bill 1 COPY 到CO欄位'!AW$1,0)-VLOOKUP($A40,'Over Under Bill 1 COPY 到CO欄位'!$1:$1048576,'Over Under Bill 1 COPY 到CO欄位'!AR$1,0)</f>
        <v>0</v>
      </c>
      <c r="AX40" s="158">
        <f t="shared" si="56"/>
        <v>0</v>
      </c>
      <c r="AY40" s="158">
        <f>VLOOKUP($A40,'Over Under Bill 1 COPY 到CO欄位'!$1:$1048576,'Over Under Bill 1 COPY 到CO欄位'!AY$1,0)-VLOOKUP($A40,'Over Under Bill 1 COPY 到CO欄位'!$1:$1048576,'Over Under Bill 1 COPY 到CO欄位'!AT$1,0)</f>
        <v>0</v>
      </c>
      <c r="AZ40" s="158">
        <f t="shared" si="57"/>
        <v>0</v>
      </c>
      <c r="BA40" s="157">
        <f>VLOOKUP($A40,'Over Under Bill 1 COPY 到CO欄位'!$1:$1048576,'Over Under Bill 1 COPY 到CO欄位'!BA$1,0)-VLOOKUP($A40,'Over Under Bill 1 COPY 到CO欄位'!$1:$1048576,'Over Under Bill 1 COPY 到CO欄位'!AV$1,0)</f>
        <v>0</v>
      </c>
      <c r="BB40" s="157">
        <f>VLOOKUP($A40,'Over Under Bill 1 COPY 到CO欄位'!$1:$1048576,'Over Under Bill 1 COPY 到CO欄位'!BB$1,0)-VLOOKUP($A40,'Over Under Bill 1 COPY 到CO欄位'!$1:$1048576,'Over Under Bill 1 COPY 到CO欄位'!AW$1,0)</f>
        <v>0</v>
      </c>
      <c r="BC40" s="157">
        <f t="shared" si="58"/>
        <v>0</v>
      </c>
      <c r="BD40" s="157">
        <f>VLOOKUP($A40,'Over Under Bill 1 COPY 到CO欄位'!$1:$1048576,'Over Under Bill 1 COPY 到CO欄位'!BD$1,0)-VLOOKUP($A40,'Over Under Bill 1 COPY 到CO欄位'!$1:$1048576,'Over Under Bill 1 COPY 到CO欄位'!AY$1,0)</f>
        <v>0</v>
      </c>
      <c r="BE40" s="157">
        <f t="shared" si="59"/>
        <v>0</v>
      </c>
      <c r="BF40" s="158">
        <f>VLOOKUP($A40,'Over Under Bill 1 COPY 到CO欄位'!$1:$1048576,'Over Under Bill 1 COPY 到CO欄位'!BF$1,0)-VLOOKUP($A40,'Over Under Bill 1 COPY 到CO欄位'!$1:$1048576,'Over Under Bill 1 COPY 到CO欄位'!BA$1,0)</f>
        <v>0</v>
      </c>
      <c r="BG40" s="158">
        <f>VLOOKUP($A40,'Over Under Bill 1 COPY 到CO欄位'!$1:$1048576,'Over Under Bill 1 COPY 到CO欄位'!BG$1,0)-VLOOKUP($A40,'Over Under Bill 1 COPY 到CO欄位'!$1:$1048576,'Over Under Bill 1 COPY 到CO欄位'!BB$1,0)</f>
        <v>0</v>
      </c>
      <c r="BH40" s="158">
        <f t="shared" si="60"/>
        <v>0</v>
      </c>
      <c r="BI40" s="158">
        <f>VLOOKUP($A40,'Over Under Bill 1 COPY 到CO欄位'!$1:$1048576,'Over Under Bill 1 COPY 到CO欄位'!BI$1,0)-VLOOKUP($A40,'Over Under Bill 1 COPY 到CO欄位'!$1:$1048576,'Over Under Bill 1 COPY 到CO欄位'!BD$1,0)</f>
        <v>0</v>
      </c>
      <c r="BJ40" s="158">
        <f t="shared" si="61"/>
        <v>0</v>
      </c>
      <c r="BK40" s="157">
        <f>VLOOKUP($A40,'Over Under Bill 1 COPY 到CO欄位'!$1:$1048576,'Over Under Bill 1 COPY 到CO欄位'!BK$1,0)-VLOOKUP($A40,'Over Under Bill 1 COPY 到CO欄位'!$1:$1048576,'Over Under Bill 1 COPY 到CO欄位'!BF$1,0)</f>
        <v>0</v>
      </c>
      <c r="BL40" s="157">
        <f>VLOOKUP($A40,'Over Under Bill 1 COPY 到CO欄位'!$1:$1048576,'Over Under Bill 1 COPY 到CO欄位'!BL$1,0)-VLOOKUP($A40,'Over Under Bill 1 COPY 到CO欄位'!$1:$1048576,'Over Under Bill 1 COPY 到CO欄位'!BG$1,0)</f>
        <v>0</v>
      </c>
      <c r="BM40" s="157">
        <f t="shared" si="62"/>
        <v>0</v>
      </c>
      <c r="BN40" s="157">
        <f>VLOOKUP($A40,'Over Under Bill 1 COPY 到CO欄位'!$1:$1048576,'Over Under Bill 1 COPY 到CO欄位'!BN$1,0)-VLOOKUP($A40,'Over Under Bill 1 COPY 到CO欄位'!$1:$1048576,'Over Under Bill 1 COPY 到CO欄位'!BI$1,0)</f>
        <v>0</v>
      </c>
      <c r="BO40" s="157">
        <f t="shared" si="63"/>
        <v>0</v>
      </c>
      <c r="BP40" s="158">
        <f>VLOOKUP($A40,'Over Under Bill 1 COPY 到CO欄位'!$1:$1048576,'Over Under Bill 1 COPY 到CO欄位'!BP$1,0)-VLOOKUP($A40,'Over Under Bill 1 COPY 到CO欄位'!$1:$1048576,'Over Under Bill 1 COPY 到CO欄位'!BK$1,0)</f>
        <v>0</v>
      </c>
      <c r="BQ40" s="158">
        <f>VLOOKUP($A40,'Over Under Bill 1 COPY 到CO欄位'!$1:$1048576,'Over Under Bill 1 COPY 到CO欄位'!BQ$1,0)-VLOOKUP($A40,'Over Under Bill 1 COPY 到CO欄位'!$1:$1048576,'Over Under Bill 1 COPY 到CO欄位'!BL$1,0)</f>
        <v>0</v>
      </c>
      <c r="BR40" s="158">
        <f t="shared" si="64"/>
        <v>0</v>
      </c>
      <c r="BS40" s="158">
        <f>VLOOKUP($A40,'Over Under Bill 1 COPY 到CO欄位'!$1:$1048576,'Over Under Bill 1 COPY 到CO欄位'!BS$1,0)-VLOOKUP($A40,'Over Under Bill 1 COPY 到CO欄位'!$1:$1048576,'Over Under Bill 1 COPY 到CO欄位'!BN$1,0)</f>
        <v>0</v>
      </c>
      <c r="BT40" s="158">
        <f t="shared" si="65"/>
        <v>0</v>
      </c>
      <c r="BU40" s="157">
        <f>VLOOKUP($A40,'Over Under Bill 1 COPY 到CO欄位'!$1:$1048576,'Over Under Bill 1 COPY 到CO欄位'!BP$1,0)-VLOOKUP($A40,'Over Under Bill 1 COPY 到CO欄位'!$1:$1048576,'Over Under Bill 1 COPY 到CO欄位'!H$1,0)</f>
        <v>0</v>
      </c>
      <c r="BV40" s="157">
        <f>VLOOKUP($A40,'Over Under Bill 1 COPY 到CO欄位'!$1:$1048576,'Over Under Bill 1 COPY 到CO欄位'!BQ$1,0)-VLOOKUP($A40,'Over Under Bill 1 COPY 到CO欄位'!$1:$1048576,'Over Under Bill 1 COPY 到CO欄位'!I$1,0)</f>
        <v>0</v>
      </c>
      <c r="BW40" s="157">
        <f t="shared" si="66"/>
        <v>0</v>
      </c>
      <c r="BX40" s="157">
        <f>VLOOKUP($A40,'Over Under Bill 1 COPY 到CO欄位'!$1:$1048576,'Over Under Bill 1 COPY 到CO欄位'!BS$1,0)-VLOOKUP($A40,'Over Under Bill 1 COPY 到CO欄位'!$1:$1048576,'Over Under Bill 1 COPY 到CO欄位'!K$1,0)</f>
        <v>0</v>
      </c>
      <c r="BY40" s="157">
        <f t="shared" si="67"/>
        <v>0</v>
      </c>
      <c r="BZ40" s="158">
        <f>VLOOKUP($A40,'Over Under Bill 1 COPY 到CO欄位'!$1:$1048576,'Over Under Bill 1 COPY 到CO欄位'!BU$1,0)-VLOOKUP($A40,'Over Under Bill 1 COPY 到CO欄位'!$1:$1048576,'Over Under Bill 1 COPY 到CO欄位'!BP$1,0)</f>
        <v>0</v>
      </c>
      <c r="CA40" s="158">
        <f>VLOOKUP($A40,'Over Under Bill 1 COPY 到CO欄位'!$1:$1048576,'Over Under Bill 1 COPY 到CO欄位'!BV$1,0)-VLOOKUP($A40,'Over Under Bill 1 COPY 到CO欄位'!$1:$1048576,'Over Under Bill 1 COPY 到CO欄位'!BQ$1,0)</f>
        <v>0</v>
      </c>
      <c r="CB40" s="158">
        <f t="shared" si="68"/>
        <v>0</v>
      </c>
      <c r="CC40" s="158">
        <f>VLOOKUP($A40,'Over Under Bill 1 COPY 到CO欄位'!$1:$1048576,'Over Under Bill 1 COPY 到CO欄位'!BX$1,0)-VLOOKUP($A40,'Over Under Bill 1 COPY 到CO欄位'!$1:$1048576,'Over Under Bill 1 COPY 到CO欄位'!BS$1,0)</f>
        <v>0</v>
      </c>
      <c r="CD40" s="158">
        <f t="shared" si="69"/>
        <v>0</v>
      </c>
      <c r="CE40" s="157">
        <f>VLOOKUP($A40,'Over Under Bill 1 COPY 到CO欄位'!$1:$1048576,'Over Under Bill 1 COPY 到CO欄位'!BZ$1,0)-VLOOKUP($A40,'Over Under Bill 1 COPY 到CO欄位'!$1:$1048576,'Over Under Bill 1 COPY 到CO欄位'!BU$1,0)</f>
        <v>0</v>
      </c>
      <c r="CF40" s="157">
        <f>VLOOKUP($A40,'Over Under Bill 1 COPY 到CO欄位'!$1:$1048576,'Over Under Bill 1 COPY 到CO欄位'!CA$1,0)-VLOOKUP($A40,'Over Under Bill 1 COPY 到CO欄位'!$1:$1048576,'Over Under Bill 1 COPY 到CO欄位'!BV$1,0)</f>
        <v>0</v>
      </c>
      <c r="CG40" s="157">
        <f t="shared" si="70"/>
        <v>0</v>
      </c>
      <c r="CH40" s="157">
        <f>VLOOKUP($A40,'Over Under Bill 1 COPY 到CO欄位'!$1:$1048576,'Over Under Bill 1 COPY 到CO欄位'!CC$1,0)-VLOOKUP($A40,'Over Under Bill 1 COPY 到CO欄位'!$1:$1048576,'Over Under Bill 1 COPY 到CO欄位'!BX$1,0)</f>
        <v>0</v>
      </c>
      <c r="CI40" s="157">
        <f t="shared" si="71"/>
        <v>0</v>
      </c>
      <c r="CJ40" s="158">
        <f>VLOOKUP($A40,'Over Under Bill 1 COPY 到CO欄位'!$1:$1048576,'Over Under Bill 1 COPY 到CO欄位'!CE$1,0)-VLOOKUP($A40,'Over Under Bill 1 COPY 到CO欄位'!$1:$1048576,'Over Under Bill 1 COPY 到CO欄位'!BZ$1,0)</f>
        <v>0</v>
      </c>
      <c r="CK40" s="158">
        <f>VLOOKUP($A40,'Over Under Bill 1 COPY 到CO欄位'!$1:$1048576,'Over Under Bill 1 COPY 到CO欄位'!CF$1,0)-VLOOKUP($A40,'Over Under Bill 1 COPY 到CO欄位'!$1:$1048576,'Over Under Bill 1 COPY 到CO欄位'!CA$1,0)</f>
        <v>0</v>
      </c>
      <c r="CL40" s="158">
        <f t="shared" si="72"/>
        <v>0</v>
      </c>
      <c r="CM40" s="158">
        <f>VLOOKUP($A40,'Over Under Bill 1 COPY 到CO欄位'!$1:$1048576,'Over Under Bill 1 COPY 到CO欄位'!CH$1,0)-VLOOKUP($A40,'Over Under Bill 1 COPY 到CO欄位'!$1:$1048576,'Over Under Bill 1 COPY 到CO欄位'!CC$1,0)</f>
        <v>0</v>
      </c>
      <c r="CN40" s="158">
        <f t="shared" si="73"/>
        <v>0</v>
      </c>
      <c r="CO40" s="157">
        <f>VLOOKUP($A40,'Over Under Bill 1 COPY 到CO欄位'!$1:$1048576,'Over Under Bill 1 COPY 到CO欄位'!CJ$1,0)-VLOOKUP($A40,'Over Under Bill 1 COPY 到CO欄位'!$1:$1048576,'Over Under Bill 1 COPY 到CO欄位'!CE$1,0)</f>
        <v>0</v>
      </c>
      <c r="CP40" s="157">
        <f>VLOOKUP($A40,'Over Under Bill 1 COPY 到CO欄位'!$1:$1048576,'Over Under Bill 1 COPY 到CO欄位'!CK$1,0)-VLOOKUP($A40,'Over Under Bill 1 COPY 到CO欄位'!$1:$1048576,'Over Under Bill 1 COPY 到CO欄位'!CF$1,0)</f>
        <v>0</v>
      </c>
      <c r="CQ40" s="157">
        <f t="shared" si="74"/>
        <v>0</v>
      </c>
      <c r="CR40" s="157">
        <f>VLOOKUP($A40,'Over Under Bill 1 COPY 到CO欄位'!$1:$1048576,'Over Under Bill 1 COPY 到CO欄位'!CM$1,0)-VLOOKUP($A40,'Over Under Bill 1 COPY 到CO欄位'!$1:$1048576,'Over Under Bill 1 COPY 到CO欄位'!CH$1,0)</f>
        <v>0</v>
      </c>
      <c r="CS40" s="157">
        <f t="shared" si="75"/>
        <v>0</v>
      </c>
    </row>
    <row r="41" spans="1:97">
      <c r="A41" s="171" t="s">
        <v>379</v>
      </c>
      <c r="B41" s="172" t="s">
        <v>380</v>
      </c>
      <c r="C41" s="157">
        <f>IFERROR(VLOOKUP($A41,'A0 BS 1240在建'!$1:$1048576,5,0),0)</f>
        <v>0</v>
      </c>
      <c r="D41" s="157">
        <f>IFERROR(VLOOKUP($A41,'B0 2264預收'!$1:$1048576,5,0),0)</f>
        <v>0</v>
      </c>
      <c r="E41" s="157">
        <f t="shared" si="38"/>
        <v>0</v>
      </c>
      <c r="F41" s="157">
        <f>IFERROR(VLOOKUP($A41,'B0 2264預收'!$1:$1048576,6,0),0)</f>
        <v>0</v>
      </c>
      <c r="G41" s="157">
        <f t="shared" si="39"/>
        <v>0</v>
      </c>
      <c r="H41" s="158">
        <f>IFERROR(VLOOKUP($A41,'A0 BS 1240在建'!$1:$1048576,13,0),0)-C41</f>
        <v>0</v>
      </c>
      <c r="I41" s="158">
        <f>IFERROR(VLOOKUP($A41,'B0 2264預收'!$1:$1048576,13,0),0)-D41</f>
        <v>0</v>
      </c>
      <c r="J41" s="158">
        <f t="shared" si="40"/>
        <v>0</v>
      </c>
      <c r="K41" s="158">
        <f>IFERROR(VLOOKUP($A41,'B0 2264預收'!$1:$1048576,14,0),0)-F41</f>
        <v>0</v>
      </c>
      <c r="L41" s="158">
        <f t="shared" si="41"/>
        <v>0</v>
      </c>
      <c r="M41" s="157">
        <f>VLOOKUP($A41,'Over Under Bill 1 COPY 到CO欄位'!$1:$1048576,'Over Under Bill 1 COPY 到CO欄位'!M$1,0)-VLOOKUP($A41,'Over Under Bill 1 COPY 到CO欄位'!$1:$1048576,'Over Under Bill 1 COPY 到CO欄位'!H$1,0)</f>
        <v>0</v>
      </c>
      <c r="N41" s="157">
        <f>VLOOKUP($A41,'Over Under Bill 1 COPY 到CO欄位'!$1:$1048576,'Over Under Bill 1 COPY 到CO欄位'!N$1,0)-VLOOKUP($A41,'Over Under Bill 1 COPY 到CO欄位'!$1:$1048576,'Over Under Bill 1 COPY 到CO欄位'!I$1,0)</f>
        <v>0</v>
      </c>
      <c r="O41" s="157">
        <f t="shared" si="42"/>
        <v>0</v>
      </c>
      <c r="P41" s="157">
        <f>VLOOKUP($A41,'Over Under Bill 1 COPY 到CO欄位'!$1:$1048576,'Over Under Bill 1 COPY 到CO欄位'!P$1,0)-VLOOKUP($A41,'Over Under Bill 1 COPY 到CO欄位'!$1:$1048576,'Over Under Bill 1 COPY 到CO欄位'!K$1,0)</f>
        <v>0</v>
      </c>
      <c r="Q41" s="157">
        <f t="shared" si="43"/>
        <v>0</v>
      </c>
      <c r="R41" s="158">
        <f>VLOOKUP($A41,'Over Under Bill 1 COPY 到CO欄位'!$1:$1048576,'Over Under Bill 1 COPY 到CO欄位'!R$1,0)-VLOOKUP($A41,'Over Under Bill 1 COPY 到CO欄位'!$1:$1048576,'Over Under Bill 1 COPY 到CO欄位'!M$1,0)</f>
        <v>0</v>
      </c>
      <c r="S41" s="158">
        <f>VLOOKUP($A41,'Over Under Bill 1 COPY 到CO欄位'!$1:$1048576,'Over Under Bill 1 COPY 到CO欄位'!S$1,0)-VLOOKUP($A41,'Over Under Bill 1 COPY 到CO欄位'!$1:$1048576,'Over Under Bill 1 COPY 到CO欄位'!N$1,0)</f>
        <v>0</v>
      </c>
      <c r="T41" s="158">
        <f t="shared" si="44"/>
        <v>0</v>
      </c>
      <c r="U41" s="158">
        <f>VLOOKUP($A41,'Over Under Bill 1 COPY 到CO欄位'!$1:$1048576,'Over Under Bill 1 COPY 到CO欄位'!U$1,0)-VLOOKUP($A41,'Over Under Bill 1 COPY 到CO欄位'!$1:$1048576,'Over Under Bill 1 COPY 到CO欄位'!P$1,0)</f>
        <v>0</v>
      </c>
      <c r="V41" s="158">
        <f t="shared" si="45"/>
        <v>0</v>
      </c>
      <c r="W41" s="157">
        <f>VLOOKUP($A41,'Over Under Bill 1 COPY 到CO欄位'!$1:$1048576,'Over Under Bill 1 COPY 到CO欄位'!W$1,0)-VLOOKUP($A41,'Over Under Bill 1 COPY 到CO欄位'!$1:$1048576,'Over Under Bill 1 COPY 到CO欄位'!R$1,0)</f>
        <v>0</v>
      </c>
      <c r="X41" s="157">
        <f>VLOOKUP($A41,'Over Under Bill 1 COPY 到CO欄位'!$1:$1048576,'Over Under Bill 1 COPY 到CO欄位'!X$1,0)-VLOOKUP($A41,'Over Under Bill 1 COPY 到CO欄位'!$1:$1048576,'Over Under Bill 1 COPY 到CO欄位'!S$1,0)</f>
        <v>0</v>
      </c>
      <c r="Y41" s="157">
        <f t="shared" si="46"/>
        <v>0</v>
      </c>
      <c r="Z41" s="157">
        <f>VLOOKUP($A41,'Over Under Bill 1 COPY 到CO欄位'!$1:$1048576,'Over Under Bill 1 COPY 到CO欄位'!Z$1,0)-VLOOKUP($A41,'Over Under Bill 1 COPY 到CO欄位'!$1:$1048576,'Over Under Bill 1 COPY 到CO欄位'!U$1,0)</f>
        <v>0</v>
      </c>
      <c r="AA41" s="157">
        <f t="shared" si="47"/>
        <v>0</v>
      </c>
      <c r="AB41" s="158">
        <f>VLOOKUP($A41,'Over Under Bill 1 COPY 到CO欄位'!$1:$1048576,'Over Under Bill 1 COPY 到CO欄位'!AB$1,0)-VLOOKUP($A41,'Over Under Bill 1 COPY 到CO欄位'!$1:$1048576,'Over Under Bill 1 COPY 到CO欄位'!W$1,0)</f>
        <v>0</v>
      </c>
      <c r="AC41" s="158">
        <f>VLOOKUP($A41,'Over Under Bill 1 COPY 到CO欄位'!$1:$1048576,'Over Under Bill 1 COPY 到CO欄位'!AC$1,0)-VLOOKUP($A41,'Over Under Bill 1 COPY 到CO欄位'!$1:$1048576,'Over Under Bill 1 COPY 到CO欄位'!X$1,0)</f>
        <v>0</v>
      </c>
      <c r="AD41" s="158">
        <f t="shared" si="48"/>
        <v>0</v>
      </c>
      <c r="AE41" s="158">
        <f>VLOOKUP($A41,'Over Under Bill 1 COPY 到CO欄位'!$1:$1048576,'Over Under Bill 1 COPY 到CO欄位'!AE$1,0)-VLOOKUP($A41,'Over Under Bill 1 COPY 到CO欄位'!$1:$1048576,'Over Under Bill 1 COPY 到CO欄位'!Z$1,0)</f>
        <v>0</v>
      </c>
      <c r="AF41" s="158">
        <f t="shared" si="49"/>
        <v>0</v>
      </c>
      <c r="AG41" s="157">
        <f>VLOOKUP($A41,'Over Under Bill 1 COPY 到CO欄位'!$1:$1048576,'Over Under Bill 1 COPY 到CO欄位'!AG$1,0)-VLOOKUP($A41,'Over Under Bill 1 COPY 到CO欄位'!$1:$1048576,'Over Under Bill 1 COPY 到CO欄位'!AB$1,0)</f>
        <v>0</v>
      </c>
      <c r="AH41" s="157">
        <f>VLOOKUP($A41,'Over Under Bill 1 COPY 到CO欄位'!$1:$1048576,'Over Under Bill 1 COPY 到CO欄位'!AH$1,0)-VLOOKUP($A41,'Over Under Bill 1 COPY 到CO欄位'!$1:$1048576,'Over Under Bill 1 COPY 到CO欄位'!AC$1,0)</f>
        <v>0</v>
      </c>
      <c r="AI41" s="157">
        <f t="shared" si="50"/>
        <v>0</v>
      </c>
      <c r="AJ41" s="157">
        <f>VLOOKUP($A41,'Over Under Bill 1 COPY 到CO欄位'!$1:$1048576,'Over Under Bill 1 COPY 到CO欄位'!AJ$1,0)-VLOOKUP($A41,'Over Under Bill 1 COPY 到CO欄位'!$1:$1048576,'Over Under Bill 1 COPY 到CO欄位'!AE$1,0)</f>
        <v>0</v>
      </c>
      <c r="AK41" s="157">
        <f t="shared" si="51"/>
        <v>0</v>
      </c>
      <c r="AL41" s="158">
        <f>VLOOKUP($A41,'Over Under Bill 1 COPY 到CO欄位'!$1:$1048576,'Over Under Bill 1 COPY 到CO欄位'!AL$1,0)-VLOOKUP($A41,'Over Under Bill 1 COPY 到CO欄位'!$1:$1048576,'Over Under Bill 1 COPY 到CO欄位'!AG$1,0)</f>
        <v>0</v>
      </c>
      <c r="AM41" s="158">
        <f>VLOOKUP($A41,'Over Under Bill 1 COPY 到CO欄位'!$1:$1048576,'Over Under Bill 1 COPY 到CO欄位'!AM$1,0)-VLOOKUP($A41,'Over Under Bill 1 COPY 到CO欄位'!$1:$1048576,'Over Under Bill 1 COPY 到CO欄位'!AH$1,0)</f>
        <v>0</v>
      </c>
      <c r="AN41" s="158">
        <f t="shared" si="52"/>
        <v>0</v>
      </c>
      <c r="AO41" s="158">
        <f>VLOOKUP($A41,'Over Under Bill 1 COPY 到CO欄位'!$1:$1048576,'Over Under Bill 1 COPY 到CO欄位'!AO$1,0)-VLOOKUP($A41,'Over Under Bill 1 COPY 到CO欄位'!$1:$1048576,'Over Under Bill 1 COPY 到CO欄位'!AJ$1,0)</f>
        <v>0</v>
      </c>
      <c r="AP41" s="158">
        <f t="shared" si="53"/>
        <v>0</v>
      </c>
      <c r="AQ41" s="157">
        <f>VLOOKUP($A41,'Over Under Bill 1 COPY 到CO欄位'!$1:$1048576,'Over Under Bill 1 COPY 到CO欄位'!AQ$1,0)-VLOOKUP($A41,'Over Under Bill 1 COPY 到CO欄位'!$1:$1048576,'Over Under Bill 1 COPY 到CO欄位'!AL$1,0)</f>
        <v>0</v>
      </c>
      <c r="AR41" s="157">
        <f>VLOOKUP($A41,'Over Under Bill 1 COPY 到CO欄位'!$1:$1048576,'Over Under Bill 1 COPY 到CO欄位'!AR$1,0)-VLOOKUP($A41,'Over Under Bill 1 COPY 到CO欄位'!$1:$1048576,'Over Under Bill 1 COPY 到CO欄位'!AM$1,0)</f>
        <v>0</v>
      </c>
      <c r="AS41" s="157">
        <f t="shared" si="54"/>
        <v>0</v>
      </c>
      <c r="AT41" s="157">
        <f>VLOOKUP($A41,'Over Under Bill 1 COPY 到CO欄位'!$1:$1048576,'Over Under Bill 1 COPY 到CO欄位'!AT$1,0)-VLOOKUP($A41,'Over Under Bill 1 COPY 到CO欄位'!$1:$1048576,'Over Under Bill 1 COPY 到CO欄位'!AO$1,0)</f>
        <v>0</v>
      </c>
      <c r="AU41" s="157">
        <f t="shared" si="55"/>
        <v>0</v>
      </c>
      <c r="AV41" s="158">
        <f>VLOOKUP($A41,'Over Under Bill 1 COPY 到CO欄位'!$1:$1048576,'Over Under Bill 1 COPY 到CO欄位'!AV$1,0)-VLOOKUP($A41,'Over Under Bill 1 COPY 到CO欄位'!$1:$1048576,'Over Under Bill 1 COPY 到CO欄位'!AQ$1,0)</f>
        <v>0</v>
      </c>
      <c r="AW41" s="158">
        <f>VLOOKUP($A41,'Over Under Bill 1 COPY 到CO欄位'!$1:$1048576,'Over Under Bill 1 COPY 到CO欄位'!AW$1,0)-VLOOKUP($A41,'Over Under Bill 1 COPY 到CO欄位'!$1:$1048576,'Over Under Bill 1 COPY 到CO欄位'!AR$1,0)</f>
        <v>0</v>
      </c>
      <c r="AX41" s="158">
        <f t="shared" si="56"/>
        <v>0</v>
      </c>
      <c r="AY41" s="158">
        <f>VLOOKUP($A41,'Over Under Bill 1 COPY 到CO欄位'!$1:$1048576,'Over Under Bill 1 COPY 到CO欄位'!AY$1,0)-VLOOKUP($A41,'Over Under Bill 1 COPY 到CO欄位'!$1:$1048576,'Over Under Bill 1 COPY 到CO欄位'!AT$1,0)</f>
        <v>0</v>
      </c>
      <c r="AZ41" s="158">
        <f t="shared" si="57"/>
        <v>0</v>
      </c>
      <c r="BA41" s="157">
        <f>VLOOKUP($A41,'Over Under Bill 1 COPY 到CO欄位'!$1:$1048576,'Over Under Bill 1 COPY 到CO欄位'!BA$1,0)-VLOOKUP($A41,'Over Under Bill 1 COPY 到CO欄位'!$1:$1048576,'Over Under Bill 1 COPY 到CO欄位'!AV$1,0)</f>
        <v>0</v>
      </c>
      <c r="BB41" s="157">
        <f>VLOOKUP($A41,'Over Under Bill 1 COPY 到CO欄位'!$1:$1048576,'Over Under Bill 1 COPY 到CO欄位'!BB$1,0)-VLOOKUP($A41,'Over Under Bill 1 COPY 到CO欄位'!$1:$1048576,'Over Under Bill 1 COPY 到CO欄位'!AW$1,0)</f>
        <v>0</v>
      </c>
      <c r="BC41" s="157">
        <f t="shared" si="58"/>
        <v>0</v>
      </c>
      <c r="BD41" s="157">
        <f>VLOOKUP($A41,'Over Under Bill 1 COPY 到CO欄位'!$1:$1048576,'Over Under Bill 1 COPY 到CO欄位'!BD$1,0)-VLOOKUP($A41,'Over Under Bill 1 COPY 到CO欄位'!$1:$1048576,'Over Under Bill 1 COPY 到CO欄位'!AY$1,0)</f>
        <v>0</v>
      </c>
      <c r="BE41" s="157">
        <f t="shared" si="59"/>
        <v>0</v>
      </c>
      <c r="BF41" s="158">
        <f>VLOOKUP($A41,'Over Under Bill 1 COPY 到CO欄位'!$1:$1048576,'Over Under Bill 1 COPY 到CO欄位'!BF$1,0)-VLOOKUP($A41,'Over Under Bill 1 COPY 到CO欄位'!$1:$1048576,'Over Under Bill 1 COPY 到CO欄位'!BA$1,0)</f>
        <v>0</v>
      </c>
      <c r="BG41" s="158">
        <f>VLOOKUP($A41,'Over Under Bill 1 COPY 到CO欄位'!$1:$1048576,'Over Under Bill 1 COPY 到CO欄位'!BG$1,0)-VLOOKUP($A41,'Over Under Bill 1 COPY 到CO欄位'!$1:$1048576,'Over Under Bill 1 COPY 到CO欄位'!BB$1,0)</f>
        <v>0</v>
      </c>
      <c r="BH41" s="158">
        <f t="shared" si="60"/>
        <v>0</v>
      </c>
      <c r="BI41" s="158">
        <f>VLOOKUP($A41,'Over Under Bill 1 COPY 到CO欄位'!$1:$1048576,'Over Under Bill 1 COPY 到CO欄位'!BI$1,0)-VLOOKUP($A41,'Over Under Bill 1 COPY 到CO欄位'!$1:$1048576,'Over Under Bill 1 COPY 到CO欄位'!BD$1,0)</f>
        <v>0</v>
      </c>
      <c r="BJ41" s="158">
        <f t="shared" si="61"/>
        <v>0</v>
      </c>
      <c r="BK41" s="157">
        <f>VLOOKUP($A41,'Over Under Bill 1 COPY 到CO欄位'!$1:$1048576,'Over Under Bill 1 COPY 到CO欄位'!BK$1,0)-VLOOKUP($A41,'Over Under Bill 1 COPY 到CO欄位'!$1:$1048576,'Over Under Bill 1 COPY 到CO欄位'!BF$1,0)</f>
        <v>0</v>
      </c>
      <c r="BL41" s="157">
        <f>VLOOKUP($A41,'Over Under Bill 1 COPY 到CO欄位'!$1:$1048576,'Over Under Bill 1 COPY 到CO欄位'!BL$1,0)-VLOOKUP($A41,'Over Under Bill 1 COPY 到CO欄位'!$1:$1048576,'Over Under Bill 1 COPY 到CO欄位'!BG$1,0)</f>
        <v>0</v>
      </c>
      <c r="BM41" s="157">
        <f t="shared" si="62"/>
        <v>0</v>
      </c>
      <c r="BN41" s="157">
        <f>VLOOKUP($A41,'Over Under Bill 1 COPY 到CO欄位'!$1:$1048576,'Over Under Bill 1 COPY 到CO欄位'!BN$1,0)-VLOOKUP($A41,'Over Under Bill 1 COPY 到CO欄位'!$1:$1048576,'Over Under Bill 1 COPY 到CO欄位'!BI$1,0)</f>
        <v>0</v>
      </c>
      <c r="BO41" s="157">
        <f t="shared" si="63"/>
        <v>0</v>
      </c>
      <c r="BP41" s="158">
        <f>VLOOKUP($A41,'Over Under Bill 1 COPY 到CO欄位'!$1:$1048576,'Over Under Bill 1 COPY 到CO欄位'!BP$1,0)-VLOOKUP($A41,'Over Under Bill 1 COPY 到CO欄位'!$1:$1048576,'Over Under Bill 1 COPY 到CO欄位'!BK$1,0)</f>
        <v>0</v>
      </c>
      <c r="BQ41" s="158">
        <f>VLOOKUP($A41,'Over Under Bill 1 COPY 到CO欄位'!$1:$1048576,'Over Under Bill 1 COPY 到CO欄位'!BQ$1,0)-VLOOKUP($A41,'Over Under Bill 1 COPY 到CO欄位'!$1:$1048576,'Over Under Bill 1 COPY 到CO欄位'!BL$1,0)</f>
        <v>0</v>
      </c>
      <c r="BR41" s="158">
        <f t="shared" si="64"/>
        <v>0</v>
      </c>
      <c r="BS41" s="158">
        <f>VLOOKUP($A41,'Over Under Bill 1 COPY 到CO欄位'!$1:$1048576,'Over Under Bill 1 COPY 到CO欄位'!BS$1,0)-VLOOKUP($A41,'Over Under Bill 1 COPY 到CO欄位'!$1:$1048576,'Over Under Bill 1 COPY 到CO欄位'!BN$1,0)</f>
        <v>0</v>
      </c>
      <c r="BT41" s="158">
        <f t="shared" si="65"/>
        <v>0</v>
      </c>
      <c r="BU41" s="157">
        <f>VLOOKUP($A41,'Over Under Bill 1 COPY 到CO欄位'!$1:$1048576,'Over Under Bill 1 COPY 到CO欄位'!BP$1,0)-VLOOKUP($A41,'Over Under Bill 1 COPY 到CO欄位'!$1:$1048576,'Over Under Bill 1 COPY 到CO欄位'!H$1,0)</f>
        <v>0</v>
      </c>
      <c r="BV41" s="157">
        <f>VLOOKUP($A41,'Over Under Bill 1 COPY 到CO欄位'!$1:$1048576,'Over Under Bill 1 COPY 到CO欄位'!BQ$1,0)-VLOOKUP($A41,'Over Under Bill 1 COPY 到CO欄位'!$1:$1048576,'Over Under Bill 1 COPY 到CO欄位'!I$1,0)</f>
        <v>0</v>
      </c>
      <c r="BW41" s="157">
        <f t="shared" si="66"/>
        <v>0</v>
      </c>
      <c r="BX41" s="157">
        <f>VLOOKUP($A41,'Over Under Bill 1 COPY 到CO欄位'!$1:$1048576,'Over Under Bill 1 COPY 到CO欄位'!BS$1,0)-VLOOKUP($A41,'Over Under Bill 1 COPY 到CO欄位'!$1:$1048576,'Over Under Bill 1 COPY 到CO欄位'!K$1,0)</f>
        <v>0</v>
      </c>
      <c r="BY41" s="157">
        <f t="shared" si="67"/>
        <v>0</v>
      </c>
      <c r="BZ41" s="158">
        <f>VLOOKUP($A41,'Over Under Bill 1 COPY 到CO欄位'!$1:$1048576,'Over Under Bill 1 COPY 到CO欄位'!BU$1,0)-VLOOKUP($A41,'Over Under Bill 1 COPY 到CO欄位'!$1:$1048576,'Over Under Bill 1 COPY 到CO欄位'!BP$1,0)</f>
        <v>0</v>
      </c>
      <c r="CA41" s="158">
        <f>VLOOKUP($A41,'Over Under Bill 1 COPY 到CO欄位'!$1:$1048576,'Over Under Bill 1 COPY 到CO欄位'!BV$1,0)-VLOOKUP($A41,'Over Under Bill 1 COPY 到CO欄位'!$1:$1048576,'Over Under Bill 1 COPY 到CO欄位'!BQ$1,0)</f>
        <v>0</v>
      </c>
      <c r="CB41" s="158">
        <f t="shared" si="68"/>
        <v>0</v>
      </c>
      <c r="CC41" s="158">
        <f>VLOOKUP($A41,'Over Under Bill 1 COPY 到CO欄位'!$1:$1048576,'Over Under Bill 1 COPY 到CO欄位'!BX$1,0)-VLOOKUP($A41,'Over Under Bill 1 COPY 到CO欄位'!$1:$1048576,'Over Under Bill 1 COPY 到CO欄位'!BS$1,0)</f>
        <v>0</v>
      </c>
      <c r="CD41" s="158">
        <f t="shared" si="69"/>
        <v>0</v>
      </c>
      <c r="CE41" s="157">
        <f>VLOOKUP($A41,'Over Under Bill 1 COPY 到CO欄位'!$1:$1048576,'Over Under Bill 1 COPY 到CO欄位'!BZ$1,0)-VLOOKUP($A41,'Over Under Bill 1 COPY 到CO欄位'!$1:$1048576,'Over Under Bill 1 COPY 到CO欄位'!BU$1,0)</f>
        <v>0</v>
      </c>
      <c r="CF41" s="157">
        <f>VLOOKUP($A41,'Over Under Bill 1 COPY 到CO欄位'!$1:$1048576,'Over Under Bill 1 COPY 到CO欄位'!CA$1,0)-VLOOKUP($A41,'Over Under Bill 1 COPY 到CO欄位'!$1:$1048576,'Over Under Bill 1 COPY 到CO欄位'!BV$1,0)</f>
        <v>0</v>
      </c>
      <c r="CG41" s="157">
        <f t="shared" si="70"/>
        <v>0</v>
      </c>
      <c r="CH41" s="157">
        <f>VLOOKUP($A41,'Over Under Bill 1 COPY 到CO欄位'!$1:$1048576,'Over Under Bill 1 COPY 到CO欄位'!CC$1,0)-VLOOKUP($A41,'Over Under Bill 1 COPY 到CO欄位'!$1:$1048576,'Over Under Bill 1 COPY 到CO欄位'!BX$1,0)</f>
        <v>0</v>
      </c>
      <c r="CI41" s="157">
        <f t="shared" si="71"/>
        <v>0</v>
      </c>
      <c r="CJ41" s="158">
        <f>VLOOKUP($A41,'Over Under Bill 1 COPY 到CO欄位'!$1:$1048576,'Over Under Bill 1 COPY 到CO欄位'!CE$1,0)-VLOOKUP($A41,'Over Under Bill 1 COPY 到CO欄位'!$1:$1048576,'Over Under Bill 1 COPY 到CO欄位'!BZ$1,0)</f>
        <v>0</v>
      </c>
      <c r="CK41" s="158">
        <f>VLOOKUP($A41,'Over Under Bill 1 COPY 到CO欄位'!$1:$1048576,'Over Under Bill 1 COPY 到CO欄位'!CF$1,0)-VLOOKUP($A41,'Over Under Bill 1 COPY 到CO欄位'!$1:$1048576,'Over Under Bill 1 COPY 到CO欄位'!CA$1,0)</f>
        <v>0</v>
      </c>
      <c r="CL41" s="158">
        <f t="shared" si="72"/>
        <v>0</v>
      </c>
      <c r="CM41" s="158">
        <f>VLOOKUP($A41,'Over Under Bill 1 COPY 到CO欄位'!$1:$1048576,'Over Under Bill 1 COPY 到CO欄位'!CH$1,0)-VLOOKUP($A41,'Over Under Bill 1 COPY 到CO欄位'!$1:$1048576,'Over Under Bill 1 COPY 到CO欄位'!CC$1,0)</f>
        <v>0</v>
      </c>
      <c r="CN41" s="158">
        <f t="shared" si="73"/>
        <v>0</v>
      </c>
      <c r="CO41" s="157">
        <f>VLOOKUP($A41,'Over Under Bill 1 COPY 到CO欄位'!$1:$1048576,'Over Under Bill 1 COPY 到CO欄位'!CJ$1,0)-VLOOKUP($A41,'Over Under Bill 1 COPY 到CO欄位'!$1:$1048576,'Over Under Bill 1 COPY 到CO欄位'!CE$1,0)</f>
        <v>0</v>
      </c>
      <c r="CP41" s="157">
        <f>VLOOKUP($A41,'Over Under Bill 1 COPY 到CO欄位'!$1:$1048576,'Over Under Bill 1 COPY 到CO欄位'!CK$1,0)-VLOOKUP($A41,'Over Under Bill 1 COPY 到CO欄位'!$1:$1048576,'Over Under Bill 1 COPY 到CO欄位'!CF$1,0)</f>
        <v>0</v>
      </c>
      <c r="CQ41" s="157">
        <f t="shared" si="74"/>
        <v>0</v>
      </c>
      <c r="CR41" s="157">
        <f>VLOOKUP($A41,'Over Under Bill 1 COPY 到CO欄位'!$1:$1048576,'Over Under Bill 1 COPY 到CO欄位'!CM$1,0)-VLOOKUP($A41,'Over Under Bill 1 COPY 到CO欄位'!$1:$1048576,'Over Under Bill 1 COPY 到CO欄位'!CH$1,0)</f>
        <v>0</v>
      </c>
      <c r="CS41" s="157">
        <f t="shared" si="75"/>
        <v>0</v>
      </c>
    </row>
    <row r="42" spans="1:97">
      <c r="A42" s="171" t="s">
        <v>381</v>
      </c>
      <c r="B42" s="172" t="s">
        <v>382</v>
      </c>
      <c r="C42" s="157">
        <f>IFERROR(VLOOKUP($A42,'A0 BS 1240在建'!$1:$1048576,5,0),0)</f>
        <v>0</v>
      </c>
      <c r="D42" s="157">
        <f>IFERROR(VLOOKUP($A42,'B0 2264預收'!$1:$1048576,5,0),0)</f>
        <v>0</v>
      </c>
      <c r="E42" s="157">
        <f t="shared" si="38"/>
        <v>0</v>
      </c>
      <c r="F42" s="157">
        <f>IFERROR(VLOOKUP($A42,'B0 2264預收'!$1:$1048576,6,0),0)</f>
        <v>0</v>
      </c>
      <c r="G42" s="157">
        <f t="shared" si="39"/>
        <v>0</v>
      </c>
      <c r="H42" s="158">
        <f>IFERROR(VLOOKUP($A42,'A0 BS 1240在建'!$1:$1048576,13,0),0)-C42</f>
        <v>0</v>
      </c>
      <c r="I42" s="158">
        <f>IFERROR(VLOOKUP($A42,'B0 2264預收'!$1:$1048576,13,0),0)-D42</f>
        <v>0</v>
      </c>
      <c r="J42" s="158">
        <f t="shared" si="40"/>
        <v>0</v>
      </c>
      <c r="K42" s="158">
        <f>IFERROR(VLOOKUP($A42,'B0 2264預收'!$1:$1048576,14,0),0)-F42</f>
        <v>0</v>
      </c>
      <c r="L42" s="158">
        <f t="shared" si="41"/>
        <v>0</v>
      </c>
      <c r="M42" s="157">
        <f>VLOOKUP($A42,'Over Under Bill 1 COPY 到CO欄位'!$1:$1048576,'Over Under Bill 1 COPY 到CO欄位'!M$1,0)-VLOOKUP($A42,'Over Under Bill 1 COPY 到CO欄位'!$1:$1048576,'Over Under Bill 1 COPY 到CO欄位'!H$1,0)</f>
        <v>0</v>
      </c>
      <c r="N42" s="157">
        <f>VLOOKUP($A42,'Over Under Bill 1 COPY 到CO欄位'!$1:$1048576,'Over Under Bill 1 COPY 到CO欄位'!N$1,0)-VLOOKUP($A42,'Over Under Bill 1 COPY 到CO欄位'!$1:$1048576,'Over Under Bill 1 COPY 到CO欄位'!I$1,0)</f>
        <v>0</v>
      </c>
      <c r="O42" s="157">
        <f t="shared" si="42"/>
        <v>0</v>
      </c>
      <c r="P42" s="157">
        <f>VLOOKUP($A42,'Over Under Bill 1 COPY 到CO欄位'!$1:$1048576,'Over Under Bill 1 COPY 到CO欄位'!P$1,0)-VLOOKUP($A42,'Over Under Bill 1 COPY 到CO欄位'!$1:$1048576,'Over Under Bill 1 COPY 到CO欄位'!K$1,0)</f>
        <v>0</v>
      </c>
      <c r="Q42" s="157">
        <f t="shared" si="43"/>
        <v>0</v>
      </c>
      <c r="R42" s="158">
        <f>VLOOKUP($A42,'Over Under Bill 1 COPY 到CO欄位'!$1:$1048576,'Over Under Bill 1 COPY 到CO欄位'!R$1,0)-VLOOKUP($A42,'Over Under Bill 1 COPY 到CO欄位'!$1:$1048576,'Over Under Bill 1 COPY 到CO欄位'!M$1,0)</f>
        <v>0</v>
      </c>
      <c r="S42" s="158">
        <f>VLOOKUP($A42,'Over Under Bill 1 COPY 到CO欄位'!$1:$1048576,'Over Under Bill 1 COPY 到CO欄位'!S$1,0)-VLOOKUP($A42,'Over Under Bill 1 COPY 到CO欄位'!$1:$1048576,'Over Under Bill 1 COPY 到CO欄位'!N$1,0)</f>
        <v>0</v>
      </c>
      <c r="T42" s="158">
        <f t="shared" si="44"/>
        <v>0</v>
      </c>
      <c r="U42" s="158">
        <f>VLOOKUP($A42,'Over Under Bill 1 COPY 到CO欄位'!$1:$1048576,'Over Under Bill 1 COPY 到CO欄位'!U$1,0)-VLOOKUP($A42,'Over Under Bill 1 COPY 到CO欄位'!$1:$1048576,'Over Under Bill 1 COPY 到CO欄位'!P$1,0)</f>
        <v>0</v>
      </c>
      <c r="V42" s="158">
        <f t="shared" si="45"/>
        <v>0</v>
      </c>
      <c r="W42" s="157">
        <f>VLOOKUP($A42,'Over Under Bill 1 COPY 到CO欄位'!$1:$1048576,'Over Under Bill 1 COPY 到CO欄位'!W$1,0)-VLOOKUP($A42,'Over Under Bill 1 COPY 到CO欄位'!$1:$1048576,'Over Under Bill 1 COPY 到CO欄位'!R$1,0)</f>
        <v>0</v>
      </c>
      <c r="X42" s="157">
        <f>VLOOKUP($A42,'Over Under Bill 1 COPY 到CO欄位'!$1:$1048576,'Over Under Bill 1 COPY 到CO欄位'!X$1,0)-VLOOKUP($A42,'Over Under Bill 1 COPY 到CO欄位'!$1:$1048576,'Over Under Bill 1 COPY 到CO欄位'!S$1,0)</f>
        <v>0</v>
      </c>
      <c r="Y42" s="157">
        <f t="shared" si="46"/>
        <v>0</v>
      </c>
      <c r="Z42" s="157">
        <f>VLOOKUP($A42,'Over Under Bill 1 COPY 到CO欄位'!$1:$1048576,'Over Under Bill 1 COPY 到CO欄位'!Z$1,0)-VLOOKUP($A42,'Over Under Bill 1 COPY 到CO欄位'!$1:$1048576,'Over Under Bill 1 COPY 到CO欄位'!U$1,0)</f>
        <v>0</v>
      </c>
      <c r="AA42" s="157">
        <f t="shared" si="47"/>
        <v>0</v>
      </c>
      <c r="AB42" s="158">
        <f>VLOOKUP($A42,'Over Under Bill 1 COPY 到CO欄位'!$1:$1048576,'Over Under Bill 1 COPY 到CO欄位'!AB$1,0)-VLOOKUP($A42,'Over Under Bill 1 COPY 到CO欄位'!$1:$1048576,'Over Under Bill 1 COPY 到CO欄位'!W$1,0)</f>
        <v>0</v>
      </c>
      <c r="AC42" s="158">
        <f>VLOOKUP($A42,'Over Under Bill 1 COPY 到CO欄位'!$1:$1048576,'Over Under Bill 1 COPY 到CO欄位'!AC$1,0)-VLOOKUP($A42,'Over Under Bill 1 COPY 到CO欄位'!$1:$1048576,'Over Under Bill 1 COPY 到CO欄位'!X$1,0)</f>
        <v>0</v>
      </c>
      <c r="AD42" s="158">
        <f t="shared" si="48"/>
        <v>0</v>
      </c>
      <c r="AE42" s="158">
        <f>VLOOKUP($A42,'Over Under Bill 1 COPY 到CO欄位'!$1:$1048576,'Over Under Bill 1 COPY 到CO欄位'!AE$1,0)-VLOOKUP($A42,'Over Under Bill 1 COPY 到CO欄位'!$1:$1048576,'Over Under Bill 1 COPY 到CO欄位'!Z$1,0)</f>
        <v>0</v>
      </c>
      <c r="AF42" s="158">
        <f t="shared" si="49"/>
        <v>0</v>
      </c>
      <c r="AG42" s="157">
        <f>VLOOKUP($A42,'Over Under Bill 1 COPY 到CO欄位'!$1:$1048576,'Over Under Bill 1 COPY 到CO欄位'!AG$1,0)-VLOOKUP($A42,'Over Under Bill 1 COPY 到CO欄位'!$1:$1048576,'Over Under Bill 1 COPY 到CO欄位'!AB$1,0)</f>
        <v>0</v>
      </c>
      <c r="AH42" s="157">
        <f>VLOOKUP($A42,'Over Under Bill 1 COPY 到CO欄位'!$1:$1048576,'Over Under Bill 1 COPY 到CO欄位'!AH$1,0)-VLOOKUP($A42,'Over Under Bill 1 COPY 到CO欄位'!$1:$1048576,'Over Under Bill 1 COPY 到CO欄位'!AC$1,0)</f>
        <v>0</v>
      </c>
      <c r="AI42" s="157">
        <f t="shared" si="50"/>
        <v>0</v>
      </c>
      <c r="AJ42" s="157">
        <f>VLOOKUP($A42,'Over Under Bill 1 COPY 到CO欄位'!$1:$1048576,'Over Under Bill 1 COPY 到CO欄位'!AJ$1,0)-VLOOKUP($A42,'Over Under Bill 1 COPY 到CO欄位'!$1:$1048576,'Over Under Bill 1 COPY 到CO欄位'!AE$1,0)</f>
        <v>0</v>
      </c>
      <c r="AK42" s="157">
        <f t="shared" si="51"/>
        <v>0</v>
      </c>
      <c r="AL42" s="158">
        <f>VLOOKUP($A42,'Over Under Bill 1 COPY 到CO欄位'!$1:$1048576,'Over Under Bill 1 COPY 到CO欄位'!AL$1,0)-VLOOKUP($A42,'Over Under Bill 1 COPY 到CO欄位'!$1:$1048576,'Over Under Bill 1 COPY 到CO欄位'!AG$1,0)</f>
        <v>0</v>
      </c>
      <c r="AM42" s="158">
        <f>VLOOKUP($A42,'Over Under Bill 1 COPY 到CO欄位'!$1:$1048576,'Over Under Bill 1 COPY 到CO欄位'!AM$1,0)-VLOOKUP($A42,'Over Under Bill 1 COPY 到CO欄位'!$1:$1048576,'Over Under Bill 1 COPY 到CO欄位'!AH$1,0)</f>
        <v>0</v>
      </c>
      <c r="AN42" s="158">
        <f t="shared" si="52"/>
        <v>0</v>
      </c>
      <c r="AO42" s="158">
        <f>VLOOKUP($A42,'Over Under Bill 1 COPY 到CO欄位'!$1:$1048576,'Over Under Bill 1 COPY 到CO欄位'!AO$1,0)-VLOOKUP($A42,'Over Under Bill 1 COPY 到CO欄位'!$1:$1048576,'Over Under Bill 1 COPY 到CO欄位'!AJ$1,0)</f>
        <v>0</v>
      </c>
      <c r="AP42" s="158">
        <f t="shared" si="53"/>
        <v>0</v>
      </c>
      <c r="AQ42" s="157">
        <f>VLOOKUP($A42,'Over Under Bill 1 COPY 到CO欄位'!$1:$1048576,'Over Under Bill 1 COPY 到CO欄位'!AQ$1,0)-VLOOKUP($A42,'Over Under Bill 1 COPY 到CO欄位'!$1:$1048576,'Over Under Bill 1 COPY 到CO欄位'!AL$1,0)</f>
        <v>0</v>
      </c>
      <c r="AR42" s="157">
        <f>VLOOKUP($A42,'Over Under Bill 1 COPY 到CO欄位'!$1:$1048576,'Over Under Bill 1 COPY 到CO欄位'!AR$1,0)-VLOOKUP($A42,'Over Under Bill 1 COPY 到CO欄位'!$1:$1048576,'Over Under Bill 1 COPY 到CO欄位'!AM$1,0)</f>
        <v>0</v>
      </c>
      <c r="AS42" s="157">
        <f t="shared" si="54"/>
        <v>0</v>
      </c>
      <c r="AT42" s="157">
        <f>VLOOKUP($A42,'Over Under Bill 1 COPY 到CO欄位'!$1:$1048576,'Over Under Bill 1 COPY 到CO欄位'!AT$1,0)-VLOOKUP($A42,'Over Under Bill 1 COPY 到CO欄位'!$1:$1048576,'Over Under Bill 1 COPY 到CO欄位'!AO$1,0)</f>
        <v>0</v>
      </c>
      <c r="AU42" s="157">
        <f t="shared" si="55"/>
        <v>0</v>
      </c>
      <c r="AV42" s="158">
        <f>VLOOKUP($A42,'Over Under Bill 1 COPY 到CO欄位'!$1:$1048576,'Over Under Bill 1 COPY 到CO欄位'!AV$1,0)-VLOOKUP($A42,'Over Under Bill 1 COPY 到CO欄位'!$1:$1048576,'Over Under Bill 1 COPY 到CO欄位'!AQ$1,0)</f>
        <v>0</v>
      </c>
      <c r="AW42" s="158">
        <f>VLOOKUP($A42,'Over Under Bill 1 COPY 到CO欄位'!$1:$1048576,'Over Under Bill 1 COPY 到CO欄位'!AW$1,0)-VLOOKUP($A42,'Over Under Bill 1 COPY 到CO欄位'!$1:$1048576,'Over Under Bill 1 COPY 到CO欄位'!AR$1,0)</f>
        <v>0</v>
      </c>
      <c r="AX42" s="158">
        <f t="shared" si="56"/>
        <v>0</v>
      </c>
      <c r="AY42" s="158">
        <f>VLOOKUP($A42,'Over Under Bill 1 COPY 到CO欄位'!$1:$1048576,'Over Under Bill 1 COPY 到CO欄位'!AY$1,0)-VLOOKUP($A42,'Over Under Bill 1 COPY 到CO欄位'!$1:$1048576,'Over Under Bill 1 COPY 到CO欄位'!AT$1,0)</f>
        <v>0</v>
      </c>
      <c r="AZ42" s="158">
        <f t="shared" si="57"/>
        <v>0</v>
      </c>
      <c r="BA42" s="157">
        <f>VLOOKUP($A42,'Over Under Bill 1 COPY 到CO欄位'!$1:$1048576,'Over Under Bill 1 COPY 到CO欄位'!BA$1,0)-VLOOKUP($A42,'Over Under Bill 1 COPY 到CO欄位'!$1:$1048576,'Over Under Bill 1 COPY 到CO欄位'!AV$1,0)</f>
        <v>0</v>
      </c>
      <c r="BB42" s="157">
        <f>VLOOKUP($A42,'Over Under Bill 1 COPY 到CO欄位'!$1:$1048576,'Over Under Bill 1 COPY 到CO欄位'!BB$1,0)-VLOOKUP($A42,'Over Under Bill 1 COPY 到CO欄位'!$1:$1048576,'Over Under Bill 1 COPY 到CO欄位'!AW$1,0)</f>
        <v>0</v>
      </c>
      <c r="BC42" s="157">
        <f t="shared" si="58"/>
        <v>0</v>
      </c>
      <c r="BD42" s="157">
        <f>VLOOKUP($A42,'Over Under Bill 1 COPY 到CO欄位'!$1:$1048576,'Over Under Bill 1 COPY 到CO欄位'!BD$1,0)-VLOOKUP($A42,'Over Under Bill 1 COPY 到CO欄位'!$1:$1048576,'Over Under Bill 1 COPY 到CO欄位'!AY$1,0)</f>
        <v>0</v>
      </c>
      <c r="BE42" s="157">
        <f t="shared" si="59"/>
        <v>0</v>
      </c>
      <c r="BF42" s="158">
        <f>VLOOKUP($A42,'Over Under Bill 1 COPY 到CO欄位'!$1:$1048576,'Over Under Bill 1 COPY 到CO欄位'!BF$1,0)-VLOOKUP($A42,'Over Under Bill 1 COPY 到CO欄位'!$1:$1048576,'Over Under Bill 1 COPY 到CO欄位'!BA$1,0)</f>
        <v>0</v>
      </c>
      <c r="BG42" s="158">
        <f>VLOOKUP($A42,'Over Under Bill 1 COPY 到CO欄位'!$1:$1048576,'Over Under Bill 1 COPY 到CO欄位'!BG$1,0)-VLOOKUP($A42,'Over Under Bill 1 COPY 到CO欄位'!$1:$1048576,'Over Under Bill 1 COPY 到CO欄位'!BB$1,0)</f>
        <v>0</v>
      </c>
      <c r="BH42" s="158">
        <f t="shared" si="60"/>
        <v>0</v>
      </c>
      <c r="BI42" s="158">
        <f>VLOOKUP($A42,'Over Under Bill 1 COPY 到CO欄位'!$1:$1048576,'Over Under Bill 1 COPY 到CO欄位'!BI$1,0)-VLOOKUP($A42,'Over Under Bill 1 COPY 到CO欄位'!$1:$1048576,'Over Under Bill 1 COPY 到CO欄位'!BD$1,0)</f>
        <v>0</v>
      </c>
      <c r="BJ42" s="158">
        <f t="shared" si="61"/>
        <v>0</v>
      </c>
      <c r="BK42" s="157">
        <f>VLOOKUP($A42,'Over Under Bill 1 COPY 到CO欄位'!$1:$1048576,'Over Under Bill 1 COPY 到CO欄位'!BK$1,0)-VLOOKUP($A42,'Over Under Bill 1 COPY 到CO欄位'!$1:$1048576,'Over Under Bill 1 COPY 到CO欄位'!BF$1,0)</f>
        <v>0</v>
      </c>
      <c r="BL42" s="157">
        <f>VLOOKUP($A42,'Over Under Bill 1 COPY 到CO欄位'!$1:$1048576,'Over Under Bill 1 COPY 到CO欄位'!BL$1,0)-VLOOKUP($A42,'Over Under Bill 1 COPY 到CO欄位'!$1:$1048576,'Over Under Bill 1 COPY 到CO欄位'!BG$1,0)</f>
        <v>0</v>
      </c>
      <c r="BM42" s="157">
        <f t="shared" si="62"/>
        <v>0</v>
      </c>
      <c r="BN42" s="157">
        <f>VLOOKUP($A42,'Over Under Bill 1 COPY 到CO欄位'!$1:$1048576,'Over Under Bill 1 COPY 到CO欄位'!BN$1,0)-VLOOKUP($A42,'Over Under Bill 1 COPY 到CO欄位'!$1:$1048576,'Over Under Bill 1 COPY 到CO欄位'!BI$1,0)</f>
        <v>0</v>
      </c>
      <c r="BO42" s="157">
        <f t="shared" si="63"/>
        <v>0</v>
      </c>
      <c r="BP42" s="158">
        <f>VLOOKUP($A42,'Over Under Bill 1 COPY 到CO欄位'!$1:$1048576,'Over Under Bill 1 COPY 到CO欄位'!BP$1,0)-VLOOKUP($A42,'Over Under Bill 1 COPY 到CO欄位'!$1:$1048576,'Over Under Bill 1 COPY 到CO欄位'!BK$1,0)</f>
        <v>0</v>
      </c>
      <c r="BQ42" s="158">
        <f>VLOOKUP($A42,'Over Under Bill 1 COPY 到CO欄位'!$1:$1048576,'Over Under Bill 1 COPY 到CO欄位'!BQ$1,0)-VLOOKUP($A42,'Over Under Bill 1 COPY 到CO欄位'!$1:$1048576,'Over Under Bill 1 COPY 到CO欄位'!BL$1,0)</f>
        <v>0</v>
      </c>
      <c r="BR42" s="158">
        <f t="shared" si="64"/>
        <v>0</v>
      </c>
      <c r="BS42" s="158">
        <f>VLOOKUP($A42,'Over Under Bill 1 COPY 到CO欄位'!$1:$1048576,'Over Under Bill 1 COPY 到CO欄位'!BS$1,0)-VLOOKUP($A42,'Over Under Bill 1 COPY 到CO欄位'!$1:$1048576,'Over Under Bill 1 COPY 到CO欄位'!BN$1,0)</f>
        <v>0</v>
      </c>
      <c r="BT42" s="158">
        <f t="shared" si="65"/>
        <v>0</v>
      </c>
      <c r="BU42" s="157">
        <f>VLOOKUP($A42,'Over Under Bill 1 COPY 到CO欄位'!$1:$1048576,'Over Under Bill 1 COPY 到CO欄位'!BP$1,0)-VLOOKUP($A42,'Over Under Bill 1 COPY 到CO欄位'!$1:$1048576,'Over Under Bill 1 COPY 到CO欄位'!H$1,0)</f>
        <v>0</v>
      </c>
      <c r="BV42" s="157">
        <f>VLOOKUP($A42,'Over Under Bill 1 COPY 到CO欄位'!$1:$1048576,'Over Under Bill 1 COPY 到CO欄位'!BQ$1,0)-VLOOKUP($A42,'Over Under Bill 1 COPY 到CO欄位'!$1:$1048576,'Over Under Bill 1 COPY 到CO欄位'!I$1,0)</f>
        <v>0</v>
      </c>
      <c r="BW42" s="157">
        <f t="shared" si="66"/>
        <v>0</v>
      </c>
      <c r="BX42" s="157">
        <f>VLOOKUP($A42,'Over Under Bill 1 COPY 到CO欄位'!$1:$1048576,'Over Under Bill 1 COPY 到CO欄位'!BS$1,0)-VLOOKUP($A42,'Over Under Bill 1 COPY 到CO欄位'!$1:$1048576,'Over Under Bill 1 COPY 到CO欄位'!K$1,0)</f>
        <v>0</v>
      </c>
      <c r="BY42" s="157">
        <f t="shared" si="67"/>
        <v>0</v>
      </c>
      <c r="BZ42" s="158">
        <f>VLOOKUP($A42,'Over Under Bill 1 COPY 到CO欄位'!$1:$1048576,'Over Under Bill 1 COPY 到CO欄位'!BU$1,0)-VLOOKUP($A42,'Over Under Bill 1 COPY 到CO欄位'!$1:$1048576,'Over Under Bill 1 COPY 到CO欄位'!BP$1,0)</f>
        <v>0</v>
      </c>
      <c r="CA42" s="158">
        <f>VLOOKUP($A42,'Over Under Bill 1 COPY 到CO欄位'!$1:$1048576,'Over Under Bill 1 COPY 到CO欄位'!BV$1,0)-VLOOKUP($A42,'Over Under Bill 1 COPY 到CO欄位'!$1:$1048576,'Over Under Bill 1 COPY 到CO欄位'!BQ$1,0)</f>
        <v>0</v>
      </c>
      <c r="CB42" s="158">
        <f t="shared" si="68"/>
        <v>0</v>
      </c>
      <c r="CC42" s="158">
        <f>VLOOKUP($A42,'Over Under Bill 1 COPY 到CO欄位'!$1:$1048576,'Over Under Bill 1 COPY 到CO欄位'!BX$1,0)-VLOOKUP($A42,'Over Under Bill 1 COPY 到CO欄位'!$1:$1048576,'Over Under Bill 1 COPY 到CO欄位'!BS$1,0)</f>
        <v>0</v>
      </c>
      <c r="CD42" s="158">
        <f t="shared" si="69"/>
        <v>0</v>
      </c>
      <c r="CE42" s="157">
        <f>VLOOKUP($A42,'Over Under Bill 1 COPY 到CO欄位'!$1:$1048576,'Over Under Bill 1 COPY 到CO欄位'!BZ$1,0)-VLOOKUP($A42,'Over Under Bill 1 COPY 到CO欄位'!$1:$1048576,'Over Under Bill 1 COPY 到CO欄位'!BU$1,0)</f>
        <v>0</v>
      </c>
      <c r="CF42" s="157">
        <f>VLOOKUP($A42,'Over Under Bill 1 COPY 到CO欄位'!$1:$1048576,'Over Under Bill 1 COPY 到CO欄位'!CA$1,0)-VLOOKUP($A42,'Over Under Bill 1 COPY 到CO欄位'!$1:$1048576,'Over Under Bill 1 COPY 到CO欄位'!BV$1,0)</f>
        <v>0</v>
      </c>
      <c r="CG42" s="157">
        <f t="shared" si="70"/>
        <v>0</v>
      </c>
      <c r="CH42" s="157">
        <f>VLOOKUP($A42,'Over Under Bill 1 COPY 到CO欄位'!$1:$1048576,'Over Under Bill 1 COPY 到CO欄位'!CC$1,0)-VLOOKUP($A42,'Over Under Bill 1 COPY 到CO欄位'!$1:$1048576,'Over Under Bill 1 COPY 到CO欄位'!BX$1,0)</f>
        <v>0</v>
      </c>
      <c r="CI42" s="157">
        <f t="shared" si="71"/>
        <v>0</v>
      </c>
      <c r="CJ42" s="158">
        <f>VLOOKUP($A42,'Over Under Bill 1 COPY 到CO欄位'!$1:$1048576,'Over Under Bill 1 COPY 到CO欄位'!CE$1,0)-VLOOKUP($A42,'Over Under Bill 1 COPY 到CO欄位'!$1:$1048576,'Over Under Bill 1 COPY 到CO欄位'!BZ$1,0)</f>
        <v>0</v>
      </c>
      <c r="CK42" s="158">
        <f>VLOOKUP($A42,'Over Under Bill 1 COPY 到CO欄位'!$1:$1048576,'Over Under Bill 1 COPY 到CO欄位'!CF$1,0)-VLOOKUP($A42,'Over Under Bill 1 COPY 到CO欄位'!$1:$1048576,'Over Under Bill 1 COPY 到CO欄位'!CA$1,0)</f>
        <v>0</v>
      </c>
      <c r="CL42" s="158">
        <f t="shared" si="72"/>
        <v>0</v>
      </c>
      <c r="CM42" s="158">
        <f>VLOOKUP($A42,'Over Under Bill 1 COPY 到CO欄位'!$1:$1048576,'Over Under Bill 1 COPY 到CO欄位'!CH$1,0)-VLOOKUP($A42,'Over Under Bill 1 COPY 到CO欄位'!$1:$1048576,'Over Under Bill 1 COPY 到CO欄位'!CC$1,0)</f>
        <v>0</v>
      </c>
      <c r="CN42" s="158">
        <f t="shared" si="73"/>
        <v>0</v>
      </c>
      <c r="CO42" s="157">
        <f>VLOOKUP($A42,'Over Under Bill 1 COPY 到CO欄位'!$1:$1048576,'Over Under Bill 1 COPY 到CO欄位'!CJ$1,0)-VLOOKUP($A42,'Over Under Bill 1 COPY 到CO欄位'!$1:$1048576,'Over Under Bill 1 COPY 到CO欄位'!CE$1,0)</f>
        <v>0</v>
      </c>
      <c r="CP42" s="157">
        <f>VLOOKUP($A42,'Over Under Bill 1 COPY 到CO欄位'!$1:$1048576,'Over Under Bill 1 COPY 到CO欄位'!CK$1,0)-VLOOKUP($A42,'Over Under Bill 1 COPY 到CO欄位'!$1:$1048576,'Over Under Bill 1 COPY 到CO欄位'!CF$1,0)</f>
        <v>0</v>
      </c>
      <c r="CQ42" s="157">
        <f t="shared" si="74"/>
        <v>0</v>
      </c>
      <c r="CR42" s="157">
        <f>VLOOKUP($A42,'Over Under Bill 1 COPY 到CO欄位'!$1:$1048576,'Over Under Bill 1 COPY 到CO欄位'!CM$1,0)-VLOOKUP($A42,'Over Under Bill 1 COPY 到CO欄位'!$1:$1048576,'Over Under Bill 1 COPY 到CO欄位'!CH$1,0)</f>
        <v>0</v>
      </c>
      <c r="CS42" s="157">
        <f t="shared" si="75"/>
        <v>0</v>
      </c>
    </row>
    <row r="43" spans="1:97">
      <c r="A43" s="171" t="s">
        <v>383</v>
      </c>
      <c r="B43" s="172" t="s">
        <v>384</v>
      </c>
      <c r="C43" s="157">
        <f>IFERROR(VLOOKUP($A43,'A0 BS 1240在建'!$1:$1048576,5,0),0)</f>
        <v>0</v>
      </c>
      <c r="D43" s="157">
        <f>IFERROR(VLOOKUP($A43,'B0 2264預收'!$1:$1048576,5,0),0)</f>
        <v>0</v>
      </c>
      <c r="E43" s="157">
        <f t="shared" si="38"/>
        <v>0</v>
      </c>
      <c r="F43" s="157">
        <f>IFERROR(VLOOKUP($A43,'B0 2264預收'!$1:$1048576,6,0),0)</f>
        <v>0</v>
      </c>
      <c r="G43" s="157">
        <f t="shared" si="39"/>
        <v>0</v>
      </c>
      <c r="H43" s="158">
        <f>IFERROR(VLOOKUP($A43,'A0 BS 1240在建'!$1:$1048576,13,0),0)-C43</f>
        <v>0</v>
      </c>
      <c r="I43" s="158">
        <f>IFERROR(VLOOKUP($A43,'B0 2264預收'!$1:$1048576,13,0),0)-D43</f>
        <v>0</v>
      </c>
      <c r="J43" s="158">
        <f t="shared" si="40"/>
        <v>0</v>
      </c>
      <c r="K43" s="158">
        <f>IFERROR(VLOOKUP($A43,'B0 2264預收'!$1:$1048576,14,0),0)-F43</f>
        <v>0</v>
      </c>
      <c r="L43" s="158">
        <f t="shared" si="41"/>
        <v>0</v>
      </c>
      <c r="M43" s="157">
        <f>VLOOKUP($A43,'Over Under Bill 1 COPY 到CO欄位'!$1:$1048576,'Over Under Bill 1 COPY 到CO欄位'!M$1,0)-VLOOKUP($A43,'Over Under Bill 1 COPY 到CO欄位'!$1:$1048576,'Over Under Bill 1 COPY 到CO欄位'!H$1,0)</f>
        <v>0</v>
      </c>
      <c r="N43" s="157">
        <f>VLOOKUP($A43,'Over Under Bill 1 COPY 到CO欄位'!$1:$1048576,'Over Under Bill 1 COPY 到CO欄位'!N$1,0)-VLOOKUP($A43,'Over Under Bill 1 COPY 到CO欄位'!$1:$1048576,'Over Under Bill 1 COPY 到CO欄位'!I$1,0)</f>
        <v>0</v>
      </c>
      <c r="O43" s="157">
        <f t="shared" si="42"/>
        <v>0</v>
      </c>
      <c r="P43" s="157">
        <f>VLOOKUP($A43,'Over Under Bill 1 COPY 到CO欄位'!$1:$1048576,'Over Under Bill 1 COPY 到CO欄位'!P$1,0)-VLOOKUP($A43,'Over Under Bill 1 COPY 到CO欄位'!$1:$1048576,'Over Under Bill 1 COPY 到CO欄位'!K$1,0)</f>
        <v>0</v>
      </c>
      <c r="Q43" s="157">
        <f t="shared" si="43"/>
        <v>0</v>
      </c>
      <c r="R43" s="158">
        <f>VLOOKUP($A43,'Over Under Bill 1 COPY 到CO欄位'!$1:$1048576,'Over Under Bill 1 COPY 到CO欄位'!R$1,0)-VLOOKUP($A43,'Over Under Bill 1 COPY 到CO欄位'!$1:$1048576,'Over Under Bill 1 COPY 到CO欄位'!M$1,0)</f>
        <v>0</v>
      </c>
      <c r="S43" s="158">
        <f>VLOOKUP($A43,'Over Under Bill 1 COPY 到CO欄位'!$1:$1048576,'Over Under Bill 1 COPY 到CO欄位'!S$1,0)-VLOOKUP($A43,'Over Under Bill 1 COPY 到CO欄位'!$1:$1048576,'Over Under Bill 1 COPY 到CO欄位'!N$1,0)</f>
        <v>0</v>
      </c>
      <c r="T43" s="158">
        <f t="shared" si="44"/>
        <v>0</v>
      </c>
      <c r="U43" s="158">
        <f>VLOOKUP($A43,'Over Under Bill 1 COPY 到CO欄位'!$1:$1048576,'Over Under Bill 1 COPY 到CO欄位'!U$1,0)-VLOOKUP($A43,'Over Under Bill 1 COPY 到CO欄位'!$1:$1048576,'Over Under Bill 1 COPY 到CO欄位'!P$1,0)</f>
        <v>0</v>
      </c>
      <c r="V43" s="158">
        <f t="shared" si="45"/>
        <v>0</v>
      </c>
      <c r="W43" s="157">
        <f>VLOOKUP($A43,'Over Under Bill 1 COPY 到CO欄位'!$1:$1048576,'Over Under Bill 1 COPY 到CO欄位'!W$1,0)-VLOOKUP($A43,'Over Under Bill 1 COPY 到CO欄位'!$1:$1048576,'Over Under Bill 1 COPY 到CO欄位'!R$1,0)</f>
        <v>0</v>
      </c>
      <c r="X43" s="157">
        <f>VLOOKUP($A43,'Over Under Bill 1 COPY 到CO欄位'!$1:$1048576,'Over Under Bill 1 COPY 到CO欄位'!X$1,0)-VLOOKUP($A43,'Over Under Bill 1 COPY 到CO欄位'!$1:$1048576,'Over Under Bill 1 COPY 到CO欄位'!S$1,0)</f>
        <v>0</v>
      </c>
      <c r="Y43" s="157">
        <f t="shared" si="46"/>
        <v>0</v>
      </c>
      <c r="Z43" s="157">
        <f>VLOOKUP($A43,'Over Under Bill 1 COPY 到CO欄位'!$1:$1048576,'Over Under Bill 1 COPY 到CO欄位'!Z$1,0)-VLOOKUP($A43,'Over Under Bill 1 COPY 到CO欄位'!$1:$1048576,'Over Under Bill 1 COPY 到CO欄位'!U$1,0)</f>
        <v>0</v>
      </c>
      <c r="AA43" s="157">
        <f t="shared" si="47"/>
        <v>0</v>
      </c>
      <c r="AB43" s="158">
        <f>VLOOKUP($A43,'Over Under Bill 1 COPY 到CO欄位'!$1:$1048576,'Over Under Bill 1 COPY 到CO欄位'!AB$1,0)-VLOOKUP($A43,'Over Under Bill 1 COPY 到CO欄位'!$1:$1048576,'Over Under Bill 1 COPY 到CO欄位'!W$1,0)</f>
        <v>0</v>
      </c>
      <c r="AC43" s="158">
        <f>VLOOKUP($A43,'Over Under Bill 1 COPY 到CO欄位'!$1:$1048576,'Over Under Bill 1 COPY 到CO欄位'!AC$1,0)-VLOOKUP($A43,'Over Under Bill 1 COPY 到CO欄位'!$1:$1048576,'Over Under Bill 1 COPY 到CO欄位'!X$1,0)</f>
        <v>0</v>
      </c>
      <c r="AD43" s="158">
        <f t="shared" si="48"/>
        <v>0</v>
      </c>
      <c r="AE43" s="158">
        <f>VLOOKUP($A43,'Over Under Bill 1 COPY 到CO欄位'!$1:$1048576,'Over Under Bill 1 COPY 到CO欄位'!AE$1,0)-VLOOKUP($A43,'Over Under Bill 1 COPY 到CO欄位'!$1:$1048576,'Over Under Bill 1 COPY 到CO欄位'!Z$1,0)</f>
        <v>0</v>
      </c>
      <c r="AF43" s="158">
        <f t="shared" si="49"/>
        <v>0</v>
      </c>
      <c r="AG43" s="157">
        <f>VLOOKUP($A43,'Over Under Bill 1 COPY 到CO欄位'!$1:$1048576,'Over Under Bill 1 COPY 到CO欄位'!AG$1,0)-VLOOKUP($A43,'Over Under Bill 1 COPY 到CO欄位'!$1:$1048576,'Over Under Bill 1 COPY 到CO欄位'!AB$1,0)</f>
        <v>0</v>
      </c>
      <c r="AH43" s="157">
        <f>VLOOKUP($A43,'Over Under Bill 1 COPY 到CO欄位'!$1:$1048576,'Over Under Bill 1 COPY 到CO欄位'!AH$1,0)-VLOOKUP($A43,'Over Under Bill 1 COPY 到CO欄位'!$1:$1048576,'Over Under Bill 1 COPY 到CO欄位'!AC$1,0)</f>
        <v>0</v>
      </c>
      <c r="AI43" s="157">
        <f t="shared" si="50"/>
        <v>0</v>
      </c>
      <c r="AJ43" s="157">
        <f>VLOOKUP($A43,'Over Under Bill 1 COPY 到CO欄位'!$1:$1048576,'Over Under Bill 1 COPY 到CO欄位'!AJ$1,0)-VLOOKUP($A43,'Over Under Bill 1 COPY 到CO欄位'!$1:$1048576,'Over Under Bill 1 COPY 到CO欄位'!AE$1,0)</f>
        <v>0</v>
      </c>
      <c r="AK43" s="157">
        <f t="shared" si="51"/>
        <v>0</v>
      </c>
      <c r="AL43" s="158">
        <f>VLOOKUP($A43,'Over Under Bill 1 COPY 到CO欄位'!$1:$1048576,'Over Under Bill 1 COPY 到CO欄位'!AL$1,0)-VLOOKUP($A43,'Over Under Bill 1 COPY 到CO欄位'!$1:$1048576,'Over Under Bill 1 COPY 到CO欄位'!AG$1,0)</f>
        <v>0</v>
      </c>
      <c r="AM43" s="158">
        <f>VLOOKUP($A43,'Over Under Bill 1 COPY 到CO欄位'!$1:$1048576,'Over Under Bill 1 COPY 到CO欄位'!AM$1,0)-VLOOKUP($A43,'Over Under Bill 1 COPY 到CO欄位'!$1:$1048576,'Over Under Bill 1 COPY 到CO欄位'!AH$1,0)</f>
        <v>0</v>
      </c>
      <c r="AN43" s="158">
        <f t="shared" si="52"/>
        <v>0</v>
      </c>
      <c r="AO43" s="158">
        <f>VLOOKUP($A43,'Over Under Bill 1 COPY 到CO欄位'!$1:$1048576,'Over Under Bill 1 COPY 到CO欄位'!AO$1,0)-VLOOKUP($A43,'Over Under Bill 1 COPY 到CO欄位'!$1:$1048576,'Over Under Bill 1 COPY 到CO欄位'!AJ$1,0)</f>
        <v>0</v>
      </c>
      <c r="AP43" s="158">
        <f t="shared" si="53"/>
        <v>0</v>
      </c>
      <c r="AQ43" s="157">
        <f>VLOOKUP($A43,'Over Under Bill 1 COPY 到CO欄位'!$1:$1048576,'Over Under Bill 1 COPY 到CO欄位'!AQ$1,0)-VLOOKUP($A43,'Over Under Bill 1 COPY 到CO欄位'!$1:$1048576,'Over Under Bill 1 COPY 到CO欄位'!AL$1,0)</f>
        <v>0</v>
      </c>
      <c r="AR43" s="157">
        <f>VLOOKUP($A43,'Over Under Bill 1 COPY 到CO欄位'!$1:$1048576,'Over Under Bill 1 COPY 到CO欄位'!AR$1,0)-VLOOKUP($A43,'Over Under Bill 1 COPY 到CO欄位'!$1:$1048576,'Over Under Bill 1 COPY 到CO欄位'!AM$1,0)</f>
        <v>0</v>
      </c>
      <c r="AS43" s="157">
        <f t="shared" si="54"/>
        <v>0</v>
      </c>
      <c r="AT43" s="157">
        <f>VLOOKUP($A43,'Over Under Bill 1 COPY 到CO欄位'!$1:$1048576,'Over Under Bill 1 COPY 到CO欄位'!AT$1,0)-VLOOKUP($A43,'Over Under Bill 1 COPY 到CO欄位'!$1:$1048576,'Over Under Bill 1 COPY 到CO欄位'!AO$1,0)</f>
        <v>0</v>
      </c>
      <c r="AU43" s="157">
        <f t="shared" si="55"/>
        <v>0</v>
      </c>
      <c r="AV43" s="158">
        <f>VLOOKUP($A43,'Over Under Bill 1 COPY 到CO欄位'!$1:$1048576,'Over Under Bill 1 COPY 到CO欄位'!AV$1,0)-VLOOKUP($A43,'Over Under Bill 1 COPY 到CO欄位'!$1:$1048576,'Over Under Bill 1 COPY 到CO欄位'!AQ$1,0)</f>
        <v>0</v>
      </c>
      <c r="AW43" s="158">
        <f>VLOOKUP($A43,'Over Under Bill 1 COPY 到CO欄位'!$1:$1048576,'Over Under Bill 1 COPY 到CO欄位'!AW$1,0)-VLOOKUP($A43,'Over Under Bill 1 COPY 到CO欄位'!$1:$1048576,'Over Under Bill 1 COPY 到CO欄位'!AR$1,0)</f>
        <v>0</v>
      </c>
      <c r="AX43" s="158">
        <f t="shared" si="56"/>
        <v>0</v>
      </c>
      <c r="AY43" s="158">
        <f>VLOOKUP($A43,'Over Under Bill 1 COPY 到CO欄位'!$1:$1048576,'Over Under Bill 1 COPY 到CO欄位'!AY$1,0)-VLOOKUP($A43,'Over Under Bill 1 COPY 到CO欄位'!$1:$1048576,'Over Under Bill 1 COPY 到CO欄位'!AT$1,0)</f>
        <v>0</v>
      </c>
      <c r="AZ43" s="158">
        <f t="shared" si="57"/>
        <v>0</v>
      </c>
      <c r="BA43" s="157">
        <f>VLOOKUP($A43,'Over Under Bill 1 COPY 到CO欄位'!$1:$1048576,'Over Under Bill 1 COPY 到CO欄位'!BA$1,0)-VLOOKUP($A43,'Over Under Bill 1 COPY 到CO欄位'!$1:$1048576,'Over Under Bill 1 COPY 到CO欄位'!AV$1,0)</f>
        <v>0</v>
      </c>
      <c r="BB43" s="157">
        <f>VLOOKUP($A43,'Over Under Bill 1 COPY 到CO欄位'!$1:$1048576,'Over Under Bill 1 COPY 到CO欄位'!BB$1,0)-VLOOKUP($A43,'Over Under Bill 1 COPY 到CO欄位'!$1:$1048576,'Over Under Bill 1 COPY 到CO欄位'!AW$1,0)</f>
        <v>0</v>
      </c>
      <c r="BC43" s="157">
        <f t="shared" si="58"/>
        <v>0</v>
      </c>
      <c r="BD43" s="157">
        <f>VLOOKUP($A43,'Over Under Bill 1 COPY 到CO欄位'!$1:$1048576,'Over Under Bill 1 COPY 到CO欄位'!BD$1,0)-VLOOKUP($A43,'Over Under Bill 1 COPY 到CO欄位'!$1:$1048576,'Over Under Bill 1 COPY 到CO欄位'!AY$1,0)</f>
        <v>0</v>
      </c>
      <c r="BE43" s="157">
        <f t="shared" si="59"/>
        <v>0</v>
      </c>
      <c r="BF43" s="158">
        <f>VLOOKUP($A43,'Over Under Bill 1 COPY 到CO欄位'!$1:$1048576,'Over Under Bill 1 COPY 到CO欄位'!BF$1,0)-VLOOKUP($A43,'Over Under Bill 1 COPY 到CO欄位'!$1:$1048576,'Over Under Bill 1 COPY 到CO欄位'!BA$1,0)</f>
        <v>0</v>
      </c>
      <c r="BG43" s="158">
        <f>VLOOKUP($A43,'Over Under Bill 1 COPY 到CO欄位'!$1:$1048576,'Over Under Bill 1 COPY 到CO欄位'!BG$1,0)-VLOOKUP($A43,'Over Under Bill 1 COPY 到CO欄位'!$1:$1048576,'Over Under Bill 1 COPY 到CO欄位'!BB$1,0)</f>
        <v>0</v>
      </c>
      <c r="BH43" s="158">
        <f t="shared" si="60"/>
        <v>0</v>
      </c>
      <c r="BI43" s="158">
        <f>VLOOKUP($A43,'Over Under Bill 1 COPY 到CO欄位'!$1:$1048576,'Over Under Bill 1 COPY 到CO欄位'!BI$1,0)-VLOOKUP($A43,'Over Under Bill 1 COPY 到CO欄位'!$1:$1048576,'Over Under Bill 1 COPY 到CO欄位'!BD$1,0)</f>
        <v>0</v>
      </c>
      <c r="BJ43" s="158">
        <f t="shared" si="61"/>
        <v>0</v>
      </c>
      <c r="BK43" s="157">
        <f>VLOOKUP($A43,'Over Under Bill 1 COPY 到CO欄位'!$1:$1048576,'Over Under Bill 1 COPY 到CO欄位'!BK$1,0)-VLOOKUP($A43,'Over Under Bill 1 COPY 到CO欄位'!$1:$1048576,'Over Under Bill 1 COPY 到CO欄位'!BF$1,0)</f>
        <v>0</v>
      </c>
      <c r="BL43" s="157">
        <f>VLOOKUP($A43,'Over Under Bill 1 COPY 到CO欄位'!$1:$1048576,'Over Under Bill 1 COPY 到CO欄位'!BL$1,0)-VLOOKUP($A43,'Over Under Bill 1 COPY 到CO欄位'!$1:$1048576,'Over Under Bill 1 COPY 到CO欄位'!BG$1,0)</f>
        <v>0</v>
      </c>
      <c r="BM43" s="157">
        <f t="shared" si="62"/>
        <v>0</v>
      </c>
      <c r="BN43" s="157">
        <f>VLOOKUP($A43,'Over Under Bill 1 COPY 到CO欄位'!$1:$1048576,'Over Under Bill 1 COPY 到CO欄位'!BN$1,0)-VLOOKUP($A43,'Over Under Bill 1 COPY 到CO欄位'!$1:$1048576,'Over Under Bill 1 COPY 到CO欄位'!BI$1,0)</f>
        <v>0</v>
      </c>
      <c r="BO43" s="157">
        <f t="shared" si="63"/>
        <v>0</v>
      </c>
      <c r="BP43" s="158">
        <f>VLOOKUP($A43,'Over Under Bill 1 COPY 到CO欄位'!$1:$1048576,'Over Under Bill 1 COPY 到CO欄位'!BP$1,0)-VLOOKUP($A43,'Over Under Bill 1 COPY 到CO欄位'!$1:$1048576,'Over Under Bill 1 COPY 到CO欄位'!BK$1,0)</f>
        <v>0</v>
      </c>
      <c r="BQ43" s="158">
        <f>VLOOKUP($A43,'Over Under Bill 1 COPY 到CO欄位'!$1:$1048576,'Over Under Bill 1 COPY 到CO欄位'!BQ$1,0)-VLOOKUP($A43,'Over Under Bill 1 COPY 到CO欄位'!$1:$1048576,'Over Under Bill 1 COPY 到CO欄位'!BL$1,0)</f>
        <v>0</v>
      </c>
      <c r="BR43" s="158">
        <f t="shared" si="64"/>
        <v>0</v>
      </c>
      <c r="BS43" s="158">
        <f>VLOOKUP($A43,'Over Under Bill 1 COPY 到CO欄位'!$1:$1048576,'Over Under Bill 1 COPY 到CO欄位'!BS$1,0)-VLOOKUP($A43,'Over Under Bill 1 COPY 到CO欄位'!$1:$1048576,'Over Under Bill 1 COPY 到CO欄位'!BN$1,0)</f>
        <v>0</v>
      </c>
      <c r="BT43" s="158">
        <f t="shared" si="65"/>
        <v>0</v>
      </c>
      <c r="BU43" s="157">
        <f>VLOOKUP($A43,'Over Under Bill 1 COPY 到CO欄位'!$1:$1048576,'Over Under Bill 1 COPY 到CO欄位'!BP$1,0)-VLOOKUP($A43,'Over Under Bill 1 COPY 到CO欄位'!$1:$1048576,'Over Under Bill 1 COPY 到CO欄位'!H$1,0)</f>
        <v>0</v>
      </c>
      <c r="BV43" s="157">
        <f>VLOOKUP($A43,'Over Under Bill 1 COPY 到CO欄位'!$1:$1048576,'Over Under Bill 1 COPY 到CO欄位'!BQ$1,0)-VLOOKUP($A43,'Over Under Bill 1 COPY 到CO欄位'!$1:$1048576,'Over Under Bill 1 COPY 到CO欄位'!I$1,0)</f>
        <v>0</v>
      </c>
      <c r="BW43" s="157">
        <f t="shared" si="66"/>
        <v>0</v>
      </c>
      <c r="BX43" s="157">
        <f>VLOOKUP($A43,'Over Under Bill 1 COPY 到CO欄位'!$1:$1048576,'Over Under Bill 1 COPY 到CO欄位'!BS$1,0)-VLOOKUP($A43,'Over Under Bill 1 COPY 到CO欄位'!$1:$1048576,'Over Under Bill 1 COPY 到CO欄位'!K$1,0)</f>
        <v>0</v>
      </c>
      <c r="BY43" s="157">
        <f t="shared" si="67"/>
        <v>0</v>
      </c>
      <c r="BZ43" s="158">
        <f>VLOOKUP($A43,'Over Under Bill 1 COPY 到CO欄位'!$1:$1048576,'Over Under Bill 1 COPY 到CO欄位'!BU$1,0)-VLOOKUP($A43,'Over Under Bill 1 COPY 到CO欄位'!$1:$1048576,'Over Under Bill 1 COPY 到CO欄位'!BP$1,0)</f>
        <v>0</v>
      </c>
      <c r="CA43" s="158">
        <f>VLOOKUP($A43,'Over Under Bill 1 COPY 到CO欄位'!$1:$1048576,'Over Under Bill 1 COPY 到CO欄位'!BV$1,0)-VLOOKUP($A43,'Over Under Bill 1 COPY 到CO欄位'!$1:$1048576,'Over Under Bill 1 COPY 到CO欄位'!BQ$1,0)</f>
        <v>0</v>
      </c>
      <c r="CB43" s="158">
        <f t="shared" si="68"/>
        <v>0</v>
      </c>
      <c r="CC43" s="158">
        <f>VLOOKUP($A43,'Over Under Bill 1 COPY 到CO欄位'!$1:$1048576,'Over Under Bill 1 COPY 到CO欄位'!BX$1,0)-VLOOKUP($A43,'Over Under Bill 1 COPY 到CO欄位'!$1:$1048576,'Over Under Bill 1 COPY 到CO欄位'!BS$1,0)</f>
        <v>0</v>
      </c>
      <c r="CD43" s="158">
        <f t="shared" si="69"/>
        <v>0</v>
      </c>
      <c r="CE43" s="157">
        <f>VLOOKUP($A43,'Over Under Bill 1 COPY 到CO欄位'!$1:$1048576,'Over Under Bill 1 COPY 到CO欄位'!BZ$1,0)-VLOOKUP($A43,'Over Under Bill 1 COPY 到CO欄位'!$1:$1048576,'Over Under Bill 1 COPY 到CO欄位'!BU$1,0)</f>
        <v>0</v>
      </c>
      <c r="CF43" s="157">
        <f>VLOOKUP($A43,'Over Under Bill 1 COPY 到CO欄位'!$1:$1048576,'Over Under Bill 1 COPY 到CO欄位'!CA$1,0)-VLOOKUP($A43,'Over Under Bill 1 COPY 到CO欄位'!$1:$1048576,'Over Under Bill 1 COPY 到CO欄位'!BV$1,0)</f>
        <v>0</v>
      </c>
      <c r="CG43" s="157">
        <f t="shared" si="70"/>
        <v>0</v>
      </c>
      <c r="CH43" s="157">
        <f>VLOOKUP($A43,'Over Under Bill 1 COPY 到CO欄位'!$1:$1048576,'Over Under Bill 1 COPY 到CO欄位'!CC$1,0)-VLOOKUP($A43,'Over Under Bill 1 COPY 到CO欄位'!$1:$1048576,'Over Under Bill 1 COPY 到CO欄位'!BX$1,0)</f>
        <v>0</v>
      </c>
      <c r="CI43" s="157">
        <f t="shared" si="71"/>
        <v>0</v>
      </c>
      <c r="CJ43" s="158">
        <f>VLOOKUP($A43,'Over Under Bill 1 COPY 到CO欄位'!$1:$1048576,'Over Under Bill 1 COPY 到CO欄位'!CE$1,0)-VLOOKUP($A43,'Over Under Bill 1 COPY 到CO欄位'!$1:$1048576,'Over Under Bill 1 COPY 到CO欄位'!BZ$1,0)</f>
        <v>0</v>
      </c>
      <c r="CK43" s="158">
        <f>VLOOKUP($A43,'Over Under Bill 1 COPY 到CO欄位'!$1:$1048576,'Over Under Bill 1 COPY 到CO欄位'!CF$1,0)-VLOOKUP($A43,'Over Under Bill 1 COPY 到CO欄位'!$1:$1048576,'Over Under Bill 1 COPY 到CO欄位'!CA$1,0)</f>
        <v>0</v>
      </c>
      <c r="CL43" s="158">
        <f t="shared" si="72"/>
        <v>0</v>
      </c>
      <c r="CM43" s="158">
        <f>VLOOKUP($A43,'Over Under Bill 1 COPY 到CO欄位'!$1:$1048576,'Over Under Bill 1 COPY 到CO欄位'!CH$1,0)-VLOOKUP($A43,'Over Under Bill 1 COPY 到CO欄位'!$1:$1048576,'Over Under Bill 1 COPY 到CO欄位'!CC$1,0)</f>
        <v>0</v>
      </c>
      <c r="CN43" s="158">
        <f t="shared" si="73"/>
        <v>0</v>
      </c>
      <c r="CO43" s="157">
        <f>VLOOKUP($A43,'Over Under Bill 1 COPY 到CO欄位'!$1:$1048576,'Over Under Bill 1 COPY 到CO欄位'!CJ$1,0)-VLOOKUP($A43,'Over Under Bill 1 COPY 到CO欄位'!$1:$1048576,'Over Under Bill 1 COPY 到CO欄位'!CE$1,0)</f>
        <v>0</v>
      </c>
      <c r="CP43" s="157">
        <f>VLOOKUP($A43,'Over Under Bill 1 COPY 到CO欄位'!$1:$1048576,'Over Under Bill 1 COPY 到CO欄位'!CK$1,0)-VLOOKUP($A43,'Over Under Bill 1 COPY 到CO欄位'!$1:$1048576,'Over Under Bill 1 COPY 到CO欄位'!CF$1,0)</f>
        <v>0</v>
      </c>
      <c r="CQ43" s="157">
        <f t="shared" si="74"/>
        <v>0</v>
      </c>
      <c r="CR43" s="157">
        <f>VLOOKUP($A43,'Over Under Bill 1 COPY 到CO欄位'!$1:$1048576,'Over Under Bill 1 COPY 到CO欄位'!CM$1,0)-VLOOKUP($A43,'Over Under Bill 1 COPY 到CO欄位'!$1:$1048576,'Over Under Bill 1 COPY 到CO欄位'!CH$1,0)</f>
        <v>0</v>
      </c>
      <c r="CS43" s="157">
        <f t="shared" si="75"/>
        <v>0</v>
      </c>
    </row>
    <row r="44" spans="1:97">
      <c r="A44" s="171" t="s">
        <v>385</v>
      </c>
      <c r="B44" s="172" t="s">
        <v>386</v>
      </c>
      <c r="C44" s="157">
        <f>IFERROR(VLOOKUP($A44,'A0 BS 1240在建'!$1:$1048576,5,0),0)</f>
        <v>0</v>
      </c>
      <c r="D44" s="157">
        <f>IFERROR(VLOOKUP($A44,'B0 2264預收'!$1:$1048576,5,0),0)</f>
        <v>0</v>
      </c>
      <c r="E44" s="157">
        <f t="shared" si="38"/>
        <v>0</v>
      </c>
      <c r="F44" s="157">
        <f>IFERROR(VLOOKUP($A44,'B0 2264預收'!$1:$1048576,6,0),0)</f>
        <v>0</v>
      </c>
      <c r="G44" s="157">
        <f t="shared" si="39"/>
        <v>0</v>
      </c>
      <c r="H44" s="158">
        <f>IFERROR(VLOOKUP($A44,'A0 BS 1240在建'!$1:$1048576,13,0),0)-C44</f>
        <v>0</v>
      </c>
      <c r="I44" s="158">
        <f>IFERROR(VLOOKUP($A44,'B0 2264預收'!$1:$1048576,13,0),0)-D44</f>
        <v>0</v>
      </c>
      <c r="J44" s="158">
        <f t="shared" si="40"/>
        <v>0</v>
      </c>
      <c r="K44" s="158">
        <f>IFERROR(VLOOKUP($A44,'B0 2264預收'!$1:$1048576,14,0),0)-F44</f>
        <v>0</v>
      </c>
      <c r="L44" s="158">
        <f t="shared" si="41"/>
        <v>0</v>
      </c>
      <c r="M44" s="157">
        <f>VLOOKUP($A44,'Over Under Bill 1 COPY 到CO欄位'!$1:$1048576,'Over Under Bill 1 COPY 到CO欄位'!M$1,0)-VLOOKUP($A44,'Over Under Bill 1 COPY 到CO欄位'!$1:$1048576,'Over Under Bill 1 COPY 到CO欄位'!H$1,0)</f>
        <v>0</v>
      </c>
      <c r="N44" s="157">
        <f>VLOOKUP($A44,'Over Under Bill 1 COPY 到CO欄位'!$1:$1048576,'Over Under Bill 1 COPY 到CO欄位'!N$1,0)-VLOOKUP($A44,'Over Under Bill 1 COPY 到CO欄位'!$1:$1048576,'Over Under Bill 1 COPY 到CO欄位'!I$1,0)</f>
        <v>0</v>
      </c>
      <c r="O44" s="157">
        <f t="shared" si="42"/>
        <v>0</v>
      </c>
      <c r="P44" s="157">
        <f>VLOOKUP($A44,'Over Under Bill 1 COPY 到CO欄位'!$1:$1048576,'Over Under Bill 1 COPY 到CO欄位'!P$1,0)-VLOOKUP($A44,'Over Under Bill 1 COPY 到CO欄位'!$1:$1048576,'Over Under Bill 1 COPY 到CO欄位'!K$1,0)</f>
        <v>0</v>
      </c>
      <c r="Q44" s="157">
        <f t="shared" si="43"/>
        <v>0</v>
      </c>
      <c r="R44" s="158">
        <f>VLOOKUP($A44,'Over Under Bill 1 COPY 到CO欄位'!$1:$1048576,'Over Under Bill 1 COPY 到CO欄位'!R$1,0)-VLOOKUP($A44,'Over Under Bill 1 COPY 到CO欄位'!$1:$1048576,'Over Under Bill 1 COPY 到CO欄位'!M$1,0)</f>
        <v>0</v>
      </c>
      <c r="S44" s="158">
        <f>VLOOKUP($A44,'Over Under Bill 1 COPY 到CO欄位'!$1:$1048576,'Over Under Bill 1 COPY 到CO欄位'!S$1,0)-VLOOKUP($A44,'Over Under Bill 1 COPY 到CO欄位'!$1:$1048576,'Over Under Bill 1 COPY 到CO欄位'!N$1,0)</f>
        <v>0</v>
      </c>
      <c r="T44" s="158">
        <f t="shared" si="44"/>
        <v>0</v>
      </c>
      <c r="U44" s="158">
        <f>VLOOKUP($A44,'Over Under Bill 1 COPY 到CO欄位'!$1:$1048576,'Over Under Bill 1 COPY 到CO欄位'!U$1,0)-VLOOKUP($A44,'Over Under Bill 1 COPY 到CO欄位'!$1:$1048576,'Over Under Bill 1 COPY 到CO欄位'!P$1,0)</f>
        <v>0</v>
      </c>
      <c r="V44" s="158">
        <f t="shared" si="45"/>
        <v>0</v>
      </c>
      <c r="W44" s="157">
        <f>VLOOKUP($A44,'Over Under Bill 1 COPY 到CO欄位'!$1:$1048576,'Over Under Bill 1 COPY 到CO欄位'!W$1,0)-VLOOKUP($A44,'Over Under Bill 1 COPY 到CO欄位'!$1:$1048576,'Over Under Bill 1 COPY 到CO欄位'!R$1,0)</f>
        <v>0</v>
      </c>
      <c r="X44" s="157">
        <f>VLOOKUP($A44,'Over Under Bill 1 COPY 到CO欄位'!$1:$1048576,'Over Under Bill 1 COPY 到CO欄位'!X$1,0)-VLOOKUP($A44,'Over Under Bill 1 COPY 到CO欄位'!$1:$1048576,'Over Under Bill 1 COPY 到CO欄位'!S$1,0)</f>
        <v>0</v>
      </c>
      <c r="Y44" s="157">
        <f t="shared" si="46"/>
        <v>0</v>
      </c>
      <c r="Z44" s="157">
        <f>VLOOKUP($A44,'Over Under Bill 1 COPY 到CO欄位'!$1:$1048576,'Over Under Bill 1 COPY 到CO欄位'!Z$1,0)-VLOOKUP($A44,'Over Under Bill 1 COPY 到CO欄位'!$1:$1048576,'Over Under Bill 1 COPY 到CO欄位'!U$1,0)</f>
        <v>0</v>
      </c>
      <c r="AA44" s="157">
        <f t="shared" si="47"/>
        <v>0</v>
      </c>
      <c r="AB44" s="158">
        <f>VLOOKUP($A44,'Over Under Bill 1 COPY 到CO欄位'!$1:$1048576,'Over Under Bill 1 COPY 到CO欄位'!AB$1,0)-VLOOKUP($A44,'Over Under Bill 1 COPY 到CO欄位'!$1:$1048576,'Over Under Bill 1 COPY 到CO欄位'!W$1,0)</f>
        <v>0</v>
      </c>
      <c r="AC44" s="158">
        <f>VLOOKUP($A44,'Over Under Bill 1 COPY 到CO欄位'!$1:$1048576,'Over Under Bill 1 COPY 到CO欄位'!AC$1,0)-VLOOKUP($A44,'Over Under Bill 1 COPY 到CO欄位'!$1:$1048576,'Over Under Bill 1 COPY 到CO欄位'!X$1,0)</f>
        <v>0</v>
      </c>
      <c r="AD44" s="158">
        <f t="shared" si="48"/>
        <v>0</v>
      </c>
      <c r="AE44" s="158">
        <f>VLOOKUP($A44,'Over Under Bill 1 COPY 到CO欄位'!$1:$1048576,'Over Under Bill 1 COPY 到CO欄位'!AE$1,0)-VLOOKUP($A44,'Over Under Bill 1 COPY 到CO欄位'!$1:$1048576,'Over Under Bill 1 COPY 到CO欄位'!Z$1,0)</f>
        <v>0</v>
      </c>
      <c r="AF44" s="158">
        <f t="shared" si="49"/>
        <v>0</v>
      </c>
      <c r="AG44" s="157">
        <f>VLOOKUP($A44,'Over Under Bill 1 COPY 到CO欄位'!$1:$1048576,'Over Under Bill 1 COPY 到CO欄位'!AG$1,0)-VLOOKUP($A44,'Over Under Bill 1 COPY 到CO欄位'!$1:$1048576,'Over Under Bill 1 COPY 到CO欄位'!AB$1,0)</f>
        <v>0</v>
      </c>
      <c r="AH44" s="157">
        <f>VLOOKUP($A44,'Over Under Bill 1 COPY 到CO欄位'!$1:$1048576,'Over Under Bill 1 COPY 到CO欄位'!AH$1,0)-VLOOKUP($A44,'Over Under Bill 1 COPY 到CO欄位'!$1:$1048576,'Over Under Bill 1 COPY 到CO欄位'!AC$1,0)</f>
        <v>0</v>
      </c>
      <c r="AI44" s="157">
        <f t="shared" si="50"/>
        <v>0</v>
      </c>
      <c r="AJ44" s="157">
        <f>VLOOKUP($A44,'Over Under Bill 1 COPY 到CO欄位'!$1:$1048576,'Over Under Bill 1 COPY 到CO欄位'!AJ$1,0)-VLOOKUP($A44,'Over Under Bill 1 COPY 到CO欄位'!$1:$1048576,'Over Under Bill 1 COPY 到CO欄位'!AE$1,0)</f>
        <v>0</v>
      </c>
      <c r="AK44" s="157">
        <f t="shared" si="51"/>
        <v>0</v>
      </c>
      <c r="AL44" s="158">
        <f>VLOOKUP($A44,'Over Under Bill 1 COPY 到CO欄位'!$1:$1048576,'Over Under Bill 1 COPY 到CO欄位'!AL$1,0)-VLOOKUP($A44,'Over Under Bill 1 COPY 到CO欄位'!$1:$1048576,'Over Under Bill 1 COPY 到CO欄位'!AG$1,0)</f>
        <v>0</v>
      </c>
      <c r="AM44" s="158">
        <f>VLOOKUP($A44,'Over Under Bill 1 COPY 到CO欄位'!$1:$1048576,'Over Under Bill 1 COPY 到CO欄位'!AM$1,0)-VLOOKUP($A44,'Over Under Bill 1 COPY 到CO欄位'!$1:$1048576,'Over Under Bill 1 COPY 到CO欄位'!AH$1,0)</f>
        <v>0</v>
      </c>
      <c r="AN44" s="158">
        <f t="shared" si="52"/>
        <v>0</v>
      </c>
      <c r="AO44" s="158">
        <f>VLOOKUP($A44,'Over Under Bill 1 COPY 到CO欄位'!$1:$1048576,'Over Under Bill 1 COPY 到CO欄位'!AO$1,0)-VLOOKUP($A44,'Over Under Bill 1 COPY 到CO欄位'!$1:$1048576,'Over Under Bill 1 COPY 到CO欄位'!AJ$1,0)</f>
        <v>0</v>
      </c>
      <c r="AP44" s="158">
        <f t="shared" si="53"/>
        <v>0</v>
      </c>
      <c r="AQ44" s="157">
        <f>VLOOKUP($A44,'Over Under Bill 1 COPY 到CO欄位'!$1:$1048576,'Over Under Bill 1 COPY 到CO欄位'!AQ$1,0)-VLOOKUP($A44,'Over Under Bill 1 COPY 到CO欄位'!$1:$1048576,'Over Under Bill 1 COPY 到CO欄位'!AL$1,0)</f>
        <v>0</v>
      </c>
      <c r="AR44" s="157">
        <f>VLOOKUP($A44,'Over Under Bill 1 COPY 到CO欄位'!$1:$1048576,'Over Under Bill 1 COPY 到CO欄位'!AR$1,0)-VLOOKUP($A44,'Over Under Bill 1 COPY 到CO欄位'!$1:$1048576,'Over Under Bill 1 COPY 到CO欄位'!AM$1,0)</f>
        <v>0</v>
      </c>
      <c r="AS44" s="157">
        <f t="shared" si="54"/>
        <v>0</v>
      </c>
      <c r="AT44" s="157">
        <f>VLOOKUP($A44,'Over Under Bill 1 COPY 到CO欄位'!$1:$1048576,'Over Under Bill 1 COPY 到CO欄位'!AT$1,0)-VLOOKUP($A44,'Over Under Bill 1 COPY 到CO欄位'!$1:$1048576,'Over Under Bill 1 COPY 到CO欄位'!AO$1,0)</f>
        <v>0</v>
      </c>
      <c r="AU44" s="157">
        <f t="shared" si="55"/>
        <v>0</v>
      </c>
      <c r="AV44" s="158">
        <f>VLOOKUP($A44,'Over Under Bill 1 COPY 到CO欄位'!$1:$1048576,'Over Under Bill 1 COPY 到CO欄位'!AV$1,0)-VLOOKUP($A44,'Over Under Bill 1 COPY 到CO欄位'!$1:$1048576,'Over Under Bill 1 COPY 到CO欄位'!AQ$1,0)</f>
        <v>0</v>
      </c>
      <c r="AW44" s="158">
        <f>VLOOKUP($A44,'Over Under Bill 1 COPY 到CO欄位'!$1:$1048576,'Over Under Bill 1 COPY 到CO欄位'!AW$1,0)-VLOOKUP($A44,'Over Under Bill 1 COPY 到CO欄位'!$1:$1048576,'Over Under Bill 1 COPY 到CO欄位'!AR$1,0)</f>
        <v>0</v>
      </c>
      <c r="AX44" s="158">
        <f t="shared" si="56"/>
        <v>0</v>
      </c>
      <c r="AY44" s="158">
        <f>VLOOKUP($A44,'Over Under Bill 1 COPY 到CO欄位'!$1:$1048576,'Over Under Bill 1 COPY 到CO欄位'!AY$1,0)-VLOOKUP($A44,'Over Under Bill 1 COPY 到CO欄位'!$1:$1048576,'Over Under Bill 1 COPY 到CO欄位'!AT$1,0)</f>
        <v>0</v>
      </c>
      <c r="AZ44" s="158">
        <f t="shared" si="57"/>
        <v>0</v>
      </c>
      <c r="BA44" s="157">
        <f>VLOOKUP($A44,'Over Under Bill 1 COPY 到CO欄位'!$1:$1048576,'Over Under Bill 1 COPY 到CO欄位'!BA$1,0)-VLOOKUP($A44,'Over Under Bill 1 COPY 到CO欄位'!$1:$1048576,'Over Under Bill 1 COPY 到CO欄位'!AV$1,0)</f>
        <v>0</v>
      </c>
      <c r="BB44" s="157">
        <f>VLOOKUP($A44,'Over Under Bill 1 COPY 到CO欄位'!$1:$1048576,'Over Under Bill 1 COPY 到CO欄位'!BB$1,0)-VLOOKUP($A44,'Over Under Bill 1 COPY 到CO欄位'!$1:$1048576,'Over Under Bill 1 COPY 到CO欄位'!AW$1,0)</f>
        <v>0</v>
      </c>
      <c r="BC44" s="157">
        <f t="shared" si="58"/>
        <v>0</v>
      </c>
      <c r="BD44" s="157">
        <f>VLOOKUP($A44,'Over Under Bill 1 COPY 到CO欄位'!$1:$1048576,'Over Under Bill 1 COPY 到CO欄位'!BD$1,0)-VLOOKUP($A44,'Over Under Bill 1 COPY 到CO欄位'!$1:$1048576,'Over Under Bill 1 COPY 到CO欄位'!AY$1,0)</f>
        <v>0</v>
      </c>
      <c r="BE44" s="157">
        <f t="shared" si="59"/>
        <v>0</v>
      </c>
      <c r="BF44" s="158">
        <f>VLOOKUP($A44,'Over Under Bill 1 COPY 到CO欄位'!$1:$1048576,'Over Under Bill 1 COPY 到CO欄位'!BF$1,0)-VLOOKUP($A44,'Over Under Bill 1 COPY 到CO欄位'!$1:$1048576,'Over Under Bill 1 COPY 到CO欄位'!BA$1,0)</f>
        <v>0</v>
      </c>
      <c r="BG44" s="158">
        <f>VLOOKUP($A44,'Over Under Bill 1 COPY 到CO欄位'!$1:$1048576,'Over Under Bill 1 COPY 到CO欄位'!BG$1,0)-VLOOKUP($A44,'Over Under Bill 1 COPY 到CO欄位'!$1:$1048576,'Over Under Bill 1 COPY 到CO欄位'!BB$1,0)</f>
        <v>0</v>
      </c>
      <c r="BH44" s="158">
        <f t="shared" si="60"/>
        <v>0</v>
      </c>
      <c r="BI44" s="158">
        <f>VLOOKUP($A44,'Over Under Bill 1 COPY 到CO欄位'!$1:$1048576,'Over Under Bill 1 COPY 到CO欄位'!BI$1,0)-VLOOKUP($A44,'Over Under Bill 1 COPY 到CO欄位'!$1:$1048576,'Over Under Bill 1 COPY 到CO欄位'!BD$1,0)</f>
        <v>0</v>
      </c>
      <c r="BJ44" s="158">
        <f t="shared" si="61"/>
        <v>0</v>
      </c>
      <c r="BK44" s="157">
        <f>VLOOKUP($A44,'Over Under Bill 1 COPY 到CO欄位'!$1:$1048576,'Over Under Bill 1 COPY 到CO欄位'!BK$1,0)-VLOOKUP($A44,'Over Under Bill 1 COPY 到CO欄位'!$1:$1048576,'Over Under Bill 1 COPY 到CO欄位'!BF$1,0)</f>
        <v>0</v>
      </c>
      <c r="BL44" s="157">
        <f>VLOOKUP($A44,'Over Under Bill 1 COPY 到CO欄位'!$1:$1048576,'Over Under Bill 1 COPY 到CO欄位'!BL$1,0)-VLOOKUP($A44,'Over Under Bill 1 COPY 到CO欄位'!$1:$1048576,'Over Under Bill 1 COPY 到CO欄位'!BG$1,0)</f>
        <v>0</v>
      </c>
      <c r="BM44" s="157">
        <f t="shared" si="62"/>
        <v>0</v>
      </c>
      <c r="BN44" s="157">
        <f>VLOOKUP($A44,'Over Under Bill 1 COPY 到CO欄位'!$1:$1048576,'Over Under Bill 1 COPY 到CO欄位'!BN$1,0)-VLOOKUP($A44,'Over Under Bill 1 COPY 到CO欄位'!$1:$1048576,'Over Under Bill 1 COPY 到CO欄位'!BI$1,0)</f>
        <v>0</v>
      </c>
      <c r="BO44" s="157">
        <f t="shared" si="63"/>
        <v>0</v>
      </c>
      <c r="BP44" s="158">
        <f>VLOOKUP($A44,'Over Under Bill 1 COPY 到CO欄位'!$1:$1048576,'Over Under Bill 1 COPY 到CO欄位'!BP$1,0)-VLOOKUP($A44,'Over Under Bill 1 COPY 到CO欄位'!$1:$1048576,'Over Under Bill 1 COPY 到CO欄位'!BK$1,0)</f>
        <v>0</v>
      </c>
      <c r="BQ44" s="158">
        <f>VLOOKUP($A44,'Over Under Bill 1 COPY 到CO欄位'!$1:$1048576,'Over Under Bill 1 COPY 到CO欄位'!BQ$1,0)-VLOOKUP($A44,'Over Under Bill 1 COPY 到CO欄位'!$1:$1048576,'Over Under Bill 1 COPY 到CO欄位'!BL$1,0)</f>
        <v>0</v>
      </c>
      <c r="BR44" s="158">
        <f t="shared" si="64"/>
        <v>0</v>
      </c>
      <c r="BS44" s="158">
        <f>VLOOKUP($A44,'Over Under Bill 1 COPY 到CO欄位'!$1:$1048576,'Over Under Bill 1 COPY 到CO欄位'!BS$1,0)-VLOOKUP($A44,'Over Under Bill 1 COPY 到CO欄位'!$1:$1048576,'Over Under Bill 1 COPY 到CO欄位'!BN$1,0)</f>
        <v>0</v>
      </c>
      <c r="BT44" s="158">
        <f t="shared" si="65"/>
        <v>0</v>
      </c>
      <c r="BU44" s="157">
        <f>VLOOKUP($A44,'Over Under Bill 1 COPY 到CO欄位'!$1:$1048576,'Over Under Bill 1 COPY 到CO欄位'!BP$1,0)-VLOOKUP($A44,'Over Under Bill 1 COPY 到CO欄位'!$1:$1048576,'Over Under Bill 1 COPY 到CO欄位'!H$1,0)</f>
        <v>0</v>
      </c>
      <c r="BV44" s="157">
        <f>VLOOKUP($A44,'Over Under Bill 1 COPY 到CO欄位'!$1:$1048576,'Over Under Bill 1 COPY 到CO欄位'!BQ$1,0)-VLOOKUP($A44,'Over Under Bill 1 COPY 到CO欄位'!$1:$1048576,'Over Under Bill 1 COPY 到CO欄位'!I$1,0)</f>
        <v>0</v>
      </c>
      <c r="BW44" s="157">
        <f t="shared" si="66"/>
        <v>0</v>
      </c>
      <c r="BX44" s="157">
        <f>VLOOKUP($A44,'Over Under Bill 1 COPY 到CO欄位'!$1:$1048576,'Over Under Bill 1 COPY 到CO欄位'!BS$1,0)-VLOOKUP($A44,'Over Under Bill 1 COPY 到CO欄位'!$1:$1048576,'Over Under Bill 1 COPY 到CO欄位'!K$1,0)</f>
        <v>0</v>
      </c>
      <c r="BY44" s="157">
        <f t="shared" si="67"/>
        <v>0</v>
      </c>
      <c r="BZ44" s="158">
        <f>VLOOKUP($A44,'Over Under Bill 1 COPY 到CO欄位'!$1:$1048576,'Over Under Bill 1 COPY 到CO欄位'!BU$1,0)-VLOOKUP($A44,'Over Under Bill 1 COPY 到CO欄位'!$1:$1048576,'Over Under Bill 1 COPY 到CO欄位'!BP$1,0)</f>
        <v>0</v>
      </c>
      <c r="CA44" s="158">
        <f>VLOOKUP($A44,'Over Under Bill 1 COPY 到CO欄位'!$1:$1048576,'Over Under Bill 1 COPY 到CO欄位'!BV$1,0)-VLOOKUP($A44,'Over Under Bill 1 COPY 到CO欄位'!$1:$1048576,'Over Under Bill 1 COPY 到CO欄位'!BQ$1,0)</f>
        <v>0</v>
      </c>
      <c r="CB44" s="158">
        <f t="shared" si="68"/>
        <v>0</v>
      </c>
      <c r="CC44" s="158">
        <f>VLOOKUP($A44,'Over Under Bill 1 COPY 到CO欄位'!$1:$1048576,'Over Under Bill 1 COPY 到CO欄位'!BX$1,0)-VLOOKUP($A44,'Over Under Bill 1 COPY 到CO欄位'!$1:$1048576,'Over Under Bill 1 COPY 到CO欄位'!BS$1,0)</f>
        <v>0</v>
      </c>
      <c r="CD44" s="158">
        <f t="shared" si="69"/>
        <v>0</v>
      </c>
      <c r="CE44" s="157">
        <f>VLOOKUP($A44,'Over Under Bill 1 COPY 到CO欄位'!$1:$1048576,'Over Under Bill 1 COPY 到CO欄位'!BZ$1,0)-VLOOKUP($A44,'Over Under Bill 1 COPY 到CO欄位'!$1:$1048576,'Over Under Bill 1 COPY 到CO欄位'!BU$1,0)</f>
        <v>0</v>
      </c>
      <c r="CF44" s="157">
        <f>VLOOKUP($A44,'Over Under Bill 1 COPY 到CO欄位'!$1:$1048576,'Over Under Bill 1 COPY 到CO欄位'!CA$1,0)-VLOOKUP($A44,'Over Under Bill 1 COPY 到CO欄位'!$1:$1048576,'Over Under Bill 1 COPY 到CO欄位'!BV$1,0)</f>
        <v>0</v>
      </c>
      <c r="CG44" s="157">
        <f t="shared" si="70"/>
        <v>0</v>
      </c>
      <c r="CH44" s="157">
        <f>VLOOKUP($A44,'Over Under Bill 1 COPY 到CO欄位'!$1:$1048576,'Over Under Bill 1 COPY 到CO欄位'!CC$1,0)-VLOOKUP($A44,'Over Under Bill 1 COPY 到CO欄位'!$1:$1048576,'Over Under Bill 1 COPY 到CO欄位'!BX$1,0)</f>
        <v>0</v>
      </c>
      <c r="CI44" s="157">
        <f t="shared" si="71"/>
        <v>0</v>
      </c>
      <c r="CJ44" s="158">
        <f>VLOOKUP($A44,'Over Under Bill 1 COPY 到CO欄位'!$1:$1048576,'Over Under Bill 1 COPY 到CO欄位'!CE$1,0)-VLOOKUP($A44,'Over Under Bill 1 COPY 到CO欄位'!$1:$1048576,'Over Under Bill 1 COPY 到CO欄位'!BZ$1,0)</f>
        <v>0</v>
      </c>
      <c r="CK44" s="158">
        <f>VLOOKUP($A44,'Over Under Bill 1 COPY 到CO欄位'!$1:$1048576,'Over Under Bill 1 COPY 到CO欄位'!CF$1,0)-VLOOKUP($A44,'Over Under Bill 1 COPY 到CO欄位'!$1:$1048576,'Over Under Bill 1 COPY 到CO欄位'!CA$1,0)</f>
        <v>0</v>
      </c>
      <c r="CL44" s="158">
        <f t="shared" si="72"/>
        <v>0</v>
      </c>
      <c r="CM44" s="158">
        <f>VLOOKUP($A44,'Over Under Bill 1 COPY 到CO欄位'!$1:$1048576,'Over Under Bill 1 COPY 到CO欄位'!CH$1,0)-VLOOKUP($A44,'Over Under Bill 1 COPY 到CO欄位'!$1:$1048576,'Over Under Bill 1 COPY 到CO欄位'!CC$1,0)</f>
        <v>0</v>
      </c>
      <c r="CN44" s="158">
        <f t="shared" si="73"/>
        <v>0</v>
      </c>
      <c r="CO44" s="157">
        <f>VLOOKUP($A44,'Over Under Bill 1 COPY 到CO欄位'!$1:$1048576,'Over Under Bill 1 COPY 到CO欄位'!CJ$1,0)-VLOOKUP($A44,'Over Under Bill 1 COPY 到CO欄位'!$1:$1048576,'Over Under Bill 1 COPY 到CO欄位'!CE$1,0)</f>
        <v>0</v>
      </c>
      <c r="CP44" s="157">
        <f>VLOOKUP($A44,'Over Under Bill 1 COPY 到CO欄位'!$1:$1048576,'Over Under Bill 1 COPY 到CO欄位'!CK$1,0)-VLOOKUP($A44,'Over Under Bill 1 COPY 到CO欄位'!$1:$1048576,'Over Under Bill 1 COPY 到CO欄位'!CF$1,0)</f>
        <v>0</v>
      </c>
      <c r="CQ44" s="157">
        <f t="shared" si="74"/>
        <v>0</v>
      </c>
      <c r="CR44" s="157">
        <f>VLOOKUP($A44,'Over Under Bill 1 COPY 到CO欄位'!$1:$1048576,'Over Under Bill 1 COPY 到CO欄位'!CM$1,0)-VLOOKUP($A44,'Over Under Bill 1 COPY 到CO欄位'!$1:$1048576,'Over Under Bill 1 COPY 到CO欄位'!CH$1,0)</f>
        <v>0</v>
      </c>
      <c r="CS44" s="157">
        <f t="shared" si="75"/>
        <v>0</v>
      </c>
    </row>
    <row r="45" spans="1:97">
      <c r="A45" s="171" t="s">
        <v>387</v>
      </c>
      <c r="B45" s="172" t="s">
        <v>388</v>
      </c>
      <c r="C45" s="157">
        <f>IFERROR(VLOOKUP($A45,'A0 BS 1240在建'!$1:$1048576,5,0),0)</f>
        <v>0</v>
      </c>
      <c r="D45" s="157">
        <f>IFERROR(VLOOKUP($A45,'B0 2264預收'!$1:$1048576,5,0),0)</f>
        <v>0</v>
      </c>
      <c r="E45" s="157">
        <f t="shared" si="38"/>
        <v>0</v>
      </c>
      <c r="F45" s="157">
        <f>IFERROR(VLOOKUP($A45,'B0 2264預收'!$1:$1048576,6,0),0)</f>
        <v>0</v>
      </c>
      <c r="G45" s="157">
        <f t="shared" si="39"/>
        <v>0</v>
      </c>
      <c r="H45" s="158">
        <f>IFERROR(VLOOKUP($A45,'A0 BS 1240在建'!$1:$1048576,13,0),0)-C45</f>
        <v>0</v>
      </c>
      <c r="I45" s="158">
        <f>IFERROR(VLOOKUP($A45,'B0 2264預收'!$1:$1048576,13,0),0)-D45</f>
        <v>0</v>
      </c>
      <c r="J45" s="158">
        <f t="shared" si="40"/>
        <v>0</v>
      </c>
      <c r="K45" s="158">
        <f>IFERROR(VLOOKUP($A45,'B0 2264預收'!$1:$1048576,14,0),0)-F45</f>
        <v>0</v>
      </c>
      <c r="L45" s="158">
        <f t="shared" si="41"/>
        <v>0</v>
      </c>
      <c r="M45" s="157">
        <f>VLOOKUP($A45,'Over Under Bill 1 COPY 到CO欄位'!$1:$1048576,'Over Under Bill 1 COPY 到CO欄位'!M$1,0)-VLOOKUP($A45,'Over Under Bill 1 COPY 到CO欄位'!$1:$1048576,'Over Under Bill 1 COPY 到CO欄位'!H$1,0)</f>
        <v>0</v>
      </c>
      <c r="N45" s="157">
        <f>VLOOKUP($A45,'Over Under Bill 1 COPY 到CO欄位'!$1:$1048576,'Over Under Bill 1 COPY 到CO欄位'!N$1,0)-VLOOKUP($A45,'Over Under Bill 1 COPY 到CO欄位'!$1:$1048576,'Over Under Bill 1 COPY 到CO欄位'!I$1,0)</f>
        <v>0</v>
      </c>
      <c r="O45" s="157">
        <f t="shared" si="42"/>
        <v>0</v>
      </c>
      <c r="P45" s="157">
        <f>VLOOKUP($A45,'Over Under Bill 1 COPY 到CO欄位'!$1:$1048576,'Over Under Bill 1 COPY 到CO欄位'!P$1,0)-VLOOKUP($A45,'Over Under Bill 1 COPY 到CO欄位'!$1:$1048576,'Over Under Bill 1 COPY 到CO欄位'!K$1,0)</f>
        <v>0</v>
      </c>
      <c r="Q45" s="157">
        <f t="shared" si="43"/>
        <v>0</v>
      </c>
      <c r="R45" s="158">
        <f>VLOOKUP($A45,'Over Under Bill 1 COPY 到CO欄位'!$1:$1048576,'Over Under Bill 1 COPY 到CO欄位'!R$1,0)-VLOOKUP($A45,'Over Under Bill 1 COPY 到CO欄位'!$1:$1048576,'Over Under Bill 1 COPY 到CO欄位'!M$1,0)</f>
        <v>0</v>
      </c>
      <c r="S45" s="158">
        <f>VLOOKUP($A45,'Over Under Bill 1 COPY 到CO欄位'!$1:$1048576,'Over Under Bill 1 COPY 到CO欄位'!S$1,0)-VLOOKUP($A45,'Over Under Bill 1 COPY 到CO欄位'!$1:$1048576,'Over Under Bill 1 COPY 到CO欄位'!N$1,0)</f>
        <v>0</v>
      </c>
      <c r="T45" s="158">
        <f t="shared" si="44"/>
        <v>0</v>
      </c>
      <c r="U45" s="158">
        <f>VLOOKUP($A45,'Over Under Bill 1 COPY 到CO欄位'!$1:$1048576,'Over Under Bill 1 COPY 到CO欄位'!U$1,0)-VLOOKUP($A45,'Over Under Bill 1 COPY 到CO欄位'!$1:$1048576,'Over Under Bill 1 COPY 到CO欄位'!P$1,0)</f>
        <v>0</v>
      </c>
      <c r="V45" s="158">
        <f t="shared" si="45"/>
        <v>0</v>
      </c>
      <c r="W45" s="157">
        <f>VLOOKUP($A45,'Over Under Bill 1 COPY 到CO欄位'!$1:$1048576,'Over Under Bill 1 COPY 到CO欄位'!W$1,0)-VLOOKUP($A45,'Over Under Bill 1 COPY 到CO欄位'!$1:$1048576,'Over Under Bill 1 COPY 到CO欄位'!R$1,0)</f>
        <v>0</v>
      </c>
      <c r="X45" s="157">
        <f>VLOOKUP($A45,'Over Under Bill 1 COPY 到CO欄位'!$1:$1048576,'Over Under Bill 1 COPY 到CO欄位'!X$1,0)-VLOOKUP($A45,'Over Under Bill 1 COPY 到CO欄位'!$1:$1048576,'Over Under Bill 1 COPY 到CO欄位'!S$1,0)</f>
        <v>0</v>
      </c>
      <c r="Y45" s="157">
        <f t="shared" si="46"/>
        <v>0</v>
      </c>
      <c r="Z45" s="157">
        <f>VLOOKUP($A45,'Over Under Bill 1 COPY 到CO欄位'!$1:$1048576,'Over Under Bill 1 COPY 到CO欄位'!Z$1,0)-VLOOKUP($A45,'Over Under Bill 1 COPY 到CO欄位'!$1:$1048576,'Over Under Bill 1 COPY 到CO欄位'!U$1,0)</f>
        <v>0</v>
      </c>
      <c r="AA45" s="157">
        <f t="shared" si="47"/>
        <v>0</v>
      </c>
      <c r="AB45" s="158">
        <f>VLOOKUP($A45,'Over Under Bill 1 COPY 到CO欄位'!$1:$1048576,'Over Under Bill 1 COPY 到CO欄位'!AB$1,0)-VLOOKUP($A45,'Over Under Bill 1 COPY 到CO欄位'!$1:$1048576,'Over Under Bill 1 COPY 到CO欄位'!W$1,0)</f>
        <v>0</v>
      </c>
      <c r="AC45" s="158">
        <f>VLOOKUP($A45,'Over Under Bill 1 COPY 到CO欄位'!$1:$1048576,'Over Under Bill 1 COPY 到CO欄位'!AC$1,0)-VLOOKUP($A45,'Over Under Bill 1 COPY 到CO欄位'!$1:$1048576,'Over Under Bill 1 COPY 到CO欄位'!X$1,0)</f>
        <v>0</v>
      </c>
      <c r="AD45" s="158">
        <f t="shared" si="48"/>
        <v>0</v>
      </c>
      <c r="AE45" s="158">
        <f>VLOOKUP($A45,'Over Under Bill 1 COPY 到CO欄位'!$1:$1048576,'Over Under Bill 1 COPY 到CO欄位'!AE$1,0)-VLOOKUP($A45,'Over Under Bill 1 COPY 到CO欄位'!$1:$1048576,'Over Under Bill 1 COPY 到CO欄位'!Z$1,0)</f>
        <v>0</v>
      </c>
      <c r="AF45" s="158">
        <f t="shared" si="49"/>
        <v>0</v>
      </c>
      <c r="AG45" s="157">
        <f>VLOOKUP($A45,'Over Under Bill 1 COPY 到CO欄位'!$1:$1048576,'Over Under Bill 1 COPY 到CO欄位'!AG$1,0)-VLOOKUP($A45,'Over Under Bill 1 COPY 到CO欄位'!$1:$1048576,'Over Under Bill 1 COPY 到CO欄位'!AB$1,0)</f>
        <v>0</v>
      </c>
      <c r="AH45" s="157">
        <f>VLOOKUP($A45,'Over Under Bill 1 COPY 到CO欄位'!$1:$1048576,'Over Under Bill 1 COPY 到CO欄位'!AH$1,0)-VLOOKUP($A45,'Over Under Bill 1 COPY 到CO欄位'!$1:$1048576,'Over Under Bill 1 COPY 到CO欄位'!AC$1,0)</f>
        <v>0</v>
      </c>
      <c r="AI45" s="157">
        <f t="shared" si="50"/>
        <v>0</v>
      </c>
      <c r="AJ45" s="157">
        <f>VLOOKUP($A45,'Over Under Bill 1 COPY 到CO欄位'!$1:$1048576,'Over Under Bill 1 COPY 到CO欄位'!AJ$1,0)-VLOOKUP($A45,'Over Under Bill 1 COPY 到CO欄位'!$1:$1048576,'Over Under Bill 1 COPY 到CO欄位'!AE$1,0)</f>
        <v>0</v>
      </c>
      <c r="AK45" s="157">
        <f t="shared" si="51"/>
        <v>0</v>
      </c>
      <c r="AL45" s="158">
        <f>VLOOKUP($A45,'Over Under Bill 1 COPY 到CO欄位'!$1:$1048576,'Over Under Bill 1 COPY 到CO欄位'!AL$1,0)-VLOOKUP($A45,'Over Under Bill 1 COPY 到CO欄位'!$1:$1048576,'Over Under Bill 1 COPY 到CO欄位'!AG$1,0)</f>
        <v>0</v>
      </c>
      <c r="AM45" s="158">
        <f>VLOOKUP($A45,'Over Under Bill 1 COPY 到CO欄位'!$1:$1048576,'Over Under Bill 1 COPY 到CO欄位'!AM$1,0)-VLOOKUP($A45,'Over Under Bill 1 COPY 到CO欄位'!$1:$1048576,'Over Under Bill 1 COPY 到CO欄位'!AH$1,0)</f>
        <v>0</v>
      </c>
      <c r="AN45" s="158">
        <f t="shared" si="52"/>
        <v>0</v>
      </c>
      <c r="AO45" s="158">
        <f>VLOOKUP($A45,'Over Under Bill 1 COPY 到CO欄位'!$1:$1048576,'Over Under Bill 1 COPY 到CO欄位'!AO$1,0)-VLOOKUP($A45,'Over Under Bill 1 COPY 到CO欄位'!$1:$1048576,'Over Under Bill 1 COPY 到CO欄位'!AJ$1,0)</f>
        <v>0</v>
      </c>
      <c r="AP45" s="158">
        <f t="shared" si="53"/>
        <v>0</v>
      </c>
      <c r="AQ45" s="157">
        <f>VLOOKUP($A45,'Over Under Bill 1 COPY 到CO欄位'!$1:$1048576,'Over Under Bill 1 COPY 到CO欄位'!AQ$1,0)-VLOOKUP($A45,'Over Under Bill 1 COPY 到CO欄位'!$1:$1048576,'Over Under Bill 1 COPY 到CO欄位'!AL$1,0)</f>
        <v>0</v>
      </c>
      <c r="AR45" s="157">
        <f>VLOOKUP($A45,'Over Under Bill 1 COPY 到CO欄位'!$1:$1048576,'Over Under Bill 1 COPY 到CO欄位'!AR$1,0)-VLOOKUP($A45,'Over Under Bill 1 COPY 到CO欄位'!$1:$1048576,'Over Under Bill 1 COPY 到CO欄位'!AM$1,0)</f>
        <v>0</v>
      </c>
      <c r="AS45" s="157">
        <f t="shared" si="54"/>
        <v>0</v>
      </c>
      <c r="AT45" s="157">
        <f>VLOOKUP($A45,'Over Under Bill 1 COPY 到CO欄位'!$1:$1048576,'Over Under Bill 1 COPY 到CO欄位'!AT$1,0)-VLOOKUP($A45,'Over Under Bill 1 COPY 到CO欄位'!$1:$1048576,'Over Under Bill 1 COPY 到CO欄位'!AO$1,0)</f>
        <v>0</v>
      </c>
      <c r="AU45" s="157">
        <f t="shared" si="55"/>
        <v>0</v>
      </c>
      <c r="AV45" s="158">
        <f>VLOOKUP($A45,'Over Under Bill 1 COPY 到CO欄位'!$1:$1048576,'Over Under Bill 1 COPY 到CO欄位'!AV$1,0)-VLOOKUP($A45,'Over Under Bill 1 COPY 到CO欄位'!$1:$1048576,'Over Under Bill 1 COPY 到CO欄位'!AQ$1,0)</f>
        <v>0</v>
      </c>
      <c r="AW45" s="158">
        <f>VLOOKUP($A45,'Over Under Bill 1 COPY 到CO欄位'!$1:$1048576,'Over Under Bill 1 COPY 到CO欄位'!AW$1,0)-VLOOKUP($A45,'Over Under Bill 1 COPY 到CO欄位'!$1:$1048576,'Over Under Bill 1 COPY 到CO欄位'!AR$1,0)</f>
        <v>0</v>
      </c>
      <c r="AX45" s="158">
        <f t="shared" si="56"/>
        <v>0</v>
      </c>
      <c r="AY45" s="158">
        <f>VLOOKUP($A45,'Over Under Bill 1 COPY 到CO欄位'!$1:$1048576,'Over Under Bill 1 COPY 到CO欄位'!AY$1,0)-VLOOKUP($A45,'Over Under Bill 1 COPY 到CO欄位'!$1:$1048576,'Over Under Bill 1 COPY 到CO欄位'!AT$1,0)</f>
        <v>0</v>
      </c>
      <c r="AZ45" s="158">
        <f t="shared" si="57"/>
        <v>0</v>
      </c>
      <c r="BA45" s="157">
        <f>VLOOKUP($A45,'Over Under Bill 1 COPY 到CO欄位'!$1:$1048576,'Over Under Bill 1 COPY 到CO欄位'!BA$1,0)-VLOOKUP($A45,'Over Under Bill 1 COPY 到CO欄位'!$1:$1048576,'Over Under Bill 1 COPY 到CO欄位'!AV$1,0)</f>
        <v>0</v>
      </c>
      <c r="BB45" s="157">
        <f>VLOOKUP($A45,'Over Under Bill 1 COPY 到CO欄位'!$1:$1048576,'Over Under Bill 1 COPY 到CO欄位'!BB$1,0)-VLOOKUP($A45,'Over Under Bill 1 COPY 到CO欄位'!$1:$1048576,'Over Under Bill 1 COPY 到CO欄位'!AW$1,0)</f>
        <v>0</v>
      </c>
      <c r="BC45" s="157">
        <f t="shared" si="58"/>
        <v>0</v>
      </c>
      <c r="BD45" s="157">
        <f>VLOOKUP($A45,'Over Under Bill 1 COPY 到CO欄位'!$1:$1048576,'Over Under Bill 1 COPY 到CO欄位'!BD$1,0)-VLOOKUP($A45,'Over Under Bill 1 COPY 到CO欄位'!$1:$1048576,'Over Under Bill 1 COPY 到CO欄位'!AY$1,0)</f>
        <v>0</v>
      </c>
      <c r="BE45" s="157">
        <f t="shared" si="59"/>
        <v>0</v>
      </c>
      <c r="BF45" s="158">
        <f>VLOOKUP($A45,'Over Under Bill 1 COPY 到CO欄位'!$1:$1048576,'Over Under Bill 1 COPY 到CO欄位'!BF$1,0)-VLOOKUP($A45,'Over Under Bill 1 COPY 到CO欄位'!$1:$1048576,'Over Under Bill 1 COPY 到CO欄位'!BA$1,0)</f>
        <v>0</v>
      </c>
      <c r="BG45" s="158">
        <f>VLOOKUP($A45,'Over Under Bill 1 COPY 到CO欄位'!$1:$1048576,'Over Under Bill 1 COPY 到CO欄位'!BG$1,0)-VLOOKUP($A45,'Over Under Bill 1 COPY 到CO欄位'!$1:$1048576,'Over Under Bill 1 COPY 到CO欄位'!BB$1,0)</f>
        <v>0</v>
      </c>
      <c r="BH45" s="158">
        <f t="shared" si="60"/>
        <v>0</v>
      </c>
      <c r="BI45" s="158">
        <f>VLOOKUP($A45,'Over Under Bill 1 COPY 到CO欄位'!$1:$1048576,'Over Under Bill 1 COPY 到CO欄位'!BI$1,0)-VLOOKUP($A45,'Over Under Bill 1 COPY 到CO欄位'!$1:$1048576,'Over Under Bill 1 COPY 到CO欄位'!BD$1,0)</f>
        <v>0</v>
      </c>
      <c r="BJ45" s="158">
        <f t="shared" si="61"/>
        <v>0</v>
      </c>
      <c r="BK45" s="157">
        <f>VLOOKUP($A45,'Over Under Bill 1 COPY 到CO欄位'!$1:$1048576,'Over Under Bill 1 COPY 到CO欄位'!BK$1,0)-VLOOKUP($A45,'Over Under Bill 1 COPY 到CO欄位'!$1:$1048576,'Over Under Bill 1 COPY 到CO欄位'!BF$1,0)</f>
        <v>0</v>
      </c>
      <c r="BL45" s="157">
        <f>VLOOKUP($A45,'Over Under Bill 1 COPY 到CO欄位'!$1:$1048576,'Over Under Bill 1 COPY 到CO欄位'!BL$1,0)-VLOOKUP($A45,'Over Under Bill 1 COPY 到CO欄位'!$1:$1048576,'Over Under Bill 1 COPY 到CO欄位'!BG$1,0)</f>
        <v>0</v>
      </c>
      <c r="BM45" s="157">
        <f t="shared" si="62"/>
        <v>0</v>
      </c>
      <c r="BN45" s="157">
        <f>VLOOKUP($A45,'Over Under Bill 1 COPY 到CO欄位'!$1:$1048576,'Over Under Bill 1 COPY 到CO欄位'!BN$1,0)-VLOOKUP($A45,'Over Under Bill 1 COPY 到CO欄位'!$1:$1048576,'Over Under Bill 1 COPY 到CO欄位'!BI$1,0)</f>
        <v>0</v>
      </c>
      <c r="BO45" s="157">
        <f t="shared" si="63"/>
        <v>0</v>
      </c>
      <c r="BP45" s="158">
        <f>VLOOKUP($A45,'Over Under Bill 1 COPY 到CO欄位'!$1:$1048576,'Over Under Bill 1 COPY 到CO欄位'!BP$1,0)-VLOOKUP($A45,'Over Under Bill 1 COPY 到CO欄位'!$1:$1048576,'Over Under Bill 1 COPY 到CO欄位'!BK$1,0)</f>
        <v>0</v>
      </c>
      <c r="BQ45" s="158">
        <f>VLOOKUP($A45,'Over Under Bill 1 COPY 到CO欄位'!$1:$1048576,'Over Under Bill 1 COPY 到CO欄位'!BQ$1,0)-VLOOKUP($A45,'Over Under Bill 1 COPY 到CO欄位'!$1:$1048576,'Over Under Bill 1 COPY 到CO欄位'!BL$1,0)</f>
        <v>0</v>
      </c>
      <c r="BR45" s="158">
        <f t="shared" si="64"/>
        <v>0</v>
      </c>
      <c r="BS45" s="158">
        <f>VLOOKUP($A45,'Over Under Bill 1 COPY 到CO欄位'!$1:$1048576,'Over Under Bill 1 COPY 到CO欄位'!BS$1,0)-VLOOKUP($A45,'Over Under Bill 1 COPY 到CO欄位'!$1:$1048576,'Over Under Bill 1 COPY 到CO欄位'!BN$1,0)</f>
        <v>0</v>
      </c>
      <c r="BT45" s="158">
        <f t="shared" si="65"/>
        <v>0</v>
      </c>
      <c r="BU45" s="157">
        <f>VLOOKUP($A45,'Over Under Bill 1 COPY 到CO欄位'!$1:$1048576,'Over Under Bill 1 COPY 到CO欄位'!BP$1,0)-VLOOKUP($A45,'Over Under Bill 1 COPY 到CO欄位'!$1:$1048576,'Over Under Bill 1 COPY 到CO欄位'!H$1,0)</f>
        <v>0</v>
      </c>
      <c r="BV45" s="157">
        <f>VLOOKUP($A45,'Over Under Bill 1 COPY 到CO欄位'!$1:$1048576,'Over Under Bill 1 COPY 到CO欄位'!BQ$1,0)-VLOOKUP($A45,'Over Under Bill 1 COPY 到CO欄位'!$1:$1048576,'Over Under Bill 1 COPY 到CO欄位'!I$1,0)</f>
        <v>0</v>
      </c>
      <c r="BW45" s="157">
        <f t="shared" si="66"/>
        <v>0</v>
      </c>
      <c r="BX45" s="157">
        <f>VLOOKUP($A45,'Over Under Bill 1 COPY 到CO欄位'!$1:$1048576,'Over Under Bill 1 COPY 到CO欄位'!BS$1,0)-VLOOKUP($A45,'Over Under Bill 1 COPY 到CO欄位'!$1:$1048576,'Over Under Bill 1 COPY 到CO欄位'!K$1,0)</f>
        <v>0</v>
      </c>
      <c r="BY45" s="157">
        <f t="shared" si="67"/>
        <v>0</v>
      </c>
      <c r="BZ45" s="158">
        <f>VLOOKUP($A45,'Over Under Bill 1 COPY 到CO欄位'!$1:$1048576,'Over Under Bill 1 COPY 到CO欄位'!BU$1,0)-VLOOKUP($A45,'Over Under Bill 1 COPY 到CO欄位'!$1:$1048576,'Over Under Bill 1 COPY 到CO欄位'!BP$1,0)</f>
        <v>0</v>
      </c>
      <c r="CA45" s="158">
        <f>VLOOKUP($A45,'Over Under Bill 1 COPY 到CO欄位'!$1:$1048576,'Over Under Bill 1 COPY 到CO欄位'!BV$1,0)-VLOOKUP($A45,'Over Under Bill 1 COPY 到CO欄位'!$1:$1048576,'Over Under Bill 1 COPY 到CO欄位'!BQ$1,0)</f>
        <v>0</v>
      </c>
      <c r="CB45" s="158">
        <f t="shared" si="68"/>
        <v>0</v>
      </c>
      <c r="CC45" s="158">
        <f>VLOOKUP($A45,'Over Under Bill 1 COPY 到CO欄位'!$1:$1048576,'Over Under Bill 1 COPY 到CO欄位'!BX$1,0)-VLOOKUP($A45,'Over Under Bill 1 COPY 到CO欄位'!$1:$1048576,'Over Under Bill 1 COPY 到CO欄位'!BS$1,0)</f>
        <v>0</v>
      </c>
      <c r="CD45" s="158">
        <f t="shared" si="69"/>
        <v>0</v>
      </c>
      <c r="CE45" s="157">
        <f>VLOOKUP($A45,'Over Under Bill 1 COPY 到CO欄位'!$1:$1048576,'Over Under Bill 1 COPY 到CO欄位'!BZ$1,0)-VLOOKUP($A45,'Over Under Bill 1 COPY 到CO欄位'!$1:$1048576,'Over Under Bill 1 COPY 到CO欄位'!BU$1,0)</f>
        <v>0</v>
      </c>
      <c r="CF45" s="157">
        <f>VLOOKUP($A45,'Over Under Bill 1 COPY 到CO欄位'!$1:$1048576,'Over Under Bill 1 COPY 到CO欄位'!CA$1,0)-VLOOKUP($A45,'Over Under Bill 1 COPY 到CO欄位'!$1:$1048576,'Over Under Bill 1 COPY 到CO欄位'!BV$1,0)</f>
        <v>0</v>
      </c>
      <c r="CG45" s="157">
        <f t="shared" si="70"/>
        <v>0</v>
      </c>
      <c r="CH45" s="157">
        <f>VLOOKUP($A45,'Over Under Bill 1 COPY 到CO欄位'!$1:$1048576,'Over Under Bill 1 COPY 到CO欄位'!CC$1,0)-VLOOKUP($A45,'Over Under Bill 1 COPY 到CO欄位'!$1:$1048576,'Over Under Bill 1 COPY 到CO欄位'!BX$1,0)</f>
        <v>0</v>
      </c>
      <c r="CI45" s="157">
        <f t="shared" si="71"/>
        <v>0</v>
      </c>
      <c r="CJ45" s="158">
        <f>VLOOKUP($A45,'Over Under Bill 1 COPY 到CO欄位'!$1:$1048576,'Over Under Bill 1 COPY 到CO欄位'!CE$1,0)-VLOOKUP($A45,'Over Under Bill 1 COPY 到CO欄位'!$1:$1048576,'Over Under Bill 1 COPY 到CO欄位'!BZ$1,0)</f>
        <v>0</v>
      </c>
      <c r="CK45" s="158">
        <f>VLOOKUP($A45,'Over Under Bill 1 COPY 到CO欄位'!$1:$1048576,'Over Under Bill 1 COPY 到CO欄位'!CF$1,0)-VLOOKUP($A45,'Over Under Bill 1 COPY 到CO欄位'!$1:$1048576,'Over Under Bill 1 COPY 到CO欄位'!CA$1,0)</f>
        <v>0</v>
      </c>
      <c r="CL45" s="158">
        <f t="shared" si="72"/>
        <v>0</v>
      </c>
      <c r="CM45" s="158">
        <f>VLOOKUP($A45,'Over Under Bill 1 COPY 到CO欄位'!$1:$1048576,'Over Under Bill 1 COPY 到CO欄位'!CH$1,0)-VLOOKUP($A45,'Over Under Bill 1 COPY 到CO欄位'!$1:$1048576,'Over Under Bill 1 COPY 到CO欄位'!CC$1,0)</f>
        <v>0</v>
      </c>
      <c r="CN45" s="158">
        <f t="shared" si="73"/>
        <v>0</v>
      </c>
      <c r="CO45" s="157">
        <f>VLOOKUP($A45,'Over Under Bill 1 COPY 到CO欄位'!$1:$1048576,'Over Under Bill 1 COPY 到CO欄位'!CJ$1,0)-VLOOKUP($A45,'Over Under Bill 1 COPY 到CO欄位'!$1:$1048576,'Over Under Bill 1 COPY 到CO欄位'!CE$1,0)</f>
        <v>0</v>
      </c>
      <c r="CP45" s="157">
        <f>VLOOKUP($A45,'Over Under Bill 1 COPY 到CO欄位'!$1:$1048576,'Over Under Bill 1 COPY 到CO欄位'!CK$1,0)-VLOOKUP($A45,'Over Under Bill 1 COPY 到CO欄位'!$1:$1048576,'Over Under Bill 1 COPY 到CO欄位'!CF$1,0)</f>
        <v>0</v>
      </c>
      <c r="CQ45" s="157">
        <f t="shared" si="74"/>
        <v>0</v>
      </c>
      <c r="CR45" s="157">
        <f>VLOOKUP($A45,'Over Under Bill 1 COPY 到CO欄位'!$1:$1048576,'Over Under Bill 1 COPY 到CO欄位'!CM$1,0)-VLOOKUP($A45,'Over Under Bill 1 COPY 到CO欄位'!$1:$1048576,'Over Under Bill 1 COPY 到CO欄位'!CH$1,0)</f>
        <v>0</v>
      </c>
      <c r="CS45" s="157">
        <f t="shared" si="75"/>
        <v>0</v>
      </c>
    </row>
    <row r="46" spans="1:97">
      <c r="A46" s="171" t="s">
        <v>389</v>
      </c>
      <c r="B46" s="172" t="s">
        <v>390</v>
      </c>
      <c r="C46" s="157">
        <f>IFERROR(VLOOKUP($A46,'A0 BS 1240在建'!$1:$1048576,5,0),0)</f>
        <v>0</v>
      </c>
      <c r="D46" s="157">
        <f>IFERROR(VLOOKUP($A46,'B0 2264預收'!$1:$1048576,5,0),0)</f>
        <v>0</v>
      </c>
      <c r="E46" s="157">
        <f t="shared" si="38"/>
        <v>0</v>
      </c>
      <c r="F46" s="157">
        <f>IFERROR(VLOOKUP($A46,'B0 2264預收'!$1:$1048576,6,0),0)</f>
        <v>0</v>
      </c>
      <c r="G46" s="157">
        <f t="shared" si="39"/>
        <v>0</v>
      </c>
      <c r="H46" s="158">
        <f>IFERROR(VLOOKUP($A46,'A0 BS 1240在建'!$1:$1048576,13,0),0)-C46</f>
        <v>0</v>
      </c>
      <c r="I46" s="158">
        <f>IFERROR(VLOOKUP($A46,'B0 2264預收'!$1:$1048576,13,0),0)-D46</f>
        <v>0</v>
      </c>
      <c r="J46" s="158">
        <f t="shared" si="40"/>
        <v>0</v>
      </c>
      <c r="K46" s="158">
        <f>IFERROR(VLOOKUP($A46,'B0 2264預收'!$1:$1048576,14,0),0)-F46</f>
        <v>0</v>
      </c>
      <c r="L46" s="158">
        <f t="shared" si="41"/>
        <v>0</v>
      </c>
      <c r="M46" s="157">
        <f>VLOOKUP($A46,'Over Under Bill 1 COPY 到CO欄位'!$1:$1048576,'Over Under Bill 1 COPY 到CO欄位'!M$1,0)-VLOOKUP($A46,'Over Under Bill 1 COPY 到CO欄位'!$1:$1048576,'Over Under Bill 1 COPY 到CO欄位'!H$1,0)</f>
        <v>0</v>
      </c>
      <c r="N46" s="157">
        <f>VLOOKUP($A46,'Over Under Bill 1 COPY 到CO欄位'!$1:$1048576,'Over Under Bill 1 COPY 到CO欄位'!N$1,0)-VLOOKUP($A46,'Over Under Bill 1 COPY 到CO欄位'!$1:$1048576,'Over Under Bill 1 COPY 到CO欄位'!I$1,0)</f>
        <v>0</v>
      </c>
      <c r="O46" s="157">
        <f t="shared" si="42"/>
        <v>0</v>
      </c>
      <c r="P46" s="157">
        <f>VLOOKUP($A46,'Over Under Bill 1 COPY 到CO欄位'!$1:$1048576,'Over Under Bill 1 COPY 到CO欄位'!P$1,0)-VLOOKUP($A46,'Over Under Bill 1 COPY 到CO欄位'!$1:$1048576,'Over Under Bill 1 COPY 到CO欄位'!K$1,0)</f>
        <v>0</v>
      </c>
      <c r="Q46" s="157">
        <f t="shared" si="43"/>
        <v>0</v>
      </c>
      <c r="R46" s="158">
        <f>VLOOKUP($A46,'Over Under Bill 1 COPY 到CO欄位'!$1:$1048576,'Over Under Bill 1 COPY 到CO欄位'!R$1,0)-VLOOKUP($A46,'Over Under Bill 1 COPY 到CO欄位'!$1:$1048576,'Over Under Bill 1 COPY 到CO欄位'!M$1,0)</f>
        <v>0</v>
      </c>
      <c r="S46" s="158">
        <f>VLOOKUP($A46,'Over Under Bill 1 COPY 到CO欄位'!$1:$1048576,'Over Under Bill 1 COPY 到CO欄位'!S$1,0)-VLOOKUP($A46,'Over Under Bill 1 COPY 到CO欄位'!$1:$1048576,'Over Under Bill 1 COPY 到CO欄位'!N$1,0)</f>
        <v>0</v>
      </c>
      <c r="T46" s="158">
        <f t="shared" si="44"/>
        <v>0</v>
      </c>
      <c r="U46" s="158">
        <f>VLOOKUP($A46,'Over Under Bill 1 COPY 到CO欄位'!$1:$1048576,'Over Under Bill 1 COPY 到CO欄位'!U$1,0)-VLOOKUP($A46,'Over Under Bill 1 COPY 到CO欄位'!$1:$1048576,'Over Under Bill 1 COPY 到CO欄位'!P$1,0)</f>
        <v>0</v>
      </c>
      <c r="V46" s="158">
        <f t="shared" si="45"/>
        <v>0</v>
      </c>
      <c r="W46" s="157">
        <f>VLOOKUP($A46,'Over Under Bill 1 COPY 到CO欄位'!$1:$1048576,'Over Under Bill 1 COPY 到CO欄位'!W$1,0)-VLOOKUP($A46,'Over Under Bill 1 COPY 到CO欄位'!$1:$1048576,'Over Under Bill 1 COPY 到CO欄位'!R$1,0)</f>
        <v>0</v>
      </c>
      <c r="X46" s="157">
        <f>VLOOKUP($A46,'Over Under Bill 1 COPY 到CO欄位'!$1:$1048576,'Over Under Bill 1 COPY 到CO欄位'!X$1,0)-VLOOKUP($A46,'Over Under Bill 1 COPY 到CO欄位'!$1:$1048576,'Over Under Bill 1 COPY 到CO欄位'!S$1,0)</f>
        <v>0</v>
      </c>
      <c r="Y46" s="157">
        <f t="shared" si="46"/>
        <v>0</v>
      </c>
      <c r="Z46" s="157">
        <f>VLOOKUP($A46,'Over Under Bill 1 COPY 到CO欄位'!$1:$1048576,'Over Under Bill 1 COPY 到CO欄位'!Z$1,0)-VLOOKUP($A46,'Over Under Bill 1 COPY 到CO欄位'!$1:$1048576,'Over Under Bill 1 COPY 到CO欄位'!U$1,0)</f>
        <v>0</v>
      </c>
      <c r="AA46" s="157">
        <f t="shared" si="47"/>
        <v>0</v>
      </c>
      <c r="AB46" s="158">
        <f>VLOOKUP($A46,'Over Under Bill 1 COPY 到CO欄位'!$1:$1048576,'Over Under Bill 1 COPY 到CO欄位'!AB$1,0)-VLOOKUP($A46,'Over Under Bill 1 COPY 到CO欄位'!$1:$1048576,'Over Under Bill 1 COPY 到CO欄位'!W$1,0)</f>
        <v>0</v>
      </c>
      <c r="AC46" s="158">
        <f>VLOOKUP($A46,'Over Under Bill 1 COPY 到CO欄位'!$1:$1048576,'Over Under Bill 1 COPY 到CO欄位'!AC$1,0)-VLOOKUP($A46,'Over Under Bill 1 COPY 到CO欄位'!$1:$1048576,'Over Under Bill 1 COPY 到CO欄位'!X$1,0)</f>
        <v>0</v>
      </c>
      <c r="AD46" s="158">
        <f t="shared" si="48"/>
        <v>0</v>
      </c>
      <c r="AE46" s="158">
        <f>VLOOKUP($A46,'Over Under Bill 1 COPY 到CO欄位'!$1:$1048576,'Over Under Bill 1 COPY 到CO欄位'!AE$1,0)-VLOOKUP($A46,'Over Under Bill 1 COPY 到CO欄位'!$1:$1048576,'Over Under Bill 1 COPY 到CO欄位'!Z$1,0)</f>
        <v>0</v>
      </c>
      <c r="AF46" s="158">
        <f t="shared" si="49"/>
        <v>0</v>
      </c>
      <c r="AG46" s="157">
        <f>VLOOKUP($A46,'Over Under Bill 1 COPY 到CO欄位'!$1:$1048576,'Over Under Bill 1 COPY 到CO欄位'!AG$1,0)-VLOOKUP($A46,'Over Under Bill 1 COPY 到CO欄位'!$1:$1048576,'Over Under Bill 1 COPY 到CO欄位'!AB$1,0)</f>
        <v>0</v>
      </c>
      <c r="AH46" s="157">
        <f>VLOOKUP($A46,'Over Under Bill 1 COPY 到CO欄位'!$1:$1048576,'Over Under Bill 1 COPY 到CO欄位'!AH$1,0)-VLOOKUP($A46,'Over Under Bill 1 COPY 到CO欄位'!$1:$1048576,'Over Under Bill 1 COPY 到CO欄位'!AC$1,0)</f>
        <v>0</v>
      </c>
      <c r="AI46" s="157">
        <f t="shared" si="50"/>
        <v>0</v>
      </c>
      <c r="AJ46" s="157">
        <f>VLOOKUP($A46,'Over Under Bill 1 COPY 到CO欄位'!$1:$1048576,'Over Under Bill 1 COPY 到CO欄位'!AJ$1,0)-VLOOKUP($A46,'Over Under Bill 1 COPY 到CO欄位'!$1:$1048576,'Over Under Bill 1 COPY 到CO欄位'!AE$1,0)</f>
        <v>0</v>
      </c>
      <c r="AK46" s="157">
        <f t="shared" si="51"/>
        <v>0</v>
      </c>
      <c r="AL46" s="158">
        <f>VLOOKUP($A46,'Over Under Bill 1 COPY 到CO欄位'!$1:$1048576,'Over Under Bill 1 COPY 到CO欄位'!AL$1,0)-VLOOKUP($A46,'Over Under Bill 1 COPY 到CO欄位'!$1:$1048576,'Over Under Bill 1 COPY 到CO欄位'!AG$1,0)</f>
        <v>0</v>
      </c>
      <c r="AM46" s="158">
        <f>VLOOKUP($A46,'Over Under Bill 1 COPY 到CO欄位'!$1:$1048576,'Over Under Bill 1 COPY 到CO欄位'!AM$1,0)-VLOOKUP($A46,'Over Under Bill 1 COPY 到CO欄位'!$1:$1048576,'Over Under Bill 1 COPY 到CO欄位'!AH$1,0)</f>
        <v>0</v>
      </c>
      <c r="AN46" s="158">
        <f t="shared" si="52"/>
        <v>0</v>
      </c>
      <c r="AO46" s="158">
        <f>VLOOKUP($A46,'Over Under Bill 1 COPY 到CO欄位'!$1:$1048576,'Over Under Bill 1 COPY 到CO欄位'!AO$1,0)-VLOOKUP($A46,'Over Under Bill 1 COPY 到CO欄位'!$1:$1048576,'Over Under Bill 1 COPY 到CO欄位'!AJ$1,0)</f>
        <v>0</v>
      </c>
      <c r="AP46" s="158">
        <f t="shared" si="53"/>
        <v>0</v>
      </c>
      <c r="AQ46" s="157">
        <f>VLOOKUP($A46,'Over Under Bill 1 COPY 到CO欄位'!$1:$1048576,'Over Under Bill 1 COPY 到CO欄位'!AQ$1,0)-VLOOKUP($A46,'Over Under Bill 1 COPY 到CO欄位'!$1:$1048576,'Over Under Bill 1 COPY 到CO欄位'!AL$1,0)</f>
        <v>0</v>
      </c>
      <c r="AR46" s="157">
        <f>VLOOKUP($A46,'Over Under Bill 1 COPY 到CO欄位'!$1:$1048576,'Over Under Bill 1 COPY 到CO欄位'!AR$1,0)-VLOOKUP($A46,'Over Under Bill 1 COPY 到CO欄位'!$1:$1048576,'Over Under Bill 1 COPY 到CO欄位'!AM$1,0)</f>
        <v>0</v>
      </c>
      <c r="AS46" s="157">
        <f t="shared" si="54"/>
        <v>0</v>
      </c>
      <c r="AT46" s="157">
        <f>VLOOKUP($A46,'Over Under Bill 1 COPY 到CO欄位'!$1:$1048576,'Over Under Bill 1 COPY 到CO欄位'!AT$1,0)-VLOOKUP($A46,'Over Under Bill 1 COPY 到CO欄位'!$1:$1048576,'Over Under Bill 1 COPY 到CO欄位'!AO$1,0)</f>
        <v>0</v>
      </c>
      <c r="AU46" s="157">
        <f t="shared" si="55"/>
        <v>0</v>
      </c>
      <c r="AV46" s="158">
        <f>VLOOKUP($A46,'Over Under Bill 1 COPY 到CO欄位'!$1:$1048576,'Over Under Bill 1 COPY 到CO欄位'!AV$1,0)-VLOOKUP($A46,'Over Under Bill 1 COPY 到CO欄位'!$1:$1048576,'Over Under Bill 1 COPY 到CO欄位'!AQ$1,0)</f>
        <v>0</v>
      </c>
      <c r="AW46" s="158">
        <f>VLOOKUP($A46,'Over Under Bill 1 COPY 到CO欄位'!$1:$1048576,'Over Under Bill 1 COPY 到CO欄位'!AW$1,0)-VLOOKUP($A46,'Over Under Bill 1 COPY 到CO欄位'!$1:$1048576,'Over Under Bill 1 COPY 到CO欄位'!AR$1,0)</f>
        <v>0</v>
      </c>
      <c r="AX46" s="158">
        <f t="shared" si="56"/>
        <v>0</v>
      </c>
      <c r="AY46" s="158">
        <f>VLOOKUP($A46,'Over Under Bill 1 COPY 到CO欄位'!$1:$1048576,'Over Under Bill 1 COPY 到CO欄位'!AY$1,0)-VLOOKUP($A46,'Over Under Bill 1 COPY 到CO欄位'!$1:$1048576,'Over Under Bill 1 COPY 到CO欄位'!AT$1,0)</f>
        <v>0</v>
      </c>
      <c r="AZ46" s="158">
        <f t="shared" si="57"/>
        <v>0</v>
      </c>
      <c r="BA46" s="157">
        <f>VLOOKUP($A46,'Over Under Bill 1 COPY 到CO欄位'!$1:$1048576,'Over Under Bill 1 COPY 到CO欄位'!BA$1,0)-VLOOKUP($A46,'Over Under Bill 1 COPY 到CO欄位'!$1:$1048576,'Over Under Bill 1 COPY 到CO欄位'!AV$1,0)</f>
        <v>0</v>
      </c>
      <c r="BB46" s="157">
        <f>VLOOKUP($A46,'Over Under Bill 1 COPY 到CO欄位'!$1:$1048576,'Over Under Bill 1 COPY 到CO欄位'!BB$1,0)-VLOOKUP($A46,'Over Under Bill 1 COPY 到CO欄位'!$1:$1048576,'Over Under Bill 1 COPY 到CO欄位'!AW$1,0)</f>
        <v>0</v>
      </c>
      <c r="BC46" s="157">
        <f t="shared" si="58"/>
        <v>0</v>
      </c>
      <c r="BD46" s="157">
        <f>VLOOKUP($A46,'Over Under Bill 1 COPY 到CO欄位'!$1:$1048576,'Over Under Bill 1 COPY 到CO欄位'!BD$1,0)-VLOOKUP($A46,'Over Under Bill 1 COPY 到CO欄位'!$1:$1048576,'Over Under Bill 1 COPY 到CO欄位'!AY$1,0)</f>
        <v>0</v>
      </c>
      <c r="BE46" s="157">
        <f t="shared" si="59"/>
        <v>0</v>
      </c>
      <c r="BF46" s="158">
        <f>VLOOKUP($A46,'Over Under Bill 1 COPY 到CO欄位'!$1:$1048576,'Over Under Bill 1 COPY 到CO欄位'!BF$1,0)-VLOOKUP($A46,'Over Under Bill 1 COPY 到CO欄位'!$1:$1048576,'Over Under Bill 1 COPY 到CO欄位'!BA$1,0)</f>
        <v>0</v>
      </c>
      <c r="BG46" s="158">
        <f>VLOOKUP($A46,'Over Under Bill 1 COPY 到CO欄位'!$1:$1048576,'Over Under Bill 1 COPY 到CO欄位'!BG$1,0)-VLOOKUP($A46,'Over Under Bill 1 COPY 到CO欄位'!$1:$1048576,'Over Under Bill 1 COPY 到CO欄位'!BB$1,0)</f>
        <v>0</v>
      </c>
      <c r="BH46" s="158">
        <f t="shared" si="60"/>
        <v>0</v>
      </c>
      <c r="BI46" s="158">
        <f>VLOOKUP($A46,'Over Under Bill 1 COPY 到CO欄位'!$1:$1048576,'Over Under Bill 1 COPY 到CO欄位'!BI$1,0)-VLOOKUP($A46,'Over Under Bill 1 COPY 到CO欄位'!$1:$1048576,'Over Under Bill 1 COPY 到CO欄位'!BD$1,0)</f>
        <v>0</v>
      </c>
      <c r="BJ46" s="158">
        <f t="shared" si="61"/>
        <v>0</v>
      </c>
      <c r="BK46" s="157">
        <f>VLOOKUP($A46,'Over Under Bill 1 COPY 到CO欄位'!$1:$1048576,'Over Under Bill 1 COPY 到CO欄位'!BK$1,0)-VLOOKUP($A46,'Over Under Bill 1 COPY 到CO欄位'!$1:$1048576,'Over Under Bill 1 COPY 到CO欄位'!BF$1,0)</f>
        <v>0</v>
      </c>
      <c r="BL46" s="157">
        <f>VLOOKUP($A46,'Over Under Bill 1 COPY 到CO欄位'!$1:$1048576,'Over Under Bill 1 COPY 到CO欄位'!BL$1,0)-VLOOKUP($A46,'Over Under Bill 1 COPY 到CO欄位'!$1:$1048576,'Over Under Bill 1 COPY 到CO欄位'!BG$1,0)</f>
        <v>0</v>
      </c>
      <c r="BM46" s="157">
        <f t="shared" si="62"/>
        <v>0</v>
      </c>
      <c r="BN46" s="157">
        <f>VLOOKUP($A46,'Over Under Bill 1 COPY 到CO欄位'!$1:$1048576,'Over Under Bill 1 COPY 到CO欄位'!BN$1,0)-VLOOKUP($A46,'Over Under Bill 1 COPY 到CO欄位'!$1:$1048576,'Over Under Bill 1 COPY 到CO欄位'!BI$1,0)</f>
        <v>0</v>
      </c>
      <c r="BO46" s="157">
        <f t="shared" si="63"/>
        <v>0</v>
      </c>
      <c r="BP46" s="158">
        <f>VLOOKUP($A46,'Over Under Bill 1 COPY 到CO欄位'!$1:$1048576,'Over Under Bill 1 COPY 到CO欄位'!BP$1,0)-VLOOKUP($A46,'Over Under Bill 1 COPY 到CO欄位'!$1:$1048576,'Over Under Bill 1 COPY 到CO欄位'!BK$1,0)</f>
        <v>0</v>
      </c>
      <c r="BQ46" s="158">
        <f>VLOOKUP($A46,'Over Under Bill 1 COPY 到CO欄位'!$1:$1048576,'Over Under Bill 1 COPY 到CO欄位'!BQ$1,0)-VLOOKUP($A46,'Over Under Bill 1 COPY 到CO欄位'!$1:$1048576,'Over Under Bill 1 COPY 到CO欄位'!BL$1,0)</f>
        <v>0</v>
      </c>
      <c r="BR46" s="158">
        <f t="shared" si="64"/>
        <v>0</v>
      </c>
      <c r="BS46" s="158">
        <f>VLOOKUP($A46,'Over Under Bill 1 COPY 到CO欄位'!$1:$1048576,'Over Under Bill 1 COPY 到CO欄位'!BS$1,0)-VLOOKUP($A46,'Over Under Bill 1 COPY 到CO欄位'!$1:$1048576,'Over Under Bill 1 COPY 到CO欄位'!BN$1,0)</f>
        <v>0</v>
      </c>
      <c r="BT46" s="158">
        <f t="shared" si="65"/>
        <v>0</v>
      </c>
      <c r="BU46" s="157">
        <f>VLOOKUP($A46,'Over Under Bill 1 COPY 到CO欄位'!$1:$1048576,'Over Under Bill 1 COPY 到CO欄位'!BP$1,0)-VLOOKUP($A46,'Over Under Bill 1 COPY 到CO欄位'!$1:$1048576,'Over Under Bill 1 COPY 到CO欄位'!H$1,0)</f>
        <v>0</v>
      </c>
      <c r="BV46" s="157">
        <f>VLOOKUP($A46,'Over Under Bill 1 COPY 到CO欄位'!$1:$1048576,'Over Under Bill 1 COPY 到CO欄位'!BQ$1,0)-VLOOKUP($A46,'Over Under Bill 1 COPY 到CO欄位'!$1:$1048576,'Over Under Bill 1 COPY 到CO欄位'!I$1,0)</f>
        <v>0</v>
      </c>
      <c r="BW46" s="157">
        <f t="shared" si="66"/>
        <v>0</v>
      </c>
      <c r="BX46" s="157">
        <f>VLOOKUP($A46,'Over Under Bill 1 COPY 到CO欄位'!$1:$1048576,'Over Under Bill 1 COPY 到CO欄位'!BS$1,0)-VLOOKUP($A46,'Over Under Bill 1 COPY 到CO欄位'!$1:$1048576,'Over Under Bill 1 COPY 到CO欄位'!K$1,0)</f>
        <v>0</v>
      </c>
      <c r="BY46" s="157">
        <f t="shared" si="67"/>
        <v>0</v>
      </c>
      <c r="BZ46" s="158">
        <f>VLOOKUP($A46,'Over Under Bill 1 COPY 到CO欄位'!$1:$1048576,'Over Under Bill 1 COPY 到CO欄位'!BU$1,0)-VLOOKUP($A46,'Over Under Bill 1 COPY 到CO欄位'!$1:$1048576,'Over Under Bill 1 COPY 到CO欄位'!BP$1,0)</f>
        <v>0</v>
      </c>
      <c r="CA46" s="158">
        <f>VLOOKUP($A46,'Over Under Bill 1 COPY 到CO欄位'!$1:$1048576,'Over Under Bill 1 COPY 到CO欄位'!BV$1,0)-VLOOKUP($A46,'Over Under Bill 1 COPY 到CO欄位'!$1:$1048576,'Over Under Bill 1 COPY 到CO欄位'!BQ$1,0)</f>
        <v>0</v>
      </c>
      <c r="CB46" s="158">
        <f t="shared" si="68"/>
        <v>0</v>
      </c>
      <c r="CC46" s="158">
        <f>VLOOKUP($A46,'Over Under Bill 1 COPY 到CO欄位'!$1:$1048576,'Over Under Bill 1 COPY 到CO欄位'!BX$1,0)-VLOOKUP($A46,'Over Under Bill 1 COPY 到CO欄位'!$1:$1048576,'Over Under Bill 1 COPY 到CO欄位'!BS$1,0)</f>
        <v>0</v>
      </c>
      <c r="CD46" s="158">
        <f t="shared" si="69"/>
        <v>0</v>
      </c>
      <c r="CE46" s="157">
        <f>VLOOKUP($A46,'Over Under Bill 1 COPY 到CO欄位'!$1:$1048576,'Over Under Bill 1 COPY 到CO欄位'!BZ$1,0)-VLOOKUP($A46,'Over Under Bill 1 COPY 到CO欄位'!$1:$1048576,'Over Under Bill 1 COPY 到CO欄位'!BU$1,0)</f>
        <v>0</v>
      </c>
      <c r="CF46" s="157">
        <f>VLOOKUP($A46,'Over Under Bill 1 COPY 到CO欄位'!$1:$1048576,'Over Under Bill 1 COPY 到CO欄位'!CA$1,0)-VLOOKUP($A46,'Over Under Bill 1 COPY 到CO欄位'!$1:$1048576,'Over Under Bill 1 COPY 到CO欄位'!BV$1,0)</f>
        <v>0</v>
      </c>
      <c r="CG46" s="157">
        <f t="shared" si="70"/>
        <v>0</v>
      </c>
      <c r="CH46" s="157">
        <f>VLOOKUP($A46,'Over Under Bill 1 COPY 到CO欄位'!$1:$1048576,'Over Under Bill 1 COPY 到CO欄位'!CC$1,0)-VLOOKUP($A46,'Over Under Bill 1 COPY 到CO欄位'!$1:$1048576,'Over Under Bill 1 COPY 到CO欄位'!BX$1,0)</f>
        <v>0</v>
      </c>
      <c r="CI46" s="157">
        <f t="shared" si="71"/>
        <v>0</v>
      </c>
      <c r="CJ46" s="158">
        <f>VLOOKUP($A46,'Over Under Bill 1 COPY 到CO欄位'!$1:$1048576,'Over Under Bill 1 COPY 到CO欄位'!CE$1,0)-VLOOKUP($A46,'Over Under Bill 1 COPY 到CO欄位'!$1:$1048576,'Over Under Bill 1 COPY 到CO欄位'!BZ$1,0)</f>
        <v>0</v>
      </c>
      <c r="CK46" s="158">
        <f>VLOOKUP($A46,'Over Under Bill 1 COPY 到CO欄位'!$1:$1048576,'Over Under Bill 1 COPY 到CO欄位'!CF$1,0)-VLOOKUP($A46,'Over Under Bill 1 COPY 到CO欄位'!$1:$1048576,'Over Under Bill 1 COPY 到CO欄位'!CA$1,0)</f>
        <v>0</v>
      </c>
      <c r="CL46" s="158">
        <f t="shared" si="72"/>
        <v>0</v>
      </c>
      <c r="CM46" s="158">
        <f>VLOOKUP($A46,'Over Under Bill 1 COPY 到CO欄位'!$1:$1048576,'Over Under Bill 1 COPY 到CO欄位'!CH$1,0)-VLOOKUP($A46,'Over Under Bill 1 COPY 到CO欄位'!$1:$1048576,'Over Under Bill 1 COPY 到CO欄位'!CC$1,0)</f>
        <v>0</v>
      </c>
      <c r="CN46" s="158">
        <f t="shared" si="73"/>
        <v>0</v>
      </c>
      <c r="CO46" s="157">
        <f>VLOOKUP($A46,'Over Under Bill 1 COPY 到CO欄位'!$1:$1048576,'Over Under Bill 1 COPY 到CO欄位'!CJ$1,0)-VLOOKUP($A46,'Over Under Bill 1 COPY 到CO欄位'!$1:$1048576,'Over Under Bill 1 COPY 到CO欄位'!CE$1,0)</f>
        <v>0</v>
      </c>
      <c r="CP46" s="157">
        <f>VLOOKUP($A46,'Over Under Bill 1 COPY 到CO欄位'!$1:$1048576,'Over Under Bill 1 COPY 到CO欄位'!CK$1,0)-VLOOKUP($A46,'Over Under Bill 1 COPY 到CO欄位'!$1:$1048576,'Over Under Bill 1 COPY 到CO欄位'!CF$1,0)</f>
        <v>0</v>
      </c>
      <c r="CQ46" s="157">
        <f t="shared" si="74"/>
        <v>0</v>
      </c>
      <c r="CR46" s="157">
        <f>VLOOKUP($A46,'Over Under Bill 1 COPY 到CO欄位'!$1:$1048576,'Over Under Bill 1 COPY 到CO欄位'!CM$1,0)-VLOOKUP($A46,'Over Under Bill 1 COPY 到CO欄位'!$1:$1048576,'Over Under Bill 1 COPY 到CO欄位'!CH$1,0)</f>
        <v>0</v>
      </c>
      <c r="CS46" s="157">
        <f t="shared" si="75"/>
        <v>0</v>
      </c>
    </row>
    <row r="47" spans="1:97">
      <c r="A47" s="171" t="s">
        <v>391</v>
      </c>
      <c r="B47" s="172" t="s">
        <v>392</v>
      </c>
      <c r="C47" s="157">
        <f>IFERROR(VLOOKUP($A47,'A0 BS 1240在建'!$1:$1048576,5,0),0)</f>
        <v>0</v>
      </c>
      <c r="D47" s="157">
        <f>IFERROR(VLOOKUP($A47,'B0 2264預收'!$1:$1048576,5,0),0)</f>
        <v>0</v>
      </c>
      <c r="E47" s="157">
        <f t="shared" si="38"/>
        <v>0</v>
      </c>
      <c r="F47" s="157">
        <f>IFERROR(VLOOKUP($A47,'B0 2264預收'!$1:$1048576,6,0),0)</f>
        <v>0</v>
      </c>
      <c r="G47" s="157">
        <f t="shared" si="39"/>
        <v>0</v>
      </c>
      <c r="H47" s="158">
        <f>IFERROR(VLOOKUP($A47,'A0 BS 1240在建'!$1:$1048576,13,0),0)-C47</f>
        <v>0</v>
      </c>
      <c r="I47" s="158">
        <f>IFERROR(VLOOKUP($A47,'B0 2264預收'!$1:$1048576,13,0),0)-D47</f>
        <v>0</v>
      </c>
      <c r="J47" s="158">
        <f t="shared" si="40"/>
        <v>0</v>
      </c>
      <c r="K47" s="158">
        <f>IFERROR(VLOOKUP($A47,'B0 2264預收'!$1:$1048576,14,0),0)-F47</f>
        <v>0</v>
      </c>
      <c r="L47" s="158">
        <f t="shared" si="41"/>
        <v>0</v>
      </c>
      <c r="M47" s="157">
        <f>VLOOKUP($A47,'Over Under Bill 1 COPY 到CO欄位'!$1:$1048576,'Over Under Bill 1 COPY 到CO欄位'!M$1,0)-VLOOKUP($A47,'Over Under Bill 1 COPY 到CO欄位'!$1:$1048576,'Over Under Bill 1 COPY 到CO欄位'!H$1,0)</f>
        <v>0</v>
      </c>
      <c r="N47" s="157">
        <f>VLOOKUP($A47,'Over Under Bill 1 COPY 到CO欄位'!$1:$1048576,'Over Under Bill 1 COPY 到CO欄位'!N$1,0)-VLOOKUP($A47,'Over Under Bill 1 COPY 到CO欄位'!$1:$1048576,'Over Under Bill 1 COPY 到CO欄位'!I$1,0)</f>
        <v>0</v>
      </c>
      <c r="O47" s="157">
        <f t="shared" si="42"/>
        <v>0</v>
      </c>
      <c r="P47" s="157">
        <f>VLOOKUP($A47,'Over Under Bill 1 COPY 到CO欄位'!$1:$1048576,'Over Under Bill 1 COPY 到CO欄位'!P$1,0)-VLOOKUP($A47,'Over Under Bill 1 COPY 到CO欄位'!$1:$1048576,'Over Under Bill 1 COPY 到CO欄位'!K$1,0)</f>
        <v>0</v>
      </c>
      <c r="Q47" s="157">
        <f t="shared" si="43"/>
        <v>0</v>
      </c>
      <c r="R47" s="158">
        <f>VLOOKUP($A47,'Over Under Bill 1 COPY 到CO欄位'!$1:$1048576,'Over Under Bill 1 COPY 到CO欄位'!R$1,0)-VLOOKUP($A47,'Over Under Bill 1 COPY 到CO欄位'!$1:$1048576,'Over Under Bill 1 COPY 到CO欄位'!M$1,0)</f>
        <v>0</v>
      </c>
      <c r="S47" s="158">
        <f>VLOOKUP($A47,'Over Under Bill 1 COPY 到CO欄位'!$1:$1048576,'Over Under Bill 1 COPY 到CO欄位'!S$1,0)-VLOOKUP($A47,'Over Under Bill 1 COPY 到CO欄位'!$1:$1048576,'Over Under Bill 1 COPY 到CO欄位'!N$1,0)</f>
        <v>0</v>
      </c>
      <c r="T47" s="158">
        <f t="shared" si="44"/>
        <v>0</v>
      </c>
      <c r="U47" s="158">
        <f>VLOOKUP($A47,'Over Under Bill 1 COPY 到CO欄位'!$1:$1048576,'Over Under Bill 1 COPY 到CO欄位'!U$1,0)-VLOOKUP($A47,'Over Under Bill 1 COPY 到CO欄位'!$1:$1048576,'Over Under Bill 1 COPY 到CO欄位'!P$1,0)</f>
        <v>0</v>
      </c>
      <c r="V47" s="158">
        <f t="shared" si="45"/>
        <v>0</v>
      </c>
      <c r="W47" s="157">
        <f>VLOOKUP($A47,'Over Under Bill 1 COPY 到CO欄位'!$1:$1048576,'Over Under Bill 1 COPY 到CO欄位'!W$1,0)-VLOOKUP($A47,'Over Under Bill 1 COPY 到CO欄位'!$1:$1048576,'Over Under Bill 1 COPY 到CO欄位'!R$1,0)</f>
        <v>0</v>
      </c>
      <c r="X47" s="157">
        <f>VLOOKUP($A47,'Over Under Bill 1 COPY 到CO欄位'!$1:$1048576,'Over Under Bill 1 COPY 到CO欄位'!X$1,0)-VLOOKUP($A47,'Over Under Bill 1 COPY 到CO欄位'!$1:$1048576,'Over Under Bill 1 COPY 到CO欄位'!S$1,0)</f>
        <v>0</v>
      </c>
      <c r="Y47" s="157">
        <f t="shared" si="46"/>
        <v>0</v>
      </c>
      <c r="Z47" s="157">
        <f>VLOOKUP($A47,'Over Under Bill 1 COPY 到CO欄位'!$1:$1048576,'Over Under Bill 1 COPY 到CO欄位'!Z$1,0)-VLOOKUP($A47,'Over Under Bill 1 COPY 到CO欄位'!$1:$1048576,'Over Under Bill 1 COPY 到CO欄位'!U$1,0)</f>
        <v>0</v>
      </c>
      <c r="AA47" s="157">
        <f t="shared" si="47"/>
        <v>0</v>
      </c>
      <c r="AB47" s="158">
        <f>VLOOKUP($A47,'Over Under Bill 1 COPY 到CO欄位'!$1:$1048576,'Over Under Bill 1 COPY 到CO欄位'!AB$1,0)-VLOOKUP($A47,'Over Under Bill 1 COPY 到CO欄位'!$1:$1048576,'Over Under Bill 1 COPY 到CO欄位'!W$1,0)</f>
        <v>0</v>
      </c>
      <c r="AC47" s="158">
        <f>VLOOKUP($A47,'Over Under Bill 1 COPY 到CO欄位'!$1:$1048576,'Over Under Bill 1 COPY 到CO欄位'!AC$1,0)-VLOOKUP($A47,'Over Under Bill 1 COPY 到CO欄位'!$1:$1048576,'Over Under Bill 1 COPY 到CO欄位'!X$1,0)</f>
        <v>0</v>
      </c>
      <c r="AD47" s="158">
        <f t="shared" si="48"/>
        <v>0</v>
      </c>
      <c r="AE47" s="158">
        <f>VLOOKUP($A47,'Over Under Bill 1 COPY 到CO欄位'!$1:$1048576,'Over Under Bill 1 COPY 到CO欄位'!AE$1,0)-VLOOKUP($A47,'Over Under Bill 1 COPY 到CO欄位'!$1:$1048576,'Over Under Bill 1 COPY 到CO欄位'!Z$1,0)</f>
        <v>0</v>
      </c>
      <c r="AF47" s="158">
        <f t="shared" si="49"/>
        <v>0</v>
      </c>
      <c r="AG47" s="157">
        <f>VLOOKUP($A47,'Over Under Bill 1 COPY 到CO欄位'!$1:$1048576,'Over Under Bill 1 COPY 到CO欄位'!AG$1,0)-VLOOKUP($A47,'Over Under Bill 1 COPY 到CO欄位'!$1:$1048576,'Over Under Bill 1 COPY 到CO欄位'!AB$1,0)</f>
        <v>0</v>
      </c>
      <c r="AH47" s="157">
        <f>VLOOKUP($A47,'Over Under Bill 1 COPY 到CO欄位'!$1:$1048576,'Over Under Bill 1 COPY 到CO欄位'!AH$1,0)-VLOOKUP($A47,'Over Under Bill 1 COPY 到CO欄位'!$1:$1048576,'Over Under Bill 1 COPY 到CO欄位'!AC$1,0)</f>
        <v>0</v>
      </c>
      <c r="AI47" s="157">
        <f t="shared" si="50"/>
        <v>0</v>
      </c>
      <c r="AJ47" s="157">
        <f>VLOOKUP($A47,'Over Under Bill 1 COPY 到CO欄位'!$1:$1048576,'Over Under Bill 1 COPY 到CO欄位'!AJ$1,0)-VLOOKUP($A47,'Over Under Bill 1 COPY 到CO欄位'!$1:$1048576,'Over Under Bill 1 COPY 到CO欄位'!AE$1,0)</f>
        <v>0</v>
      </c>
      <c r="AK47" s="157">
        <f t="shared" si="51"/>
        <v>0</v>
      </c>
      <c r="AL47" s="158">
        <f>VLOOKUP($A47,'Over Under Bill 1 COPY 到CO欄位'!$1:$1048576,'Over Under Bill 1 COPY 到CO欄位'!AL$1,0)-VLOOKUP($A47,'Over Under Bill 1 COPY 到CO欄位'!$1:$1048576,'Over Under Bill 1 COPY 到CO欄位'!AG$1,0)</f>
        <v>0</v>
      </c>
      <c r="AM47" s="158">
        <f>VLOOKUP($A47,'Over Under Bill 1 COPY 到CO欄位'!$1:$1048576,'Over Under Bill 1 COPY 到CO欄位'!AM$1,0)-VLOOKUP($A47,'Over Under Bill 1 COPY 到CO欄位'!$1:$1048576,'Over Under Bill 1 COPY 到CO欄位'!AH$1,0)</f>
        <v>0</v>
      </c>
      <c r="AN47" s="158">
        <f t="shared" si="52"/>
        <v>0</v>
      </c>
      <c r="AO47" s="158">
        <f>VLOOKUP($A47,'Over Under Bill 1 COPY 到CO欄位'!$1:$1048576,'Over Under Bill 1 COPY 到CO欄位'!AO$1,0)-VLOOKUP($A47,'Over Under Bill 1 COPY 到CO欄位'!$1:$1048576,'Over Under Bill 1 COPY 到CO欄位'!AJ$1,0)</f>
        <v>0</v>
      </c>
      <c r="AP47" s="158">
        <f t="shared" si="53"/>
        <v>0</v>
      </c>
      <c r="AQ47" s="157">
        <f>VLOOKUP($A47,'Over Under Bill 1 COPY 到CO欄位'!$1:$1048576,'Over Under Bill 1 COPY 到CO欄位'!AQ$1,0)-VLOOKUP($A47,'Over Under Bill 1 COPY 到CO欄位'!$1:$1048576,'Over Under Bill 1 COPY 到CO欄位'!AL$1,0)</f>
        <v>0</v>
      </c>
      <c r="AR47" s="157">
        <f>VLOOKUP($A47,'Over Under Bill 1 COPY 到CO欄位'!$1:$1048576,'Over Under Bill 1 COPY 到CO欄位'!AR$1,0)-VLOOKUP($A47,'Over Under Bill 1 COPY 到CO欄位'!$1:$1048576,'Over Under Bill 1 COPY 到CO欄位'!AM$1,0)</f>
        <v>0</v>
      </c>
      <c r="AS47" s="157">
        <f t="shared" si="54"/>
        <v>0</v>
      </c>
      <c r="AT47" s="157">
        <f>VLOOKUP($A47,'Over Under Bill 1 COPY 到CO欄位'!$1:$1048576,'Over Under Bill 1 COPY 到CO欄位'!AT$1,0)-VLOOKUP($A47,'Over Under Bill 1 COPY 到CO欄位'!$1:$1048576,'Over Under Bill 1 COPY 到CO欄位'!AO$1,0)</f>
        <v>0</v>
      </c>
      <c r="AU47" s="157">
        <f t="shared" si="55"/>
        <v>0</v>
      </c>
      <c r="AV47" s="158">
        <f>VLOOKUP($A47,'Over Under Bill 1 COPY 到CO欄位'!$1:$1048576,'Over Under Bill 1 COPY 到CO欄位'!AV$1,0)-VLOOKUP($A47,'Over Under Bill 1 COPY 到CO欄位'!$1:$1048576,'Over Under Bill 1 COPY 到CO欄位'!AQ$1,0)</f>
        <v>0</v>
      </c>
      <c r="AW47" s="158">
        <f>VLOOKUP($A47,'Over Under Bill 1 COPY 到CO欄位'!$1:$1048576,'Over Under Bill 1 COPY 到CO欄位'!AW$1,0)-VLOOKUP($A47,'Over Under Bill 1 COPY 到CO欄位'!$1:$1048576,'Over Under Bill 1 COPY 到CO欄位'!AR$1,0)</f>
        <v>0</v>
      </c>
      <c r="AX47" s="158">
        <f t="shared" si="56"/>
        <v>0</v>
      </c>
      <c r="AY47" s="158">
        <f>VLOOKUP($A47,'Over Under Bill 1 COPY 到CO欄位'!$1:$1048576,'Over Under Bill 1 COPY 到CO欄位'!AY$1,0)-VLOOKUP($A47,'Over Under Bill 1 COPY 到CO欄位'!$1:$1048576,'Over Under Bill 1 COPY 到CO欄位'!AT$1,0)</f>
        <v>0</v>
      </c>
      <c r="AZ47" s="158">
        <f t="shared" si="57"/>
        <v>0</v>
      </c>
      <c r="BA47" s="157">
        <f>VLOOKUP($A47,'Over Under Bill 1 COPY 到CO欄位'!$1:$1048576,'Over Under Bill 1 COPY 到CO欄位'!BA$1,0)-VLOOKUP($A47,'Over Under Bill 1 COPY 到CO欄位'!$1:$1048576,'Over Under Bill 1 COPY 到CO欄位'!AV$1,0)</f>
        <v>0</v>
      </c>
      <c r="BB47" s="157">
        <f>VLOOKUP($A47,'Over Under Bill 1 COPY 到CO欄位'!$1:$1048576,'Over Under Bill 1 COPY 到CO欄位'!BB$1,0)-VLOOKUP($A47,'Over Under Bill 1 COPY 到CO欄位'!$1:$1048576,'Over Under Bill 1 COPY 到CO欄位'!AW$1,0)</f>
        <v>0</v>
      </c>
      <c r="BC47" s="157">
        <f t="shared" si="58"/>
        <v>0</v>
      </c>
      <c r="BD47" s="157">
        <f>VLOOKUP($A47,'Over Under Bill 1 COPY 到CO欄位'!$1:$1048576,'Over Under Bill 1 COPY 到CO欄位'!BD$1,0)-VLOOKUP($A47,'Over Under Bill 1 COPY 到CO欄位'!$1:$1048576,'Over Under Bill 1 COPY 到CO欄位'!AY$1,0)</f>
        <v>0</v>
      </c>
      <c r="BE47" s="157">
        <f t="shared" si="59"/>
        <v>0</v>
      </c>
      <c r="BF47" s="158">
        <f>VLOOKUP($A47,'Over Under Bill 1 COPY 到CO欄位'!$1:$1048576,'Over Under Bill 1 COPY 到CO欄位'!BF$1,0)-VLOOKUP($A47,'Over Under Bill 1 COPY 到CO欄位'!$1:$1048576,'Over Under Bill 1 COPY 到CO欄位'!BA$1,0)</f>
        <v>0</v>
      </c>
      <c r="BG47" s="158">
        <f>VLOOKUP($A47,'Over Under Bill 1 COPY 到CO欄位'!$1:$1048576,'Over Under Bill 1 COPY 到CO欄位'!BG$1,0)-VLOOKUP($A47,'Over Under Bill 1 COPY 到CO欄位'!$1:$1048576,'Over Under Bill 1 COPY 到CO欄位'!BB$1,0)</f>
        <v>0</v>
      </c>
      <c r="BH47" s="158">
        <f t="shared" si="60"/>
        <v>0</v>
      </c>
      <c r="BI47" s="158">
        <f>VLOOKUP($A47,'Over Under Bill 1 COPY 到CO欄位'!$1:$1048576,'Over Under Bill 1 COPY 到CO欄位'!BI$1,0)-VLOOKUP($A47,'Over Under Bill 1 COPY 到CO欄位'!$1:$1048576,'Over Under Bill 1 COPY 到CO欄位'!BD$1,0)</f>
        <v>0</v>
      </c>
      <c r="BJ47" s="158">
        <f t="shared" si="61"/>
        <v>0</v>
      </c>
      <c r="BK47" s="157">
        <f>VLOOKUP($A47,'Over Under Bill 1 COPY 到CO欄位'!$1:$1048576,'Over Under Bill 1 COPY 到CO欄位'!BK$1,0)-VLOOKUP($A47,'Over Under Bill 1 COPY 到CO欄位'!$1:$1048576,'Over Under Bill 1 COPY 到CO欄位'!BF$1,0)</f>
        <v>0</v>
      </c>
      <c r="BL47" s="157">
        <f>VLOOKUP($A47,'Over Under Bill 1 COPY 到CO欄位'!$1:$1048576,'Over Under Bill 1 COPY 到CO欄位'!BL$1,0)-VLOOKUP($A47,'Over Under Bill 1 COPY 到CO欄位'!$1:$1048576,'Over Under Bill 1 COPY 到CO欄位'!BG$1,0)</f>
        <v>0</v>
      </c>
      <c r="BM47" s="157">
        <f t="shared" si="62"/>
        <v>0</v>
      </c>
      <c r="BN47" s="157">
        <f>VLOOKUP($A47,'Over Under Bill 1 COPY 到CO欄位'!$1:$1048576,'Over Under Bill 1 COPY 到CO欄位'!BN$1,0)-VLOOKUP($A47,'Over Under Bill 1 COPY 到CO欄位'!$1:$1048576,'Over Under Bill 1 COPY 到CO欄位'!BI$1,0)</f>
        <v>0</v>
      </c>
      <c r="BO47" s="157">
        <f t="shared" si="63"/>
        <v>0</v>
      </c>
      <c r="BP47" s="158">
        <f>VLOOKUP($A47,'Over Under Bill 1 COPY 到CO欄位'!$1:$1048576,'Over Under Bill 1 COPY 到CO欄位'!BP$1,0)-VLOOKUP($A47,'Over Under Bill 1 COPY 到CO欄位'!$1:$1048576,'Over Under Bill 1 COPY 到CO欄位'!BK$1,0)</f>
        <v>0</v>
      </c>
      <c r="BQ47" s="158">
        <f>VLOOKUP($A47,'Over Under Bill 1 COPY 到CO欄位'!$1:$1048576,'Over Under Bill 1 COPY 到CO欄位'!BQ$1,0)-VLOOKUP($A47,'Over Under Bill 1 COPY 到CO欄位'!$1:$1048576,'Over Under Bill 1 COPY 到CO欄位'!BL$1,0)</f>
        <v>0</v>
      </c>
      <c r="BR47" s="158">
        <f t="shared" si="64"/>
        <v>0</v>
      </c>
      <c r="BS47" s="158">
        <f>VLOOKUP($A47,'Over Under Bill 1 COPY 到CO欄位'!$1:$1048576,'Over Under Bill 1 COPY 到CO欄位'!BS$1,0)-VLOOKUP($A47,'Over Under Bill 1 COPY 到CO欄位'!$1:$1048576,'Over Under Bill 1 COPY 到CO欄位'!BN$1,0)</f>
        <v>0</v>
      </c>
      <c r="BT47" s="158">
        <f t="shared" si="65"/>
        <v>0</v>
      </c>
      <c r="BU47" s="157">
        <f>VLOOKUP($A47,'Over Under Bill 1 COPY 到CO欄位'!$1:$1048576,'Over Under Bill 1 COPY 到CO欄位'!BP$1,0)-VLOOKUP($A47,'Over Under Bill 1 COPY 到CO欄位'!$1:$1048576,'Over Under Bill 1 COPY 到CO欄位'!H$1,0)</f>
        <v>0</v>
      </c>
      <c r="BV47" s="157">
        <f>VLOOKUP($A47,'Over Under Bill 1 COPY 到CO欄位'!$1:$1048576,'Over Under Bill 1 COPY 到CO欄位'!BQ$1,0)-VLOOKUP($A47,'Over Under Bill 1 COPY 到CO欄位'!$1:$1048576,'Over Under Bill 1 COPY 到CO欄位'!I$1,0)</f>
        <v>0</v>
      </c>
      <c r="BW47" s="157">
        <f t="shared" si="66"/>
        <v>0</v>
      </c>
      <c r="BX47" s="157">
        <f>VLOOKUP($A47,'Over Under Bill 1 COPY 到CO欄位'!$1:$1048576,'Over Under Bill 1 COPY 到CO欄位'!BS$1,0)-VLOOKUP($A47,'Over Under Bill 1 COPY 到CO欄位'!$1:$1048576,'Over Under Bill 1 COPY 到CO欄位'!K$1,0)</f>
        <v>0</v>
      </c>
      <c r="BY47" s="157">
        <f t="shared" si="67"/>
        <v>0</v>
      </c>
      <c r="BZ47" s="158">
        <f>VLOOKUP($A47,'Over Under Bill 1 COPY 到CO欄位'!$1:$1048576,'Over Under Bill 1 COPY 到CO欄位'!BU$1,0)-VLOOKUP($A47,'Over Under Bill 1 COPY 到CO欄位'!$1:$1048576,'Over Under Bill 1 COPY 到CO欄位'!BP$1,0)</f>
        <v>0</v>
      </c>
      <c r="CA47" s="158">
        <f>VLOOKUP($A47,'Over Under Bill 1 COPY 到CO欄位'!$1:$1048576,'Over Under Bill 1 COPY 到CO欄位'!BV$1,0)-VLOOKUP($A47,'Over Under Bill 1 COPY 到CO欄位'!$1:$1048576,'Over Under Bill 1 COPY 到CO欄位'!BQ$1,0)</f>
        <v>0</v>
      </c>
      <c r="CB47" s="158">
        <f t="shared" si="68"/>
        <v>0</v>
      </c>
      <c r="CC47" s="158">
        <f>VLOOKUP($A47,'Over Under Bill 1 COPY 到CO欄位'!$1:$1048576,'Over Under Bill 1 COPY 到CO欄位'!BX$1,0)-VLOOKUP($A47,'Over Under Bill 1 COPY 到CO欄位'!$1:$1048576,'Over Under Bill 1 COPY 到CO欄位'!BS$1,0)</f>
        <v>0</v>
      </c>
      <c r="CD47" s="158">
        <f t="shared" si="69"/>
        <v>0</v>
      </c>
      <c r="CE47" s="157">
        <f>VLOOKUP($A47,'Over Under Bill 1 COPY 到CO欄位'!$1:$1048576,'Over Under Bill 1 COPY 到CO欄位'!BZ$1,0)-VLOOKUP($A47,'Over Under Bill 1 COPY 到CO欄位'!$1:$1048576,'Over Under Bill 1 COPY 到CO欄位'!BU$1,0)</f>
        <v>0</v>
      </c>
      <c r="CF47" s="157">
        <f>VLOOKUP($A47,'Over Under Bill 1 COPY 到CO欄位'!$1:$1048576,'Over Under Bill 1 COPY 到CO欄位'!CA$1,0)-VLOOKUP($A47,'Over Under Bill 1 COPY 到CO欄位'!$1:$1048576,'Over Under Bill 1 COPY 到CO欄位'!BV$1,0)</f>
        <v>0</v>
      </c>
      <c r="CG47" s="157">
        <f t="shared" si="70"/>
        <v>0</v>
      </c>
      <c r="CH47" s="157">
        <f>VLOOKUP($A47,'Over Under Bill 1 COPY 到CO欄位'!$1:$1048576,'Over Under Bill 1 COPY 到CO欄位'!CC$1,0)-VLOOKUP($A47,'Over Under Bill 1 COPY 到CO欄位'!$1:$1048576,'Over Under Bill 1 COPY 到CO欄位'!BX$1,0)</f>
        <v>0</v>
      </c>
      <c r="CI47" s="157">
        <f t="shared" si="71"/>
        <v>0</v>
      </c>
      <c r="CJ47" s="158">
        <f>VLOOKUP($A47,'Over Under Bill 1 COPY 到CO欄位'!$1:$1048576,'Over Under Bill 1 COPY 到CO欄位'!CE$1,0)-VLOOKUP($A47,'Over Under Bill 1 COPY 到CO欄位'!$1:$1048576,'Over Under Bill 1 COPY 到CO欄位'!BZ$1,0)</f>
        <v>0</v>
      </c>
      <c r="CK47" s="158">
        <f>VLOOKUP($A47,'Over Under Bill 1 COPY 到CO欄位'!$1:$1048576,'Over Under Bill 1 COPY 到CO欄位'!CF$1,0)-VLOOKUP($A47,'Over Under Bill 1 COPY 到CO欄位'!$1:$1048576,'Over Under Bill 1 COPY 到CO欄位'!CA$1,0)</f>
        <v>0</v>
      </c>
      <c r="CL47" s="158">
        <f t="shared" si="72"/>
        <v>0</v>
      </c>
      <c r="CM47" s="158">
        <f>VLOOKUP($A47,'Over Under Bill 1 COPY 到CO欄位'!$1:$1048576,'Over Under Bill 1 COPY 到CO欄位'!CH$1,0)-VLOOKUP($A47,'Over Under Bill 1 COPY 到CO欄位'!$1:$1048576,'Over Under Bill 1 COPY 到CO欄位'!CC$1,0)</f>
        <v>0</v>
      </c>
      <c r="CN47" s="158">
        <f t="shared" si="73"/>
        <v>0</v>
      </c>
      <c r="CO47" s="157">
        <f>VLOOKUP($A47,'Over Under Bill 1 COPY 到CO欄位'!$1:$1048576,'Over Under Bill 1 COPY 到CO欄位'!CJ$1,0)-VLOOKUP($A47,'Over Under Bill 1 COPY 到CO欄位'!$1:$1048576,'Over Under Bill 1 COPY 到CO欄位'!CE$1,0)</f>
        <v>0</v>
      </c>
      <c r="CP47" s="157">
        <f>VLOOKUP($A47,'Over Under Bill 1 COPY 到CO欄位'!$1:$1048576,'Over Under Bill 1 COPY 到CO欄位'!CK$1,0)-VLOOKUP($A47,'Over Under Bill 1 COPY 到CO欄位'!$1:$1048576,'Over Under Bill 1 COPY 到CO欄位'!CF$1,0)</f>
        <v>0</v>
      </c>
      <c r="CQ47" s="157">
        <f t="shared" si="74"/>
        <v>0</v>
      </c>
      <c r="CR47" s="157">
        <f>VLOOKUP($A47,'Over Under Bill 1 COPY 到CO欄位'!$1:$1048576,'Over Under Bill 1 COPY 到CO欄位'!CM$1,0)-VLOOKUP($A47,'Over Under Bill 1 COPY 到CO欄位'!$1:$1048576,'Over Under Bill 1 COPY 到CO欄位'!CH$1,0)</f>
        <v>0</v>
      </c>
      <c r="CS47" s="157">
        <f t="shared" si="75"/>
        <v>0</v>
      </c>
    </row>
    <row r="48" spans="1:97">
      <c r="A48" s="171" t="s">
        <v>393</v>
      </c>
      <c r="B48" s="172" t="s">
        <v>394</v>
      </c>
      <c r="C48" s="157">
        <f>IFERROR(VLOOKUP($A48,'A0 BS 1240在建'!$1:$1048576,5,0),0)</f>
        <v>0</v>
      </c>
      <c r="D48" s="157">
        <f>IFERROR(VLOOKUP($A48,'B0 2264預收'!$1:$1048576,5,0),0)</f>
        <v>0</v>
      </c>
      <c r="E48" s="157">
        <f t="shared" si="38"/>
        <v>0</v>
      </c>
      <c r="F48" s="157">
        <f>IFERROR(VLOOKUP($A48,'B0 2264預收'!$1:$1048576,6,0),0)</f>
        <v>0</v>
      </c>
      <c r="G48" s="157">
        <f t="shared" si="39"/>
        <v>0</v>
      </c>
      <c r="H48" s="158">
        <f>IFERROR(VLOOKUP($A48,'A0 BS 1240在建'!$1:$1048576,13,0),0)-C48</f>
        <v>0</v>
      </c>
      <c r="I48" s="158">
        <f>IFERROR(VLOOKUP($A48,'B0 2264預收'!$1:$1048576,13,0),0)-D48</f>
        <v>0</v>
      </c>
      <c r="J48" s="158">
        <f t="shared" si="40"/>
        <v>0</v>
      </c>
      <c r="K48" s="158">
        <f>IFERROR(VLOOKUP($A48,'B0 2264預收'!$1:$1048576,14,0),0)-F48</f>
        <v>0</v>
      </c>
      <c r="L48" s="158">
        <f t="shared" si="41"/>
        <v>0</v>
      </c>
      <c r="M48" s="157">
        <f>VLOOKUP($A48,'Over Under Bill 1 COPY 到CO欄位'!$1:$1048576,'Over Under Bill 1 COPY 到CO欄位'!M$1,0)-VLOOKUP($A48,'Over Under Bill 1 COPY 到CO欄位'!$1:$1048576,'Over Under Bill 1 COPY 到CO欄位'!H$1,0)</f>
        <v>0</v>
      </c>
      <c r="N48" s="157">
        <f>VLOOKUP($A48,'Over Under Bill 1 COPY 到CO欄位'!$1:$1048576,'Over Under Bill 1 COPY 到CO欄位'!N$1,0)-VLOOKUP($A48,'Over Under Bill 1 COPY 到CO欄位'!$1:$1048576,'Over Under Bill 1 COPY 到CO欄位'!I$1,0)</f>
        <v>0</v>
      </c>
      <c r="O48" s="157">
        <f t="shared" si="42"/>
        <v>0</v>
      </c>
      <c r="P48" s="157">
        <f>VLOOKUP($A48,'Over Under Bill 1 COPY 到CO欄位'!$1:$1048576,'Over Under Bill 1 COPY 到CO欄位'!P$1,0)-VLOOKUP($A48,'Over Under Bill 1 COPY 到CO欄位'!$1:$1048576,'Over Under Bill 1 COPY 到CO欄位'!K$1,0)</f>
        <v>0</v>
      </c>
      <c r="Q48" s="157">
        <f t="shared" si="43"/>
        <v>0</v>
      </c>
      <c r="R48" s="158">
        <f>VLOOKUP($A48,'Over Under Bill 1 COPY 到CO欄位'!$1:$1048576,'Over Under Bill 1 COPY 到CO欄位'!R$1,0)-VLOOKUP($A48,'Over Under Bill 1 COPY 到CO欄位'!$1:$1048576,'Over Under Bill 1 COPY 到CO欄位'!M$1,0)</f>
        <v>0</v>
      </c>
      <c r="S48" s="158">
        <f>VLOOKUP($A48,'Over Under Bill 1 COPY 到CO欄位'!$1:$1048576,'Over Under Bill 1 COPY 到CO欄位'!S$1,0)-VLOOKUP($A48,'Over Under Bill 1 COPY 到CO欄位'!$1:$1048576,'Over Under Bill 1 COPY 到CO欄位'!N$1,0)</f>
        <v>0</v>
      </c>
      <c r="T48" s="158">
        <f t="shared" si="44"/>
        <v>0</v>
      </c>
      <c r="U48" s="158">
        <f>VLOOKUP($A48,'Over Under Bill 1 COPY 到CO欄位'!$1:$1048576,'Over Under Bill 1 COPY 到CO欄位'!U$1,0)-VLOOKUP($A48,'Over Under Bill 1 COPY 到CO欄位'!$1:$1048576,'Over Under Bill 1 COPY 到CO欄位'!P$1,0)</f>
        <v>0</v>
      </c>
      <c r="V48" s="158">
        <f t="shared" si="45"/>
        <v>0</v>
      </c>
      <c r="W48" s="157">
        <f>VLOOKUP($A48,'Over Under Bill 1 COPY 到CO欄位'!$1:$1048576,'Over Under Bill 1 COPY 到CO欄位'!W$1,0)-VLOOKUP($A48,'Over Under Bill 1 COPY 到CO欄位'!$1:$1048576,'Over Under Bill 1 COPY 到CO欄位'!R$1,0)</f>
        <v>0</v>
      </c>
      <c r="X48" s="157">
        <f>VLOOKUP($A48,'Over Under Bill 1 COPY 到CO欄位'!$1:$1048576,'Over Under Bill 1 COPY 到CO欄位'!X$1,0)-VLOOKUP($A48,'Over Under Bill 1 COPY 到CO欄位'!$1:$1048576,'Over Under Bill 1 COPY 到CO欄位'!S$1,0)</f>
        <v>0</v>
      </c>
      <c r="Y48" s="157">
        <f t="shared" si="46"/>
        <v>0</v>
      </c>
      <c r="Z48" s="157">
        <f>VLOOKUP($A48,'Over Under Bill 1 COPY 到CO欄位'!$1:$1048576,'Over Under Bill 1 COPY 到CO欄位'!Z$1,0)-VLOOKUP($A48,'Over Under Bill 1 COPY 到CO欄位'!$1:$1048576,'Over Under Bill 1 COPY 到CO欄位'!U$1,0)</f>
        <v>0</v>
      </c>
      <c r="AA48" s="157">
        <f t="shared" si="47"/>
        <v>0</v>
      </c>
      <c r="AB48" s="158">
        <f>VLOOKUP($A48,'Over Under Bill 1 COPY 到CO欄位'!$1:$1048576,'Over Under Bill 1 COPY 到CO欄位'!AB$1,0)-VLOOKUP($A48,'Over Under Bill 1 COPY 到CO欄位'!$1:$1048576,'Over Under Bill 1 COPY 到CO欄位'!W$1,0)</f>
        <v>0</v>
      </c>
      <c r="AC48" s="158">
        <f>VLOOKUP($A48,'Over Under Bill 1 COPY 到CO欄位'!$1:$1048576,'Over Under Bill 1 COPY 到CO欄位'!AC$1,0)-VLOOKUP($A48,'Over Under Bill 1 COPY 到CO欄位'!$1:$1048576,'Over Under Bill 1 COPY 到CO欄位'!X$1,0)</f>
        <v>0</v>
      </c>
      <c r="AD48" s="158">
        <f t="shared" si="48"/>
        <v>0</v>
      </c>
      <c r="AE48" s="158">
        <f>VLOOKUP($A48,'Over Under Bill 1 COPY 到CO欄位'!$1:$1048576,'Over Under Bill 1 COPY 到CO欄位'!AE$1,0)-VLOOKUP($A48,'Over Under Bill 1 COPY 到CO欄位'!$1:$1048576,'Over Under Bill 1 COPY 到CO欄位'!Z$1,0)</f>
        <v>0</v>
      </c>
      <c r="AF48" s="158">
        <f t="shared" si="49"/>
        <v>0</v>
      </c>
      <c r="AG48" s="157">
        <f>VLOOKUP($A48,'Over Under Bill 1 COPY 到CO欄位'!$1:$1048576,'Over Under Bill 1 COPY 到CO欄位'!AG$1,0)-VLOOKUP($A48,'Over Under Bill 1 COPY 到CO欄位'!$1:$1048576,'Over Under Bill 1 COPY 到CO欄位'!AB$1,0)</f>
        <v>0</v>
      </c>
      <c r="AH48" s="157">
        <f>VLOOKUP($A48,'Over Under Bill 1 COPY 到CO欄位'!$1:$1048576,'Over Under Bill 1 COPY 到CO欄位'!AH$1,0)-VLOOKUP($A48,'Over Under Bill 1 COPY 到CO欄位'!$1:$1048576,'Over Under Bill 1 COPY 到CO欄位'!AC$1,0)</f>
        <v>0</v>
      </c>
      <c r="AI48" s="157">
        <f t="shared" si="50"/>
        <v>0</v>
      </c>
      <c r="AJ48" s="157">
        <f>VLOOKUP($A48,'Over Under Bill 1 COPY 到CO欄位'!$1:$1048576,'Over Under Bill 1 COPY 到CO欄位'!AJ$1,0)-VLOOKUP($A48,'Over Under Bill 1 COPY 到CO欄位'!$1:$1048576,'Over Under Bill 1 COPY 到CO欄位'!AE$1,0)</f>
        <v>0</v>
      </c>
      <c r="AK48" s="157">
        <f t="shared" si="51"/>
        <v>0</v>
      </c>
      <c r="AL48" s="158">
        <f>VLOOKUP($A48,'Over Under Bill 1 COPY 到CO欄位'!$1:$1048576,'Over Under Bill 1 COPY 到CO欄位'!AL$1,0)-VLOOKUP($A48,'Over Under Bill 1 COPY 到CO欄位'!$1:$1048576,'Over Under Bill 1 COPY 到CO欄位'!AG$1,0)</f>
        <v>0</v>
      </c>
      <c r="AM48" s="158">
        <f>VLOOKUP($A48,'Over Under Bill 1 COPY 到CO欄位'!$1:$1048576,'Over Under Bill 1 COPY 到CO欄位'!AM$1,0)-VLOOKUP($A48,'Over Under Bill 1 COPY 到CO欄位'!$1:$1048576,'Over Under Bill 1 COPY 到CO欄位'!AH$1,0)</f>
        <v>0</v>
      </c>
      <c r="AN48" s="158">
        <f t="shared" si="52"/>
        <v>0</v>
      </c>
      <c r="AO48" s="158">
        <f>VLOOKUP($A48,'Over Under Bill 1 COPY 到CO欄位'!$1:$1048576,'Over Under Bill 1 COPY 到CO欄位'!AO$1,0)-VLOOKUP($A48,'Over Under Bill 1 COPY 到CO欄位'!$1:$1048576,'Over Under Bill 1 COPY 到CO欄位'!AJ$1,0)</f>
        <v>0</v>
      </c>
      <c r="AP48" s="158">
        <f t="shared" si="53"/>
        <v>0</v>
      </c>
      <c r="AQ48" s="157">
        <f>VLOOKUP($A48,'Over Under Bill 1 COPY 到CO欄位'!$1:$1048576,'Over Under Bill 1 COPY 到CO欄位'!AQ$1,0)-VLOOKUP($A48,'Over Under Bill 1 COPY 到CO欄位'!$1:$1048576,'Over Under Bill 1 COPY 到CO欄位'!AL$1,0)</f>
        <v>0</v>
      </c>
      <c r="AR48" s="157">
        <f>VLOOKUP($A48,'Over Under Bill 1 COPY 到CO欄位'!$1:$1048576,'Over Under Bill 1 COPY 到CO欄位'!AR$1,0)-VLOOKUP($A48,'Over Under Bill 1 COPY 到CO欄位'!$1:$1048576,'Over Under Bill 1 COPY 到CO欄位'!AM$1,0)</f>
        <v>0</v>
      </c>
      <c r="AS48" s="157">
        <f t="shared" si="54"/>
        <v>0</v>
      </c>
      <c r="AT48" s="157">
        <f>VLOOKUP($A48,'Over Under Bill 1 COPY 到CO欄位'!$1:$1048576,'Over Under Bill 1 COPY 到CO欄位'!AT$1,0)-VLOOKUP($A48,'Over Under Bill 1 COPY 到CO欄位'!$1:$1048576,'Over Under Bill 1 COPY 到CO欄位'!AO$1,0)</f>
        <v>0</v>
      </c>
      <c r="AU48" s="157">
        <f t="shared" si="55"/>
        <v>0</v>
      </c>
      <c r="AV48" s="158">
        <f>VLOOKUP($A48,'Over Under Bill 1 COPY 到CO欄位'!$1:$1048576,'Over Under Bill 1 COPY 到CO欄位'!AV$1,0)-VLOOKUP($A48,'Over Under Bill 1 COPY 到CO欄位'!$1:$1048576,'Over Under Bill 1 COPY 到CO欄位'!AQ$1,0)</f>
        <v>0</v>
      </c>
      <c r="AW48" s="158">
        <f>VLOOKUP($A48,'Over Under Bill 1 COPY 到CO欄位'!$1:$1048576,'Over Under Bill 1 COPY 到CO欄位'!AW$1,0)-VLOOKUP($A48,'Over Under Bill 1 COPY 到CO欄位'!$1:$1048576,'Over Under Bill 1 COPY 到CO欄位'!AR$1,0)</f>
        <v>0</v>
      </c>
      <c r="AX48" s="158">
        <f t="shared" si="56"/>
        <v>0</v>
      </c>
      <c r="AY48" s="158">
        <f>VLOOKUP($A48,'Over Under Bill 1 COPY 到CO欄位'!$1:$1048576,'Over Under Bill 1 COPY 到CO欄位'!AY$1,0)-VLOOKUP($A48,'Over Under Bill 1 COPY 到CO欄位'!$1:$1048576,'Over Under Bill 1 COPY 到CO欄位'!AT$1,0)</f>
        <v>0</v>
      </c>
      <c r="AZ48" s="158">
        <f t="shared" si="57"/>
        <v>0</v>
      </c>
      <c r="BA48" s="157">
        <f>VLOOKUP($A48,'Over Under Bill 1 COPY 到CO欄位'!$1:$1048576,'Over Under Bill 1 COPY 到CO欄位'!BA$1,0)-VLOOKUP($A48,'Over Under Bill 1 COPY 到CO欄位'!$1:$1048576,'Over Under Bill 1 COPY 到CO欄位'!AV$1,0)</f>
        <v>0</v>
      </c>
      <c r="BB48" s="157">
        <f>VLOOKUP($A48,'Over Under Bill 1 COPY 到CO欄位'!$1:$1048576,'Over Under Bill 1 COPY 到CO欄位'!BB$1,0)-VLOOKUP($A48,'Over Under Bill 1 COPY 到CO欄位'!$1:$1048576,'Over Under Bill 1 COPY 到CO欄位'!AW$1,0)</f>
        <v>0</v>
      </c>
      <c r="BC48" s="157">
        <f t="shared" si="58"/>
        <v>0</v>
      </c>
      <c r="BD48" s="157">
        <f>VLOOKUP($A48,'Over Under Bill 1 COPY 到CO欄位'!$1:$1048576,'Over Under Bill 1 COPY 到CO欄位'!BD$1,0)-VLOOKUP($A48,'Over Under Bill 1 COPY 到CO欄位'!$1:$1048576,'Over Under Bill 1 COPY 到CO欄位'!AY$1,0)</f>
        <v>0</v>
      </c>
      <c r="BE48" s="157">
        <f t="shared" si="59"/>
        <v>0</v>
      </c>
      <c r="BF48" s="158">
        <f>VLOOKUP($A48,'Over Under Bill 1 COPY 到CO欄位'!$1:$1048576,'Over Under Bill 1 COPY 到CO欄位'!BF$1,0)-VLOOKUP($A48,'Over Under Bill 1 COPY 到CO欄位'!$1:$1048576,'Over Under Bill 1 COPY 到CO欄位'!BA$1,0)</f>
        <v>0</v>
      </c>
      <c r="BG48" s="158">
        <f>VLOOKUP($A48,'Over Under Bill 1 COPY 到CO欄位'!$1:$1048576,'Over Under Bill 1 COPY 到CO欄位'!BG$1,0)-VLOOKUP($A48,'Over Under Bill 1 COPY 到CO欄位'!$1:$1048576,'Over Under Bill 1 COPY 到CO欄位'!BB$1,0)</f>
        <v>0</v>
      </c>
      <c r="BH48" s="158">
        <f t="shared" si="60"/>
        <v>0</v>
      </c>
      <c r="BI48" s="158">
        <f>VLOOKUP($A48,'Over Under Bill 1 COPY 到CO欄位'!$1:$1048576,'Over Under Bill 1 COPY 到CO欄位'!BI$1,0)-VLOOKUP($A48,'Over Under Bill 1 COPY 到CO欄位'!$1:$1048576,'Over Under Bill 1 COPY 到CO欄位'!BD$1,0)</f>
        <v>0</v>
      </c>
      <c r="BJ48" s="158">
        <f t="shared" si="61"/>
        <v>0</v>
      </c>
      <c r="BK48" s="157">
        <f>VLOOKUP($A48,'Over Under Bill 1 COPY 到CO欄位'!$1:$1048576,'Over Under Bill 1 COPY 到CO欄位'!BK$1,0)-VLOOKUP($A48,'Over Under Bill 1 COPY 到CO欄位'!$1:$1048576,'Over Under Bill 1 COPY 到CO欄位'!BF$1,0)</f>
        <v>0</v>
      </c>
      <c r="BL48" s="157">
        <f>VLOOKUP($A48,'Over Under Bill 1 COPY 到CO欄位'!$1:$1048576,'Over Under Bill 1 COPY 到CO欄位'!BL$1,0)-VLOOKUP($A48,'Over Under Bill 1 COPY 到CO欄位'!$1:$1048576,'Over Under Bill 1 COPY 到CO欄位'!BG$1,0)</f>
        <v>0</v>
      </c>
      <c r="BM48" s="157">
        <f t="shared" si="62"/>
        <v>0</v>
      </c>
      <c r="BN48" s="157">
        <f>VLOOKUP($A48,'Over Under Bill 1 COPY 到CO欄位'!$1:$1048576,'Over Under Bill 1 COPY 到CO欄位'!BN$1,0)-VLOOKUP($A48,'Over Under Bill 1 COPY 到CO欄位'!$1:$1048576,'Over Under Bill 1 COPY 到CO欄位'!BI$1,0)</f>
        <v>0</v>
      </c>
      <c r="BO48" s="157">
        <f t="shared" si="63"/>
        <v>0</v>
      </c>
      <c r="BP48" s="158">
        <f>VLOOKUP($A48,'Over Under Bill 1 COPY 到CO欄位'!$1:$1048576,'Over Under Bill 1 COPY 到CO欄位'!BP$1,0)-VLOOKUP($A48,'Over Under Bill 1 COPY 到CO欄位'!$1:$1048576,'Over Under Bill 1 COPY 到CO欄位'!BK$1,0)</f>
        <v>0</v>
      </c>
      <c r="BQ48" s="158">
        <f>VLOOKUP($A48,'Over Under Bill 1 COPY 到CO欄位'!$1:$1048576,'Over Under Bill 1 COPY 到CO欄位'!BQ$1,0)-VLOOKUP($A48,'Over Under Bill 1 COPY 到CO欄位'!$1:$1048576,'Over Under Bill 1 COPY 到CO欄位'!BL$1,0)</f>
        <v>0</v>
      </c>
      <c r="BR48" s="158">
        <f t="shared" si="64"/>
        <v>0</v>
      </c>
      <c r="BS48" s="158">
        <f>VLOOKUP($A48,'Over Under Bill 1 COPY 到CO欄位'!$1:$1048576,'Over Under Bill 1 COPY 到CO欄位'!BS$1,0)-VLOOKUP($A48,'Over Under Bill 1 COPY 到CO欄位'!$1:$1048576,'Over Under Bill 1 COPY 到CO欄位'!BN$1,0)</f>
        <v>0</v>
      </c>
      <c r="BT48" s="158">
        <f t="shared" si="65"/>
        <v>0</v>
      </c>
      <c r="BU48" s="157">
        <f>VLOOKUP($A48,'Over Under Bill 1 COPY 到CO欄位'!$1:$1048576,'Over Under Bill 1 COPY 到CO欄位'!BP$1,0)-VLOOKUP($A48,'Over Under Bill 1 COPY 到CO欄位'!$1:$1048576,'Over Under Bill 1 COPY 到CO欄位'!H$1,0)</f>
        <v>0</v>
      </c>
      <c r="BV48" s="157">
        <f>VLOOKUP($A48,'Over Under Bill 1 COPY 到CO欄位'!$1:$1048576,'Over Under Bill 1 COPY 到CO欄位'!BQ$1,0)-VLOOKUP($A48,'Over Under Bill 1 COPY 到CO欄位'!$1:$1048576,'Over Under Bill 1 COPY 到CO欄位'!I$1,0)</f>
        <v>0</v>
      </c>
      <c r="BW48" s="157">
        <f t="shared" si="66"/>
        <v>0</v>
      </c>
      <c r="BX48" s="157">
        <f>VLOOKUP($A48,'Over Under Bill 1 COPY 到CO欄位'!$1:$1048576,'Over Under Bill 1 COPY 到CO欄位'!BS$1,0)-VLOOKUP($A48,'Over Under Bill 1 COPY 到CO欄位'!$1:$1048576,'Over Under Bill 1 COPY 到CO欄位'!K$1,0)</f>
        <v>0</v>
      </c>
      <c r="BY48" s="157">
        <f t="shared" si="67"/>
        <v>0</v>
      </c>
      <c r="BZ48" s="158">
        <f>VLOOKUP($A48,'Over Under Bill 1 COPY 到CO欄位'!$1:$1048576,'Over Under Bill 1 COPY 到CO欄位'!BU$1,0)-VLOOKUP($A48,'Over Under Bill 1 COPY 到CO欄位'!$1:$1048576,'Over Under Bill 1 COPY 到CO欄位'!BP$1,0)</f>
        <v>0</v>
      </c>
      <c r="CA48" s="158">
        <f>VLOOKUP($A48,'Over Under Bill 1 COPY 到CO欄位'!$1:$1048576,'Over Under Bill 1 COPY 到CO欄位'!BV$1,0)-VLOOKUP($A48,'Over Under Bill 1 COPY 到CO欄位'!$1:$1048576,'Over Under Bill 1 COPY 到CO欄位'!BQ$1,0)</f>
        <v>0</v>
      </c>
      <c r="CB48" s="158">
        <f t="shared" si="68"/>
        <v>0</v>
      </c>
      <c r="CC48" s="158">
        <f>VLOOKUP($A48,'Over Under Bill 1 COPY 到CO欄位'!$1:$1048576,'Over Under Bill 1 COPY 到CO欄位'!BX$1,0)-VLOOKUP($A48,'Over Under Bill 1 COPY 到CO欄位'!$1:$1048576,'Over Under Bill 1 COPY 到CO欄位'!BS$1,0)</f>
        <v>0</v>
      </c>
      <c r="CD48" s="158">
        <f t="shared" si="69"/>
        <v>0</v>
      </c>
      <c r="CE48" s="157">
        <f>VLOOKUP($A48,'Over Under Bill 1 COPY 到CO欄位'!$1:$1048576,'Over Under Bill 1 COPY 到CO欄位'!BZ$1,0)-VLOOKUP($A48,'Over Under Bill 1 COPY 到CO欄位'!$1:$1048576,'Over Under Bill 1 COPY 到CO欄位'!BU$1,0)</f>
        <v>0</v>
      </c>
      <c r="CF48" s="157">
        <f>VLOOKUP($A48,'Over Under Bill 1 COPY 到CO欄位'!$1:$1048576,'Over Under Bill 1 COPY 到CO欄位'!CA$1,0)-VLOOKUP($A48,'Over Under Bill 1 COPY 到CO欄位'!$1:$1048576,'Over Under Bill 1 COPY 到CO欄位'!BV$1,0)</f>
        <v>0</v>
      </c>
      <c r="CG48" s="157">
        <f t="shared" si="70"/>
        <v>0</v>
      </c>
      <c r="CH48" s="157">
        <f>VLOOKUP($A48,'Over Under Bill 1 COPY 到CO欄位'!$1:$1048576,'Over Under Bill 1 COPY 到CO欄位'!CC$1,0)-VLOOKUP($A48,'Over Under Bill 1 COPY 到CO欄位'!$1:$1048576,'Over Under Bill 1 COPY 到CO欄位'!BX$1,0)</f>
        <v>0</v>
      </c>
      <c r="CI48" s="157">
        <f t="shared" si="71"/>
        <v>0</v>
      </c>
      <c r="CJ48" s="158">
        <f>VLOOKUP($A48,'Over Under Bill 1 COPY 到CO欄位'!$1:$1048576,'Over Under Bill 1 COPY 到CO欄位'!CE$1,0)-VLOOKUP($A48,'Over Under Bill 1 COPY 到CO欄位'!$1:$1048576,'Over Under Bill 1 COPY 到CO欄位'!BZ$1,0)</f>
        <v>0</v>
      </c>
      <c r="CK48" s="158">
        <f>VLOOKUP($A48,'Over Under Bill 1 COPY 到CO欄位'!$1:$1048576,'Over Under Bill 1 COPY 到CO欄位'!CF$1,0)-VLOOKUP($A48,'Over Under Bill 1 COPY 到CO欄位'!$1:$1048576,'Over Under Bill 1 COPY 到CO欄位'!CA$1,0)</f>
        <v>0</v>
      </c>
      <c r="CL48" s="158">
        <f t="shared" si="72"/>
        <v>0</v>
      </c>
      <c r="CM48" s="158">
        <f>VLOOKUP($A48,'Over Under Bill 1 COPY 到CO欄位'!$1:$1048576,'Over Under Bill 1 COPY 到CO欄位'!CH$1,0)-VLOOKUP($A48,'Over Under Bill 1 COPY 到CO欄位'!$1:$1048576,'Over Under Bill 1 COPY 到CO欄位'!CC$1,0)</f>
        <v>0</v>
      </c>
      <c r="CN48" s="158">
        <f t="shared" si="73"/>
        <v>0</v>
      </c>
      <c r="CO48" s="157">
        <f>VLOOKUP($A48,'Over Under Bill 1 COPY 到CO欄位'!$1:$1048576,'Over Under Bill 1 COPY 到CO欄位'!CJ$1,0)-VLOOKUP($A48,'Over Under Bill 1 COPY 到CO欄位'!$1:$1048576,'Over Under Bill 1 COPY 到CO欄位'!CE$1,0)</f>
        <v>0</v>
      </c>
      <c r="CP48" s="157">
        <f>VLOOKUP($A48,'Over Under Bill 1 COPY 到CO欄位'!$1:$1048576,'Over Under Bill 1 COPY 到CO欄位'!CK$1,0)-VLOOKUP($A48,'Over Under Bill 1 COPY 到CO欄位'!$1:$1048576,'Over Under Bill 1 COPY 到CO欄位'!CF$1,0)</f>
        <v>0</v>
      </c>
      <c r="CQ48" s="157">
        <f t="shared" si="74"/>
        <v>0</v>
      </c>
      <c r="CR48" s="157">
        <f>VLOOKUP($A48,'Over Under Bill 1 COPY 到CO欄位'!$1:$1048576,'Over Under Bill 1 COPY 到CO欄位'!CM$1,0)-VLOOKUP($A48,'Over Under Bill 1 COPY 到CO欄位'!$1:$1048576,'Over Under Bill 1 COPY 到CO欄位'!CH$1,0)</f>
        <v>0</v>
      </c>
      <c r="CS48" s="157">
        <f t="shared" si="75"/>
        <v>0</v>
      </c>
    </row>
    <row r="49" spans="1:97">
      <c r="A49" s="171" t="s">
        <v>395</v>
      </c>
      <c r="B49" s="172" t="s">
        <v>396</v>
      </c>
      <c r="C49" s="157">
        <f>IFERROR(VLOOKUP($A49,'A0 BS 1240在建'!$1:$1048576,5,0),0)</f>
        <v>0</v>
      </c>
      <c r="D49" s="157">
        <f>IFERROR(VLOOKUP($A49,'B0 2264預收'!$1:$1048576,5,0),0)</f>
        <v>0</v>
      </c>
      <c r="E49" s="157">
        <f t="shared" si="38"/>
        <v>0</v>
      </c>
      <c r="F49" s="157">
        <f>IFERROR(VLOOKUP($A49,'B0 2264預收'!$1:$1048576,6,0),0)</f>
        <v>0</v>
      </c>
      <c r="G49" s="157">
        <f t="shared" si="39"/>
        <v>0</v>
      </c>
      <c r="H49" s="158">
        <f>IFERROR(VLOOKUP($A49,'A0 BS 1240在建'!$1:$1048576,13,0),0)-C49</f>
        <v>0</v>
      </c>
      <c r="I49" s="158">
        <f>IFERROR(VLOOKUP($A49,'B0 2264預收'!$1:$1048576,13,0),0)-D49</f>
        <v>0</v>
      </c>
      <c r="J49" s="158">
        <f t="shared" si="40"/>
        <v>0</v>
      </c>
      <c r="K49" s="158">
        <f>IFERROR(VLOOKUP($A49,'B0 2264預收'!$1:$1048576,14,0),0)-F49</f>
        <v>0</v>
      </c>
      <c r="L49" s="158">
        <f t="shared" si="41"/>
        <v>0</v>
      </c>
      <c r="M49" s="157">
        <f>VLOOKUP($A49,'Over Under Bill 1 COPY 到CO欄位'!$1:$1048576,'Over Under Bill 1 COPY 到CO欄位'!M$1,0)-VLOOKUP($A49,'Over Under Bill 1 COPY 到CO欄位'!$1:$1048576,'Over Under Bill 1 COPY 到CO欄位'!H$1,0)</f>
        <v>0</v>
      </c>
      <c r="N49" s="157">
        <f>VLOOKUP($A49,'Over Under Bill 1 COPY 到CO欄位'!$1:$1048576,'Over Under Bill 1 COPY 到CO欄位'!N$1,0)-VLOOKUP($A49,'Over Under Bill 1 COPY 到CO欄位'!$1:$1048576,'Over Under Bill 1 COPY 到CO欄位'!I$1,0)</f>
        <v>0</v>
      </c>
      <c r="O49" s="157">
        <f t="shared" si="42"/>
        <v>0</v>
      </c>
      <c r="P49" s="157">
        <f>VLOOKUP($A49,'Over Under Bill 1 COPY 到CO欄位'!$1:$1048576,'Over Under Bill 1 COPY 到CO欄位'!P$1,0)-VLOOKUP($A49,'Over Under Bill 1 COPY 到CO欄位'!$1:$1048576,'Over Under Bill 1 COPY 到CO欄位'!K$1,0)</f>
        <v>0</v>
      </c>
      <c r="Q49" s="157">
        <f t="shared" si="43"/>
        <v>0</v>
      </c>
      <c r="R49" s="158">
        <f>VLOOKUP($A49,'Over Under Bill 1 COPY 到CO欄位'!$1:$1048576,'Over Under Bill 1 COPY 到CO欄位'!R$1,0)-VLOOKUP($A49,'Over Under Bill 1 COPY 到CO欄位'!$1:$1048576,'Over Under Bill 1 COPY 到CO欄位'!M$1,0)</f>
        <v>0</v>
      </c>
      <c r="S49" s="158">
        <f>VLOOKUP($A49,'Over Under Bill 1 COPY 到CO欄位'!$1:$1048576,'Over Under Bill 1 COPY 到CO欄位'!S$1,0)-VLOOKUP($A49,'Over Under Bill 1 COPY 到CO欄位'!$1:$1048576,'Over Under Bill 1 COPY 到CO欄位'!N$1,0)</f>
        <v>0</v>
      </c>
      <c r="T49" s="158">
        <f t="shared" si="44"/>
        <v>0</v>
      </c>
      <c r="U49" s="158">
        <f>VLOOKUP($A49,'Over Under Bill 1 COPY 到CO欄位'!$1:$1048576,'Over Under Bill 1 COPY 到CO欄位'!U$1,0)-VLOOKUP($A49,'Over Under Bill 1 COPY 到CO欄位'!$1:$1048576,'Over Under Bill 1 COPY 到CO欄位'!P$1,0)</f>
        <v>0</v>
      </c>
      <c r="V49" s="158">
        <f t="shared" si="45"/>
        <v>0</v>
      </c>
      <c r="W49" s="157">
        <f>VLOOKUP($A49,'Over Under Bill 1 COPY 到CO欄位'!$1:$1048576,'Over Under Bill 1 COPY 到CO欄位'!W$1,0)-VLOOKUP($A49,'Over Under Bill 1 COPY 到CO欄位'!$1:$1048576,'Over Under Bill 1 COPY 到CO欄位'!R$1,0)</f>
        <v>0</v>
      </c>
      <c r="X49" s="157">
        <f>VLOOKUP($A49,'Over Under Bill 1 COPY 到CO欄位'!$1:$1048576,'Over Under Bill 1 COPY 到CO欄位'!X$1,0)-VLOOKUP($A49,'Over Under Bill 1 COPY 到CO欄位'!$1:$1048576,'Over Under Bill 1 COPY 到CO欄位'!S$1,0)</f>
        <v>0</v>
      </c>
      <c r="Y49" s="157">
        <f t="shared" si="46"/>
        <v>0</v>
      </c>
      <c r="Z49" s="157">
        <f>VLOOKUP($A49,'Over Under Bill 1 COPY 到CO欄位'!$1:$1048576,'Over Under Bill 1 COPY 到CO欄位'!Z$1,0)-VLOOKUP($A49,'Over Under Bill 1 COPY 到CO欄位'!$1:$1048576,'Over Under Bill 1 COPY 到CO欄位'!U$1,0)</f>
        <v>0</v>
      </c>
      <c r="AA49" s="157">
        <f t="shared" si="47"/>
        <v>0</v>
      </c>
      <c r="AB49" s="158">
        <f>VLOOKUP($A49,'Over Under Bill 1 COPY 到CO欄位'!$1:$1048576,'Over Under Bill 1 COPY 到CO欄位'!AB$1,0)-VLOOKUP($A49,'Over Under Bill 1 COPY 到CO欄位'!$1:$1048576,'Over Under Bill 1 COPY 到CO欄位'!W$1,0)</f>
        <v>0</v>
      </c>
      <c r="AC49" s="158">
        <f>VLOOKUP($A49,'Over Under Bill 1 COPY 到CO欄位'!$1:$1048576,'Over Under Bill 1 COPY 到CO欄位'!AC$1,0)-VLOOKUP($A49,'Over Under Bill 1 COPY 到CO欄位'!$1:$1048576,'Over Under Bill 1 COPY 到CO欄位'!X$1,0)</f>
        <v>0</v>
      </c>
      <c r="AD49" s="158">
        <f t="shared" si="48"/>
        <v>0</v>
      </c>
      <c r="AE49" s="158">
        <f>VLOOKUP($A49,'Over Under Bill 1 COPY 到CO欄位'!$1:$1048576,'Over Under Bill 1 COPY 到CO欄位'!AE$1,0)-VLOOKUP($A49,'Over Under Bill 1 COPY 到CO欄位'!$1:$1048576,'Over Under Bill 1 COPY 到CO欄位'!Z$1,0)</f>
        <v>0</v>
      </c>
      <c r="AF49" s="158">
        <f t="shared" si="49"/>
        <v>0</v>
      </c>
      <c r="AG49" s="157">
        <f>VLOOKUP($A49,'Over Under Bill 1 COPY 到CO欄位'!$1:$1048576,'Over Under Bill 1 COPY 到CO欄位'!AG$1,0)-VLOOKUP($A49,'Over Under Bill 1 COPY 到CO欄位'!$1:$1048576,'Over Under Bill 1 COPY 到CO欄位'!AB$1,0)</f>
        <v>0</v>
      </c>
      <c r="AH49" s="157">
        <f>VLOOKUP($A49,'Over Under Bill 1 COPY 到CO欄位'!$1:$1048576,'Over Under Bill 1 COPY 到CO欄位'!AH$1,0)-VLOOKUP($A49,'Over Under Bill 1 COPY 到CO欄位'!$1:$1048576,'Over Under Bill 1 COPY 到CO欄位'!AC$1,0)</f>
        <v>0</v>
      </c>
      <c r="AI49" s="157">
        <f t="shared" si="50"/>
        <v>0</v>
      </c>
      <c r="AJ49" s="157">
        <f>VLOOKUP($A49,'Over Under Bill 1 COPY 到CO欄位'!$1:$1048576,'Over Under Bill 1 COPY 到CO欄位'!AJ$1,0)-VLOOKUP($A49,'Over Under Bill 1 COPY 到CO欄位'!$1:$1048576,'Over Under Bill 1 COPY 到CO欄位'!AE$1,0)</f>
        <v>0</v>
      </c>
      <c r="AK49" s="157">
        <f t="shared" si="51"/>
        <v>0</v>
      </c>
      <c r="AL49" s="158">
        <f>VLOOKUP($A49,'Over Under Bill 1 COPY 到CO欄位'!$1:$1048576,'Over Under Bill 1 COPY 到CO欄位'!AL$1,0)-VLOOKUP($A49,'Over Under Bill 1 COPY 到CO欄位'!$1:$1048576,'Over Under Bill 1 COPY 到CO欄位'!AG$1,0)</f>
        <v>0</v>
      </c>
      <c r="AM49" s="158">
        <f>VLOOKUP($A49,'Over Under Bill 1 COPY 到CO欄位'!$1:$1048576,'Over Under Bill 1 COPY 到CO欄位'!AM$1,0)-VLOOKUP($A49,'Over Under Bill 1 COPY 到CO欄位'!$1:$1048576,'Over Under Bill 1 COPY 到CO欄位'!AH$1,0)</f>
        <v>0</v>
      </c>
      <c r="AN49" s="158">
        <f t="shared" si="52"/>
        <v>0</v>
      </c>
      <c r="AO49" s="158">
        <f>VLOOKUP($A49,'Over Under Bill 1 COPY 到CO欄位'!$1:$1048576,'Over Under Bill 1 COPY 到CO欄位'!AO$1,0)-VLOOKUP($A49,'Over Under Bill 1 COPY 到CO欄位'!$1:$1048576,'Over Under Bill 1 COPY 到CO欄位'!AJ$1,0)</f>
        <v>0</v>
      </c>
      <c r="AP49" s="158">
        <f t="shared" si="53"/>
        <v>0</v>
      </c>
      <c r="AQ49" s="157">
        <f>VLOOKUP($A49,'Over Under Bill 1 COPY 到CO欄位'!$1:$1048576,'Over Under Bill 1 COPY 到CO欄位'!AQ$1,0)-VLOOKUP($A49,'Over Under Bill 1 COPY 到CO欄位'!$1:$1048576,'Over Under Bill 1 COPY 到CO欄位'!AL$1,0)</f>
        <v>0</v>
      </c>
      <c r="AR49" s="157">
        <f>VLOOKUP($A49,'Over Under Bill 1 COPY 到CO欄位'!$1:$1048576,'Over Under Bill 1 COPY 到CO欄位'!AR$1,0)-VLOOKUP($A49,'Over Under Bill 1 COPY 到CO欄位'!$1:$1048576,'Over Under Bill 1 COPY 到CO欄位'!AM$1,0)</f>
        <v>0</v>
      </c>
      <c r="AS49" s="157">
        <f t="shared" si="54"/>
        <v>0</v>
      </c>
      <c r="AT49" s="157">
        <f>VLOOKUP($A49,'Over Under Bill 1 COPY 到CO欄位'!$1:$1048576,'Over Under Bill 1 COPY 到CO欄位'!AT$1,0)-VLOOKUP($A49,'Over Under Bill 1 COPY 到CO欄位'!$1:$1048576,'Over Under Bill 1 COPY 到CO欄位'!AO$1,0)</f>
        <v>0</v>
      </c>
      <c r="AU49" s="157">
        <f t="shared" si="55"/>
        <v>0</v>
      </c>
      <c r="AV49" s="158">
        <f>VLOOKUP($A49,'Over Under Bill 1 COPY 到CO欄位'!$1:$1048576,'Over Under Bill 1 COPY 到CO欄位'!AV$1,0)-VLOOKUP($A49,'Over Under Bill 1 COPY 到CO欄位'!$1:$1048576,'Over Under Bill 1 COPY 到CO欄位'!AQ$1,0)</f>
        <v>0</v>
      </c>
      <c r="AW49" s="158">
        <f>VLOOKUP($A49,'Over Under Bill 1 COPY 到CO欄位'!$1:$1048576,'Over Under Bill 1 COPY 到CO欄位'!AW$1,0)-VLOOKUP($A49,'Over Under Bill 1 COPY 到CO欄位'!$1:$1048576,'Over Under Bill 1 COPY 到CO欄位'!AR$1,0)</f>
        <v>0</v>
      </c>
      <c r="AX49" s="158">
        <f t="shared" si="56"/>
        <v>0</v>
      </c>
      <c r="AY49" s="158">
        <f>VLOOKUP($A49,'Over Under Bill 1 COPY 到CO欄位'!$1:$1048576,'Over Under Bill 1 COPY 到CO欄位'!AY$1,0)-VLOOKUP($A49,'Over Under Bill 1 COPY 到CO欄位'!$1:$1048576,'Over Under Bill 1 COPY 到CO欄位'!AT$1,0)</f>
        <v>0</v>
      </c>
      <c r="AZ49" s="158">
        <f t="shared" si="57"/>
        <v>0</v>
      </c>
      <c r="BA49" s="157">
        <f>VLOOKUP($A49,'Over Under Bill 1 COPY 到CO欄位'!$1:$1048576,'Over Under Bill 1 COPY 到CO欄位'!BA$1,0)-VLOOKUP($A49,'Over Under Bill 1 COPY 到CO欄位'!$1:$1048576,'Over Under Bill 1 COPY 到CO欄位'!AV$1,0)</f>
        <v>0</v>
      </c>
      <c r="BB49" s="157">
        <f>VLOOKUP($A49,'Over Under Bill 1 COPY 到CO欄位'!$1:$1048576,'Over Under Bill 1 COPY 到CO欄位'!BB$1,0)-VLOOKUP($A49,'Over Under Bill 1 COPY 到CO欄位'!$1:$1048576,'Over Under Bill 1 COPY 到CO欄位'!AW$1,0)</f>
        <v>0</v>
      </c>
      <c r="BC49" s="157">
        <f t="shared" si="58"/>
        <v>0</v>
      </c>
      <c r="BD49" s="157">
        <f>VLOOKUP($A49,'Over Under Bill 1 COPY 到CO欄位'!$1:$1048576,'Over Under Bill 1 COPY 到CO欄位'!BD$1,0)-VLOOKUP($A49,'Over Under Bill 1 COPY 到CO欄位'!$1:$1048576,'Over Under Bill 1 COPY 到CO欄位'!AY$1,0)</f>
        <v>0</v>
      </c>
      <c r="BE49" s="157">
        <f t="shared" si="59"/>
        <v>0</v>
      </c>
      <c r="BF49" s="158">
        <f>VLOOKUP($A49,'Over Under Bill 1 COPY 到CO欄位'!$1:$1048576,'Over Under Bill 1 COPY 到CO欄位'!BF$1,0)-VLOOKUP($A49,'Over Under Bill 1 COPY 到CO欄位'!$1:$1048576,'Over Under Bill 1 COPY 到CO欄位'!BA$1,0)</f>
        <v>0</v>
      </c>
      <c r="BG49" s="158">
        <f>VLOOKUP($A49,'Over Under Bill 1 COPY 到CO欄位'!$1:$1048576,'Over Under Bill 1 COPY 到CO欄位'!BG$1,0)-VLOOKUP($A49,'Over Under Bill 1 COPY 到CO欄位'!$1:$1048576,'Over Under Bill 1 COPY 到CO欄位'!BB$1,0)</f>
        <v>0</v>
      </c>
      <c r="BH49" s="158">
        <f t="shared" si="60"/>
        <v>0</v>
      </c>
      <c r="BI49" s="158">
        <f>VLOOKUP($A49,'Over Under Bill 1 COPY 到CO欄位'!$1:$1048576,'Over Under Bill 1 COPY 到CO欄位'!BI$1,0)-VLOOKUP($A49,'Over Under Bill 1 COPY 到CO欄位'!$1:$1048576,'Over Under Bill 1 COPY 到CO欄位'!BD$1,0)</f>
        <v>0</v>
      </c>
      <c r="BJ49" s="158">
        <f t="shared" si="61"/>
        <v>0</v>
      </c>
      <c r="BK49" s="157">
        <f>VLOOKUP($A49,'Over Under Bill 1 COPY 到CO欄位'!$1:$1048576,'Over Under Bill 1 COPY 到CO欄位'!BK$1,0)-VLOOKUP($A49,'Over Under Bill 1 COPY 到CO欄位'!$1:$1048576,'Over Under Bill 1 COPY 到CO欄位'!BF$1,0)</f>
        <v>0</v>
      </c>
      <c r="BL49" s="157">
        <f>VLOOKUP($A49,'Over Under Bill 1 COPY 到CO欄位'!$1:$1048576,'Over Under Bill 1 COPY 到CO欄位'!BL$1,0)-VLOOKUP($A49,'Over Under Bill 1 COPY 到CO欄位'!$1:$1048576,'Over Under Bill 1 COPY 到CO欄位'!BG$1,0)</f>
        <v>0</v>
      </c>
      <c r="BM49" s="157">
        <f t="shared" si="62"/>
        <v>0</v>
      </c>
      <c r="BN49" s="157">
        <f>VLOOKUP($A49,'Over Under Bill 1 COPY 到CO欄位'!$1:$1048576,'Over Under Bill 1 COPY 到CO欄位'!BN$1,0)-VLOOKUP($A49,'Over Under Bill 1 COPY 到CO欄位'!$1:$1048576,'Over Under Bill 1 COPY 到CO欄位'!BI$1,0)</f>
        <v>0</v>
      </c>
      <c r="BO49" s="157">
        <f t="shared" si="63"/>
        <v>0</v>
      </c>
      <c r="BP49" s="158">
        <f>VLOOKUP($A49,'Over Under Bill 1 COPY 到CO欄位'!$1:$1048576,'Over Under Bill 1 COPY 到CO欄位'!BP$1,0)-VLOOKUP($A49,'Over Under Bill 1 COPY 到CO欄位'!$1:$1048576,'Over Under Bill 1 COPY 到CO欄位'!BK$1,0)</f>
        <v>0</v>
      </c>
      <c r="BQ49" s="158">
        <f>VLOOKUP($A49,'Over Under Bill 1 COPY 到CO欄位'!$1:$1048576,'Over Under Bill 1 COPY 到CO欄位'!BQ$1,0)-VLOOKUP($A49,'Over Under Bill 1 COPY 到CO欄位'!$1:$1048576,'Over Under Bill 1 COPY 到CO欄位'!BL$1,0)</f>
        <v>0</v>
      </c>
      <c r="BR49" s="158">
        <f t="shared" si="64"/>
        <v>0</v>
      </c>
      <c r="BS49" s="158">
        <f>VLOOKUP($A49,'Over Under Bill 1 COPY 到CO欄位'!$1:$1048576,'Over Under Bill 1 COPY 到CO欄位'!BS$1,0)-VLOOKUP($A49,'Over Under Bill 1 COPY 到CO欄位'!$1:$1048576,'Over Under Bill 1 COPY 到CO欄位'!BN$1,0)</f>
        <v>0</v>
      </c>
      <c r="BT49" s="158">
        <f t="shared" si="65"/>
        <v>0</v>
      </c>
      <c r="BU49" s="157">
        <f>VLOOKUP($A49,'Over Under Bill 1 COPY 到CO欄位'!$1:$1048576,'Over Under Bill 1 COPY 到CO欄位'!BP$1,0)-VLOOKUP($A49,'Over Under Bill 1 COPY 到CO欄位'!$1:$1048576,'Over Under Bill 1 COPY 到CO欄位'!H$1,0)</f>
        <v>0</v>
      </c>
      <c r="BV49" s="157">
        <f>VLOOKUP($A49,'Over Under Bill 1 COPY 到CO欄位'!$1:$1048576,'Over Under Bill 1 COPY 到CO欄位'!BQ$1,0)-VLOOKUP($A49,'Over Under Bill 1 COPY 到CO欄位'!$1:$1048576,'Over Under Bill 1 COPY 到CO欄位'!I$1,0)</f>
        <v>0</v>
      </c>
      <c r="BW49" s="157">
        <f t="shared" si="66"/>
        <v>0</v>
      </c>
      <c r="BX49" s="157">
        <f>VLOOKUP($A49,'Over Under Bill 1 COPY 到CO欄位'!$1:$1048576,'Over Under Bill 1 COPY 到CO欄位'!BS$1,0)-VLOOKUP($A49,'Over Under Bill 1 COPY 到CO欄位'!$1:$1048576,'Over Under Bill 1 COPY 到CO欄位'!K$1,0)</f>
        <v>0</v>
      </c>
      <c r="BY49" s="157">
        <f t="shared" si="67"/>
        <v>0</v>
      </c>
      <c r="BZ49" s="158">
        <f>VLOOKUP($A49,'Over Under Bill 1 COPY 到CO欄位'!$1:$1048576,'Over Under Bill 1 COPY 到CO欄位'!BU$1,0)-VLOOKUP($A49,'Over Under Bill 1 COPY 到CO欄位'!$1:$1048576,'Over Under Bill 1 COPY 到CO欄位'!BP$1,0)</f>
        <v>0</v>
      </c>
      <c r="CA49" s="158">
        <f>VLOOKUP($A49,'Over Under Bill 1 COPY 到CO欄位'!$1:$1048576,'Over Under Bill 1 COPY 到CO欄位'!BV$1,0)-VLOOKUP($A49,'Over Under Bill 1 COPY 到CO欄位'!$1:$1048576,'Over Under Bill 1 COPY 到CO欄位'!BQ$1,0)</f>
        <v>0</v>
      </c>
      <c r="CB49" s="158">
        <f t="shared" si="68"/>
        <v>0</v>
      </c>
      <c r="CC49" s="158">
        <f>VLOOKUP($A49,'Over Under Bill 1 COPY 到CO欄位'!$1:$1048576,'Over Under Bill 1 COPY 到CO欄位'!BX$1,0)-VLOOKUP($A49,'Over Under Bill 1 COPY 到CO欄位'!$1:$1048576,'Over Under Bill 1 COPY 到CO欄位'!BS$1,0)</f>
        <v>0</v>
      </c>
      <c r="CD49" s="158">
        <f t="shared" si="69"/>
        <v>0</v>
      </c>
      <c r="CE49" s="157">
        <f>VLOOKUP($A49,'Over Under Bill 1 COPY 到CO欄位'!$1:$1048576,'Over Under Bill 1 COPY 到CO欄位'!BZ$1,0)-VLOOKUP($A49,'Over Under Bill 1 COPY 到CO欄位'!$1:$1048576,'Over Under Bill 1 COPY 到CO欄位'!BU$1,0)</f>
        <v>0</v>
      </c>
      <c r="CF49" s="157">
        <f>VLOOKUP($A49,'Over Under Bill 1 COPY 到CO欄位'!$1:$1048576,'Over Under Bill 1 COPY 到CO欄位'!CA$1,0)-VLOOKUP($A49,'Over Under Bill 1 COPY 到CO欄位'!$1:$1048576,'Over Under Bill 1 COPY 到CO欄位'!BV$1,0)</f>
        <v>0</v>
      </c>
      <c r="CG49" s="157">
        <f t="shared" si="70"/>
        <v>0</v>
      </c>
      <c r="CH49" s="157">
        <f>VLOOKUP($A49,'Over Under Bill 1 COPY 到CO欄位'!$1:$1048576,'Over Under Bill 1 COPY 到CO欄位'!CC$1,0)-VLOOKUP($A49,'Over Under Bill 1 COPY 到CO欄位'!$1:$1048576,'Over Under Bill 1 COPY 到CO欄位'!BX$1,0)</f>
        <v>0</v>
      </c>
      <c r="CI49" s="157">
        <f t="shared" si="71"/>
        <v>0</v>
      </c>
      <c r="CJ49" s="158">
        <f>VLOOKUP($A49,'Over Under Bill 1 COPY 到CO欄位'!$1:$1048576,'Over Under Bill 1 COPY 到CO欄位'!CE$1,0)-VLOOKUP($A49,'Over Under Bill 1 COPY 到CO欄位'!$1:$1048576,'Over Under Bill 1 COPY 到CO欄位'!BZ$1,0)</f>
        <v>0</v>
      </c>
      <c r="CK49" s="158">
        <f>VLOOKUP($A49,'Over Under Bill 1 COPY 到CO欄位'!$1:$1048576,'Over Under Bill 1 COPY 到CO欄位'!CF$1,0)-VLOOKUP($A49,'Over Under Bill 1 COPY 到CO欄位'!$1:$1048576,'Over Under Bill 1 COPY 到CO欄位'!CA$1,0)</f>
        <v>0</v>
      </c>
      <c r="CL49" s="158">
        <f t="shared" si="72"/>
        <v>0</v>
      </c>
      <c r="CM49" s="158">
        <f>VLOOKUP($A49,'Over Under Bill 1 COPY 到CO欄位'!$1:$1048576,'Over Under Bill 1 COPY 到CO欄位'!CH$1,0)-VLOOKUP($A49,'Over Under Bill 1 COPY 到CO欄位'!$1:$1048576,'Over Under Bill 1 COPY 到CO欄位'!CC$1,0)</f>
        <v>0</v>
      </c>
      <c r="CN49" s="158">
        <f t="shared" si="73"/>
        <v>0</v>
      </c>
      <c r="CO49" s="157">
        <f>VLOOKUP($A49,'Over Under Bill 1 COPY 到CO欄位'!$1:$1048576,'Over Under Bill 1 COPY 到CO欄位'!CJ$1,0)-VLOOKUP($A49,'Over Under Bill 1 COPY 到CO欄位'!$1:$1048576,'Over Under Bill 1 COPY 到CO欄位'!CE$1,0)</f>
        <v>0</v>
      </c>
      <c r="CP49" s="157">
        <f>VLOOKUP($A49,'Over Under Bill 1 COPY 到CO欄位'!$1:$1048576,'Over Under Bill 1 COPY 到CO欄位'!CK$1,0)-VLOOKUP($A49,'Over Under Bill 1 COPY 到CO欄位'!$1:$1048576,'Over Under Bill 1 COPY 到CO欄位'!CF$1,0)</f>
        <v>0</v>
      </c>
      <c r="CQ49" s="157">
        <f t="shared" si="74"/>
        <v>0</v>
      </c>
      <c r="CR49" s="157">
        <f>VLOOKUP($A49,'Over Under Bill 1 COPY 到CO欄位'!$1:$1048576,'Over Under Bill 1 COPY 到CO欄位'!CM$1,0)-VLOOKUP($A49,'Over Under Bill 1 COPY 到CO欄位'!$1:$1048576,'Over Under Bill 1 COPY 到CO欄位'!CH$1,0)</f>
        <v>0</v>
      </c>
      <c r="CS49" s="157">
        <f t="shared" si="75"/>
        <v>0</v>
      </c>
    </row>
    <row r="50" spans="1:97">
      <c r="A50" s="171" t="s">
        <v>397</v>
      </c>
      <c r="B50" s="172" t="s">
        <v>398</v>
      </c>
      <c r="C50" s="157">
        <f>IFERROR(VLOOKUP($A50,'A0 BS 1240在建'!$1:$1048576,5,0),0)</f>
        <v>0</v>
      </c>
      <c r="D50" s="157">
        <f>IFERROR(VLOOKUP($A50,'B0 2264預收'!$1:$1048576,5,0),0)</f>
        <v>0</v>
      </c>
      <c r="E50" s="157">
        <f t="shared" si="38"/>
        <v>0</v>
      </c>
      <c r="F50" s="157">
        <f>IFERROR(VLOOKUP($A50,'B0 2264預收'!$1:$1048576,6,0),0)</f>
        <v>0</v>
      </c>
      <c r="G50" s="157">
        <f t="shared" si="39"/>
        <v>0</v>
      </c>
      <c r="H50" s="158">
        <f>IFERROR(VLOOKUP($A50,'A0 BS 1240在建'!$1:$1048576,13,0),0)-C50</f>
        <v>0</v>
      </c>
      <c r="I50" s="158">
        <f>IFERROR(VLOOKUP($A50,'B0 2264預收'!$1:$1048576,13,0),0)-D50</f>
        <v>0</v>
      </c>
      <c r="J50" s="158">
        <f t="shared" si="40"/>
        <v>0</v>
      </c>
      <c r="K50" s="158">
        <f>IFERROR(VLOOKUP($A50,'B0 2264預收'!$1:$1048576,14,0),0)-F50</f>
        <v>0</v>
      </c>
      <c r="L50" s="158">
        <f t="shared" si="41"/>
        <v>0</v>
      </c>
      <c r="M50" s="157">
        <f>VLOOKUP($A50,'Over Under Bill 1 COPY 到CO欄位'!$1:$1048576,'Over Under Bill 1 COPY 到CO欄位'!M$1,0)-VLOOKUP($A50,'Over Under Bill 1 COPY 到CO欄位'!$1:$1048576,'Over Under Bill 1 COPY 到CO欄位'!H$1,0)</f>
        <v>0</v>
      </c>
      <c r="N50" s="157">
        <f>VLOOKUP($A50,'Over Under Bill 1 COPY 到CO欄位'!$1:$1048576,'Over Under Bill 1 COPY 到CO欄位'!N$1,0)-VLOOKUP($A50,'Over Under Bill 1 COPY 到CO欄位'!$1:$1048576,'Over Under Bill 1 COPY 到CO欄位'!I$1,0)</f>
        <v>0</v>
      </c>
      <c r="O50" s="157">
        <f t="shared" si="42"/>
        <v>0</v>
      </c>
      <c r="P50" s="157">
        <f>VLOOKUP($A50,'Over Under Bill 1 COPY 到CO欄位'!$1:$1048576,'Over Under Bill 1 COPY 到CO欄位'!P$1,0)-VLOOKUP($A50,'Over Under Bill 1 COPY 到CO欄位'!$1:$1048576,'Over Under Bill 1 COPY 到CO欄位'!K$1,0)</f>
        <v>0</v>
      </c>
      <c r="Q50" s="157">
        <f t="shared" si="43"/>
        <v>0</v>
      </c>
      <c r="R50" s="158">
        <f>VLOOKUP($A50,'Over Under Bill 1 COPY 到CO欄位'!$1:$1048576,'Over Under Bill 1 COPY 到CO欄位'!R$1,0)-VLOOKUP($A50,'Over Under Bill 1 COPY 到CO欄位'!$1:$1048576,'Over Under Bill 1 COPY 到CO欄位'!M$1,0)</f>
        <v>0</v>
      </c>
      <c r="S50" s="158">
        <f>VLOOKUP($A50,'Over Under Bill 1 COPY 到CO欄位'!$1:$1048576,'Over Under Bill 1 COPY 到CO欄位'!S$1,0)-VLOOKUP($A50,'Over Under Bill 1 COPY 到CO欄位'!$1:$1048576,'Over Under Bill 1 COPY 到CO欄位'!N$1,0)</f>
        <v>0</v>
      </c>
      <c r="T50" s="158">
        <f t="shared" si="44"/>
        <v>0</v>
      </c>
      <c r="U50" s="158">
        <f>VLOOKUP($A50,'Over Under Bill 1 COPY 到CO欄位'!$1:$1048576,'Over Under Bill 1 COPY 到CO欄位'!U$1,0)-VLOOKUP($A50,'Over Under Bill 1 COPY 到CO欄位'!$1:$1048576,'Over Under Bill 1 COPY 到CO欄位'!P$1,0)</f>
        <v>0</v>
      </c>
      <c r="V50" s="158">
        <f t="shared" si="45"/>
        <v>0</v>
      </c>
      <c r="W50" s="157">
        <f>VLOOKUP($A50,'Over Under Bill 1 COPY 到CO欄位'!$1:$1048576,'Over Under Bill 1 COPY 到CO欄位'!W$1,0)-VLOOKUP($A50,'Over Under Bill 1 COPY 到CO欄位'!$1:$1048576,'Over Under Bill 1 COPY 到CO欄位'!R$1,0)</f>
        <v>0</v>
      </c>
      <c r="X50" s="157">
        <f>VLOOKUP($A50,'Over Under Bill 1 COPY 到CO欄位'!$1:$1048576,'Over Under Bill 1 COPY 到CO欄位'!X$1,0)-VLOOKUP($A50,'Over Under Bill 1 COPY 到CO欄位'!$1:$1048576,'Over Under Bill 1 COPY 到CO欄位'!S$1,0)</f>
        <v>0</v>
      </c>
      <c r="Y50" s="157">
        <f t="shared" si="46"/>
        <v>0</v>
      </c>
      <c r="Z50" s="157">
        <f>VLOOKUP($A50,'Over Under Bill 1 COPY 到CO欄位'!$1:$1048576,'Over Under Bill 1 COPY 到CO欄位'!Z$1,0)-VLOOKUP($A50,'Over Under Bill 1 COPY 到CO欄位'!$1:$1048576,'Over Under Bill 1 COPY 到CO欄位'!U$1,0)</f>
        <v>0</v>
      </c>
      <c r="AA50" s="157">
        <f t="shared" si="47"/>
        <v>0</v>
      </c>
      <c r="AB50" s="158">
        <f>VLOOKUP($A50,'Over Under Bill 1 COPY 到CO欄位'!$1:$1048576,'Over Under Bill 1 COPY 到CO欄位'!AB$1,0)-VLOOKUP($A50,'Over Under Bill 1 COPY 到CO欄位'!$1:$1048576,'Over Under Bill 1 COPY 到CO欄位'!W$1,0)</f>
        <v>0</v>
      </c>
      <c r="AC50" s="158">
        <f>VLOOKUP($A50,'Over Under Bill 1 COPY 到CO欄位'!$1:$1048576,'Over Under Bill 1 COPY 到CO欄位'!AC$1,0)-VLOOKUP($A50,'Over Under Bill 1 COPY 到CO欄位'!$1:$1048576,'Over Under Bill 1 COPY 到CO欄位'!X$1,0)</f>
        <v>0</v>
      </c>
      <c r="AD50" s="158">
        <f t="shared" si="48"/>
        <v>0</v>
      </c>
      <c r="AE50" s="158">
        <f>VLOOKUP($A50,'Over Under Bill 1 COPY 到CO欄位'!$1:$1048576,'Over Under Bill 1 COPY 到CO欄位'!AE$1,0)-VLOOKUP($A50,'Over Under Bill 1 COPY 到CO欄位'!$1:$1048576,'Over Under Bill 1 COPY 到CO欄位'!Z$1,0)</f>
        <v>0</v>
      </c>
      <c r="AF50" s="158">
        <f t="shared" si="49"/>
        <v>0</v>
      </c>
      <c r="AG50" s="157">
        <f>VLOOKUP($A50,'Over Under Bill 1 COPY 到CO欄位'!$1:$1048576,'Over Under Bill 1 COPY 到CO欄位'!AG$1,0)-VLOOKUP($A50,'Over Under Bill 1 COPY 到CO欄位'!$1:$1048576,'Over Under Bill 1 COPY 到CO欄位'!AB$1,0)</f>
        <v>0</v>
      </c>
      <c r="AH50" s="157">
        <f>VLOOKUP($A50,'Over Under Bill 1 COPY 到CO欄位'!$1:$1048576,'Over Under Bill 1 COPY 到CO欄位'!AH$1,0)-VLOOKUP($A50,'Over Under Bill 1 COPY 到CO欄位'!$1:$1048576,'Over Under Bill 1 COPY 到CO欄位'!AC$1,0)</f>
        <v>0</v>
      </c>
      <c r="AI50" s="157">
        <f t="shared" si="50"/>
        <v>0</v>
      </c>
      <c r="AJ50" s="157">
        <f>VLOOKUP($A50,'Over Under Bill 1 COPY 到CO欄位'!$1:$1048576,'Over Under Bill 1 COPY 到CO欄位'!AJ$1,0)-VLOOKUP($A50,'Over Under Bill 1 COPY 到CO欄位'!$1:$1048576,'Over Under Bill 1 COPY 到CO欄位'!AE$1,0)</f>
        <v>0</v>
      </c>
      <c r="AK50" s="157">
        <f t="shared" si="51"/>
        <v>0</v>
      </c>
      <c r="AL50" s="158">
        <f>VLOOKUP($A50,'Over Under Bill 1 COPY 到CO欄位'!$1:$1048576,'Over Under Bill 1 COPY 到CO欄位'!AL$1,0)-VLOOKUP($A50,'Over Under Bill 1 COPY 到CO欄位'!$1:$1048576,'Over Under Bill 1 COPY 到CO欄位'!AG$1,0)</f>
        <v>0</v>
      </c>
      <c r="AM50" s="158">
        <f>VLOOKUP($A50,'Over Under Bill 1 COPY 到CO欄位'!$1:$1048576,'Over Under Bill 1 COPY 到CO欄位'!AM$1,0)-VLOOKUP($A50,'Over Under Bill 1 COPY 到CO欄位'!$1:$1048576,'Over Under Bill 1 COPY 到CO欄位'!AH$1,0)</f>
        <v>0</v>
      </c>
      <c r="AN50" s="158">
        <f t="shared" si="52"/>
        <v>0</v>
      </c>
      <c r="AO50" s="158">
        <f>VLOOKUP($A50,'Over Under Bill 1 COPY 到CO欄位'!$1:$1048576,'Over Under Bill 1 COPY 到CO欄位'!AO$1,0)-VLOOKUP($A50,'Over Under Bill 1 COPY 到CO欄位'!$1:$1048576,'Over Under Bill 1 COPY 到CO欄位'!AJ$1,0)</f>
        <v>0</v>
      </c>
      <c r="AP50" s="158">
        <f t="shared" si="53"/>
        <v>0</v>
      </c>
      <c r="AQ50" s="157">
        <f>VLOOKUP($A50,'Over Under Bill 1 COPY 到CO欄位'!$1:$1048576,'Over Under Bill 1 COPY 到CO欄位'!AQ$1,0)-VLOOKUP($A50,'Over Under Bill 1 COPY 到CO欄位'!$1:$1048576,'Over Under Bill 1 COPY 到CO欄位'!AL$1,0)</f>
        <v>0</v>
      </c>
      <c r="AR50" s="157">
        <f>VLOOKUP($A50,'Over Under Bill 1 COPY 到CO欄位'!$1:$1048576,'Over Under Bill 1 COPY 到CO欄位'!AR$1,0)-VLOOKUP($A50,'Over Under Bill 1 COPY 到CO欄位'!$1:$1048576,'Over Under Bill 1 COPY 到CO欄位'!AM$1,0)</f>
        <v>0</v>
      </c>
      <c r="AS50" s="157">
        <f t="shared" si="54"/>
        <v>0</v>
      </c>
      <c r="AT50" s="157">
        <f>VLOOKUP($A50,'Over Under Bill 1 COPY 到CO欄位'!$1:$1048576,'Over Under Bill 1 COPY 到CO欄位'!AT$1,0)-VLOOKUP($A50,'Over Under Bill 1 COPY 到CO欄位'!$1:$1048576,'Over Under Bill 1 COPY 到CO欄位'!AO$1,0)</f>
        <v>0</v>
      </c>
      <c r="AU50" s="157">
        <f t="shared" si="55"/>
        <v>0</v>
      </c>
      <c r="AV50" s="158">
        <f>VLOOKUP($A50,'Over Under Bill 1 COPY 到CO欄位'!$1:$1048576,'Over Under Bill 1 COPY 到CO欄位'!AV$1,0)-VLOOKUP($A50,'Over Under Bill 1 COPY 到CO欄位'!$1:$1048576,'Over Under Bill 1 COPY 到CO欄位'!AQ$1,0)</f>
        <v>0</v>
      </c>
      <c r="AW50" s="158">
        <f>VLOOKUP($A50,'Over Under Bill 1 COPY 到CO欄位'!$1:$1048576,'Over Under Bill 1 COPY 到CO欄位'!AW$1,0)-VLOOKUP($A50,'Over Under Bill 1 COPY 到CO欄位'!$1:$1048576,'Over Under Bill 1 COPY 到CO欄位'!AR$1,0)</f>
        <v>0</v>
      </c>
      <c r="AX50" s="158">
        <f t="shared" si="56"/>
        <v>0</v>
      </c>
      <c r="AY50" s="158">
        <f>VLOOKUP($A50,'Over Under Bill 1 COPY 到CO欄位'!$1:$1048576,'Over Under Bill 1 COPY 到CO欄位'!AY$1,0)-VLOOKUP($A50,'Over Under Bill 1 COPY 到CO欄位'!$1:$1048576,'Over Under Bill 1 COPY 到CO欄位'!AT$1,0)</f>
        <v>0</v>
      </c>
      <c r="AZ50" s="158">
        <f t="shared" si="57"/>
        <v>0</v>
      </c>
      <c r="BA50" s="157">
        <f>VLOOKUP($A50,'Over Under Bill 1 COPY 到CO欄位'!$1:$1048576,'Over Under Bill 1 COPY 到CO欄位'!BA$1,0)-VLOOKUP($A50,'Over Under Bill 1 COPY 到CO欄位'!$1:$1048576,'Over Under Bill 1 COPY 到CO欄位'!AV$1,0)</f>
        <v>0</v>
      </c>
      <c r="BB50" s="157">
        <f>VLOOKUP($A50,'Over Under Bill 1 COPY 到CO欄位'!$1:$1048576,'Over Under Bill 1 COPY 到CO欄位'!BB$1,0)-VLOOKUP($A50,'Over Under Bill 1 COPY 到CO欄位'!$1:$1048576,'Over Under Bill 1 COPY 到CO欄位'!AW$1,0)</f>
        <v>0</v>
      </c>
      <c r="BC50" s="157">
        <f t="shared" si="58"/>
        <v>0</v>
      </c>
      <c r="BD50" s="157">
        <f>VLOOKUP($A50,'Over Under Bill 1 COPY 到CO欄位'!$1:$1048576,'Over Under Bill 1 COPY 到CO欄位'!BD$1,0)-VLOOKUP($A50,'Over Under Bill 1 COPY 到CO欄位'!$1:$1048576,'Over Under Bill 1 COPY 到CO欄位'!AY$1,0)</f>
        <v>0</v>
      </c>
      <c r="BE50" s="157">
        <f t="shared" si="59"/>
        <v>0</v>
      </c>
      <c r="BF50" s="158">
        <f>VLOOKUP($A50,'Over Under Bill 1 COPY 到CO欄位'!$1:$1048576,'Over Under Bill 1 COPY 到CO欄位'!BF$1,0)-VLOOKUP($A50,'Over Under Bill 1 COPY 到CO欄位'!$1:$1048576,'Over Under Bill 1 COPY 到CO欄位'!BA$1,0)</f>
        <v>0</v>
      </c>
      <c r="BG50" s="158">
        <f>VLOOKUP($A50,'Over Under Bill 1 COPY 到CO欄位'!$1:$1048576,'Over Under Bill 1 COPY 到CO欄位'!BG$1,0)-VLOOKUP($A50,'Over Under Bill 1 COPY 到CO欄位'!$1:$1048576,'Over Under Bill 1 COPY 到CO欄位'!BB$1,0)</f>
        <v>0</v>
      </c>
      <c r="BH50" s="158">
        <f t="shared" si="60"/>
        <v>0</v>
      </c>
      <c r="BI50" s="158">
        <f>VLOOKUP($A50,'Over Under Bill 1 COPY 到CO欄位'!$1:$1048576,'Over Under Bill 1 COPY 到CO欄位'!BI$1,0)-VLOOKUP($A50,'Over Under Bill 1 COPY 到CO欄位'!$1:$1048576,'Over Under Bill 1 COPY 到CO欄位'!BD$1,0)</f>
        <v>0</v>
      </c>
      <c r="BJ50" s="158">
        <f t="shared" si="61"/>
        <v>0</v>
      </c>
      <c r="BK50" s="157">
        <f>VLOOKUP($A50,'Over Under Bill 1 COPY 到CO欄位'!$1:$1048576,'Over Under Bill 1 COPY 到CO欄位'!BK$1,0)-VLOOKUP($A50,'Over Under Bill 1 COPY 到CO欄位'!$1:$1048576,'Over Under Bill 1 COPY 到CO欄位'!BF$1,0)</f>
        <v>0</v>
      </c>
      <c r="BL50" s="157">
        <f>VLOOKUP($A50,'Over Under Bill 1 COPY 到CO欄位'!$1:$1048576,'Over Under Bill 1 COPY 到CO欄位'!BL$1,0)-VLOOKUP($A50,'Over Under Bill 1 COPY 到CO欄位'!$1:$1048576,'Over Under Bill 1 COPY 到CO欄位'!BG$1,0)</f>
        <v>0</v>
      </c>
      <c r="BM50" s="157">
        <f t="shared" si="62"/>
        <v>0</v>
      </c>
      <c r="BN50" s="157">
        <f>VLOOKUP($A50,'Over Under Bill 1 COPY 到CO欄位'!$1:$1048576,'Over Under Bill 1 COPY 到CO欄位'!BN$1,0)-VLOOKUP($A50,'Over Under Bill 1 COPY 到CO欄位'!$1:$1048576,'Over Under Bill 1 COPY 到CO欄位'!BI$1,0)</f>
        <v>0</v>
      </c>
      <c r="BO50" s="157">
        <f t="shared" si="63"/>
        <v>0</v>
      </c>
      <c r="BP50" s="158">
        <f>VLOOKUP($A50,'Over Under Bill 1 COPY 到CO欄位'!$1:$1048576,'Over Under Bill 1 COPY 到CO欄位'!BP$1,0)-VLOOKUP($A50,'Over Under Bill 1 COPY 到CO欄位'!$1:$1048576,'Over Under Bill 1 COPY 到CO欄位'!BK$1,0)</f>
        <v>0</v>
      </c>
      <c r="BQ50" s="158">
        <f>VLOOKUP($A50,'Over Under Bill 1 COPY 到CO欄位'!$1:$1048576,'Over Under Bill 1 COPY 到CO欄位'!BQ$1,0)-VLOOKUP($A50,'Over Under Bill 1 COPY 到CO欄位'!$1:$1048576,'Over Under Bill 1 COPY 到CO欄位'!BL$1,0)</f>
        <v>0</v>
      </c>
      <c r="BR50" s="158">
        <f t="shared" si="64"/>
        <v>0</v>
      </c>
      <c r="BS50" s="158">
        <f>VLOOKUP($A50,'Over Under Bill 1 COPY 到CO欄位'!$1:$1048576,'Over Under Bill 1 COPY 到CO欄位'!BS$1,0)-VLOOKUP($A50,'Over Under Bill 1 COPY 到CO欄位'!$1:$1048576,'Over Under Bill 1 COPY 到CO欄位'!BN$1,0)</f>
        <v>0</v>
      </c>
      <c r="BT50" s="158">
        <f t="shared" si="65"/>
        <v>0</v>
      </c>
      <c r="BU50" s="157">
        <f>VLOOKUP($A50,'Over Under Bill 1 COPY 到CO欄位'!$1:$1048576,'Over Under Bill 1 COPY 到CO欄位'!BP$1,0)-VLOOKUP($A50,'Over Under Bill 1 COPY 到CO欄位'!$1:$1048576,'Over Under Bill 1 COPY 到CO欄位'!H$1,0)</f>
        <v>0</v>
      </c>
      <c r="BV50" s="157">
        <f>VLOOKUP($A50,'Over Under Bill 1 COPY 到CO欄位'!$1:$1048576,'Over Under Bill 1 COPY 到CO欄位'!BQ$1,0)-VLOOKUP($A50,'Over Under Bill 1 COPY 到CO欄位'!$1:$1048576,'Over Under Bill 1 COPY 到CO欄位'!I$1,0)</f>
        <v>0</v>
      </c>
      <c r="BW50" s="157">
        <f t="shared" si="66"/>
        <v>0</v>
      </c>
      <c r="BX50" s="157">
        <f>VLOOKUP($A50,'Over Under Bill 1 COPY 到CO欄位'!$1:$1048576,'Over Under Bill 1 COPY 到CO欄位'!BS$1,0)-VLOOKUP($A50,'Over Under Bill 1 COPY 到CO欄位'!$1:$1048576,'Over Under Bill 1 COPY 到CO欄位'!K$1,0)</f>
        <v>0</v>
      </c>
      <c r="BY50" s="157">
        <f t="shared" si="67"/>
        <v>0</v>
      </c>
      <c r="BZ50" s="158">
        <f>VLOOKUP($A50,'Over Under Bill 1 COPY 到CO欄位'!$1:$1048576,'Over Under Bill 1 COPY 到CO欄位'!BU$1,0)-VLOOKUP($A50,'Over Under Bill 1 COPY 到CO欄位'!$1:$1048576,'Over Under Bill 1 COPY 到CO欄位'!BP$1,0)</f>
        <v>0</v>
      </c>
      <c r="CA50" s="158">
        <f>VLOOKUP($A50,'Over Under Bill 1 COPY 到CO欄位'!$1:$1048576,'Over Under Bill 1 COPY 到CO欄位'!BV$1,0)-VLOOKUP($A50,'Over Under Bill 1 COPY 到CO欄位'!$1:$1048576,'Over Under Bill 1 COPY 到CO欄位'!BQ$1,0)</f>
        <v>0</v>
      </c>
      <c r="CB50" s="158">
        <f t="shared" si="68"/>
        <v>0</v>
      </c>
      <c r="CC50" s="158">
        <f>VLOOKUP($A50,'Over Under Bill 1 COPY 到CO欄位'!$1:$1048576,'Over Under Bill 1 COPY 到CO欄位'!BX$1,0)-VLOOKUP($A50,'Over Under Bill 1 COPY 到CO欄位'!$1:$1048576,'Over Under Bill 1 COPY 到CO欄位'!BS$1,0)</f>
        <v>0</v>
      </c>
      <c r="CD50" s="158">
        <f t="shared" si="69"/>
        <v>0</v>
      </c>
      <c r="CE50" s="157">
        <f>VLOOKUP($A50,'Over Under Bill 1 COPY 到CO欄位'!$1:$1048576,'Over Under Bill 1 COPY 到CO欄位'!BZ$1,0)-VLOOKUP($A50,'Over Under Bill 1 COPY 到CO欄位'!$1:$1048576,'Over Under Bill 1 COPY 到CO欄位'!BU$1,0)</f>
        <v>0</v>
      </c>
      <c r="CF50" s="157">
        <f>VLOOKUP($A50,'Over Under Bill 1 COPY 到CO欄位'!$1:$1048576,'Over Under Bill 1 COPY 到CO欄位'!CA$1,0)-VLOOKUP($A50,'Over Under Bill 1 COPY 到CO欄位'!$1:$1048576,'Over Under Bill 1 COPY 到CO欄位'!BV$1,0)</f>
        <v>0</v>
      </c>
      <c r="CG50" s="157">
        <f t="shared" si="70"/>
        <v>0</v>
      </c>
      <c r="CH50" s="157">
        <f>VLOOKUP($A50,'Over Under Bill 1 COPY 到CO欄位'!$1:$1048576,'Over Under Bill 1 COPY 到CO欄位'!CC$1,0)-VLOOKUP($A50,'Over Under Bill 1 COPY 到CO欄位'!$1:$1048576,'Over Under Bill 1 COPY 到CO欄位'!BX$1,0)</f>
        <v>0</v>
      </c>
      <c r="CI50" s="157">
        <f t="shared" si="71"/>
        <v>0</v>
      </c>
      <c r="CJ50" s="158">
        <f>VLOOKUP($A50,'Over Under Bill 1 COPY 到CO欄位'!$1:$1048576,'Over Under Bill 1 COPY 到CO欄位'!CE$1,0)-VLOOKUP($A50,'Over Under Bill 1 COPY 到CO欄位'!$1:$1048576,'Over Under Bill 1 COPY 到CO欄位'!BZ$1,0)</f>
        <v>0</v>
      </c>
      <c r="CK50" s="158">
        <f>VLOOKUP($A50,'Over Under Bill 1 COPY 到CO欄位'!$1:$1048576,'Over Under Bill 1 COPY 到CO欄位'!CF$1,0)-VLOOKUP($A50,'Over Under Bill 1 COPY 到CO欄位'!$1:$1048576,'Over Under Bill 1 COPY 到CO欄位'!CA$1,0)</f>
        <v>0</v>
      </c>
      <c r="CL50" s="158">
        <f t="shared" si="72"/>
        <v>0</v>
      </c>
      <c r="CM50" s="158">
        <f>VLOOKUP($A50,'Over Under Bill 1 COPY 到CO欄位'!$1:$1048576,'Over Under Bill 1 COPY 到CO欄位'!CH$1,0)-VLOOKUP($A50,'Over Under Bill 1 COPY 到CO欄位'!$1:$1048576,'Over Under Bill 1 COPY 到CO欄位'!CC$1,0)</f>
        <v>0</v>
      </c>
      <c r="CN50" s="158">
        <f t="shared" si="73"/>
        <v>0</v>
      </c>
      <c r="CO50" s="157">
        <f>VLOOKUP($A50,'Over Under Bill 1 COPY 到CO欄位'!$1:$1048576,'Over Under Bill 1 COPY 到CO欄位'!CJ$1,0)-VLOOKUP($A50,'Over Under Bill 1 COPY 到CO欄位'!$1:$1048576,'Over Under Bill 1 COPY 到CO欄位'!CE$1,0)</f>
        <v>0</v>
      </c>
      <c r="CP50" s="157">
        <f>VLOOKUP($A50,'Over Under Bill 1 COPY 到CO欄位'!$1:$1048576,'Over Under Bill 1 COPY 到CO欄位'!CK$1,0)-VLOOKUP($A50,'Over Under Bill 1 COPY 到CO欄位'!$1:$1048576,'Over Under Bill 1 COPY 到CO欄位'!CF$1,0)</f>
        <v>0</v>
      </c>
      <c r="CQ50" s="157">
        <f t="shared" si="74"/>
        <v>0</v>
      </c>
      <c r="CR50" s="157">
        <f>VLOOKUP($A50,'Over Under Bill 1 COPY 到CO欄位'!$1:$1048576,'Over Under Bill 1 COPY 到CO欄位'!CM$1,0)-VLOOKUP($A50,'Over Under Bill 1 COPY 到CO欄位'!$1:$1048576,'Over Under Bill 1 COPY 到CO欄位'!CH$1,0)</f>
        <v>0</v>
      </c>
      <c r="CS50" s="157">
        <f t="shared" si="75"/>
        <v>0</v>
      </c>
    </row>
    <row r="51" spans="1:97">
      <c r="A51" s="171" t="s">
        <v>399</v>
      </c>
      <c r="B51" s="172" t="s">
        <v>400</v>
      </c>
      <c r="C51" s="157">
        <f>IFERROR(VLOOKUP($A51,'A0 BS 1240在建'!$1:$1048576,5,0),0)</f>
        <v>0</v>
      </c>
      <c r="D51" s="157">
        <f>IFERROR(VLOOKUP($A51,'B0 2264預收'!$1:$1048576,5,0),0)</f>
        <v>0</v>
      </c>
      <c r="E51" s="157">
        <f t="shared" si="38"/>
        <v>0</v>
      </c>
      <c r="F51" s="157">
        <f>IFERROR(VLOOKUP($A51,'B0 2264預收'!$1:$1048576,6,0),0)</f>
        <v>0</v>
      </c>
      <c r="G51" s="157">
        <f t="shared" si="39"/>
        <v>0</v>
      </c>
      <c r="H51" s="158">
        <f>IFERROR(VLOOKUP($A51,'A0 BS 1240在建'!$1:$1048576,13,0),0)-C51</f>
        <v>0</v>
      </c>
      <c r="I51" s="158">
        <f>IFERROR(VLOOKUP($A51,'B0 2264預收'!$1:$1048576,13,0),0)-D51</f>
        <v>0</v>
      </c>
      <c r="J51" s="158">
        <f t="shared" si="40"/>
        <v>0</v>
      </c>
      <c r="K51" s="158">
        <f>IFERROR(VLOOKUP($A51,'B0 2264預收'!$1:$1048576,14,0),0)-F51</f>
        <v>0</v>
      </c>
      <c r="L51" s="158">
        <f t="shared" si="41"/>
        <v>0</v>
      </c>
      <c r="M51" s="157">
        <f>VLOOKUP($A51,'Over Under Bill 1 COPY 到CO欄位'!$1:$1048576,'Over Under Bill 1 COPY 到CO欄位'!M$1,0)-VLOOKUP($A51,'Over Under Bill 1 COPY 到CO欄位'!$1:$1048576,'Over Under Bill 1 COPY 到CO欄位'!H$1,0)</f>
        <v>0</v>
      </c>
      <c r="N51" s="157">
        <f>VLOOKUP($A51,'Over Under Bill 1 COPY 到CO欄位'!$1:$1048576,'Over Under Bill 1 COPY 到CO欄位'!N$1,0)-VLOOKUP($A51,'Over Under Bill 1 COPY 到CO欄位'!$1:$1048576,'Over Under Bill 1 COPY 到CO欄位'!I$1,0)</f>
        <v>0</v>
      </c>
      <c r="O51" s="157">
        <f t="shared" si="42"/>
        <v>0</v>
      </c>
      <c r="P51" s="157">
        <f>VLOOKUP($A51,'Over Under Bill 1 COPY 到CO欄位'!$1:$1048576,'Over Under Bill 1 COPY 到CO欄位'!P$1,0)-VLOOKUP($A51,'Over Under Bill 1 COPY 到CO欄位'!$1:$1048576,'Over Under Bill 1 COPY 到CO欄位'!K$1,0)</f>
        <v>0</v>
      </c>
      <c r="Q51" s="157">
        <f t="shared" si="43"/>
        <v>0</v>
      </c>
      <c r="R51" s="158">
        <f>VLOOKUP($A51,'Over Under Bill 1 COPY 到CO欄位'!$1:$1048576,'Over Under Bill 1 COPY 到CO欄位'!R$1,0)-VLOOKUP($A51,'Over Under Bill 1 COPY 到CO欄位'!$1:$1048576,'Over Under Bill 1 COPY 到CO欄位'!M$1,0)</f>
        <v>0</v>
      </c>
      <c r="S51" s="158">
        <f>VLOOKUP($A51,'Over Under Bill 1 COPY 到CO欄位'!$1:$1048576,'Over Under Bill 1 COPY 到CO欄位'!S$1,0)-VLOOKUP($A51,'Over Under Bill 1 COPY 到CO欄位'!$1:$1048576,'Over Under Bill 1 COPY 到CO欄位'!N$1,0)</f>
        <v>0</v>
      </c>
      <c r="T51" s="158">
        <f t="shared" si="44"/>
        <v>0</v>
      </c>
      <c r="U51" s="158">
        <f>VLOOKUP($A51,'Over Under Bill 1 COPY 到CO欄位'!$1:$1048576,'Over Under Bill 1 COPY 到CO欄位'!U$1,0)-VLOOKUP($A51,'Over Under Bill 1 COPY 到CO欄位'!$1:$1048576,'Over Under Bill 1 COPY 到CO欄位'!P$1,0)</f>
        <v>0</v>
      </c>
      <c r="V51" s="158">
        <f t="shared" si="45"/>
        <v>0</v>
      </c>
      <c r="W51" s="157">
        <f>VLOOKUP($A51,'Over Under Bill 1 COPY 到CO欄位'!$1:$1048576,'Over Under Bill 1 COPY 到CO欄位'!W$1,0)-VLOOKUP($A51,'Over Under Bill 1 COPY 到CO欄位'!$1:$1048576,'Over Under Bill 1 COPY 到CO欄位'!R$1,0)</f>
        <v>0</v>
      </c>
      <c r="X51" s="157">
        <f>VLOOKUP($A51,'Over Under Bill 1 COPY 到CO欄位'!$1:$1048576,'Over Under Bill 1 COPY 到CO欄位'!X$1,0)-VLOOKUP($A51,'Over Under Bill 1 COPY 到CO欄位'!$1:$1048576,'Over Under Bill 1 COPY 到CO欄位'!S$1,0)</f>
        <v>0</v>
      </c>
      <c r="Y51" s="157">
        <f t="shared" si="46"/>
        <v>0</v>
      </c>
      <c r="Z51" s="157">
        <f>VLOOKUP($A51,'Over Under Bill 1 COPY 到CO欄位'!$1:$1048576,'Over Under Bill 1 COPY 到CO欄位'!Z$1,0)-VLOOKUP($A51,'Over Under Bill 1 COPY 到CO欄位'!$1:$1048576,'Over Under Bill 1 COPY 到CO欄位'!U$1,0)</f>
        <v>0</v>
      </c>
      <c r="AA51" s="157">
        <f t="shared" si="47"/>
        <v>0</v>
      </c>
      <c r="AB51" s="158">
        <f>VLOOKUP($A51,'Over Under Bill 1 COPY 到CO欄位'!$1:$1048576,'Over Under Bill 1 COPY 到CO欄位'!AB$1,0)-VLOOKUP($A51,'Over Under Bill 1 COPY 到CO欄位'!$1:$1048576,'Over Under Bill 1 COPY 到CO欄位'!W$1,0)</f>
        <v>0</v>
      </c>
      <c r="AC51" s="158">
        <f>VLOOKUP($A51,'Over Under Bill 1 COPY 到CO欄位'!$1:$1048576,'Over Under Bill 1 COPY 到CO欄位'!AC$1,0)-VLOOKUP($A51,'Over Under Bill 1 COPY 到CO欄位'!$1:$1048576,'Over Under Bill 1 COPY 到CO欄位'!X$1,0)</f>
        <v>0</v>
      </c>
      <c r="AD51" s="158">
        <f t="shared" si="48"/>
        <v>0</v>
      </c>
      <c r="AE51" s="158">
        <f>VLOOKUP($A51,'Over Under Bill 1 COPY 到CO欄位'!$1:$1048576,'Over Under Bill 1 COPY 到CO欄位'!AE$1,0)-VLOOKUP($A51,'Over Under Bill 1 COPY 到CO欄位'!$1:$1048576,'Over Under Bill 1 COPY 到CO欄位'!Z$1,0)</f>
        <v>0</v>
      </c>
      <c r="AF51" s="158">
        <f t="shared" si="49"/>
        <v>0</v>
      </c>
      <c r="AG51" s="157">
        <f>VLOOKUP($A51,'Over Under Bill 1 COPY 到CO欄位'!$1:$1048576,'Over Under Bill 1 COPY 到CO欄位'!AG$1,0)-VLOOKUP($A51,'Over Under Bill 1 COPY 到CO欄位'!$1:$1048576,'Over Under Bill 1 COPY 到CO欄位'!AB$1,0)</f>
        <v>0</v>
      </c>
      <c r="AH51" s="157">
        <f>VLOOKUP($A51,'Over Under Bill 1 COPY 到CO欄位'!$1:$1048576,'Over Under Bill 1 COPY 到CO欄位'!AH$1,0)-VLOOKUP($A51,'Over Under Bill 1 COPY 到CO欄位'!$1:$1048576,'Over Under Bill 1 COPY 到CO欄位'!AC$1,0)</f>
        <v>0</v>
      </c>
      <c r="AI51" s="157">
        <f t="shared" si="50"/>
        <v>0</v>
      </c>
      <c r="AJ51" s="157">
        <f>VLOOKUP($A51,'Over Under Bill 1 COPY 到CO欄位'!$1:$1048576,'Over Under Bill 1 COPY 到CO欄位'!AJ$1,0)-VLOOKUP($A51,'Over Under Bill 1 COPY 到CO欄位'!$1:$1048576,'Over Under Bill 1 COPY 到CO欄位'!AE$1,0)</f>
        <v>0</v>
      </c>
      <c r="AK51" s="157">
        <f t="shared" si="51"/>
        <v>0</v>
      </c>
      <c r="AL51" s="158">
        <f>VLOOKUP($A51,'Over Under Bill 1 COPY 到CO欄位'!$1:$1048576,'Over Under Bill 1 COPY 到CO欄位'!AL$1,0)-VLOOKUP($A51,'Over Under Bill 1 COPY 到CO欄位'!$1:$1048576,'Over Under Bill 1 COPY 到CO欄位'!AG$1,0)</f>
        <v>0</v>
      </c>
      <c r="AM51" s="158">
        <f>VLOOKUP($A51,'Over Under Bill 1 COPY 到CO欄位'!$1:$1048576,'Over Under Bill 1 COPY 到CO欄位'!AM$1,0)-VLOOKUP($A51,'Over Under Bill 1 COPY 到CO欄位'!$1:$1048576,'Over Under Bill 1 COPY 到CO欄位'!AH$1,0)</f>
        <v>0</v>
      </c>
      <c r="AN51" s="158">
        <f t="shared" si="52"/>
        <v>0</v>
      </c>
      <c r="AO51" s="158">
        <f>VLOOKUP($A51,'Over Under Bill 1 COPY 到CO欄位'!$1:$1048576,'Over Under Bill 1 COPY 到CO欄位'!AO$1,0)-VLOOKUP($A51,'Over Under Bill 1 COPY 到CO欄位'!$1:$1048576,'Over Under Bill 1 COPY 到CO欄位'!AJ$1,0)</f>
        <v>0</v>
      </c>
      <c r="AP51" s="158">
        <f t="shared" si="53"/>
        <v>0</v>
      </c>
      <c r="AQ51" s="157">
        <f>VLOOKUP($A51,'Over Under Bill 1 COPY 到CO欄位'!$1:$1048576,'Over Under Bill 1 COPY 到CO欄位'!AQ$1,0)-VLOOKUP($A51,'Over Under Bill 1 COPY 到CO欄位'!$1:$1048576,'Over Under Bill 1 COPY 到CO欄位'!AL$1,0)</f>
        <v>0</v>
      </c>
      <c r="AR51" s="157">
        <f>VLOOKUP($A51,'Over Under Bill 1 COPY 到CO欄位'!$1:$1048576,'Over Under Bill 1 COPY 到CO欄位'!AR$1,0)-VLOOKUP($A51,'Over Under Bill 1 COPY 到CO欄位'!$1:$1048576,'Over Under Bill 1 COPY 到CO欄位'!AM$1,0)</f>
        <v>0</v>
      </c>
      <c r="AS51" s="157">
        <f t="shared" si="54"/>
        <v>0</v>
      </c>
      <c r="AT51" s="157">
        <f>VLOOKUP($A51,'Over Under Bill 1 COPY 到CO欄位'!$1:$1048576,'Over Under Bill 1 COPY 到CO欄位'!AT$1,0)-VLOOKUP($A51,'Over Under Bill 1 COPY 到CO欄位'!$1:$1048576,'Over Under Bill 1 COPY 到CO欄位'!AO$1,0)</f>
        <v>0</v>
      </c>
      <c r="AU51" s="157">
        <f t="shared" si="55"/>
        <v>0</v>
      </c>
      <c r="AV51" s="158">
        <f>VLOOKUP($A51,'Over Under Bill 1 COPY 到CO欄位'!$1:$1048576,'Over Under Bill 1 COPY 到CO欄位'!AV$1,0)-VLOOKUP($A51,'Over Under Bill 1 COPY 到CO欄位'!$1:$1048576,'Over Under Bill 1 COPY 到CO欄位'!AQ$1,0)</f>
        <v>0</v>
      </c>
      <c r="AW51" s="158">
        <f>VLOOKUP($A51,'Over Under Bill 1 COPY 到CO欄位'!$1:$1048576,'Over Under Bill 1 COPY 到CO欄位'!AW$1,0)-VLOOKUP($A51,'Over Under Bill 1 COPY 到CO欄位'!$1:$1048576,'Over Under Bill 1 COPY 到CO欄位'!AR$1,0)</f>
        <v>0</v>
      </c>
      <c r="AX51" s="158">
        <f t="shared" si="56"/>
        <v>0</v>
      </c>
      <c r="AY51" s="158">
        <f>VLOOKUP($A51,'Over Under Bill 1 COPY 到CO欄位'!$1:$1048576,'Over Under Bill 1 COPY 到CO欄位'!AY$1,0)-VLOOKUP($A51,'Over Under Bill 1 COPY 到CO欄位'!$1:$1048576,'Over Under Bill 1 COPY 到CO欄位'!AT$1,0)</f>
        <v>0</v>
      </c>
      <c r="AZ51" s="158">
        <f t="shared" si="57"/>
        <v>0</v>
      </c>
      <c r="BA51" s="157">
        <f>VLOOKUP($A51,'Over Under Bill 1 COPY 到CO欄位'!$1:$1048576,'Over Under Bill 1 COPY 到CO欄位'!BA$1,0)-VLOOKUP($A51,'Over Under Bill 1 COPY 到CO欄位'!$1:$1048576,'Over Under Bill 1 COPY 到CO欄位'!AV$1,0)</f>
        <v>0</v>
      </c>
      <c r="BB51" s="157">
        <f>VLOOKUP($A51,'Over Under Bill 1 COPY 到CO欄位'!$1:$1048576,'Over Under Bill 1 COPY 到CO欄位'!BB$1,0)-VLOOKUP($A51,'Over Under Bill 1 COPY 到CO欄位'!$1:$1048576,'Over Under Bill 1 COPY 到CO欄位'!AW$1,0)</f>
        <v>0</v>
      </c>
      <c r="BC51" s="157">
        <f t="shared" si="58"/>
        <v>0</v>
      </c>
      <c r="BD51" s="157">
        <f>VLOOKUP($A51,'Over Under Bill 1 COPY 到CO欄位'!$1:$1048576,'Over Under Bill 1 COPY 到CO欄位'!BD$1,0)-VLOOKUP($A51,'Over Under Bill 1 COPY 到CO欄位'!$1:$1048576,'Over Under Bill 1 COPY 到CO欄位'!AY$1,0)</f>
        <v>0</v>
      </c>
      <c r="BE51" s="157">
        <f t="shared" si="59"/>
        <v>0</v>
      </c>
      <c r="BF51" s="158">
        <f>VLOOKUP($A51,'Over Under Bill 1 COPY 到CO欄位'!$1:$1048576,'Over Under Bill 1 COPY 到CO欄位'!BF$1,0)-VLOOKUP($A51,'Over Under Bill 1 COPY 到CO欄位'!$1:$1048576,'Over Under Bill 1 COPY 到CO欄位'!BA$1,0)</f>
        <v>0</v>
      </c>
      <c r="BG51" s="158">
        <f>VLOOKUP($A51,'Over Under Bill 1 COPY 到CO欄位'!$1:$1048576,'Over Under Bill 1 COPY 到CO欄位'!BG$1,0)-VLOOKUP($A51,'Over Under Bill 1 COPY 到CO欄位'!$1:$1048576,'Over Under Bill 1 COPY 到CO欄位'!BB$1,0)</f>
        <v>0</v>
      </c>
      <c r="BH51" s="158">
        <f t="shared" si="60"/>
        <v>0</v>
      </c>
      <c r="BI51" s="158">
        <f>VLOOKUP($A51,'Over Under Bill 1 COPY 到CO欄位'!$1:$1048576,'Over Under Bill 1 COPY 到CO欄位'!BI$1,0)-VLOOKUP($A51,'Over Under Bill 1 COPY 到CO欄位'!$1:$1048576,'Over Under Bill 1 COPY 到CO欄位'!BD$1,0)</f>
        <v>0</v>
      </c>
      <c r="BJ51" s="158">
        <f t="shared" si="61"/>
        <v>0</v>
      </c>
      <c r="BK51" s="157">
        <f>VLOOKUP($A51,'Over Under Bill 1 COPY 到CO欄位'!$1:$1048576,'Over Under Bill 1 COPY 到CO欄位'!BK$1,0)-VLOOKUP($A51,'Over Under Bill 1 COPY 到CO欄位'!$1:$1048576,'Over Under Bill 1 COPY 到CO欄位'!BF$1,0)</f>
        <v>0</v>
      </c>
      <c r="BL51" s="157">
        <f>VLOOKUP($A51,'Over Under Bill 1 COPY 到CO欄位'!$1:$1048576,'Over Under Bill 1 COPY 到CO欄位'!BL$1,0)-VLOOKUP($A51,'Over Under Bill 1 COPY 到CO欄位'!$1:$1048576,'Over Under Bill 1 COPY 到CO欄位'!BG$1,0)</f>
        <v>0</v>
      </c>
      <c r="BM51" s="157">
        <f t="shared" si="62"/>
        <v>0</v>
      </c>
      <c r="BN51" s="157">
        <f>VLOOKUP($A51,'Over Under Bill 1 COPY 到CO欄位'!$1:$1048576,'Over Under Bill 1 COPY 到CO欄位'!BN$1,0)-VLOOKUP($A51,'Over Under Bill 1 COPY 到CO欄位'!$1:$1048576,'Over Under Bill 1 COPY 到CO欄位'!BI$1,0)</f>
        <v>0</v>
      </c>
      <c r="BO51" s="157">
        <f t="shared" si="63"/>
        <v>0</v>
      </c>
      <c r="BP51" s="158">
        <f>VLOOKUP($A51,'Over Under Bill 1 COPY 到CO欄位'!$1:$1048576,'Over Under Bill 1 COPY 到CO欄位'!BP$1,0)-VLOOKUP($A51,'Over Under Bill 1 COPY 到CO欄位'!$1:$1048576,'Over Under Bill 1 COPY 到CO欄位'!BK$1,0)</f>
        <v>0</v>
      </c>
      <c r="BQ51" s="158">
        <f>VLOOKUP($A51,'Over Under Bill 1 COPY 到CO欄位'!$1:$1048576,'Over Under Bill 1 COPY 到CO欄位'!BQ$1,0)-VLOOKUP($A51,'Over Under Bill 1 COPY 到CO欄位'!$1:$1048576,'Over Under Bill 1 COPY 到CO欄位'!BL$1,0)</f>
        <v>0</v>
      </c>
      <c r="BR51" s="158">
        <f t="shared" si="64"/>
        <v>0</v>
      </c>
      <c r="BS51" s="158">
        <f>VLOOKUP($A51,'Over Under Bill 1 COPY 到CO欄位'!$1:$1048576,'Over Under Bill 1 COPY 到CO欄位'!BS$1,0)-VLOOKUP($A51,'Over Under Bill 1 COPY 到CO欄位'!$1:$1048576,'Over Under Bill 1 COPY 到CO欄位'!BN$1,0)</f>
        <v>0</v>
      </c>
      <c r="BT51" s="158">
        <f t="shared" si="65"/>
        <v>0</v>
      </c>
      <c r="BU51" s="157">
        <f>VLOOKUP($A51,'Over Under Bill 1 COPY 到CO欄位'!$1:$1048576,'Over Under Bill 1 COPY 到CO欄位'!BP$1,0)-VLOOKUP($A51,'Over Under Bill 1 COPY 到CO欄位'!$1:$1048576,'Over Under Bill 1 COPY 到CO欄位'!H$1,0)</f>
        <v>0</v>
      </c>
      <c r="BV51" s="157">
        <f>VLOOKUP($A51,'Over Under Bill 1 COPY 到CO欄位'!$1:$1048576,'Over Under Bill 1 COPY 到CO欄位'!BQ$1,0)-VLOOKUP($A51,'Over Under Bill 1 COPY 到CO欄位'!$1:$1048576,'Over Under Bill 1 COPY 到CO欄位'!I$1,0)</f>
        <v>0</v>
      </c>
      <c r="BW51" s="157">
        <f t="shared" si="66"/>
        <v>0</v>
      </c>
      <c r="BX51" s="157">
        <f>VLOOKUP($A51,'Over Under Bill 1 COPY 到CO欄位'!$1:$1048576,'Over Under Bill 1 COPY 到CO欄位'!BS$1,0)-VLOOKUP($A51,'Over Under Bill 1 COPY 到CO欄位'!$1:$1048576,'Over Under Bill 1 COPY 到CO欄位'!K$1,0)</f>
        <v>0</v>
      </c>
      <c r="BY51" s="157">
        <f t="shared" si="67"/>
        <v>0</v>
      </c>
      <c r="BZ51" s="158">
        <f>VLOOKUP($A51,'Over Under Bill 1 COPY 到CO欄位'!$1:$1048576,'Over Under Bill 1 COPY 到CO欄位'!BU$1,0)-VLOOKUP($A51,'Over Under Bill 1 COPY 到CO欄位'!$1:$1048576,'Over Under Bill 1 COPY 到CO欄位'!BP$1,0)</f>
        <v>0</v>
      </c>
      <c r="CA51" s="158">
        <f>VLOOKUP($A51,'Over Under Bill 1 COPY 到CO欄位'!$1:$1048576,'Over Under Bill 1 COPY 到CO欄位'!BV$1,0)-VLOOKUP($A51,'Over Under Bill 1 COPY 到CO欄位'!$1:$1048576,'Over Under Bill 1 COPY 到CO欄位'!BQ$1,0)</f>
        <v>0</v>
      </c>
      <c r="CB51" s="158">
        <f t="shared" si="68"/>
        <v>0</v>
      </c>
      <c r="CC51" s="158">
        <f>VLOOKUP($A51,'Over Under Bill 1 COPY 到CO欄位'!$1:$1048576,'Over Under Bill 1 COPY 到CO欄位'!BX$1,0)-VLOOKUP($A51,'Over Under Bill 1 COPY 到CO欄位'!$1:$1048576,'Over Under Bill 1 COPY 到CO欄位'!BS$1,0)</f>
        <v>0</v>
      </c>
      <c r="CD51" s="158">
        <f t="shared" si="69"/>
        <v>0</v>
      </c>
      <c r="CE51" s="157">
        <f>VLOOKUP($A51,'Over Under Bill 1 COPY 到CO欄位'!$1:$1048576,'Over Under Bill 1 COPY 到CO欄位'!BZ$1,0)-VLOOKUP($A51,'Over Under Bill 1 COPY 到CO欄位'!$1:$1048576,'Over Under Bill 1 COPY 到CO欄位'!BU$1,0)</f>
        <v>0</v>
      </c>
      <c r="CF51" s="157">
        <f>VLOOKUP($A51,'Over Under Bill 1 COPY 到CO欄位'!$1:$1048576,'Over Under Bill 1 COPY 到CO欄位'!CA$1,0)-VLOOKUP($A51,'Over Under Bill 1 COPY 到CO欄位'!$1:$1048576,'Over Under Bill 1 COPY 到CO欄位'!BV$1,0)</f>
        <v>0</v>
      </c>
      <c r="CG51" s="157">
        <f t="shared" si="70"/>
        <v>0</v>
      </c>
      <c r="CH51" s="157">
        <f>VLOOKUP($A51,'Over Under Bill 1 COPY 到CO欄位'!$1:$1048576,'Over Under Bill 1 COPY 到CO欄位'!CC$1,0)-VLOOKUP($A51,'Over Under Bill 1 COPY 到CO欄位'!$1:$1048576,'Over Under Bill 1 COPY 到CO欄位'!BX$1,0)</f>
        <v>0</v>
      </c>
      <c r="CI51" s="157">
        <f t="shared" si="71"/>
        <v>0</v>
      </c>
      <c r="CJ51" s="158">
        <f>VLOOKUP($A51,'Over Under Bill 1 COPY 到CO欄位'!$1:$1048576,'Over Under Bill 1 COPY 到CO欄位'!CE$1,0)-VLOOKUP($A51,'Over Under Bill 1 COPY 到CO欄位'!$1:$1048576,'Over Under Bill 1 COPY 到CO欄位'!BZ$1,0)</f>
        <v>0</v>
      </c>
      <c r="CK51" s="158">
        <f>VLOOKUP($A51,'Over Under Bill 1 COPY 到CO欄位'!$1:$1048576,'Over Under Bill 1 COPY 到CO欄位'!CF$1,0)-VLOOKUP($A51,'Over Under Bill 1 COPY 到CO欄位'!$1:$1048576,'Over Under Bill 1 COPY 到CO欄位'!CA$1,0)</f>
        <v>0</v>
      </c>
      <c r="CL51" s="158">
        <f t="shared" si="72"/>
        <v>0</v>
      </c>
      <c r="CM51" s="158">
        <f>VLOOKUP($A51,'Over Under Bill 1 COPY 到CO欄位'!$1:$1048576,'Over Under Bill 1 COPY 到CO欄位'!CH$1,0)-VLOOKUP($A51,'Over Under Bill 1 COPY 到CO欄位'!$1:$1048576,'Over Under Bill 1 COPY 到CO欄位'!CC$1,0)</f>
        <v>0</v>
      </c>
      <c r="CN51" s="158">
        <f t="shared" si="73"/>
        <v>0</v>
      </c>
      <c r="CO51" s="157">
        <f>VLOOKUP($A51,'Over Under Bill 1 COPY 到CO欄位'!$1:$1048576,'Over Under Bill 1 COPY 到CO欄位'!CJ$1,0)-VLOOKUP($A51,'Over Under Bill 1 COPY 到CO欄位'!$1:$1048576,'Over Under Bill 1 COPY 到CO欄位'!CE$1,0)</f>
        <v>0</v>
      </c>
      <c r="CP51" s="157">
        <f>VLOOKUP($A51,'Over Under Bill 1 COPY 到CO欄位'!$1:$1048576,'Over Under Bill 1 COPY 到CO欄位'!CK$1,0)-VLOOKUP($A51,'Over Under Bill 1 COPY 到CO欄位'!$1:$1048576,'Over Under Bill 1 COPY 到CO欄位'!CF$1,0)</f>
        <v>0</v>
      </c>
      <c r="CQ51" s="157">
        <f t="shared" si="74"/>
        <v>0</v>
      </c>
      <c r="CR51" s="157">
        <f>VLOOKUP($A51,'Over Under Bill 1 COPY 到CO欄位'!$1:$1048576,'Over Under Bill 1 COPY 到CO欄位'!CM$1,0)-VLOOKUP($A51,'Over Under Bill 1 COPY 到CO欄位'!$1:$1048576,'Over Under Bill 1 COPY 到CO欄位'!CH$1,0)</f>
        <v>0</v>
      </c>
      <c r="CS51" s="157">
        <f t="shared" si="75"/>
        <v>0</v>
      </c>
    </row>
    <row r="52" spans="1:97">
      <c r="A52" s="171" t="s">
        <v>401</v>
      </c>
      <c r="B52" s="172" t="s">
        <v>402</v>
      </c>
      <c r="C52" s="157">
        <f>IFERROR(VLOOKUP($A52,'A0 BS 1240在建'!$1:$1048576,5,0),0)</f>
        <v>0</v>
      </c>
      <c r="D52" s="157">
        <f>IFERROR(VLOOKUP($A52,'B0 2264預收'!$1:$1048576,5,0),0)</f>
        <v>0</v>
      </c>
      <c r="E52" s="157">
        <f t="shared" si="38"/>
        <v>0</v>
      </c>
      <c r="F52" s="157">
        <f>IFERROR(VLOOKUP($A52,'B0 2264預收'!$1:$1048576,6,0),0)</f>
        <v>0</v>
      </c>
      <c r="G52" s="157">
        <f t="shared" si="39"/>
        <v>0</v>
      </c>
      <c r="H52" s="158">
        <f>IFERROR(VLOOKUP($A52,'A0 BS 1240在建'!$1:$1048576,13,0),0)-C52</f>
        <v>0</v>
      </c>
      <c r="I52" s="158">
        <f>IFERROR(VLOOKUP($A52,'B0 2264預收'!$1:$1048576,13,0),0)-D52</f>
        <v>0</v>
      </c>
      <c r="J52" s="158">
        <f t="shared" si="40"/>
        <v>0</v>
      </c>
      <c r="K52" s="158">
        <f>IFERROR(VLOOKUP($A52,'B0 2264預收'!$1:$1048576,14,0),0)-F52</f>
        <v>0</v>
      </c>
      <c r="L52" s="158">
        <f t="shared" si="41"/>
        <v>0</v>
      </c>
      <c r="M52" s="157">
        <f>VLOOKUP($A52,'Over Under Bill 1 COPY 到CO欄位'!$1:$1048576,'Over Under Bill 1 COPY 到CO欄位'!M$1,0)-VLOOKUP($A52,'Over Under Bill 1 COPY 到CO欄位'!$1:$1048576,'Over Under Bill 1 COPY 到CO欄位'!H$1,0)</f>
        <v>0</v>
      </c>
      <c r="N52" s="157">
        <f>VLOOKUP($A52,'Over Under Bill 1 COPY 到CO欄位'!$1:$1048576,'Over Under Bill 1 COPY 到CO欄位'!N$1,0)-VLOOKUP($A52,'Over Under Bill 1 COPY 到CO欄位'!$1:$1048576,'Over Under Bill 1 COPY 到CO欄位'!I$1,0)</f>
        <v>0</v>
      </c>
      <c r="O52" s="157">
        <f t="shared" si="42"/>
        <v>0</v>
      </c>
      <c r="P52" s="157">
        <f>VLOOKUP($A52,'Over Under Bill 1 COPY 到CO欄位'!$1:$1048576,'Over Under Bill 1 COPY 到CO欄位'!P$1,0)-VLOOKUP($A52,'Over Under Bill 1 COPY 到CO欄位'!$1:$1048576,'Over Under Bill 1 COPY 到CO欄位'!K$1,0)</f>
        <v>0</v>
      </c>
      <c r="Q52" s="157">
        <f t="shared" si="43"/>
        <v>0</v>
      </c>
      <c r="R52" s="158">
        <f>VLOOKUP($A52,'Over Under Bill 1 COPY 到CO欄位'!$1:$1048576,'Over Under Bill 1 COPY 到CO欄位'!R$1,0)-VLOOKUP($A52,'Over Under Bill 1 COPY 到CO欄位'!$1:$1048576,'Over Under Bill 1 COPY 到CO欄位'!M$1,0)</f>
        <v>0</v>
      </c>
      <c r="S52" s="158">
        <f>VLOOKUP($A52,'Over Under Bill 1 COPY 到CO欄位'!$1:$1048576,'Over Under Bill 1 COPY 到CO欄位'!S$1,0)-VLOOKUP($A52,'Over Under Bill 1 COPY 到CO欄位'!$1:$1048576,'Over Under Bill 1 COPY 到CO欄位'!N$1,0)</f>
        <v>0</v>
      </c>
      <c r="T52" s="158">
        <f t="shared" si="44"/>
        <v>0</v>
      </c>
      <c r="U52" s="158">
        <f>VLOOKUP($A52,'Over Under Bill 1 COPY 到CO欄位'!$1:$1048576,'Over Under Bill 1 COPY 到CO欄位'!U$1,0)-VLOOKUP($A52,'Over Under Bill 1 COPY 到CO欄位'!$1:$1048576,'Over Under Bill 1 COPY 到CO欄位'!P$1,0)</f>
        <v>0</v>
      </c>
      <c r="V52" s="158">
        <f t="shared" si="45"/>
        <v>0</v>
      </c>
      <c r="W52" s="157">
        <f>VLOOKUP($A52,'Over Under Bill 1 COPY 到CO欄位'!$1:$1048576,'Over Under Bill 1 COPY 到CO欄位'!W$1,0)-VLOOKUP($A52,'Over Under Bill 1 COPY 到CO欄位'!$1:$1048576,'Over Under Bill 1 COPY 到CO欄位'!R$1,0)</f>
        <v>0</v>
      </c>
      <c r="X52" s="157">
        <f>VLOOKUP($A52,'Over Under Bill 1 COPY 到CO欄位'!$1:$1048576,'Over Under Bill 1 COPY 到CO欄位'!X$1,0)-VLOOKUP($A52,'Over Under Bill 1 COPY 到CO欄位'!$1:$1048576,'Over Under Bill 1 COPY 到CO欄位'!S$1,0)</f>
        <v>0</v>
      </c>
      <c r="Y52" s="157">
        <f t="shared" si="46"/>
        <v>0</v>
      </c>
      <c r="Z52" s="157">
        <f>VLOOKUP($A52,'Over Under Bill 1 COPY 到CO欄位'!$1:$1048576,'Over Under Bill 1 COPY 到CO欄位'!Z$1,0)-VLOOKUP($A52,'Over Under Bill 1 COPY 到CO欄位'!$1:$1048576,'Over Under Bill 1 COPY 到CO欄位'!U$1,0)</f>
        <v>0</v>
      </c>
      <c r="AA52" s="157">
        <f t="shared" si="47"/>
        <v>0</v>
      </c>
      <c r="AB52" s="158">
        <f>VLOOKUP($A52,'Over Under Bill 1 COPY 到CO欄位'!$1:$1048576,'Over Under Bill 1 COPY 到CO欄位'!AB$1,0)-VLOOKUP($A52,'Over Under Bill 1 COPY 到CO欄位'!$1:$1048576,'Over Under Bill 1 COPY 到CO欄位'!W$1,0)</f>
        <v>0</v>
      </c>
      <c r="AC52" s="158">
        <f>VLOOKUP($A52,'Over Under Bill 1 COPY 到CO欄位'!$1:$1048576,'Over Under Bill 1 COPY 到CO欄位'!AC$1,0)-VLOOKUP($A52,'Over Under Bill 1 COPY 到CO欄位'!$1:$1048576,'Over Under Bill 1 COPY 到CO欄位'!X$1,0)</f>
        <v>0</v>
      </c>
      <c r="AD52" s="158">
        <f t="shared" si="48"/>
        <v>0</v>
      </c>
      <c r="AE52" s="158">
        <f>VLOOKUP($A52,'Over Under Bill 1 COPY 到CO欄位'!$1:$1048576,'Over Under Bill 1 COPY 到CO欄位'!AE$1,0)-VLOOKUP($A52,'Over Under Bill 1 COPY 到CO欄位'!$1:$1048576,'Over Under Bill 1 COPY 到CO欄位'!Z$1,0)</f>
        <v>0</v>
      </c>
      <c r="AF52" s="158">
        <f t="shared" si="49"/>
        <v>0</v>
      </c>
      <c r="AG52" s="157">
        <f>VLOOKUP($A52,'Over Under Bill 1 COPY 到CO欄位'!$1:$1048576,'Over Under Bill 1 COPY 到CO欄位'!AG$1,0)-VLOOKUP($A52,'Over Under Bill 1 COPY 到CO欄位'!$1:$1048576,'Over Under Bill 1 COPY 到CO欄位'!AB$1,0)</f>
        <v>0</v>
      </c>
      <c r="AH52" s="157">
        <f>VLOOKUP($A52,'Over Under Bill 1 COPY 到CO欄位'!$1:$1048576,'Over Under Bill 1 COPY 到CO欄位'!AH$1,0)-VLOOKUP($A52,'Over Under Bill 1 COPY 到CO欄位'!$1:$1048576,'Over Under Bill 1 COPY 到CO欄位'!AC$1,0)</f>
        <v>0</v>
      </c>
      <c r="AI52" s="157">
        <f t="shared" si="50"/>
        <v>0</v>
      </c>
      <c r="AJ52" s="157">
        <f>VLOOKUP($A52,'Over Under Bill 1 COPY 到CO欄位'!$1:$1048576,'Over Under Bill 1 COPY 到CO欄位'!AJ$1,0)-VLOOKUP($A52,'Over Under Bill 1 COPY 到CO欄位'!$1:$1048576,'Over Under Bill 1 COPY 到CO欄位'!AE$1,0)</f>
        <v>0</v>
      </c>
      <c r="AK52" s="157">
        <f t="shared" si="51"/>
        <v>0</v>
      </c>
      <c r="AL52" s="158">
        <f>VLOOKUP($A52,'Over Under Bill 1 COPY 到CO欄位'!$1:$1048576,'Over Under Bill 1 COPY 到CO欄位'!AL$1,0)-VLOOKUP($A52,'Over Under Bill 1 COPY 到CO欄位'!$1:$1048576,'Over Under Bill 1 COPY 到CO欄位'!AG$1,0)</f>
        <v>0</v>
      </c>
      <c r="AM52" s="158">
        <f>VLOOKUP($A52,'Over Under Bill 1 COPY 到CO欄位'!$1:$1048576,'Over Under Bill 1 COPY 到CO欄位'!AM$1,0)-VLOOKUP($A52,'Over Under Bill 1 COPY 到CO欄位'!$1:$1048576,'Over Under Bill 1 COPY 到CO欄位'!AH$1,0)</f>
        <v>0</v>
      </c>
      <c r="AN52" s="158">
        <f t="shared" si="52"/>
        <v>0</v>
      </c>
      <c r="AO52" s="158">
        <f>VLOOKUP($A52,'Over Under Bill 1 COPY 到CO欄位'!$1:$1048576,'Over Under Bill 1 COPY 到CO欄位'!AO$1,0)-VLOOKUP($A52,'Over Under Bill 1 COPY 到CO欄位'!$1:$1048576,'Over Under Bill 1 COPY 到CO欄位'!AJ$1,0)</f>
        <v>0</v>
      </c>
      <c r="AP52" s="158">
        <f t="shared" si="53"/>
        <v>0</v>
      </c>
      <c r="AQ52" s="157">
        <f>VLOOKUP($A52,'Over Under Bill 1 COPY 到CO欄位'!$1:$1048576,'Over Under Bill 1 COPY 到CO欄位'!AQ$1,0)-VLOOKUP($A52,'Over Under Bill 1 COPY 到CO欄位'!$1:$1048576,'Over Under Bill 1 COPY 到CO欄位'!AL$1,0)</f>
        <v>0</v>
      </c>
      <c r="AR52" s="157">
        <f>VLOOKUP($A52,'Over Under Bill 1 COPY 到CO欄位'!$1:$1048576,'Over Under Bill 1 COPY 到CO欄位'!AR$1,0)-VLOOKUP($A52,'Over Under Bill 1 COPY 到CO欄位'!$1:$1048576,'Over Under Bill 1 COPY 到CO欄位'!AM$1,0)</f>
        <v>0</v>
      </c>
      <c r="AS52" s="157">
        <f t="shared" si="54"/>
        <v>0</v>
      </c>
      <c r="AT52" s="157">
        <f>VLOOKUP($A52,'Over Under Bill 1 COPY 到CO欄位'!$1:$1048576,'Over Under Bill 1 COPY 到CO欄位'!AT$1,0)-VLOOKUP($A52,'Over Under Bill 1 COPY 到CO欄位'!$1:$1048576,'Over Under Bill 1 COPY 到CO欄位'!AO$1,0)</f>
        <v>0</v>
      </c>
      <c r="AU52" s="157">
        <f t="shared" si="55"/>
        <v>0</v>
      </c>
      <c r="AV52" s="158">
        <f>VLOOKUP($A52,'Over Under Bill 1 COPY 到CO欄位'!$1:$1048576,'Over Under Bill 1 COPY 到CO欄位'!AV$1,0)-VLOOKUP($A52,'Over Under Bill 1 COPY 到CO欄位'!$1:$1048576,'Over Under Bill 1 COPY 到CO欄位'!AQ$1,0)</f>
        <v>0</v>
      </c>
      <c r="AW52" s="158">
        <f>VLOOKUP($A52,'Over Under Bill 1 COPY 到CO欄位'!$1:$1048576,'Over Under Bill 1 COPY 到CO欄位'!AW$1,0)-VLOOKUP($A52,'Over Under Bill 1 COPY 到CO欄位'!$1:$1048576,'Over Under Bill 1 COPY 到CO欄位'!AR$1,0)</f>
        <v>0</v>
      </c>
      <c r="AX52" s="158">
        <f t="shared" si="56"/>
        <v>0</v>
      </c>
      <c r="AY52" s="158">
        <f>VLOOKUP($A52,'Over Under Bill 1 COPY 到CO欄位'!$1:$1048576,'Over Under Bill 1 COPY 到CO欄位'!AY$1,0)-VLOOKUP($A52,'Over Under Bill 1 COPY 到CO欄位'!$1:$1048576,'Over Under Bill 1 COPY 到CO欄位'!AT$1,0)</f>
        <v>0</v>
      </c>
      <c r="AZ52" s="158">
        <f t="shared" si="57"/>
        <v>0</v>
      </c>
      <c r="BA52" s="157">
        <f>VLOOKUP($A52,'Over Under Bill 1 COPY 到CO欄位'!$1:$1048576,'Over Under Bill 1 COPY 到CO欄位'!BA$1,0)-VLOOKUP($A52,'Over Under Bill 1 COPY 到CO欄位'!$1:$1048576,'Over Under Bill 1 COPY 到CO欄位'!AV$1,0)</f>
        <v>0</v>
      </c>
      <c r="BB52" s="157">
        <f>VLOOKUP($A52,'Over Under Bill 1 COPY 到CO欄位'!$1:$1048576,'Over Under Bill 1 COPY 到CO欄位'!BB$1,0)-VLOOKUP($A52,'Over Under Bill 1 COPY 到CO欄位'!$1:$1048576,'Over Under Bill 1 COPY 到CO欄位'!AW$1,0)</f>
        <v>0</v>
      </c>
      <c r="BC52" s="157">
        <f t="shared" si="58"/>
        <v>0</v>
      </c>
      <c r="BD52" s="157">
        <f>VLOOKUP($A52,'Over Under Bill 1 COPY 到CO欄位'!$1:$1048576,'Over Under Bill 1 COPY 到CO欄位'!BD$1,0)-VLOOKUP($A52,'Over Under Bill 1 COPY 到CO欄位'!$1:$1048576,'Over Under Bill 1 COPY 到CO欄位'!AY$1,0)</f>
        <v>0</v>
      </c>
      <c r="BE52" s="157">
        <f t="shared" si="59"/>
        <v>0</v>
      </c>
      <c r="BF52" s="158">
        <f>VLOOKUP($A52,'Over Under Bill 1 COPY 到CO欄位'!$1:$1048576,'Over Under Bill 1 COPY 到CO欄位'!BF$1,0)-VLOOKUP($A52,'Over Under Bill 1 COPY 到CO欄位'!$1:$1048576,'Over Under Bill 1 COPY 到CO欄位'!BA$1,0)</f>
        <v>0</v>
      </c>
      <c r="BG52" s="158">
        <f>VLOOKUP($A52,'Over Under Bill 1 COPY 到CO欄位'!$1:$1048576,'Over Under Bill 1 COPY 到CO欄位'!BG$1,0)-VLOOKUP($A52,'Over Under Bill 1 COPY 到CO欄位'!$1:$1048576,'Over Under Bill 1 COPY 到CO欄位'!BB$1,0)</f>
        <v>0</v>
      </c>
      <c r="BH52" s="158">
        <f t="shared" si="60"/>
        <v>0</v>
      </c>
      <c r="BI52" s="158">
        <f>VLOOKUP($A52,'Over Under Bill 1 COPY 到CO欄位'!$1:$1048576,'Over Under Bill 1 COPY 到CO欄位'!BI$1,0)-VLOOKUP($A52,'Over Under Bill 1 COPY 到CO欄位'!$1:$1048576,'Over Under Bill 1 COPY 到CO欄位'!BD$1,0)</f>
        <v>0</v>
      </c>
      <c r="BJ52" s="158">
        <f t="shared" si="61"/>
        <v>0</v>
      </c>
      <c r="BK52" s="157">
        <f>VLOOKUP($A52,'Over Under Bill 1 COPY 到CO欄位'!$1:$1048576,'Over Under Bill 1 COPY 到CO欄位'!BK$1,0)-VLOOKUP($A52,'Over Under Bill 1 COPY 到CO欄位'!$1:$1048576,'Over Under Bill 1 COPY 到CO欄位'!BF$1,0)</f>
        <v>0</v>
      </c>
      <c r="BL52" s="157">
        <f>VLOOKUP($A52,'Over Under Bill 1 COPY 到CO欄位'!$1:$1048576,'Over Under Bill 1 COPY 到CO欄位'!BL$1,0)-VLOOKUP($A52,'Over Under Bill 1 COPY 到CO欄位'!$1:$1048576,'Over Under Bill 1 COPY 到CO欄位'!BG$1,0)</f>
        <v>0</v>
      </c>
      <c r="BM52" s="157">
        <f t="shared" si="62"/>
        <v>0</v>
      </c>
      <c r="BN52" s="157">
        <f>VLOOKUP($A52,'Over Under Bill 1 COPY 到CO欄位'!$1:$1048576,'Over Under Bill 1 COPY 到CO欄位'!BN$1,0)-VLOOKUP($A52,'Over Under Bill 1 COPY 到CO欄位'!$1:$1048576,'Over Under Bill 1 COPY 到CO欄位'!BI$1,0)</f>
        <v>0</v>
      </c>
      <c r="BO52" s="157">
        <f t="shared" si="63"/>
        <v>0</v>
      </c>
      <c r="BP52" s="158">
        <f>VLOOKUP($A52,'Over Under Bill 1 COPY 到CO欄位'!$1:$1048576,'Over Under Bill 1 COPY 到CO欄位'!BP$1,0)-VLOOKUP($A52,'Over Under Bill 1 COPY 到CO欄位'!$1:$1048576,'Over Under Bill 1 COPY 到CO欄位'!BK$1,0)</f>
        <v>0</v>
      </c>
      <c r="BQ52" s="158">
        <f>VLOOKUP($A52,'Over Under Bill 1 COPY 到CO欄位'!$1:$1048576,'Over Under Bill 1 COPY 到CO欄位'!BQ$1,0)-VLOOKUP($A52,'Over Under Bill 1 COPY 到CO欄位'!$1:$1048576,'Over Under Bill 1 COPY 到CO欄位'!BL$1,0)</f>
        <v>0</v>
      </c>
      <c r="BR52" s="158">
        <f t="shared" si="64"/>
        <v>0</v>
      </c>
      <c r="BS52" s="158">
        <f>VLOOKUP($A52,'Over Under Bill 1 COPY 到CO欄位'!$1:$1048576,'Over Under Bill 1 COPY 到CO欄位'!BS$1,0)-VLOOKUP($A52,'Over Under Bill 1 COPY 到CO欄位'!$1:$1048576,'Over Under Bill 1 COPY 到CO欄位'!BN$1,0)</f>
        <v>0</v>
      </c>
      <c r="BT52" s="158">
        <f t="shared" si="65"/>
        <v>0</v>
      </c>
      <c r="BU52" s="157">
        <f>VLOOKUP($A52,'Over Under Bill 1 COPY 到CO欄位'!$1:$1048576,'Over Under Bill 1 COPY 到CO欄位'!BP$1,0)-VLOOKUP($A52,'Over Under Bill 1 COPY 到CO欄位'!$1:$1048576,'Over Under Bill 1 COPY 到CO欄位'!H$1,0)</f>
        <v>0</v>
      </c>
      <c r="BV52" s="157">
        <f>VLOOKUP($A52,'Over Under Bill 1 COPY 到CO欄位'!$1:$1048576,'Over Under Bill 1 COPY 到CO欄位'!BQ$1,0)-VLOOKUP($A52,'Over Under Bill 1 COPY 到CO欄位'!$1:$1048576,'Over Under Bill 1 COPY 到CO欄位'!I$1,0)</f>
        <v>0</v>
      </c>
      <c r="BW52" s="157">
        <f t="shared" si="66"/>
        <v>0</v>
      </c>
      <c r="BX52" s="157">
        <f>VLOOKUP($A52,'Over Under Bill 1 COPY 到CO欄位'!$1:$1048576,'Over Under Bill 1 COPY 到CO欄位'!BS$1,0)-VLOOKUP($A52,'Over Under Bill 1 COPY 到CO欄位'!$1:$1048576,'Over Under Bill 1 COPY 到CO欄位'!K$1,0)</f>
        <v>0</v>
      </c>
      <c r="BY52" s="157">
        <f t="shared" si="67"/>
        <v>0</v>
      </c>
      <c r="BZ52" s="158">
        <f>VLOOKUP($A52,'Over Under Bill 1 COPY 到CO欄位'!$1:$1048576,'Over Under Bill 1 COPY 到CO欄位'!BU$1,0)-VLOOKUP($A52,'Over Under Bill 1 COPY 到CO欄位'!$1:$1048576,'Over Under Bill 1 COPY 到CO欄位'!BP$1,0)</f>
        <v>0</v>
      </c>
      <c r="CA52" s="158">
        <f>VLOOKUP($A52,'Over Under Bill 1 COPY 到CO欄位'!$1:$1048576,'Over Under Bill 1 COPY 到CO欄位'!BV$1,0)-VLOOKUP($A52,'Over Under Bill 1 COPY 到CO欄位'!$1:$1048576,'Over Under Bill 1 COPY 到CO欄位'!BQ$1,0)</f>
        <v>0</v>
      </c>
      <c r="CB52" s="158">
        <f t="shared" si="68"/>
        <v>0</v>
      </c>
      <c r="CC52" s="158">
        <f>VLOOKUP($A52,'Over Under Bill 1 COPY 到CO欄位'!$1:$1048576,'Over Under Bill 1 COPY 到CO欄位'!BX$1,0)-VLOOKUP($A52,'Over Under Bill 1 COPY 到CO欄位'!$1:$1048576,'Over Under Bill 1 COPY 到CO欄位'!BS$1,0)</f>
        <v>0</v>
      </c>
      <c r="CD52" s="158">
        <f t="shared" si="69"/>
        <v>0</v>
      </c>
      <c r="CE52" s="157">
        <f>VLOOKUP($A52,'Over Under Bill 1 COPY 到CO欄位'!$1:$1048576,'Over Under Bill 1 COPY 到CO欄位'!BZ$1,0)-VLOOKUP($A52,'Over Under Bill 1 COPY 到CO欄位'!$1:$1048576,'Over Under Bill 1 COPY 到CO欄位'!BU$1,0)</f>
        <v>0</v>
      </c>
      <c r="CF52" s="157">
        <f>VLOOKUP($A52,'Over Under Bill 1 COPY 到CO欄位'!$1:$1048576,'Over Under Bill 1 COPY 到CO欄位'!CA$1,0)-VLOOKUP($A52,'Over Under Bill 1 COPY 到CO欄位'!$1:$1048576,'Over Under Bill 1 COPY 到CO欄位'!BV$1,0)</f>
        <v>0</v>
      </c>
      <c r="CG52" s="157">
        <f t="shared" si="70"/>
        <v>0</v>
      </c>
      <c r="CH52" s="157">
        <f>VLOOKUP($A52,'Over Under Bill 1 COPY 到CO欄位'!$1:$1048576,'Over Under Bill 1 COPY 到CO欄位'!CC$1,0)-VLOOKUP($A52,'Over Under Bill 1 COPY 到CO欄位'!$1:$1048576,'Over Under Bill 1 COPY 到CO欄位'!BX$1,0)</f>
        <v>0</v>
      </c>
      <c r="CI52" s="157">
        <f t="shared" si="71"/>
        <v>0</v>
      </c>
      <c r="CJ52" s="158">
        <f>VLOOKUP($A52,'Over Under Bill 1 COPY 到CO欄位'!$1:$1048576,'Over Under Bill 1 COPY 到CO欄位'!CE$1,0)-VLOOKUP($A52,'Over Under Bill 1 COPY 到CO欄位'!$1:$1048576,'Over Under Bill 1 COPY 到CO欄位'!BZ$1,0)</f>
        <v>0</v>
      </c>
      <c r="CK52" s="158">
        <f>VLOOKUP($A52,'Over Under Bill 1 COPY 到CO欄位'!$1:$1048576,'Over Under Bill 1 COPY 到CO欄位'!CF$1,0)-VLOOKUP($A52,'Over Under Bill 1 COPY 到CO欄位'!$1:$1048576,'Over Under Bill 1 COPY 到CO欄位'!CA$1,0)</f>
        <v>0</v>
      </c>
      <c r="CL52" s="158">
        <f t="shared" si="72"/>
        <v>0</v>
      </c>
      <c r="CM52" s="158">
        <f>VLOOKUP($A52,'Over Under Bill 1 COPY 到CO欄位'!$1:$1048576,'Over Under Bill 1 COPY 到CO欄位'!CH$1,0)-VLOOKUP($A52,'Over Under Bill 1 COPY 到CO欄位'!$1:$1048576,'Over Under Bill 1 COPY 到CO欄位'!CC$1,0)</f>
        <v>0</v>
      </c>
      <c r="CN52" s="158">
        <f t="shared" si="73"/>
        <v>0</v>
      </c>
      <c r="CO52" s="157">
        <f>VLOOKUP($A52,'Over Under Bill 1 COPY 到CO欄位'!$1:$1048576,'Over Under Bill 1 COPY 到CO欄位'!CJ$1,0)-VLOOKUP($A52,'Over Under Bill 1 COPY 到CO欄位'!$1:$1048576,'Over Under Bill 1 COPY 到CO欄位'!CE$1,0)</f>
        <v>0</v>
      </c>
      <c r="CP52" s="157">
        <f>VLOOKUP($A52,'Over Under Bill 1 COPY 到CO欄位'!$1:$1048576,'Over Under Bill 1 COPY 到CO欄位'!CK$1,0)-VLOOKUP($A52,'Over Under Bill 1 COPY 到CO欄位'!$1:$1048576,'Over Under Bill 1 COPY 到CO欄位'!CF$1,0)</f>
        <v>0</v>
      </c>
      <c r="CQ52" s="157">
        <f t="shared" si="74"/>
        <v>0</v>
      </c>
      <c r="CR52" s="157">
        <f>VLOOKUP($A52,'Over Under Bill 1 COPY 到CO欄位'!$1:$1048576,'Over Under Bill 1 COPY 到CO欄位'!CM$1,0)-VLOOKUP($A52,'Over Under Bill 1 COPY 到CO欄位'!$1:$1048576,'Over Under Bill 1 COPY 到CO欄位'!CH$1,0)</f>
        <v>0</v>
      </c>
      <c r="CS52" s="157">
        <f t="shared" si="75"/>
        <v>0</v>
      </c>
    </row>
    <row r="53" spans="1:97" ht="16.5" customHeight="1">
      <c r="A53" s="171" t="s">
        <v>403</v>
      </c>
      <c r="B53" s="172" t="s">
        <v>404</v>
      </c>
      <c r="C53" s="157">
        <f>IFERROR(VLOOKUP($A53,'A0 BS 1240在建'!$1:$1048576,5,0),0)</f>
        <v>0</v>
      </c>
      <c r="D53" s="157">
        <f>IFERROR(VLOOKUP($A53,'B0 2264預收'!$1:$1048576,5,0),0)</f>
        <v>0</v>
      </c>
      <c r="E53" s="157">
        <f t="shared" si="38"/>
        <v>0</v>
      </c>
      <c r="F53" s="157">
        <f>IFERROR(VLOOKUP($A53,'B0 2264預收'!$1:$1048576,6,0),0)</f>
        <v>0</v>
      </c>
      <c r="G53" s="157">
        <f t="shared" si="39"/>
        <v>0</v>
      </c>
      <c r="H53" s="158">
        <f>IFERROR(VLOOKUP($A53,'A0 BS 1240在建'!$1:$1048576,13,0),0)-C53</f>
        <v>0</v>
      </c>
      <c r="I53" s="158">
        <f>IFERROR(VLOOKUP($A53,'B0 2264預收'!$1:$1048576,13,0),0)-D53</f>
        <v>0</v>
      </c>
      <c r="J53" s="158">
        <f t="shared" si="40"/>
        <v>0</v>
      </c>
      <c r="K53" s="158">
        <f>IFERROR(VLOOKUP($A53,'B0 2264預收'!$1:$1048576,14,0),0)-F53</f>
        <v>0</v>
      </c>
      <c r="L53" s="158">
        <f t="shared" si="41"/>
        <v>0</v>
      </c>
      <c r="M53" s="157">
        <f>VLOOKUP($A53,'Over Under Bill 1 COPY 到CO欄位'!$1:$1048576,'Over Under Bill 1 COPY 到CO欄位'!M$1,0)-VLOOKUP($A53,'Over Under Bill 1 COPY 到CO欄位'!$1:$1048576,'Over Under Bill 1 COPY 到CO欄位'!H$1,0)</f>
        <v>0</v>
      </c>
      <c r="N53" s="157">
        <f>VLOOKUP($A53,'Over Under Bill 1 COPY 到CO欄位'!$1:$1048576,'Over Under Bill 1 COPY 到CO欄位'!N$1,0)-VLOOKUP($A53,'Over Under Bill 1 COPY 到CO欄位'!$1:$1048576,'Over Under Bill 1 COPY 到CO欄位'!I$1,0)</f>
        <v>0</v>
      </c>
      <c r="O53" s="157">
        <f t="shared" si="42"/>
        <v>0</v>
      </c>
      <c r="P53" s="157">
        <f>VLOOKUP($A53,'Over Under Bill 1 COPY 到CO欄位'!$1:$1048576,'Over Under Bill 1 COPY 到CO欄位'!P$1,0)-VLOOKUP($A53,'Over Under Bill 1 COPY 到CO欄位'!$1:$1048576,'Over Under Bill 1 COPY 到CO欄位'!K$1,0)</f>
        <v>0</v>
      </c>
      <c r="Q53" s="157">
        <f t="shared" si="43"/>
        <v>0</v>
      </c>
      <c r="R53" s="158">
        <f>VLOOKUP($A53,'Over Under Bill 1 COPY 到CO欄位'!$1:$1048576,'Over Under Bill 1 COPY 到CO欄位'!R$1,0)-VLOOKUP($A53,'Over Under Bill 1 COPY 到CO欄位'!$1:$1048576,'Over Under Bill 1 COPY 到CO欄位'!M$1,0)</f>
        <v>0</v>
      </c>
      <c r="S53" s="158">
        <f>VLOOKUP($A53,'Over Under Bill 1 COPY 到CO欄位'!$1:$1048576,'Over Under Bill 1 COPY 到CO欄位'!S$1,0)-VLOOKUP($A53,'Over Under Bill 1 COPY 到CO欄位'!$1:$1048576,'Over Under Bill 1 COPY 到CO欄位'!N$1,0)</f>
        <v>0</v>
      </c>
      <c r="T53" s="158">
        <f t="shared" si="44"/>
        <v>0</v>
      </c>
      <c r="U53" s="158">
        <f>VLOOKUP($A53,'Over Under Bill 1 COPY 到CO欄位'!$1:$1048576,'Over Under Bill 1 COPY 到CO欄位'!U$1,0)-VLOOKUP($A53,'Over Under Bill 1 COPY 到CO欄位'!$1:$1048576,'Over Under Bill 1 COPY 到CO欄位'!P$1,0)</f>
        <v>0</v>
      </c>
      <c r="V53" s="158">
        <f t="shared" si="45"/>
        <v>0</v>
      </c>
      <c r="W53" s="157">
        <f>VLOOKUP($A53,'Over Under Bill 1 COPY 到CO欄位'!$1:$1048576,'Over Under Bill 1 COPY 到CO欄位'!W$1,0)-VLOOKUP($A53,'Over Under Bill 1 COPY 到CO欄位'!$1:$1048576,'Over Under Bill 1 COPY 到CO欄位'!R$1,0)</f>
        <v>0</v>
      </c>
      <c r="X53" s="157">
        <f>VLOOKUP($A53,'Over Under Bill 1 COPY 到CO欄位'!$1:$1048576,'Over Under Bill 1 COPY 到CO欄位'!X$1,0)-VLOOKUP($A53,'Over Under Bill 1 COPY 到CO欄位'!$1:$1048576,'Over Under Bill 1 COPY 到CO欄位'!S$1,0)</f>
        <v>0</v>
      </c>
      <c r="Y53" s="157">
        <f t="shared" si="46"/>
        <v>0</v>
      </c>
      <c r="Z53" s="157">
        <f>VLOOKUP($A53,'Over Under Bill 1 COPY 到CO欄位'!$1:$1048576,'Over Under Bill 1 COPY 到CO欄位'!Z$1,0)-VLOOKUP($A53,'Over Under Bill 1 COPY 到CO欄位'!$1:$1048576,'Over Under Bill 1 COPY 到CO欄位'!U$1,0)</f>
        <v>0</v>
      </c>
      <c r="AA53" s="157">
        <f t="shared" si="47"/>
        <v>0</v>
      </c>
      <c r="AB53" s="158">
        <f>VLOOKUP($A53,'Over Under Bill 1 COPY 到CO欄位'!$1:$1048576,'Over Under Bill 1 COPY 到CO欄位'!AB$1,0)-VLOOKUP($A53,'Over Under Bill 1 COPY 到CO欄位'!$1:$1048576,'Over Under Bill 1 COPY 到CO欄位'!W$1,0)</f>
        <v>0</v>
      </c>
      <c r="AC53" s="158">
        <f>VLOOKUP($A53,'Over Under Bill 1 COPY 到CO欄位'!$1:$1048576,'Over Under Bill 1 COPY 到CO欄位'!AC$1,0)-VLOOKUP($A53,'Over Under Bill 1 COPY 到CO欄位'!$1:$1048576,'Over Under Bill 1 COPY 到CO欄位'!X$1,0)</f>
        <v>0</v>
      </c>
      <c r="AD53" s="158">
        <f t="shared" si="48"/>
        <v>0</v>
      </c>
      <c r="AE53" s="158">
        <f>VLOOKUP($A53,'Over Under Bill 1 COPY 到CO欄位'!$1:$1048576,'Over Under Bill 1 COPY 到CO欄位'!AE$1,0)-VLOOKUP($A53,'Over Under Bill 1 COPY 到CO欄位'!$1:$1048576,'Over Under Bill 1 COPY 到CO欄位'!Z$1,0)</f>
        <v>0</v>
      </c>
      <c r="AF53" s="158">
        <f t="shared" si="49"/>
        <v>0</v>
      </c>
      <c r="AG53" s="157">
        <f>VLOOKUP($A53,'Over Under Bill 1 COPY 到CO欄位'!$1:$1048576,'Over Under Bill 1 COPY 到CO欄位'!AG$1,0)-VLOOKUP($A53,'Over Under Bill 1 COPY 到CO欄位'!$1:$1048576,'Over Under Bill 1 COPY 到CO欄位'!AB$1,0)</f>
        <v>0</v>
      </c>
      <c r="AH53" s="157">
        <f>VLOOKUP($A53,'Over Under Bill 1 COPY 到CO欄位'!$1:$1048576,'Over Under Bill 1 COPY 到CO欄位'!AH$1,0)-VLOOKUP($A53,'Over Under Bill 1 COPY 到CO欄位'!$1:$1048576,'Over Under Bill 1 COPY 到CO欄位'!AC$1,0)</f>
        <v>0</v>
      </c>
      <c r="AI53" s="157">
        <f t="shared" si="50"/>
        <v>0</v>
      </c>
      <c r="AJ53" s="157">
        <f>VLOOKUP($A53,'Over Under Bill 1 COPY 到CO欄位'!$1:$1048576,'Over Under Bill 1 COPY 到CO欄位'!AJ$1,0)-VLOOKUP($A53,'Over Under Bill 1 COPY 到CO欄位'!$1:$1048576,'Over Under Bill 1 COPY 到CO欄位'!AE$1,0)</f>
        <v>0</v>
      </c>
      <c r="AK53" s="157">
        <f t="shared" si="51"/>
        <v>0</v>
      </c>
      <c r="AL53" s="158">
        <f>VLOOKUP($A53,'Over Under Bill 1 COPY 到CO欄位'!$1:$1048576,'Over Under Bill 1 COPY 到CO欄位'!AL$1,0)-VLOOKUP($A53,'Over Under Bill 1 COPY 到CO欄位'!$1:$1048576,'Over Under Bill 1 COPY 到CO欄位'!AG$1,0)</f>
        <v>0</v>
      </c>
      <c r="AM53" s="158">
        <f>VLOOKUP($A53,'Over Under Bill 1 COPY 到CO欄位'!$1:$1048576,'Over Under Bill 1 COPY 到CO欄位'!AM$1,0)-VLOOKUP($A53,'Over Under Bill 1 COPY 到CO欄位'!$1:$1048576,'Over Under Bill 1 COPY 到CO欄位'!AH$1,0)</f>
        <v>0</v>
      </c>
      <c r="AN53" s="158">
        <f t="shared" si="52"/>
        <v>0</v>
      </c>
      <c r="AO53" s="158">
        <f>VLOOKUP($A53,'Over Under Bill 1 COPY 到CO欄位'!$1:$1048576,'Over Under Bill 1 COPY 到CO欄位'!AO$1,0)-VLOOKUP($A53,'Over Under Bill 1 COPY 到CO欄位'!$1:$1048576,'Over Under Bill 1 COPY 到CO欄位'!AJ$1,0)</f>
        <v>0</v>
      </c>
      <c r="AP53" s="158">
        <f t="shared" si="53"/>
        <v>0</v>
      </c>
      <c r="AQ53" s="157">
        <f>VLOOKUP($A53,'Over Under Bill 1 COPY 到CO欄位'!$1:$1048576,'Over Under Bill 1 COPY 到CO欄位'!AQ$1,0)-VLOOKUP($A53,'Over Under Bill 1 COPY 到CO欄位'!$1:$1048576,'Over Under Bill 1 COPY 到CO欄位'!AL$1,0)</f>
        <v>0</v>
      </c>
      <c r="AR53" s="157">
        <f>VLOOKUP($A53,'Over Under Bill 1 COPY 到CO欄位'!$1:$1048576,'Over Under Bill 1 COPY 到CO欄位'!AR$1,0)-VLOOKUP($A53,'Over Under Bill 1 COPY 到CO欄位'!$1:$1048576,'Over Under Bill 1 COPY 到CO欄位'!AM$1,0)</f>
        <v>0</v>
      </c>
      <c r="AS53" s="157">
        <f t="shared" si="54"/>
        <v>0</v>
      </c>
      <c r="AT53" s="157">
        <f>VLOOKUP($A53,'Over Under Bill 1 COPY 到CO欄位'!$1:$1048576,'Over Under Bill 1 COPY 到CO欄位'!AT$1,0)-VLOOKUP($A53,'Over Under Bill 1 COPY 到CO欄位'!$1:$1048576,'Over Under Bill 1 COPY 到CO欄位'!AO$1,0)</f>
        <v>0</v>
      </c>
      <c r="AU53" s="157">
        <f t="shared" si="55"/>
        <v>0</v>
      </c>
      <c r="AV53" s="158">
        <f>VLOOKUP($A53,'Over Under Bill 1 COPY 到CO欄位'!$1:$1048576,'Over Under Bill 1 COPY 到CO欄位'!AV$1,0)-VLOOKUP($A53,'Over Under Bill 1 COPY 到CO欄位'!$1:$1048576,'Over Under Bill 1 COPY 到CO欄位'!AQ$1,0)</f>
        <v>0</v>
      </c>
      <c r="AW53" s="158">
        <f>VLOOKUP($A53,'Over Under Bill 1 COPY 到CO欄位'!$1:$1048576,'Over Under Bill 1 COPY 到CO欄位'!AW$1,0)-VLOOKUP($A53,'Over Under Bill 1 COPY 到CO欄位'!$1:$1048576,'Over Under Bill 1 COPY 到CO欄位'!AR$1,0)</f>
        <v>0</v>
      </c>
      <c r="AX53" s="158">
        <f t="shared" si="56"/>
        <v>0</v>
      </c>
      <c r="AY53" s="158">
        <f>VLOOKUP($A53,'Over Under Bill 1 COPY 到CO欄位'!$1:$1048576,'Over Under Bill 1 COPY 到CO欄位'!AY$1,0)-VLOOKUP($A53,'Over Under Bill 1 COPY 到CO欄位'!$1:$1048576,'Over Under Bill 1 COPY 到CO欄位'!AT$1,0)</f>
        <v>0</v>
      </c>
      <c r="AZ53" s="158">
        <f t="shared" si="57"/>
        <v>0</v>
      </c>
      <c r="BA53" s="157">
        <f>VLOOKUP($A53,'Over Under Bill 1 COPY 到CO欄位'!$1:$1048576,'Over Under Bill 1 COPY 到CO欄位'!BA$1,0)-VLOOKUP($A53,'Over Under Bill 1 COPY 到CO欄位'!$1:$1048576,'Over Under Bill 1 COPY 到CO欄位'!AV$1,0)</f>
        <v>0</v>
      </c>
      <c r="BB53" s="157">
        <f>VLOOKUP($A53,'Over Under Bill 1 COPY 到CO欄位'!$1:$1048576,'Over Under Bill 1 COPY 到CO欄位'!BB$1,0)-VLOOKUP($A53,'Over Under Bill 1 COPY 到CO欄位'!$1:$1048576,'Over Under Bill 1 COPY 到CO欄位'!AW$1,0)</f>
        <v>0</v>
      </c>
      <c r="BC53" s="157">
        <f t="shared" si="58"/>
        <v>0</v>
      </c>
      <c r="BD53" s="157">
        <f>VLOOKUP($A53,'Over Under Bill 1 COPY 到CO欄位'!$1:$1048576,'Over Under Bill 1 COPY 到CO欄位'!BD$1,0)-VLOOKUP($A53,'Over Under Bill 1 COPY 到CO欄位'!$1:$1048576,'Over Under Bill 1 COPY 到CO欄位'!AY$1,0)</f>
        <v>0</v>
      </c>
      <c r="BE53" s="157">
        <f t="shared" si="59"/>
        <v>0</v>
      </c>
      <c r="BF53" s="158">
        <f>VLOOKUP($A53,'Over Under Bill 1 COPY 到CO欄位'!$1:$1048576,'Over Under Bill 1 COPY 到CO欄位'!BF$1,0)-VLOOKUP($A53,'Over Under Bill 1 COPY 到CO欄位'!$1:$1048576,'Over Under Bill 1 COPY 到CO欄位'!BA$1,0)</f>
        <v>0</v>
      </c>
      <c r="BG53" s="158">
        <f>VLOOKUP($A53,'Over Under Bill 1 COPY 到CO欄位'!$1:$1048576,'Over Under Bill 1 COPY 到CO欄位'!BG$1,0)-VLOOKUP($A53,'Over Under Bill 1 COPY 到CO欄位'!$1:$1048576,'Over Under Bill 1 COPY 到CO欄位'!BB$1,0)</f>
        <v>0</v>
      </c>
      <c r="BH53" s="158">
        <f t="shared" si="60"/>
        <v>0</v>
      </c>
      <c r="BI53" s="158">
        <f>VLOOKUP($A53,'Over Under Bill 1 COPY 到CO欄位'!$1:$1048576,'Over Under Bill 1 COPY 到CO欄位'!BI$1,0)-VLOOKUP($A53,'Over Under Bill 1 COPY 到CO欄位'!$1:$1048576,'Over Under Bill 1 COPY 到CO欄位'!BD$1,0)</f>
        <v>0</v>
      </c>
      <c r="BJ53" s="158">
        <f t="shared" si="61"/>
        <v>0</v>
      </c>
      <c r="BK53" s="157">
        <f>VLOOKUP($A53,'Over Under Bill 1 COPY 到CO欄位'!$1:$1048576,'Over Under Bill 1 COPY 到CO欄位'!BK$1,0)-VLOOKUP($A53,'Over Under Bill 1 COPY 到CO欄位'!$1:$1048576,'Over Under Bill 1 COPY 到CO欄位'!BF$1,0)</f>
        <v>0</v>
      </c>
      <c r="BL53" s="157">
        <f>VLOOKUP($A53,'Over Under Bill 1 COPY 到CO欄位'!$1:$1048576,'Over Under Bill 1 COPY 到CO欄位'!BL$1,0)-VLOOKUP($A53,'Over Under Bill 1 COPY 到CO欄位'!$1:$1048576,'Over Under Bill 1 COPY 到CO欄位'!BG$1,0)</f>
        <v>0</v>
      </c>
      <c r="BM53" s="157">
        <f t="shared" si="62"/>
        <v>0</v>
      </c>
      <c r="BN53" s="157">
        <f>VLOOKUP($A53,'Over Under Bill 1 COPY 到CO欄位'!$1:$1048576,'Over Under Bill 1 COPY 到CO欄位'!BN$1,0)-VLOOKUP($A53,'Over Under Bill 1 COPY 到CO欄位'!$1:$1048576,'Over Under Bill 1 COPY 到CO欄位'!BI$1,0)</f>
        <v>0</v>
      </c>
      <c r="BO53" s="157">
        <f t="shared" si="63"/>
        <v>0</v>
      </c>
      <c r="BP53" s="158">
        <f>VLOOKUP($A53,'Over Under Bill 1 COPY 到CO欄位'!$1:$1048576,'Over Under Bill 1 COPY 到CO欄位'!BP$1,0)-VLOOKUP($A53,'Over Under Bill 1 COPY 到CO欄位'!$1:$1048576,'Over Under Bill 1 COPY 到CO欄位'!BK$1,0)</f>
        <v>0</v>
      </c>
      <c r="BQ53" s="158">
        <f>VLOOKUP($A53,'Over Under Bill 1 COPY 到CO欄位'!$1:$1048576,'Over Under Bill 1 COPY 到CO欄位'!BQ$1,0)-VLOOKUP($A53,'Over Under Bill 1 COPY 到CO欄位'!$1:$1048576,'Over Under Bill 1 COPY 到CO欄位'!BL$1,0)</f>
        <v>0</v>
      </c>
      <c r="BR53" s="158">
        <f t="shared" si="64"/>
        <v>0</v>
      </c>
      <c r="BS53" s="158">
        <f>VLOOKUP($A53,'Over Under Bill 1 COPY 到CO欄位'!$1:$1048576,'Over Under Bill 1 COPY 到CO欄位'!BS$1,0)-VLOOKUP($A53,'Over Under Bill 1 COPY 到CO欄位'!$1:$1048576,'Over Under Bill 1 COPY 到CO欄位'!BN$1,0)</f>
        <v>0</v>
      </c>
      <c r="BT53" s="158">
        <f t="shared" si="65"/>
        <v>0</v>
      </c>
      <c r="BU53" s="157">
        <f>VLOOKUP($A53,'Over Under Bill 1 COPY 到CO欄位'!$1:$1048576,'Over Under Bill 1 COPY 到CO欄位'!BP$1,0)-VLOOKUP($A53,'Over Under Bill 1 COPY 到CO欄位'!$1:$1048576,'Over Under Bill 1 COPY 到CO欄位'!H$1,0)</f>
        <v>0</v>
      </c>
      <c r="BV53" s="157">
        <f>VLOOKUP($A53,'Over Under Bill 1 COPY 到CO欄位'!$1:$1048576,'Over Under Bill 1 COPY 到CO欄位'!BQ$1,0)-VLOOKUP($A53,'Over Under Bill 1 COPY 到CO欄位'!$1:$1048576,'Over Under Bill 1 COPY 到CO欄位'!I$1,0)</f>
        <v>0</v>
      </c>
      <c r="BW53" s="157">
        <f t="shared" si="66"/>
        <v>0</v>
      </c>
      <c r="BX53" s="157">
        <f>VLOOKUP($A53,'Over Under Bill 1 COPY 到CO欄位'!$1:$1048576,'Over Under Bill 1 COPY 到CO欄位'!BS$1,0)-VLOOKUP($A53,'Over Under Bill 1 COPY 到CO欄位'!$1:$1048576,'Over Under Bill 1 COPY 到CO欄位'!K$1,0)</f>
        <v>0</v>
      </c>
      <c r="BY53" s="157">
        <f t="shared" si="67"/>
        <v>0</v>
      </c>
      <c r="BZ53" s="158">
        <f>VLOOKUP($A53,'Over Under Bill 1 COPY 到CO欄位'!$1:$1048576,'Over Under Bill 1 COPY 到CO欄位'!BU$1,0)-VLOOKUP($A53,'Over Under Bill 1 COPY 到CO欄位'!$1:$1048576,'Over Under Bill 1 COPY 到CO欄位'!BP$1,0)</f>
        <v>0</v>
      </c>
      <c r="CA53" s="158">
        <f>VLOOKUP($A53,'Over Under Bill 1 COPY 到CO欄位'!$1:$1048576,'Over Under Bill 1 COPY 到CO欄位'!BV$1,0)-VLOOKUP($A53,'Over Under Bill 1 COPY 到CO欄位'!$1:$1048576,'Over Under Bill 1 COPY 到CO欄位'!BQ$1,0)</f>
        <v>0</v>
      </c>
      <c r="CB53" s="158">
        <f t="shared" si="68"/>
        <v>0</v>
      </c>
      <c r="CC53" s="158">
        <f>VLOOKUP($A53,'Over Under Bill 1 COPY 到CO欄位'!$1:$1048576,'Over Under Bill 1 COPY 到CO欄位'!BX$1,0)-VLOOKUP($A53,'Over Under Bill 1 COPY 到CO欄位'!$1:$1048576,'Over Under Bill 1 COPY 到CO欄位'!BS$1,0)</f>
        <v>0</v>
      </c>
      <c r="CD53" s="158">
        <f t="shared" si="69"/>
        <v>0</v>
      </c>
      <c r="CE53" s="157">
        <f>VLOOKUP($A53,'Over Under Bill 1 COPY 到CO欄位'!$1:$1048576,'Over Under Bill 1 COPY 到CO欄位'!BZ$1,0)-VLOOKUP($A53,'Over Under Bill 1 COPY 到CO欄位'!$1:$1048576,'Over Under Bill 1 COPY 到CO欄位'!BU$1,0)</f>
        <v>0</v>
      </c>
      <c r="CF53" s="157">
        <f>VLOOKUP($A53,'Over Under Bill 1 COPY 到CO欄位'!$1:$1048576,'Over Under Bill 1 COPY 到CO欄位'!CA$1,0)-VLOOKUP($A53,'Over Under Bill 1 COPY 到CO欄位'!$1:$1048576,'Over Under Bill 1 COPY 到CO欄位'!BV$1,0)</f>
        <v>0</v>
      </c>
      <c r="CG53" s="157">
        <f t="shared" si="70"/>
        <v>0</v>
      </c>
      <c r="CH53" s="157">
        <f>VLOOKUP($A53,'Over Under Bill 1 COPY 到CO欄位'!$1:$1048576,'Over Under Bill 1 COPY 到CO欄位'!CC$1,0)-VLOOKUP($A53,'Over Under Bill 1 COPY 到CO欄位'!$1:$1048576,'Over Under Bill 1 COPY 到CO欄位'!BX$1,0)</f>
        <v>0</v>
      </c>
      <c r="CI53" s="157">
        <f t="shared" si="71"/>
        <v>0</v>
      </c>
      <c r="CJ53" s="158">
        <f>VLOOKUP($A53,'Over Under Bill 1 COPY 到CO欄位'!$1:$1048576,'Over Under Bill 1 COPY 到CO欄位'!CE$1,0)-VLOOKUP($A53,'Over Under Bill 1 COPY 到CO欄位'!$1:$1048576,'Over Under Bill 1 COPY 到CO欄位'!BZ$1,0)</f>
        <v>0</v>
      </c>
      <c r="CK53" s="158">
        <f>VLOOKUP($A53,'Over Under Bill 1 COPY 到CO欄位'!$1:$1048576,'Over Under Bill 1 COPY 到CO欄位'!CF$1,0)-VLOOKUP($A53,'Over Under Bill 1 COPY 到CO欄位'!$1:$1048576,'Over Under Bill 1 COPY 到CO欄位'!CA$1,0)</f>
        <v>0</v>
      </c>
      <c r="CL53" s="158">
        <f t="shared" si="72"/>
        <v>0</v>
      </c>
      <c r="CM53" s="158">
        <f>VLOOKUP($A53,'Over Under Bill 1 COPY 到CO欄位'!$1:$1048576,'Over Under Bill 1 COPY 到CO欄位'!CH$1,0)-VLOOKUP($A53,'Over Under Bill 1 COPY 到CO欄位'!$1:$1048576,'Over Under Bill 1 COPY 到CO欄位'!CC$1,0)</f>
        <v>0</v>
      </c>
      <c r="CN53" s="158">
        <f t="shared" si="73"/>
        <v>0</v>
      </c>
      <c r="CO53" s="157">
        <f>VLOOKUP($A53,'Over Under Bill 1 COPY 到CO欄位'!$1:$1048576,'Over Under Bill 1 COPY 到CO欄位'!CJ$1,0)-VLOOKUP($A53,'Over Under Bill 1 COPY 到CO欄位'!$1:$1048576,'Over Under Bill 1 COPY 到CO欄位'!CE$1,0)</f>
        <v>0</v>
      </c>
      <c r="CP53" s="157">
        <f>VLOOKUP($A53,'Over Under Bill 1 COPY 到CO欄位'!$1:$1048576,'Over Under Bill 1 COPY 到CO欄位'!CK$1,0)-VLOOKUP($A53,'Over Under Bill 1 COPY 到CO欄位'!$1:$1048576,'Over Under Bill 1 COPY 到CO欄位'!CF$1,0)</f>
        <v>0</v>
      </c>
      <c r="CQ53" s="157">
        <f t="shared" si="74"/>
        <v>0</v>
      </c>
      <c r="CR53" s="157">
        <f>VLOOKUP($A53,'Over Under Bill 1 COPY 到CO欄位'!$1:$1048576,'Over Under Bill 1 COPY 到CO欄位'!CM$1,0)-VLOOKUP($A53,'Over Under Bill 1 COPY 到CO欄位'!$1:$1048576,'Over Under Bill 1 COPY 到CO欄位'!CH$1,0)</f>
        <v>0</v>
      </c>
      <c r="CS53" s="157">
        <f t="shared" si="75"/>
        <v>0</v>
      </c>
    </row>
    <row r="54" spans="1:97" s="174" customFormat="1">
      <c r="A54" s="171" t="s">
        <v>405</v>
      </c>
      <c r="B54" s="172" t="s">
        <v>406</v>
      </c>
      <c r="C54" s="157">
        <f>IFERROR(VLOOKUP($A54,'A0 BS 1240在建'!$1:$1048576,5,0),0)</f>
        <v>0</v>
      </c>
      <c r="D54" s="157">
        <f>IFERROR(VLOOKUP($A54,'B0 2264預收'!$1:$1048576,5,0),0)</f>
        <v>0</v>
      </c>
      <c r="E54" s="157">
        <f t="shared" si="38"/>
        <v>0</v>
      </c>
      <c r="F54" s="157">
        <f>IFERROR(VLOOKUP($A54,'B0 2264預收'!$1:$1048576,6,0),0)</f>
        <v>0</v>
      </c>
      <c r="G54" s="157">
        <f t="shared" si="39"/>
        <v>0</v>
      </c>
      <c r="H54" s="158">
        <f>IFERROR(VLOOKUP($A54,'A0 BS 1240在建'!$1:$1048576,13,0),0)-C54</f>
        <v>0</v>
      </c>
      <c r="I54" s="158">
        <f>IFERROR(VLOOKUP($A54,'B0 2264預收'!$1:$1048576,13,0),0)-D54</f>
        <v>0</v>
      </c>
      <c r="J54" s="158">
        <f t="shared" si="40"/>
        <v>0</v>
      </c>
      <c r="K54" s="158">
        <f>IFERROR(VLOOKUP($A54,'B0 2264預收'!$1:$1048576,14,0),0)-F54</f>
        <v>0</v>
      </c>
      <c r="L54" s="158">
        <f t="shared" si="41"/>
        <v>0</v>
      </c>
      <c r="M54" s="157">
        <f>VLOOKUP($A54,'Over Under Bill 1 COPY 到CO欄位'!$1:$1048576,'Over Under Bill 1 COPY 到CO欄位'!M$1,0)-VLOOKUP($A54,'Over Under Bill 1 COPY 到CO欄位'!$1:$1048576,'Over Under Bill 1 COPY 到CO欄位'!H$1,0)</f>
        <v>0</v>
      </c>
      <c r="N54" s="157">
        <f>VLOOKUP($A54,'Over Under Bill 1 COPY 到CO欄位'!$1:$1048576,'Over Under Bill 1 COPY 到CO欄位'!N$1,0)-VLOOKUP($A54,'Over Under Bill 1 COPY 到CO欄位'!$1:$1048576,'Over Under Bill 1 COPY 到CO欄位'!I$1,0)</f>
        <v>0</v>
      </c>
      <c r="O54" s="157">
        <f t="shared" si="42"/>
        <v>0</v>
      </c>
      <c r="P54" s="157">
        <f>VLOOKUP($A54,'Over Under Bill 1 COPY 到CO欄位'!$1:$1048576,'Over Under Bill 1 COPY 到CO欄位'!P$1,0)-VLOOKUP($A54,'Over Under Bill 1 COPY 到CO欄位'!$1:$1048576,'Over Under Bill 1 COPY 到CO欄位'!K$1,0)</f>
        <v>0</v>
      </c>
      <c r="Q54" s="157">
        <f t="shared" si="43"/>
        <v>0</v>
      </c>
      <c r="R54" s="158">
        <f>VLOOKUP($A54,'Over Under Bill 1 COPY 到CO欄位'!$1:$1048576,'Over Under Bill 1 COPY 到CO欄位'!R$1,0)-VLOOKUP($A54,'Over Under Bill 1 COPY 到CO欄位'!$1:$1048576,'Over Under Bill 1 COPY 到CO欄位'!M$1,0)</f>
        <v>0</v>
      </c>
      <c r="S54" s="158">
        <f>VLOOKUP($A54,'Over Under Bill 1 COPY 到CO欄位'!$1:$1048576,'Over Under Bill 1 COPY 到CO欄位'!S$1,0)-VLOOKUP($A54,'Over Under Bill 1 COPY 到CO欄位'!$1:$1048576,'Over Under Bill 1 COPY 到CO欄位'!N$1,0)</f>
        <v>0</v>
      </c>
      <c r="T54" s="158">
        <f t="shared" si="44"/>
        <v>0</v>
      </c>
      <c r="U54" s="158">
        <f>VLOOKUP($A54,'Over Under Bill 1 COPY 到CO欄位'!$1:$1048576,'Over Under Bill 1 COPY 到CO欄位'!U$1,0)-VLOOKUP($A54,'Over Under Bill 1 COPY 到CO欄位'!$1:$1048576,'Over Under Bill 1 COPY 到CO欄位'!P$1,0)</f>
        <v>0</v>
      </c>
      <c r="V54" s="158">
        <f t="shared" si="45"/>
        <v>0</v>
      </c>
      <c r="W54" s="157">
        <f>VLOOKUP($A54,'Over Under Bill 1 COPY 到CO欄位'!$1:$1048576,'Over Under Bill 1 COPY 到CO欄位'!W$1,0)-VLOOKUP($A54,'Over Under Bill 1 COPY 到CO欄位'!$1:$1048576,'Over Under Bill 1 COPY 到CO欄位'!R$1,0)</f>
        <v>0</v>
      </c>
      <c r="X54" s="157">
        <f>VLOOKUP($A54,'Over Under Bill 1 COPY 到CO欄位'!$1:$1048576,'Over Under Bill 1 COPY 到CO欄位'!X$1,0)-VLOOKUP($A54,'Over Under Bill 1 COPY 到CO欄位'!$1:$1048576,'Over Under Bill 1 COPY 到CO欄位'!S$1,0)</f>
        <v>0</v>
      </c>
      <c r="Y54" s="157">
        <f t="shared" si="46"/>
        <v>0</v>
      </c>
      <c r="Z54" s="157">
        <f>VLOOKUP($A54,'Over Under Bill 1 COPY 到CO欄位'!$1:$1048576,'Over Under Bill 1 COPY 到CO欄位'!Z$1,0)-VLOOKUP($A54,'Over Under Bill 1 COPY 到CO欄位'!$1:$1048576,'Over Under Bill 1 COPY 到CO欄位'!U$1,0)</f>
        <v>0</v>
      </c>
      <c r="AA54" s="157">
        <f t="shared" si="47"/>
        <v>0</v>
      </c>
      <c r="AB54" s="158">
        <f>VLOOKUP($A54,'Over Under Bill 1 COPY 到CO欄位'!$1:$1048576,'Over Under Bill 1 COPY 到CO欄位'!AB$1,0)-VLOOKUP($A54,'Over Under Bill 1 COPY 到CO欄位'!$1:$1048576,'Over Under Bill 1 COPY 到CO欄位'!W$1,0)</f>
        <v>0</v>
      </c>
      <c r="AC54" s="158">
        <f>VLOOKUP($A54,'Over Under Bill 1 COPY 到CO欄位'!$1:$1048576,'Over Under Bill 1 COPY 到CO欄位'!AC$1,0)-VLOOKUP($A54,'Over Under Bill 1 COPY 到CO欄位'!$1:$1048576,'Over Under Bill 1 COPY 到CO欄位'!X$1,0)</f>
        <v>0</v>
      </c>
      <c r="AD54" s="158">
        <f t="shared" si="48"/>
        <v>0</v>
      </c>
      <c r="AE54" s="158">
        <f>VLOOKUP($A54,'Over Under Bill 1 COPY 到CO欄位'!$1:$1048576,'Over Under Bill 1 COPY 到CO欄位'!AE$1,0)-VLOOKUP($A54,'Over Under Bill 1 COPY 到CO欄位'!$1:$1048576,'Over Under Bill 1 COPY 到CO欄位'!Z$1,0)</f>
        <v>0</v>
      </c>
      <c r="AF54" s="158">
        <f t="shared" si="49"/>
        <v>0</v>
      </c>
      <c r="AG54" s="157">
        <f>VLOOKUP($A54,'Over Under Bill 1 COPY 到CO欄位'!$1:$1048576,'Over Under Bill 1 COPY 到CO欄位'!AG$1,0)-VLOOKUP($A54,'Over Under Bill 1 COPY 到CO欄位'!$1:$1048576,'Over Under Bill 1 COPY 到CO欄位'!AB$1,0)</f>
        <v>0</v>
      </c>
      <c r="AH54" s="157">
        <f>VLOOKUP($A54,'Over Under Bill 1 COPY 到CO欄位'!$1:$1048576,'Over Under Bill 1 COPY 到CO欄位'!AH$1,0)-VLOOKUP($A54,'Over Under Bill 1 COPY 到CO欄位'!$1:$1048576,'Over Under Bill 1 COPY 到CO欄位'!AC$1,0)</f>
        <v>0</v>
      </c>
      <c r="AI54" s="157">
        <f t="shared" si="50"/>
        <v>0</v>
      </c>
      <c r="AJ54" s="157">
        <f>VLOOKUP($A54,'Over Under Bill 1 COPY 到CO欄位'!$1:$1048576,'Over Under Bill 1 COPY 到CO欄位'!AJ$1,0)-VLOOKUP($A54,'Over Under Bill 1 COPY 到CO欄位'!$1:$1048576,'Over Under Bill 1 COPY 到CO欄位'!AE$1,0)</f>
        <v>0</v>
      </c>
      <c r="AK54" s="157">
        <f t="shared" si="51"/>
        <v>0</v>
      </c>
      <c r="AL54" s="158">
        <f>VLOOKUP($A54,'Over Under Bill 1 COPY 到CO欄位'!$1:$1048576,'Over Under Bill 1 COPY 到CO欄位'!AL$1,0)-VLOOKUP($A54,'Over Under Bill 1 COPY 到CO欄位'!$1:$1048576,'Over Under Bill 1 COPY 到CO欄位'!AG$1,0)</f>
        <v>0</v>
      </c>
      <c r="AM54" s="158">
        <f>VLOOKUP($A54,'Over Under Bill 1 COPY 到CO欄位'!$1:$1048576,'Over Under Bill 1 COPY 到CO欄位'!AM$1,0)-VLOOKUP($A54,'Over Under Bill 1 COPY 到CO欄位'!$1:$1048576,'Over Under Bill 1 COPY 到CO欄位'!AH$1,0)</f>
        <v>0</v>
      </c>
      <c r="AN54" s="158">
        <f t="shared" si="52"/>
        <v>0</v>
      </c>
      <c r="AO54" s="158">
        <f>VLOOKUP($A54,'Over Under Bill 1 COPY 到CO欄位'!$1:$1048576,'Over Under Bill 1 COPY 到CO欄位'!AO$1,0)-VLOOKUP($A54,'Over Under Bill 1 COPY 到CO欄位'!$1:$1048576,'Over Under Bill 1 COPY 到CO欄位'!AJ$1,0)</f>
        <v>0</v>
      </c>
      <c r="AP54" s="158">
        <f t="shared" si="53"/>
        <v>0</v>
      </c>
      <c r="AQ54" s="157">
        <f>VLOOKUP($A54,'Over Under Bill 1 COPY 到CO欄位'!$1:$1048576,'Over Under Bill 1 COPY 到CO欄位'!AQ$1,0)-VLOOKUP($A54,'Over Under Bill 1 COPY 到CO欄位'!$1:$1048576,'Over Under Bill 1 COPY 到CO欄位'!AL$1,0)</f>
        <v>0</v>
      </c>
      <c r="AR54" s="157">
        <f>VLOOKUP($A54,'Over Under Bill 1 COPY 到CO欄位'!$1:$1048576,'Over Under Bill 1 COPY 到CO欄位'!AR$1,0)-VLOOKUP($A54,'Over Under Bill 1 COPY 到CO欄位'!$1:$1048576,'Over Under Bill 1 COPY 到CO欄位'!AM$1,0)</f>
        <v>0</v>
      </c>
      <c r="AS54" s="157">
        <f t="shared" si="54"/>
        <v>0</v>
      </c>
      <c r="AT54" s="157">
        <f>VLOOKUP($A54,'Over Under Bill 1 COPY 到CO欄位'!$1:$1048576,'Over Under Bill 1 COPY 到CO欄位'!AT$1,0)-VLOOKUP($A54,'Over Under Bill 1 COPY 到CO欄位'!$1:$1048576,'Over Under Bill 1 COPY 到CO欄位'!AO$1,0)</f>
        <v>0</v>
      </c>
      <c r="AU54" s="157">
        <f t="shared" si="55"/>
        <v>0</v>
      </c>
      <c r="AV54" s="158">
        <f>VLOOKUP($A54,'Over Under Bill 1 COPY 到CO欄位'!$1:$1048576,'Over Under Bill 1 COPY 到CO欄位'!AV$1,0)-VLOOKUP($A54,'Over Under Bill 1 COPY 到CO欄位'!$1:$1048576,'Over Under Bill 1 COPY 到CO欄位'!AQ$1,0)</f>
        <v>0</v>
      </c>
      <c r="AW54" s="158">
        <f>VLOOKUP($A54,'Over Under Bill 1 COPY 到CO欄位'!$1:$1048576,'Over Under Bill 1 COPY 到CO欄位'!AW$1,0)-VLOOKUP($A54,'Over Under Bill 1 COPY 到CO欄位'!$1:$1048576,'Over Under Bill 1 COPY 到CO欄位'!AR$1,0)</f>
        <v>0</v>
      </c>
      <c r="AX54" s="158">
        <f t="shared" si="56"/>
        <v>0</v>
      </c>
      <c r="AY54" s="158">
        <f>VLOOKUP($A54,'Over Under Bill 1 COPY 到CO欄位'!$1:$1048576,'Over Under Bill 1 COPY 到CO欄位'!AY$1,0)-VLOOKUP($A54,'Over Under Bill 1 COPY 到CO欄位'!$1:$1048576,'Over Under Bill 1 COPY 到CO欄位'!AT$1,0)</f>
        <v>0</v>
      </c>
      <c r="AZ54" s="158">
        <f t="shared" si="57"/>
        <v>0</v>
      </c>
      <c r="BA54" s="157">
        <f>VLOOKUP($A54,'Over Under Bill 1 COPY 到CO欄位'!$1:$1048576,'Over Under Bill 1 COPY 到CO欄位'!BA$1,0)-VLOOKUP($A54,'Over Under Bill 1 COPY 到CO欄位'!$1:$1048576,'Over Under Bill 1 COPY 到CO欄位'!AV$1,0)</f>
        <v>0</v>
      </c>
      <c r="BB54" s="157">
        <f>VLOOKUP($A54,'Over Under Bill 1 COPY 到CO欄位'!$1:$1048576,'Over Under Bill 1 COPY 到CO欄位'!BB$1,0)-VLOOKUP($A54,'Over Under Bill 1 COPY 到CO欄位'!$1:$1048576,'Over Under Bill 1 COPY 到CO欄位'!AW$1,0)</f>
        <v>0</v>
      </c>
      <c r="BC54" s="157">
        <f t="shared" si="58"/>
        <v>0</v>
      </c>
      <c r="BD54" s="157">
        <f>VLOOKUP($A54,'Over Under Bill 1 COPY 到CO欄位'!$1:$1048576,'Over Under Bill 1 COPY 到CO欄位'!BD$1,0)-VLOOKUP($A54,'Over Under Bill 1 COPY 到CO欄位'!$1:$1048576,'Over Under Bill 1 COPY 到CO欄位'!AY$1,0)</f>
        <v>0</v>
      </c>
      <c r="BE54" s="157">
        <f t="shared" si="59"/>
        <v>0</v>
      </c>
      <c r="BF54" s="158">
        <f>VLOOKUP($A54,'Over Under Bill 1 COPY 到CO欄位'!$1:$1048576,'Over Under Bill 1 COPY 到CO欄位'!BF$1,0)-VLOOKUP($A54,'Over Under Bill 1 COPY 到CO欄位'!$1:$1048576,'Over Under Bill 1 COPY 到CO欄位'!BA$1,0)</f>
        <v>0</v>
      </c>
      <c r="BG54" s="158">
        <f>VLOOKUP($A54,'Over Under Bill 1 COPY 到CO欄位'!$1:$1048576,'Over Under Bill 1 COPY 到CO欄位'!BG$1,0)-VLOOKUP($A54,'Over Under Bill 1 COPY 到CO欄位'!$1:$1048576,'Over Under Bill 1 COPY 到CO欄位'!BB$1,0)</f>
        <v>0</v>
      </c>
      <c r="BH54" s="158">
        <f t="shared" si="60"/>
        <v>0</v>
      </c>
      <c r="BI54" s="158">
        <f>VLOOKUP($A54,'Over Under Bill 1 COPY 到CO欄位'!$1:$1048576,'Over Under Bill 1 COPY 到CO欄位'!BI$1,0)-VLOOKUP($A54,'Over Under Bill 1 COPY 到CO欄位'!$1:$1048576,'Over Under Bill 1 COPY 到CO欄位'!BD$1,0)</f>
        <v>0</v>
      </c>
      <c r="BJ54" s="158">
        <f t="shared" si="61"/>
        <v>0</v>
      </c>
      <c r="BK54" s="157">
        <f>VLOOKUP($A54,'Over Under Bill 1 COPY 到CO欄位'!$1:$1048576,'Over Under Bill 1 COPY 到CO欄位'!BK$1,0)-VLOOKUP($A54,'Over Under Bill 1 COPY 到CO欄位'!$1:$1048576,'Over Under Bill 1 COPY 到CO欄位'!BF$1,0)</f>
        <v>0</v>
      </c>
      <c r="BL54" s="157">
        <f>VLOOKUP($A54,'Over Under Bill 1 COPY 到CO欄位'!$1:$1048576,'Over Under Bill 1 COPY 到CO欄位'!BL$1,0)-VLOOKUP($A54,'Over Under Bill 1 COPY 到CO欄位'!$1:$1048576,'Over Under Bill 1 COPY 到CO欄位'!BG$1,0)</f>
        <v>0</v>
      </c>
      <c r="BM54" s="157">
        <f t="shared" si="62"/>
        <v>0</v>
      </c>
      <c r="BN54" s="157">
        <f>VLOOKUP($A54,'Over Under Bill 1 COPY 到CO欄位'!$1:$1048576,'Over Under Bill 1 COPY 到CO欄位'!BN$1,0)-VLOOKUP($A54,'Over Under Bill 1 COPY 到CO欄位'!$1:$1048576,'Over Under Bill 1 COPY 到CO欄位'!BI$1,0)</f>
        <v>0</v>
      </c>
      <c r="BO54" s="157">
        <f t="shared" si="63"/>
        <v>0</v>
      </c>
      <c r="BP54" s="158">
        <f>VLOOKUP($A54,'Over Under Bill 1 COPY 到CO欄位'!$1:$1048576,'Over Under Bill 1 COPY 到CO欄位'!BP$1,0)-VLOOKUP($A54,'Over Under Bill 1 COPY 到CO欄位'!$1:$1048576,'Over Under Bill 1 COPY 到CO欄位'!BK$1,0)</f>
        <v>0</v>
      </c>
      <c r="BQ54" s="158">
        <f>VLOOKUP($A54,'Over Under Bill 1 COPY 到CO欄位'!$1:$1048576,'Over Under Bill 1 COPY 到CO欄位'!BQ$1,0)-VLOOKUP($A54,'Over Under Bill 1 COPY 到CO欄位'!$1:$1048576,'Over Under Bill 1 COPY 到CO欄位'!BL$1,0)</f>
        <v>0</v>
      </c>
      <c r="BR54" s="158">
        <f t="shared" si="64"/>
        <v>0</v>
      </c>
      <c r="BS54" s="158">
        <f>VLOOKUP($A54,'Over Under Bill 1 COPY 到CO欄位'!$1:$1048576,'Over Under Bill 1 COPY 到CO欄位'!BS$1,0)-VLOOKUP($A54,'Over Under Bill 1 COPY 到CO欄位'!$1:$1048576,'Over Under Bill 1 COPY 到CO欄位'!BN$1,0)</f>
        <v>0</v>
      </c>
      <c r="BT54" s="158">
        <f t="shared" si="65"/>
        <v>0</v>
      </c>
      <c r="BU54" s="157">
        <f>VLOOKUP($A54,'Over Under Bill 1 COPY 到CO欄位'!$1:$1048576,'Over Under Bill 1 COPY 到CO欄位'!BP$1,0)-VLOOKUP($A54,'Over Under Bill 1 COPY 到CO欄位'!$1:$1048576,'Over Under Bill 1 COPY 到CO欄位'!H$1,0)</f>
        <v>0</v>
      </c>
      <c r="BV54" s="157">
        <f>VLOOKUP($A54,'Over Under Bill 1 COPY 到CO欄位'!$1:$1048576,'Over Under Bill 1 COPY 到CO欄位'!BQ$1,0)-VLOOKUP($A54,'Over Under Bill 1 COPY 到CO欄位'!$1:$1048576,'Over Under Bill 1 COPY 到CO欄位'!I$1,0)</f>
        <v>0</v>
      </c>
      <c r="BW54" s="157">
        <f t="shared" si="66"/>
        <v>0</v>
      </c>
      <c r="BX54" s="157">
        <f>VLOOKUP($A54,'Over Under Bill 1 COPY 到CO欄位'!$1:$1048576,'Over Under Bill 1 COPY 到CO欄位'!BS$1,0)-VLOOKUP($A54,'Over Under Bill 1 COPY 到CO欄位'!$1:$1048576,'Over Under Bill 1 COPY 到CO欄位'!K$1,0)</f>
        <v>0</v>
      </c>
      <c r="BY54" s="157">
        <f t="shared" si="67"/>
        <v>0</v>
      </c>
      <c r="BZ54" s="158">
        <f>VLOOKUP($A54,'Over Under Bill 1 COPY 到CO欄位'!$1:$1048576,'Over Under Bill 1 COPY 到CO欄位'!BU$1,0)-VLOOKUP($A54,'Over Under Bill 1 COPY 到CO欄位'!$1:$1048576,'Over Under Bill 1 COPY 到CO欄位'!BP$1,0)</f>
        <v>0</v>
      </c>
      <c r="CA54" s="158">
        <f>VLOOKUP($A54,'Over Under Bill 1 COPY 到CO欄位'!$1:$1048576,'Over Under Bill 1 COPY 到CO欄位'!BV$1,0)-VLOOKUP($A54,'Over Under Bill 1 COPY 到CO欄位'!$1:$1048576,'Over Under Bill 1 COPY 到CO欄位'!BQ$1,0)</f>
        <v>0</v>
      </c>
      <c r="CB54" s="158">
        <f t="shared" si="68"/>
        <v>0</v>
      </c>
      <c r="CC54" s="158">
        <f>VLOOKUP($A54,'Over Under Bill 1 COPY 到CO欄位'!$1:$1048576,'Over Under Bill 1 COPY 到CO欄位'!BX$1,0)-VLOOKUP($A54,'Over Under Bill 1 COPY 到CO欄位'!$1:$1048576,'Over Under Bill 1 COPY 到CO欄位'!BS$1,0)</f>
        <v>0</v>
      </c>
      <c r="CD54" s="158">
        <f t="shared" si="69"/>
        <v>0</v>
      </c>
      <c r="CE54" s="157">
        <f>VLOOKUP($A54,'Over Under Bill 1 COPY 到CO欄位'!$1:$1048576,'Over Under Bill 1 COPY 到CO欄位'!BZ$1,0)-VLOOKUP($A54,'Over Under Bill 1 COPY 到CO欄位'!$1:$1048576,'Over Under Bill 1 COPY 到CO欄位'!BU$1,0)</f>
        <v>0</v>
      </c>
      <c r="CF54" s="157">
        <f>VLOOKUP($A54,'Over Under Bill 1 COPY 到CO欄位'!$1:$1048576,'Over Under Bill 1 COPY 到CO欄位'!CA$1,0)-VLOOKUP($A54,'Over Under Bill 1 COPY 到CO欄位'!$1:$1048576,'Over Under Bill 1 COPY 到CO欄位'!BV$1,0)</f>
        <v>0</v>
      </c>
      <c r="CG54" s="157">
        <f t="shared" si="70"/>
        <v>0</v>
      </c>
      <c r="CH54" s="157">
        <f>VLOOKUP($A54,'Over Under Bill 1 COPY 到CO欄位'!$1:$1048576,'Over Under Bill 1 COPY 到CO欄位'!CC$1,0)-VLOOKUP($A54,'Over Under Bill 1 COPY 到CO欄位'!$1:$1048576,'Over Under Bill 1 COPY 到CO欄位'!BX$1,0)</f>
        <v>0</v>
      </c>
      <c r="CI54" s="157">
        <f t="shared" si="71"/>
        <v>0</v>
      </c>
      <c r="CJ54" s="158">
        <f>VLOOKUP($A54,'Over Under Bill 1 COPY 到CO欄位'!$1:$1048576,'Over Under Bill 1 COPY 到CO欄位'!CE$1,0)-VLOOKUP($A54,'Over Under Bill 1 COPY 到CO欄位'!$1:$1048576,'Over Under Bill 1 COPY 到CO欄位'!BZ$1,0)</f>
        <v>0</v>
      </c>
      <c r="CK54" s="158">
        <f>VLOOKUP($A54,'Over Under Bill 1 COPY 到CO欄位'!$1:$1048576,'Over Under Bill 1 COPY 到CO欄位'!CF$1,0)-VLOOKUP($A54,'Over Under Bill 1 COPY 到CO欄位'!$1:$1048576,'Over Under Bill 1 COPY 到CO欄位'!CA$1,0)</f>
        <v>0</v>
      </c>
      <c r="CL54" s="158">
        <f t="shared" si="72"/>
        <v>0</v>
      </c>
      <c r="CM54" s="158">
        <f>VLOOKUP($A54,'Over Under Bill 1 COPY 到CO欄位'!$1:$1048576,'Over Under Bill 1 COPY 到CO欄位'!CH$1,0)-VLOOKUP($A54,'Over Under Bill 1 COPY 到CO欄位'!$1:$1048576,'Over Under Bill 1 COPY 到CO欄位'!CC$1,0)</f>
        <v>0</v>
      </c>
      <c r="CN54" s="158">
        <f t="shared" si="73"/>
        <v>0</v>
      </c>
      <c r="CO54" s="157">
        <f>VLOOKUP($A54,'Over Under Bill 1 COPY 到CO欄位'!$1:$1048576,'Over Under Bill 1 COPY 到CO欄位'!CJ$1,0)-VLOOKUP($A54,'Over Under Bill 1 COPY 到CO欄位'!$1:$1048576,'Over Under Bill 1 COPY 到CO欄位'!CE$1,0)</f>
        <v>0</v>
      </c>
      <c r="CP54" s="157">
        <f>VLOOKUP($A54,'Over Under Bill 1 COPY 到CO欄位'!$1:$1048576,'Over Under Bill 1 COPY 到CO欄位'!CK$1,0)-VLOOKUP($A54,'Over Under Bill 1 COPY 到CO欄位'!$1:$1048576,'Over Under Bill 1 COPY 到CO欄位'!CF$1,0)</f>
        <v>0</v>
      </c>
      <c r="CQ54" s="157">
        <f t="shared" si="74"/>
        <v>0</v>
      </c>
      <c r="CR54" s="157">
        <f>VLOOKUP($A54,'Over Under Bill 1 COPY 到CO欄位'!$1:$1048576,'Over Under Bill 1 COPY 到CO欄位'!CM$1,0)-VLOOKUP($A54,'Over Under Bill 1 COPY 到CO欄位'!$1:$1048576,'Over Under Bill 1 COPY 到CO欄位'!CH$1,0)</f>
        <v>0</v>
      </c>
      <c r="CS54" s="157">
        <f t="shared" si="75"/>
        <v>0</v>
      </c>
    </row>
    <row r="55" spans="1:97" ht="16.2">
      <c r="A55" s="171"/>
      <c r="B55" s="196"/>
      <c r="C55" s="157"/>
      <c r="D55" s="157"/>
      <c r="E55" s="157"/>
      <c r="F55" s="157"/>
      <c r="G55" s="157"/>
      <c r="H55" s="158"/>
      <c r="I55" s="158"/>
      <c r="J55" s="158"/>
      <c r="K55" s="158"/>
      <c r="L55" s="158"/>
      <c r="M55" s="157"/>
      <c r="N55" s="157"/>
      <c r="O55" s="157"/>
      <c r="P55" s="157"/>
      <c r="Q55" s="157"/>
      <c r="R55" s="158"/>
      <c r="S55" s="158"/>
      <c r="T55" s="158"/>
      <c r="U55" s="158"/>
      <c r="V55" s="158"/>
      <c r="W55" s="157"/>
      <c r="X55" s="157"/>
      <c r="Y55" s="157"/>
      <c r="Z55" s="157"/>
      <c r="AA55" s="157"/>
      <c r="AB55" s="158"/>
      <c r="AC55" s="158"/>
      <c r="AD55" s="158"/>
      <c r="AE55" s="158"/>
      <c r="AF55" s="158"/>
      <c r="AG55" s="157"/>
      <c r="AH55" s="157"/>
      <c r="AI55" s="157"/>
      <c r="AJ55" s="157"/>
      <c r="AK55" s="157"/>
      <c r="AL55" s="158"/>
      <c r="AM55" s="158"/>
      <c r="AN55" s="158"/>
      <c r="AO55" s="158"/>
      <c r="AP55" s="158"/>
      <c r="AQ55" s="157"/>
      <c r="AR55" s="157"/>
      <c r="AS55" s="157"/>
      <c r="AT55" s="157"/>
      <c r="AU55" s="157"/>
      <c r="AV55" s="158"/>
      <c r="AW55" s="158"/>
      <c r="AX55" s="158"/>
      <c r="AY55" s="158"/>
      <c r="AZ55" s="158"/>
      <c r="BA55" s="157"/>
      <c r="BB55" s="157"/>
      <c r="BC55" s="157"/>
      <c r="BD55" s="157"/>
      <c r="BE55" s="157"/>
      <c r="BF55" s="158"/>
      <c r="BG55" s="158"/>
      <c r="BH55" s="158"/>
      <c r="BI55" s="158"/>
      <c r="BJ55" s="158"/>
      <c r="BK55" s="157"/>
      <c r="BL55" s="157"/>
      <c r="BM55" s="157"/>
      <c r="BN55" s="157"/>
      <c r="BO55" s="157"/>
      <c r="BP55" s="158"/>
      <c r="BQ55" s="158"/>
      <c r="BR55" s="158"/>
      <c r="BS55" s="158"/>
      <c r="BT55" s="158"/>
      <c r="BU55" s="157"/>
      <c r="BV55" s="157"/>
      <c r="BW55" s="157"/>
      <c r="BX55" s="157"/>
      <c r="BY55" s="157"/>
      <c r="BZ55" s="158"/>
      <c r="CA55" s="158"/>
      <c r="CB55" s="158"/>
      <c r="CC55" s="158"/>
      <c r="CD55" s="158"/>
      <c r="CE55" s="157"/>
      <c r="CF55" s="157"/>
      <c r="CG55" s="157"/>
      <c r="CH55" s="157"/>
      <c r="CI55" s="157"/>
      <c r="CJ55" s="158"/>
      <c r="CK55" s="158"/>
      <c r="CL55" s="158"/>
      <c r="CM55" s="158"/>
      <c r="CN55" s="158"/>
      <c r="CO55" s="157"/>
      <c r="CP55" s="157"/>
      <c r="CQ55" s="157"/>
      <c r="CR55" s="157"/>
      <c r="CS55" s="157"/>
    </row>
    <row r="56" spans="1:97">
      <c r="A56" s="171" t="s">
        <v>407</v>
      </c>
      <c r="B56" s="172" t="s">
        <v>408</v>
      </c>
      <c r="C56" s="157">
        <f>IFERROR(VLOOKUP($A56,'A0 BS 1240在建'!$1:$1048576,5,0),0)</f>
        <v>0</v>
      </c>
      <c r="D56" s="157">
        <f>IFERROR(VLOOKUP($A56,'B0 2264預收'!$1:$1048576,5,0),0)</f>
        <v>0</v>
      </c>
      <c r="E56" s="157">
        <f t="shared" ref="E56:E88" si="76">+C56-D56</f>
        <v>0</v>
      </c>
      <c r="F56" s="157">
        <f>IFERROR(VLOOKUP($A56,'B0 2264預收'!$1:$1048576,6,0),0)</f>
        <v>0</v>
      </c>
      <c r="G56" s="157">
        <f t="shared" ref="G56:G88" si="77">+C56-D56-F56</f>
        <v>0</v>
      </c>
      <c r="H56" s="158">
        <f>IFERROR(VLOOKUP($A56,'A0 BS 1240在建'!$1:$1048576,13,0),0)-C56</f>
        <v>0</v>
      </c>
      <c r="I56" s="158">
        <f>IFERROR(VLOOKUP($A56,'B0 2264預收'!$1:$1048576,13,0),0)-D56</f>
        <v>0</v>
      </c>
      <c r="J56" s="158">
        <f t="shared" ref="J56:J88" si="78">+H56-I56</f>
        <v>0</v>
      </c>
      <c r="K56" s="158">
        <f>IFERROR(VLOOKUP($A56,'B0 2264預收'!$1:$1048576,14,0),0)-F56</f>
        <v>0</v>
      </c>
      <c r="L56" s="158">
        <f t="shared" ref="L56:L88" si="79">+J56-K56</f>
        <v>0</v>
      </c>
      <c r="M56" s="157">
        <f>VLOOKUP($A56,'Over Under Bill 1 COPY 到CO欄位'!$1:$1048576,'Over Under Bill 1 COPY 到CO欄位'!M$1,0)-VLOOKUP($A56,'Over Under Bill 1 COPY 到CO欄位'!$1:$1048576,'Over Under Bill 1 COPY 到CO欄位'!H$1,0)</f>
        <v>0</v>
      </c>
      <c r="N56" s="157">
        <f>VLOOKUP($A56,'Over Under Bill 1 COPY 到CO欄位'!$1:$1048576,'Over Under Bill 1 COPY 到CO欄位'!N$1,0)-VLOOKUP($A56,'Over Under Bill 1 COPY 到CO欄位'!$1:$1048576,'Over Under Bill 1 COPY 到CO欄位'!I$1,0)</f>
        <v>0</v>
      </c>
      <c r="O56" s="157">
        <f t="shared" ref="O56:O88" si="80">+M56-N56</f>
        <v>0</v>
      </c>
      <c r="P56" s="157">
        <f>VLOOKUP($A56,'Over Under Bill 1 COPY 到CO欄位'!$1:$1048576,'Over Under Bill 1 COPY 到CO欄位'!P$1,0)-VLOOKUP($A56,'Over Under Bill 1 COPY 到CO欄位'!$1:$1048576,'Over Under Bill 1 COPY 到CO欄位'!K$1,0)</f>
        <v>0</v>
      </c>
      <c r="Q56" s="157">
        <f t="shared" ref="Q56:Q88" si="81">+O56-P56</f>
        <v>0</v>
      </c>
      <c r="R56" s="158">
        <f>VLOOKUP($A56,'Over Under Bill 1 COPY 到CO欄位'!$1:$1048576,'Over Under Bill 1 COPY 到CO欄位'!R$1,0)-VLOOKUP($A56,'Over Under Bill 1 COPY 到CO欄位'!$1:$1048576,'Over Under Bill 1 COPY 到CO欄位'!M$1,0)</f>
        <v>0</v>
      </c>
      <c r="S56" s="158">
        <f>VLOOKUP($A56,'Over Under Bill 1 COPY 到CO欄位'!$1:$1048576,'Over Under Bill 1 COPY 到CO欄位'!S$1,0)-VLOOKUP($A56,'Over Under Bill 1 COPY 到CO欄位'!$1:$1048576,'Over Under Bill 1 COPY 到CO欄位'!N$1,0)</f>
        <v>0</v>
      </c>
      <c r="T56" s="158">
        <f t="shared" ref="T56:T88" si="82">+R56-S56</f>
        <v>0</v>
      </c>
      <c r="U56" s="158">
        <f>VLOOKUP($A56,'Over Under Bill 1 COPY 到CO欄位'!$1:$1048576,'Over Under Bill 1 COPY 到CO欄位'!U$1,0)-VLOOKUP($A56,'Over Under Bill 1 COPY 到CO欄位'!$1:$1048576,'Over Under Bill 1 COPY 到CO欄位'!P$1,0)</f>
        <v>0</v>
      </c>
      <c r="V56" s="158">
        <f t="shared" ref="V56:V88" si="83">+T56-U56</f>
        <v>0</v>
      </c>
      <c r="W56" s="157">
        <f>VLOOKUP($A56,'Over Under Bill 1 COPY 到CO欄位'!$1:$1048576,'Over Under Bill 1 COPY 到CO欄位'!W$1,0)-VLOOKUP($A56,'Over Under Bill 1 COPY 到CO欄位'!$1:$1048576,'Over Under Bill 1 COPY 到CO欄位'!R$1,0)</f>
        <v>0</v>
      </c>
      <c r="X56" s="157">
        <f>VLOOKUP($A56,'Over Under Bill 1 COPY 到CO欄位'!$1:$1048576,'Over Under Bill 1 COPY 到CO欄位'!X$1,0)-VLOOKUP($A56,'Over Under Bill 1 COPY 到CO欄位'!$1:$1048576,'Over Under Bill 1 COPY 到CO欄位'!S$1,0)</f>
        <v>0</v>
      </c>
      <c r="Y56" s="157">
        <f t="shared" ref="Y56:Y88" si="84">+W56-X56</f>
        <v>0</v>
      </c>
      <c r="Z56" s="157">
        <f>VLOOKUP($A56,'Over Under Bill 1 COPY 到CO欄位'!$1:$1048576,'Over Under Bill 1 COPY 到CO欄位'!Z$1,0)-VLOOKUP($A56,'Over Under Bill 1 COPY 到CO欄位'!$1:$1048576,'Over Under Bill 1 COPY 到CO欄位'!U$1,0)</f>
        <v>0</v>
      </c>
      <c r="AA56" s="157">
        <f t="shared" ref="AA56:AA88" si="85">+Y56-Z56</f>
        <v>0</v>
      </c>
      <c r="AB56" s="158">
        <f>VLOOKUP($A56,'Over Under Bill 1 COPY 到CO欄位'!$1:$1048576,'Over Under Bill 1 COPY 到CO欄位'!AB$1,0)-VLOOKUP($A56,'Over Under Bill 1 COPY 到CO欄位'!$1:$1048576,'Over Under Bill 1 COPY 到CO欄位'!W$1,0)</f>
        <v>0</v>
      </c>
      <c r="AC56" s="158">
        <f>VLOOKUP($A56,'Over Under Bill 1 COPY 到CO欄位'!$1:$1048576,'Over Under Bill 1 COPY 到CO欄位'!AC$1,0)-VLOOKUP($A56,'Over Under Bill 1 COPY 到CO欄位'!$1:$1048576,'Over Under Bill 1 COPY 到CO欄位'!X$1,0)</f>
        <v>0</v>
      </c>
      <c r="AD56" s="158">
        <f t="shared" ref="AD56:AD88" si="86">+AB56-AC56</f>
        <v>0</v>
      </c>
      <c r="AE56" s="158">
        <f>VLOOKUP($A56,'Over Under Bill 1 COPY 到CO欄位'!$1:$1048576,'Over Under Bill 1 COPY 到CO欄位'!AE$1,0)-VLOOKUP($A56,'Over Under Bill 1 COPY 到CO欄位'!$1:$1048576,'Over Under Bill 1 COPY 到CO欄位'!Z$1,0)</f>
        <v>0</v>
      </c>
      <c r="AF56" s="158">
        <f t="shared" ref="AF56:AF88" si="87">+AD56-AE56</f>
        <v>0</v>
      </c>
      <c r="AG56" s="157">
        <f>VLOOKUP($A56,'Over Under Bill 1 COPY 到CO欄位'!$1:$1048576,'Over Under Bill 1 COPY 到CO欄位'!AG$1,0)-VLOOKUP($A56,'Over Under Bill 1 COPY 到CO欄位'!$1:$1048576,'Over Under Bill 1 COPY 到CO欄位'!AB$1,0)</f>
        <v>0</v>
      </c>
      <c r="AH56" s="157">
        <f>VLOOKUP($A56,'Over Under Bill 1 COPY 到CO欄位'!$1:$1048576,'Over Under Bill 1 COPY 到CO欄位'!AH$1,0)-VLOOKUP($A56,'Over Under Bill 1 COPY 到CO欄位'!$1:$1048576,'Over Under Bill 1 COPY 到CO欄位'!AC$1,0)</f>
        <v>0</v>
      </c>
      <c r="AI56" s="157">
        <f t="shared" ref="AI56:AI88" si="88">+AG56-AH56</f>
        <v>0</v>
      </c>
      <c r="AJ56" s="157">
        <f>VLOOKUP($A56,'Over Under Bill 1 COPY 到CO欄位'!$1:$1048576,'Over Under Bill 1 COPY 到CO欄位'!AJ$1,0)-VLOOKUP($A56,'Over Under Bill 1 COPY 到CO欄位'!$1:$1048576,'Over Under Bill 1 COPY 到CO欄位'!AE$1,0)</f>
        <v>0</v>
      </c>
      <c r="AK56" s="157">
        <f t="shared" ref="AK56:AK88" si="89">+AI56-AJ56</f>
        <v>0</v>
      </c>
      <c r="AL56" s="158">
        <f>VLOOKUP($A56,'Over Under Bill 1 COPY 到CO欄位'!$1:$1048576,'Over Under Bill 1 COPY 到CO欄位'!AL$1,0)-VLOOKUP($A56,'Over Under Bill 1 COPY 到CO欄位'!$1:$1048576,'Over Under Bill 1 COPY 到CO欄位'!AG$1,0)</f>
        <v>0</v>
      </c>
      <c r="AM56" s="158">
        <f>VLOOKUP($A56,'Over Under Bill 1 COPY 到CO欄位'!$1:$1048576,'Over Under Bill 1 COPY 到CO欄位'!AM$1,0)-VLOOKUP($A56,'Over Under Bill 1 COPY 到CO欄位'!$1:$1048576,'Over Under Bill 1 COPY 到CO欄位'!AH$1,0)</f>
        <v>0</v>
      </c>
      <c r="AN56" s="158">
        <f t="shared" ref="AN56:AN88" si="90">+AL56-AM56</f>
        <v>0</v>
      </c>
      <c r="AO56" s="158">
        <f>VLOOKUP($A56,'Over Under Bill 1 COPY 到CO欄位'!$1:$1048576,'Over Under Bill 1 COPY 到CO欄位'!AO$1,0)-VLOOKUP($A56,'Over Under Bill 1 COPY 到CO欄位'!$1:$1048576,'Over Under Bill 1 COPY 到CO欄位'!AJ$1,0)</f>
        <v>0</v>
      </c>
      <c r="AP56" s="158">
        <f t="shared" ref="AP56:AP88" si="91">+AN56-AO56</f>
        <v>0</v>
      </c>
      <c r="AQ56" s="157">
        <f>VLOOKUP($A56,'Over Under Bill 1 COPY 到CO欄位'!$1:$1048576,'Over Under Bill 1 COPY 到CO欄位'!AQ$1,0)-VLOOKUP($A56,'Over Under Bill 1 COPY 到CO欄位'!$1:$1048576,'Over Under Bill 1 COPY 到CO欄位'!AL$1,0)</f>
        <v>0</v>
      </c>
      <c r="AR56" s="157">
        <f>VLOOKUP($A56,'Over Under Bill 1 COPY 到CO欄位'!$1:$1048576,'Over Under Bill 1 COPY 到CO欄位'!AR$1,0)-VLOOKUP($A56,'Over Under Bill 1 COPY 到CO欄位'!$1:$1048576,'Over Under Bill 1 COPY 到CO欄位'!AM$1,0)</f>
        <v>0</v>
      </c>
      <c r="AS56" s="157">
        <f t="shared" ref="AS56:AS88" si="92">+AQ56-AR56</f>
        <v>0</v>
      </c>
      <c r="AT56" s="157">
        <f>VLOOKUP($A56,'Over Under Bill 1 COPY 到CO欄位'!$1:$1048576,'Over Under Bill 1 COPY 到CO欄位'!AT$1,0)-VLOOKUP($A56,'Over Under Bill 1 COPY 到CO欄位'!$1:$1048576,'Over Under Bill 1 COPY 到CO欄位'!AO$1,0)</f>
        <v>0</v>
      </c>
      <c r="AU56" s="157">
        <f t="shared" ref="AU56:AU88" si="93">+AS56-AT56</f>
        <v>0</v>
      </c>
      <c r="AV56" s="158">
        <f>VLOOKUP($A56,'Over Under Bill 1 COPY 到CO欄位'!$1:$1048576,'Over Under Bill 1 COPY 到CO欄位'!AV$1,0)-VLOOKUP($A56,'Over Under Bill 1 COPY 到CO欄位'!$1:$1048576,'Over Under Bill 1 COPY 到CO欄位'!AQ$1,0)</f>
        <v>0</v>
      </c>
      <c r="AW56" s="158">
        <f>VLOOKUP($A56,'Over Under Bill 1 COPY 到CO欄位'!$1:$1048576,'Over Under Bill 1 COPY 到CO欄位'!AW$1,0)-VLOOKUP($A56,'Over Under Bill 1 COPY 到CO欄位'!$1:$1048576,'Over Under Bill 1 COPY 到CO欄位'!AR$1,0)</f>
        <v>0</v>
      </c>
      <c r="AX56" s="158">
        <f t="shared" ref="AX56:AX88" si="94">+AV56-AW56</f>
        <v>0</v>
      </c>
      <c r="AY56" s="158">
        <f>VLOOKUP($A56,'Over Under Bill 1 COPY 到CO欄位'!$1:$1048576,'Over Under Bill 1 COPY 到CO欄位'!AY$1,0)-VLOOKUP($A56,'Over Under Bill 1 COPY 到CO欄位'!$1:$1048576,'Over Under Bill 1 COPY 到CO欄位'!AT$1,0)</f>
        <v>0</v>
      </c>
      <c r="AZ56" s="158">
        <f t="shared" ref="AZ56:AZ88" si="95">+AX56-AY56</f>
        <v>0</v>
      </c>
      <c r="BA56" s="157">
        <f>VLOOKUP($A56,'Over Under Bill 1 COPY 到CO欄位'!$1:$1048576,'Over Under Bill 1 COPY 到CO欄位'!BA$1,0)-VLOOKUP($A56,'Over Under Bill 1 COPY 到CO欄位'!$1:$1048576,'Over Under Bill 1 COPY 到CO欄位'!AV$1,0)</f>
        <v>0</v>
      </c>
      <c r="BB56" s="157">
        <f>VLOOKUP($A56,'Over Under Bill 1 COPY 到CO欄位'!$1:$1048576,'Over Under Bill 1 COPY 到CO欄位'!BB$1,0)-VLOOKUP($A56,'Over Under Bill 1 COPY 到CO欄位'!$1:$1048576,'Over Under Bill 1 COPY 到CO欄位'!AW$1,0)</f>
        <v>0</v>
      </c>
      <c r="BC56" s="157">
        <f t="shared" ref="BC56:BC88" si="96">+BA56-BB56</f>
        <v>0</v>
      </c>
      <c r="BD56" s="157">
        <f>VLOOKUP($A56,'Over Under Bill 1 COPY 到CO欄位'!$1:$1048576,'Over Under Bill 1 COPY 到CO欄位'!BD$1,0)-VLOOKUP($A56,'Over Under Bill 1 COPY 到CO欄位'!$1:$1048576,'Over Under Bill 1 COPY 到CO欄位'!AY$1,0)</f>
        <v>0</v>
      </c>
      <c r="BE56" s="157">
        <f t="shared" ref="BE56:BE88" si="97">+BC56-BD56</f>
        <v>0</v>
      </c>
      <c r="BF56" s="158">
        <f>VLOOKUP($A56,'Over Under Bill 1 COPY 到CO欄位'!$1:$1048576,'Over Under Bill 1 COPY 到CO欄位'!BF$1,0)-VLOOKUP($A56,'Over Under Bill 1 COPY 到CO欄位'!$1:$1048576,'Over Under Bill 1 COPY 到CO欄位'!BA$1,0)</f>
        <v>0</v>
      </c>
      <c r="BG56" s="158">
        <f>VLOOKUP($A56,'Over Under Bill 1 COPY 到CO欄位'!$1:$1048576,'Over Under Bill 1 COPY 到CO欄位'!BG$1,0)-VLOOKUP($A56,'Over Under Bill 1 COPY 到CO欄位'!$1:$1048576,'Over Under Bill 1 COPY 到CO欄位'!BB$1,0)</f>
        <v>0</v>
      </c>
      <c r="BH56" s="158">
        <f t="shared" ref="BH56:BH88" si="98">+BF56-BG56</f>
        <v>0</v>
      </c>
      <c r="BI56" s="158">
        <f>VLOOKUP($A56,'Over Under Bill 1 COPY 到CO欄位'!$1:$1048576,'Over Under Bill 1 COPY 到CO欄位'!BI$1,0)-VLOOKUP($A56,'Over Under Bill 1 COPY 到CO欄位'!$1:$1048576,'Over Under Bill 1 COPY 到CO欄位'!BD$1,0)</f>
        <v>0</v>
      </c>
      <c r="BJ56" s="158">
        <f t="shared" ref="BJ56:BJ88" si="99">+BH56-BI56</f>
        <v>0</v>
      </c>
      <c r="BK56" s="157">
        <f>VLOOKUP($A56,'Over Under Bill 1 COPY 到CO欄位'!$1:$1048576,'Over Under Bill 1 COPY 到CO欄位'!BK$1,0)-VLOOKUP($A56,'Over Under Bill 1 COPY 到CO欄位'!$1:$1048576,'Over Under Bill 1 COPY 到CO欄位'!BF$1,0)</f>
        <v>0</v>
      </c>
      <c r="BL56" s="157">
        <f>VLOOKUP($A56,'Over Under Bill 1 COPY 到CO欄位'!$1:$1048576,'Over Under Bill 1 COPY 到CO欄位'!BL$1,0)-VLOOKUP($A56,'Over Under Bill 1 COPY 到CO欄位'!$1:$1048576,'Over Under Bill 1 COPY 到CO欄位'!BG$1,0)</f>
        <v>0</v>
      </c>
      <c r="BM56" s="157">
        <f t="shared" ref="BM56:BM88" si="100">+BK56-BL56</f>
        <v>0</v>
      </c>
      <c r="BN56" s="157">
        <f>VLOOKUP($A56,'Over Under Bill 1 COPY 到CO欄位'!$1:$1048576,'Over Under Bill 1 COPY 到CO欄位'!BN$1,0)-VLOOKUP($A56,'Over Under Bill 1 COPY 到CO欄位'!$1:$1048576,'Over Under Bill 1 COPY 到CO欄位'!BI$1,0)</f>
        <v>0</v>
      </c>
      <c r="BO56" s="157">
        <f t="shared" ref="BO56:BO88" si="101">+BM56-BN56</f>
        <v>0</v>
      </c>
      <c r="BP56" s="158">
        <f>VLOOKUP($A56,'Over Under Bill 1 COPY 到CO欄位'!$1:$1048576,'Over Under Bill 1 COPY 到CO欄位'!BP$1,0)-VLOOKUP($A56,'Over Under Bill 1 COPY 到CO欄位'!$1:$1048576,'Over Under Bill 1 COPY 到CO欄位'!BK$1,0)</f>
        <v>0</v>
      </c>
      <c r="BQ56" s="158">
        <f>VLOOKUP($A56,'Over Under Bill 1 COPY 到CO欄位'!$1:$1048576,'Over Under Bill 1 COPY 到CO欄位'!BQ$1,0)-VLOOKUP($A56,'Over Under Bill 1 COPY 到CO欄位'!$1:$1048576,'Over Under Bill 1 COPY 到CO欄位'!BL$1,0)</f>
        <v>0</v>
      </c>
      <c r="BR56" s="158">
        <f t="shared" ref="BR56:BR88" si="102">+BP56-BQ56</f>
        <v>0</v>
      </c>
      <c r="BS56" s="158">
        <f>VLOOKUP($A56,'Over Under Bill 1 COPY 到CO欄位'!$1:$1048576,'Over Under Bill 1 COPY 到CO欄位'!BS$1,0)-VLOOKUP($A56,'Over Under Bill 1 COPY 到CO欄位'!$1:$1048576,'Over Under Bill 1 COPY 到CO欄位'!BN$1,0)</f>
        <v>0</v>
      </c>
      <c r="BT56" s="158">
        <f t="shared" ref="BT56:BT88" si="103">+BR56-BS56</f>
        <v>0</v>
      </c>
      <c r="BU56" s="157">
        <f>VLOOKUP($A56,'Over Under Bill 1 COPY 到CO欄位'!$1:$1048576,'Over Under Bill 1 COPY 到CO欄位'!BP$1,0)-VLOOKUP($A56,'Over Under Bill 1 COPY 到CO欄位'!$1:$1048576,'Over Under Bill 1 COPY 到CO欄位'!H$1,0)</f>
        <v>0</v>
      </c>
      <c r="BV56" s="157">
        <f>VLOOKUP($A56,'Over Under Bill 1 COPY 到CO欄位'!$1:$1048576,'Over Under Bill 1 COPY 到CO欄位'!BQ$1,0)-VLOOKUP($A56,'Over Under Bill 1 COPY 到CO欄位'!$1:$1048576,'Over Under Bill 1 COPY 到CO欄位'!I$1,0)</f>
        <v>0</v>
      </c>
      <c r="BW56" s="157">
        <f t="shared" ref="BW56:BW88" si="104">+BU56-BV56</f>
        <v>0</v>
      </c>
      <c r="BX56" s="157">
        <f>VLOOKUP($A56,'Over Under Bill 1 COPY 到CO欄位'!$1:$1048576,'Over Under Bill 1 COPY 到CO欄位'!BS$1,0)-VLOOKUP($A56,'Over Under Bill 1 COPY 到CO欄位'!$1:$1048576,'Over Under Bill 1 COPY 到CO欄位'!K$1,0)</f>
        <v>0</v>
      </c>
      <c r="BY56" s="157">
        <f t="shared" ref="BY56:BY88" si="105">+BW56-BX56</f>
        <v>0</v>
      </c>
      <c r="BZ56" s="158">
        <f>VLOOKUP($A56,'Over Under Bill 1 COPY 到CO欄位'!$1:$1048576,'Over Under Bill 1 COPY 到CO欄位'!BU$1,0)-VLOOKUP($A56,'Over Under Bill 1 COPY 到CO欄位'!$1:$1048576,'Over Under Bill 1 COPY 到CO欄位'!BP$1,0)</f>
        <v>0</v>
      </c>
      <c r="CA56" s="158">
        <f>VLOOKUP($A56,'Over Under Bill 1 COPY 到CO欄位'!$1:$1048576,'Over Under Bill 1 COPY 到CO欄位'!BV$1,0)-VLOOKUP($A56,'Over Under Bill 1 COPY 到CO欄位'!$1:$1048576,'Over Under Bill 1 COPY 到CO欄位'!BQ$1,0)</f>
        <v>0</v>
      </c>
      <c r="CB56" s="158">
        <f t="shared" ref="CB56:CB88" si="106">+BZ56-CA56</f>
        <v>0</v>
      </c>
      <c r="CC56" s="158">
        <f>VLOOKUP($A56,'Over Under Bill 1 COPY 到CO欄位'!$1:$1048576,'Over Under Bill 1 COPY 到CO欄位'!BX$1,0)-VLOOKUP($A56,'Over Under Bill 1 COPY 到CO欄位'!$1:$1048576,'Over Under Bill 1 COPY 到CO欄位'!BS$1,0)</f>
        <v>0</v>
      </c>
      <c r="CD56" s="158">
        <f t="shared" ref="CD56:CD88" si="107">+CB56-CC56</f>
        <v>0</v>
      </c>
      <c r="CE56" s="157">
        <f>VLOOKUP($A56,'Over Under Bill 1 COPY 到CO欄位'!$1:$1048576,'Over Under Bill 1 COPY 到CO欄位'!BZ$1,0)-VLOOKUP($A56,'Over Under Bill 1 COPY 到CO欄位'!$1:$1048576,'Over Under Bill 1 COPY 到CO欄位'!BU$1,0)</f>
        <v>0</v>
      </c>
      <c r="CF56" s="157">
        <f>VLOOKUP($A56,'Over Under Bill 1 COPY 到CO欄位'!$1:$1048576,'Over Under Bill 1 COPY 到CO欄位'!CA$1,0)-VLOOKUP($A56,'Over Under Bill 1 COPY 到CO欄位'!$1:$1048576,'Over Under Bill 1 COPY 到CO欄位'!BV$1,0)</f>
        <v>0</v>
      </c>
      <c r="CG56" s="157">
        <f t="shared" ref="CG56:CG88" si="108">+CE56-CF56</f>
        <v>0</v>
      </c>
      <c r="CH56" s="157">
        <f>VLOOKUP($A56,'Over Under Bill 1 COPY 到CO欄位'!$1:$1048576,'Over Under Bill 1 COPY 到CO欄位'!CC$1,0)-VLOOKUP($A56,'Over Under Bill 1 COPY 到CO欄位'!$1:$1048576,'Over Under Bill 1 COPY 到CO欄位'!BX$1,0)</f>
        <v>0</v>
      </c>
      <c r="CI56" s="157">
        <f t="shared" ref="CI56:CI88" si="109">+CG56-CH56</f>
        <v>0</v>
      </c>
      <c r="CJ56" s="158">
        <f>VLOOKUP($A56,'Over Under Bill 1 COPY 到CO欄位'!$1:$1048576,'Over Under Bill 1 COPY 到CO欄位'!CE$1,0)-VLOOKUP($A56,'Over Under Bill 1 COPY 到CO欄位'!$1:$1048576,'Over Under Bill 1 COPY 到CO欄位'!BZ$1,0)</f>
        <v>0</v>
      </c>
      <c r="CK56" s="158">
        <f>VLOOKUP($A56,'Over Under Bill 1 COPY 到CO欄位'!$1:$1048576,'Over Under Bill 1 COPY 到CO欄位'!CF$1,0)-VLOOKUP($A56,'Over Under Bill 1 COPY 到CO欄位'!$1:$1048576,'Over Under Bill 1 COPY 到CO欄位'!CA$1,0)</f>
        <v>0</v>
      </c>
      <c r="CL56" s="158">
        <f t="shared" ref="CL56:CL88" si="110">+CJ56-CK56</f>
        <v>0</v>
      </c>
      <c r="CM56" s="158">
        <f>VLOOKUP($A56,'Over Under Bill 1 COPY 到CO欄位'!$1:$1048576,'Over Under Bill 1 COPY 到CO欄位'!CH$1,0)-VLOOKUP($A56,'Over Under Bill 1 COPY 到CO欄位'!$1:$1048576,'Over Under Bill 1 COPY 到CO欄位'!CC$1,0)</f>
        <v>0</v>
      </c>
      <c r="CN56" s="158">
        <f t="shared" ref="CN56:CN88" si="111">+CL56-CM56</f>
        <v>0</v>
      </c>
      <c r="CO56" s="157">
        <f>VLOOKUP($A56,'Over Under Bill 1 COPY 到CO欄位'!$1:$1048576,'Over Under Bill 1 COPY 到CO欄位'!CJ$1,0)-VLOOKUP($A56,'Over Under Bill 1 COPY 到CO欄位'!$1:$1048576,'Over Under Bill 1 COPY 到CO欄位'!CE$1,0)</f>
        <v>0</v>
      </c>
      <c r="CP56" s="157">
        <f>VLOOKUP($A56,'Over Under Bill 1 COPY 到CO欄位'!$1:$1048576,'Over Under Bill 1 COPY 到CO欄位'!CK$1,0)-VLOOKUP($A56,'Over Under Bill 1 COPY 到CO欄位'!$1:$1048576,'Over Under Bill 1 COPY 到CO欄位'!CF$1,0)</f>
        <v>0</v>
      </c>
      <c r="CQ56" s="157">
        <f t="shared" ref="CQ56:CQ88" si="112">+CO56-CP56</f>
        <v>0</v>
      </c>
      <c r="CR56" s="157">
        <f>VLOOKUP($A56,'Over Under Bill 1 COPY 到CO欄位'!$1:$1048576,'Over Under Bill 1 COPY 到CO欄位'!CM$1,0)-VLOOKUP($A56,'Over Under Bill 1 COPY 到CO欄位'!$1:$1048576,'Over Under Bill 1 COPY 到CO欄位'!CH$1,0)</f>
        <v>0</v>
      </c>
      <c r="CS56" s="157">
        <f t="shared" ref="CS56:CS88" si="113">+CQ56-CR56</f>
        <v>0</v>
      </c>
    </row>
    <row r="57" spans="1:97">
      <c r="A57" s="171" t="s">
        <v>409</v>
      </c>
      <c r="B57" s="172" t="s">
        <v>410</v>
      </c>
      <c r="C57" s="157">
        <f>IFERROR(VLOOKUP($A57,'A0 BS 1240在建'!$1:$1048576,5,0),0)</f>
        <v>0</v>
      </c>
      <c r="D57" s="157">
        <f>IFERROR(VLOOKUP($A57,'B0 2264預收'!$1:$1048576,5,0),0)</f>
        <v>0</v>
      </c>
      <c r="E57" s="157">
        <f t="shared" si="76"/>
        <v>0</v>
      </c>
      <c r="F57" s="157">
        <f>IFERROR(VLOOKUP($A57,'B0 2264預收'!$1:$1048576,6,0),0)</f>
        <v>0</v>
      </c>
      <c r="G57" s="157">
        <f t="shared" si="77"/>
        <v>0</v>
      </c>
      <c r="H57" s="158">
        <f>IFERROR(VLOOKUP($A57,'A0 BS 1240在建'!$1:$1048576,13,0),0)-C57</f>
        <v>0</v>
      </c>
      <c r="I57" s="158">
        <f>IFERROR(VLOOKUP($A57,'B0 2264預收'!$1:$1048576,13,0),0)-D57</f>
        <v>0</v>
      </c>
      <c r="J57" s="158">
        <f t="shared" si="78"/>
        <v>0</v>
      </c>
      <c r="K57" s="158">
        <f>IFERROR(VLOOKUP($A57,'B0 2264預收'!$1:$1048576,14,0),0)-F57</f>
        <v>0</v>
      </c>
      <c r="L57" s="158">
        <f t="shared" si="79"/>
        <v>0</v>
      </c>
      <c r="M57" s="157">
        <f>VLOOKUP($A57,'Over Under Bill 1 COPY 到CO欄位'!$1:$1048576,'Over Under Bill 1 COPY 到CO欄位'!M$1,0)-VLOOKUP($A57,'Over Under Bill 1 COPY 到CO欄位'!$1:$1048576,'Over Under Bill 1 COPY 到CO欄位'!H$1,0)</f>
        <v>0</v>
      </c>
      <c r="N57" s="157">
        <f>VLOOKUP($A57,'Over Under Bill 1 COPY 到CO欄位'!$1:$1048576,'Over Under Bill 1 COPY 到CO欄位'!N$1,0)-VLOOKUP($A57,'Over Under Bill 1 COPY 到CO欄位'!$1:$1048576,'Over Under Bill 1 COPY 到CO欄位'!I$1,0)</f>
        <v>0</v>
      </c>
      <c r="O57" s="157">
        <f t="shared" si="80"/>
        <v>0</v>
      </c>
      <c r="P57" s="157">
        <f>VLOOKUP($A57,'Over Under Bill 1 COPY 到CO欄位'!$1:$1048576,'Over Under Bill 1 COPY 到CO欄位'!P$1,0)-VLOOKUP($A57,'Over Under Bill 1 COPY 到CO欄位'!$1:$1048576,'Over Under Bill 1 COPY 到CO欄位'!K$1,0)</f>
        <v>0</v>
      </c>
      <c r="Q57" s="157">
        <f t="shared" si="81"/>
        <v>0</v>
      </c>
      <c r="R57" s="158">
        <f>VLOOKUP($A57,'Over Under Bill 1 COPY 到CO欄位'!$1:$1048576,'Over Under Bill 1 COPY 到CO欄位'!R$1,0)-VLOOKUP($A57,'Over Under Bill 1 COPY 到CO欄位'!$1:$1048576,'Over Under Bill 1 COPY 到CO欄位'!M$1,0)</f>
        <v>0</v>
      </c>
      <c r="S57" s="158">
        <f>VLOOKUP($A57,'Over Under Bill 1 COPY 到CO欄位'!$1:$1048576,'Over Under Bill 1 COPY 到CO欄位'!S$1,0)-VLOOKUP($A57,'Over Under Bill 1 COPY 到CO欄位'!$1:$1048576,'Over Under Bill 1 COPY 到CO欄位'!N$1,0)</f>
        <v>0</v>
      </c>
      <c r="T57" s="158">
        <f t="shared" si="82"/>
        <v>0</v>
      </c>
      <c r="U57" s="158">
        <f>VLOOKUP($A57,'Over Under Bill 1 COPY 到CO欄位'!$1:$1048576,'Over Under Bill 1 COPY 到CO欄位'!U$1,0)-VLOOKUP($A57,'Over Under Bill 1 COPY 到CO欄位'!$1:$1048576,'Over Under Bill 1 COPY 到CO欄位'!P$1,0)</f>
        <v>0</v>
      </c>
      <c r="V57" s="158">
        <f t="shared" si="83"/>
        <v>0</v>
      </c>
      <c r="W57" s="157">
        <f>VLOOKUP($A57,'Over Under Bill 1 COPY 到CO欄位'!$1:$1048576,'Over Under Bill 1 COPY 到CO欄位'!W$1,0)-VLOOKUP($A57,'Over Under Bill 1 COPY 到CO欄位'!$1:$1048576,'Over Under Bill 1 COPY 到CO欄位'!R$1,0)</f>
        <v>0</v>
      </c>
      <c r="X57" s="157">
        <f>VLOOKUP($A57,'Over Under Bill 1 COPY 到CO欄位'!$1:$1048576,'Over Under Bill 1 COPY 到CO欄位'!X$1,0)-VLOOKUP($A57,'Over Under Bill 1 COPY 到CO欄位'!$1:$1048576,'Over Under Bill 1 COPY 到CO欄位'!S$1,0)</f>
        <v>0</v>
      </c>
      <c r="Y57" s="157">
        <f t="shared" si="84"/>
        <v>0</v>
      </c>
      <c r="Z57" s="157">
        <f>VLOOKUP($A57,'Over Under Bill 1 COPY 到CO欄位'!$1:$1048576,'Over Under Bill 1 COPY 到CO欄位'!Z$1,0)-VLOOKUP($A57,'Over Under Bill 1 COPY 到CO欄位'!$1:$1048576,'Over Under Bill 1 COPY 到CO欄位'!U$1,0)</f>
        <v>0</v>
      </c>
      <c r="AA57" s="157">
        <f t="shared" si="85"/>
        <v>0</v>
      </c>
      <c r="AB57" s="158">
        <f>VLOOKUP($A57,'Over Under Bill 1 COPY 到CO欄位'!$1:$1048576,'Over Under Bill 1 COPY 到CO欄位'!AB$1,0)-VLOOKUP($A57,'Over Under Bill 1 COPY 到CO欄位'!$1:$1048576,'Over Under Bill 1 COPY 到CO欄位'!W$1,0)</f>
        <v>0</v>
      </c>
      <c r="AC57" s="158">
        <f>VLOOKUP($A57,'Over Under Bill 1 COPY 到CO欄位'!$1:$1048576,'Over Under Bill 1 COPY 到CO欄位'!AC$1,0)-VLOOKUP($A57,'Over Under Bill 1 COPY 到CO欄位'!$1:$1048576,'Over Under Bill 1 COPY 到CO欄位'!X$1,0)</f>
        <v>0</v>
      </c>
      <c r="AD57" s="158">
        <f t="shared" si="86"/>
        <v>0</v>
      </c>
      <c r="AE57" s="158">
        <f>VLOOKUP($A57,'Over Under Bill 1 COPY 到CO欄位'!$1:$1048576,'Over Under Bill 1 COPY 到CO欄位'!AE$1,0)-VLOOKUP($A57,'Over Under Bill 1 COPY 到CO欄位'!$1:$1048576,'Over Under Bill 1 COPY 到CO欄位'!Z$1,0)</f>
        <v>0</v>
      </c>
      <c r="AF57" s="158">
        <f t="shared" si="87"/>
        <v>0</v>
      </c>
      <c r="AG57" s="157">
        <f>VLOOKUP($A57,'Over Under Bill 1 COPY 到CO欄位'!$1:$1048576,'Over Under Bill 1 COPY 到CO欄位'!AG$1,0)-VLOOKUP($A57,'Over Under Bill 1 COPY 到CO欄位'!$1:$1048576,'Over Under Bill 1 COPY 到CO欄位'!AB$1,0)</f>
        <v>0</v>
      </c>
      <c r="AH57" s="157">
        <f>VLOOKUP($A57,'Over Under Bill 1 COPY 到CO欄位'!$1:$1048576,'Over Under Bill 1 COPY 到CO欄位'!AH$1,0)-VLOOKUP($A57,'Over Under Bill 1 COPY 到CO欄位'!$1:$1048576,'Over Under Bill 1 COPY 到CO欄位'!AC$1,0)</f>
        <v>0</v>
      </c>
      <c r="AI57" s="157">
        <f t="shared" si="88"/>
        <v>0</v>
      </c>
      <c r="AJ57" s="157">
        <f>VLOOKUP($A57,'Over Under Bill 1 COPY 到CO欄位'!$1:$1048576,'Over Under Bill 1 COPY 到CO欄位'!AJ$1,0)-VLOOKUP($A57,'Over Under Bill 1 COPY 到CO欄位'!$1:$1048576,'Over Under Bill 1 COPY 到CO欄位'!AE$1,0)</f>
        <v>0</v>
      </c>
      <c r="AK57" s="157">
        <f t="shared" si="89"/>
        <v>0</v>
      </c>
      <c r="AL57" s="158">
        <f>VLOOKUP($A57,'Over Under Bill 1 COPY 到CO欄位'!$1:$1048576,'Over Under Bill 1 COPY 到CO欄位'!AL$1,0)-VLOOKUP($A57,'Over Under Bill 1 COPY 到CO欄位'!$1:$1048576,'Over Under Bill 1 COPY 到CO欄位'!AG$1,0)</f>
        <v>0</v>
      </c>
      <c r="AM57" s="158">
        <f>VLOOKUP($A57,'Over Under Bill 1 COPY 到CO欄位'!$1:$1048576,'Over Under Bill 1 COPY 到CO欄位'!AM$1,0)-VLOOKUP($A57,'Over Under Bill 1 COPY 到CO欄位'!$1:$1048576,'Over Under Bill 1 COPY 到CO欄位'!AH$1,0)</f>
        <v>0</v>
      </c>
      <c r="AN57" s="158">
        <f t="shared" si="90"/>
        <v>0</v>
      </c>
      <c r="AO57" s="158">
        <f>VLOOKUP($A57,'Over Under Bill 1 COPY 到CO欄位'!$1:$1048576,'Over Under Bill 1 COPY 到CO欄位'!AO$1,0)-VLOOKUP($A57,'Over Under Bill 1 COPY 到CO欄位'!$1:$1048576,'Over Under Bill 1 COPY 到CO欄位'!AJ$1,0)</f>
        <v>0</v>
      </c>
      <c r="AP57" s="158">
        <f t="shared" si="91"/>
        <v>0</v>
      </c>
      <c r="AQ57" s="157">
        <f>VLOOKUP($A57,'Over Under Bill 1 COPY 到CO欄位'!$1:$1048576,'Over Under Bill 1 COPY 到CO欄位'!AQ$1,0)-VLOOKUP($A57,'Over Under Bill 1 COPY 到CO欄位'!$1:$1048576,'Over Under Bill 1 COPY 到CO欄位'!AL$1,0)</f>
        <v>0</v>
      </c>
      <c r="AR57" s="157">
        <f>VLOOKUP($A57,'Over Under Bill 1 COPY 到CO欄位'!$1:$1048576,'Over Under Bill 1 COPY 到CO欄位'!AR$1,0)-VLOOKUP($A57,'Over Under Bill 1 COPY 到CO欄位'!$1:$1048576,'Over Under Bill 1 COPY 到CO欄位'!AM$1,0)</f>
        <v>0</v>
      </c>
      <c r="AS57" s="157">
        <f t="shared" si="92"/>
        <v>0</v>
      </c>
      <c r="AT57" s="157">
        <f>VLOOKUP($A57,'Over Under Bill 1 COPY 到CO欄位'!$1:$1048576,'Over Under Bill 1 COPY 到CO欄位'!AT$1,0)-VLOOKUP($A57,'Over Under Bill 1 COPY 到CO欄位'!$1:$1048576,'Over Under Bill 1 COPY 到CO欄位'!AO$1,0)</f>
        <v>0</v>
      </c>
      <c r="AU57" s="157">
        <f t="shared" si="93"/>
        <v>0</v>
      </c>
      <c r="AV57" s="158">
        <f>VLOOKUP($A57,'Over Under Bill 1 COPY 到CO欄位'!$1:$1048576,'Over Under Bill 1 COPY 到CO欄位'!AV$1,0)-VLOOKUP($A57,'Over Under Bill 1 COPY 到CO欄位'!$1:$1048576,'Over Under Bill 1 COPY 到CO欄位'!AQ$1,0)</f>
        <v>0</v>
      </c>
      <c r="AW57" s="158">
        <f>VLOOKUP($A57,'Over Under Bill 1 COPY 到CO欄位'!$1:$1048576,'Over Under Bill 1 COPY 到CO欄位'!AW$1,0)-VLOOKUP($A57,'Over Under Bill 1 COPY 到CO欄位'!$1:$1048576,'Over Under Bill 1 COPY 到CO欄位'!AR$1,0)</f>
        <v>0</v>
      </c>
      <c r="AX57" s="158">
        <f t="shared" si="94"/>
        <v>0</v>
      </c>
      <c r="AY57" s="158">
        <f>VLOOKUP($A57,'Over Under Bill 1 COPY 到CO欄位'!$1:$1048576,'Over Under Bill 1 COPY 到CO欄位'!AY$1,0)-VLOOKUP($A57,'Over Under Bill 1 COPY 到CO欄位'!$1:$1048576,'Over Under Bill 1 COPY 到CO欄位'!AT$1,0)</f>
        <v>0</v>
      </c>
      <c r="AZ57" s="158">
        <f t="shared" si="95"/>
        <v>0</v>
      </c>
      <c r="BA57" s="157">
        <f>VLOOKUP($A57,'Over Under Bill 1 COPY 到CO欄位'!$1:$1048576,'Over Under Bill 1 COPY 到CO欄位'!BA$1,0)-VLOOKUP($A57,'Over Under Bill 1 COPY 到CO欄位'!$1:$1048576,'Over Under Bill 1 COPY 到CO欄位'!AV$1,0)</f>
        <v>0</v>
      </c>
      <c r="BB57" s="157">
        <f>VLOOKUP($A57,'Over Under Bill 1 COPY 到CO欄位'!$1:$1048576,'Over Under Bill 1 COPY 到CO欄位'!BB$1,0)-VLOOKUP($A57,'Over Under Bill 1 COPY 到CO欄位'!$1:$1048576,'Over Under Bill 1 COPY 到CO欄位'!AW$1,0)</f>
        <v>0</v>
      </c>
      <c r="BC57" s="157">
        <f t="shared" si="96"/>
        <v>0</v>
      </c>
      <c r="BD57" s="157">
        <f>VLOOKUP($A57,'Over Under Bill 1 COPY 到CO欄位'!$1:$1048576,'Over Under Bill 1 COPY 到CO欄位'!BD$1,0)-VLOOKUP($A57,'Over Under Bill 1 COPY 到CO欄位'!$1:$1048576,'Over Under Bill 1 COPY 到CO欄位'!AY$1,0)</f>
        <v>0</v>
      </c>
      <c r="BE57" s="157">
        <f t="shared" si="97"/>
        <v>0</v>
      </c>
      <c r="BF57" s="158">
        <f>VLOOKUP($A57,'Over Under Bill 1 COPY 到CO欄位'!$1:$1048576,'Over Under Bill 1 COPY 到CO欄位'!BF$1,0)-VLOOKUP($A57,'Over Under Bill 1 COPY 到CO欄位'!$1:$1048576,'Over Under Bill 1 COPY 到CO欄位'!BA$1,0)</f>
        <v>0</v>
      </c>
      <c r="BG57" s="158">
        <f>VLOOKUP($A57,'Over Under Bill 1 COPY 到CO欄位'!$1:$1048576,'Over Under Bill 1 COPY 到CO欄位'!BG$1,0)-VLOOKUP($A57,'Over Under Bill 1 COPY 到CO欄位'!$1:$1048576,'Over Under Bill 1 COPY 到CO欄位'!BB$1,0)</f>
        <v>0</v>
      </c>
      <c r="BH57" s="158">
        <f t="shared" si="98"/>
        <v>0</v>
      </c>
      <c r="BI57" s="158">
        <f>VLOOKUP($A57,'Over Under Bill 1 COPY 到CO欄位'!$1:$1048576,'Over Under Bill 1 COPY 到CO欄位'!BI$1,0)-VLOOKUP($A57,'Over Under Bill 1 COPY 到CO欄位'!$1:$1048576,'Over Under Bill 1 COPY 到CO欄位'!BD$1,0)</f>
        <v>0</v>
      </c>
      <c r="BJ57" s="158">
        <f t="shared" si="99"/>
        <v>0</v>
      </c>
      <c r="BK57" s="157">
        <f>VLOOKUP($A57,'Over Under Bill 1 COPY 到CO欄位'!$1:$1048576,'Over Under Bill 1 COPY 到CO欄位'!BK$1,0)-VLOOKUP($A57,'Over Under Bill 1 COPY 到CO欄位'!$1:$1048576,'Over Under Bill 1 COPY 到CO欄位'!BF$1,0)</f>
        <v>0</v>
      </c>
      <c r="BL57" s="157">
        <f>VLOOKUP($A57,'Over Under Bill 1 COPY 到CO欄位'!$1:$1048576,'Over Under Bill 1 COPY 到CO欄位'!BL$1,0)-VLOOKUP($A57,'Over Under Bill 1 COPY 到CO欄位'!$1:$1048576,'Over Under Bill 1 COPY 到CO欄位'!BG$1,0)</f>
        <v>0</v>
      </c>
      <c r="BM57" s="157">
        <f t="shared" si="100"/>
        <v>0</v>
      </c>
      <c r="BN57" s="157">
        <f>VLOOKUP($A57,'Over Under Bill 1 COPY 到CO欄位'!$1:$1048576,'Over Under Bill 1 COPY 到CO欄位'!BN$1,0)-VLOOKUP($A57,'Over Under Bill 1 COPY 到CO欄位'!$1:$1048576,'Over Under Bill 1 COPY 到CO欄位'!BI$1,0)</f>
        <v>0</v>
      </c>
      <c r="BO57" s="157">
        <f t="shared" si="101"/>
        <v>0</v>
      </c>
      <c r="BP57" s="158">
        <f>VLOOKUP($A57,'Over Under Bill 1 COPY 到CO欄位'!$1:$1048576,'Over Under Bill 1 COPY 到CO欄位'!BP$1,0)-VLOOKUP($A57,'Over Under Bill 1 COPY 到CO欄位'!$1:$1048576,'Over Under Bill 1 COPY 到CO欄位'!BK$1,0)</f>
        <v>0</v>
      </c>
      <c r="BQ57" s="158">
        <f>VLOOKUP($A57,'Over Under Bill 1 COPY 到CO欄位'!$1:$1048576,'Over Under Bill 1 COPY 到CO欄位'!BQ$1,0)-VLOOKUP($A57,'Over Under Bill 1 COPY 到CO欄位'!$1:$1048576,'Over Under Bill 1 COPY 到CO欄位'!BL$1,0)</f>
        <v>0</v>
      </c>
      <c r="BR57" s="158">
        <f t="shared" si="102"/>
        <v>0</v>
      </c>
      <c r="BS57" s="158">
        <f>VLOOKUP($A57,'Over Under Bill 1 COPY 到CO欄位'!$1:$1048576,'Over Under Bill 1 COPY 到CO欄位'!BS$1,0)-VLOOKUP($A57,'Over Under Bill 1 COPY 到CO欄位'!$1:$1048576,'Over Under Bill 1 COPY 到CO欄位'!BN$1,0)</f>
        <v>0</v>
      </c>
      <c r="BT57" s="158">
        <f t="shared" si="103"/>
        <v>0</v>
      </c>
      <c r="BU57" s="157">
        <f>VLOOKUP($A57,'Over Under Bill 1 COPY 到CO欄位'!$1:$1048576,'Over Under Bill 1 COPY 到CO欄位'!BP$1,0)-VLOOKUP($A57,'Over Under Bill 1 COPY 到CO欄位'!$1:$1048576,'Over Under Bill 1 COPY 到CO欄位'!H$1,0)</f>
        <v>0</v>
      </c>
      <c r="BV57" s="157">
        <f>VLOOKUP($A57,'Over Under Bill 1 COPY 到CO欄位'!$1:$1048576,'Over Under Bill 1 COPY 到CO欄位'!BQ$1,0)-VLOOKUP($A57,'Over Under Bill 1 COPY 到CO欄位'!$1:$1048576,'Over Under Bill 1 COPY 到CO欄位'!I$1,0)</f>
        <v>0</v>
      </c>
      <c r="BW57" s="157">
        <f t="shared" si="104"/>
        <v>0</v>
      </c>
      <c r="BX57" s="157">
        <f>VLOOKUP($A57,'Over Under Bill 1 COPY 到CO欄位'!$1:$1048576,'Over Under Bill 1 COPY 到CO欄位'!BS$1,0)-VLOOKUP($A57,'Over Under Bill 1 COPY 到CO欄位'!$1:$1048576,'Over Under Bill 1 COPY 到CO欄位'!K$1,0)</f>
        <v>0</v>
      </c>
      <c r="BY57" s="157">
        <f t="shared" si="105"/>
        <v>0</v>
      </c>
      <c r="BZ57" s="158">
        <f>VLOOKUP($A57,'Over Under Bill 1 COPY 到CO欄位'!$1:$1048576,'Over Under Bill 1 COPY 到CO欄位'!BU$1,0)-VLOOKUP($A57,'Over Under Bill 1 COPY 到CO欄位'!$1:$1048576,'Over Under Bill 1 COPY 到CO欄位'!BP$1,0)</f>
        <v>0</v>
      </c>
      <c r="CA57" s="158">
        <f>VLOOKUP($A57,'Over Under Bill 1 COPY 到CO欄位'!$1:$1048576,'Over Under Bill 1 COPY 到CO欄位'!BV$1,0)-VLOOKUP($A57,'Over Under Bill 1 COPY 到CO欄位'!$1:$1048576,'Over Under Bill 1 COPY 到CO欄位'!BQ$1,0)</f>
        <v>0</v>
      </c>
      <c r="CB57" s="158">
        <f t="shared" si="106"/>
        <v>0</v>
      </c>
      <c r="CC57" s="158">
        <f>VLOOKUP($A57,'Over Under Bill 1 COPY 到CO欄位'!$1:$1048576,'Over Under Bill 1 COPY 到CO欄位'!BX$1,0)-VLOOKUP($A57,'Over Under Bill 1 COPY 到CO欄位'!$1:$1048576,'Over Under Bill 1 COPY 到CO欄位'!BS$1,0)</f>
        <v>0</v>
      </c>
      <c r="CD57" s="158">
        <f t="shared" si="107"/>
        <v>0</v>
      </c>
      <c r="CE57" s="157">
        <f>VLOOKUP($A57,'Over Under Bill 1 COPY 到CO欄位'!$1:$1048576,'Over Under Bill 1 COPY 到CO欄位'!BZ$1,0)-VLOOKUP($A57,'Over Under Bill 1 COPY 到CO欄位'!$1:$1048576,'Over Under Bill 1 COPY 到CO欄位'!BU$1,0)</f>
        <v>0</v>
      </c>
      <c r="CF57" s="157">
        <f>VLOOKUP($A57,'Over Under Bill 1 COPY 到CO欄位'!$1:$1048576,'Over Under Bill 1 COPY 到CO欄位'!CA$1,0)-VLOOKUP($A57,'Over Under Bill 1 COPY 到CO欄位'!$1:$1048576,'Over Under Bill 1 COPY 到CO欄位'!BV$1,0)</f>
        <v>0</v>
      </c>
      <c r="CG57" s="157">
        <f t="shared" si="108"/>
        <v>0</v>
      </c>
      <c r="CH57" s="157">
        <f>VLOOKUP($A57,'Over Under Bill 1 COPY 到CO欄位'!$1:$1048576,'Over Under Bill 1 COPY 到CO欄位'!CC$1,0)-VLOOKUP($A57,'Over Under Bill 1 COPY 到CO欄位'!$1:$1048576,'Over Under Bill 1 COPY 到CO欄位'!BX$1,0)</f>
        <v>0</v>
      </c>
      <c r="CI57" s="157">
        <f t="shared" si="109"/>
        <v>0</v>
      </c>
      <c r="CJ57" s="158">
        <f>VLOOKUP($A57,'Over Under Bill 1 COPY 到CO欄位'!$1:$1048576,'Over Under Bill 1 COPY 到CO欄位'!CE$1,0)-VLOOKUP($A57,'Over Under Bill 1 COPY 到CO欄位'!$1:$1048576,'Over Under Bill 1 COPY 到CO欄位'!BZ$1,0)</f>
        <v>0</v>
      </c>
      <c r="CK57" s="158">
        <f>VLOOKUP($A57,'Over Under Bill 1 COPY 到CO欄位'!$1:$1048576,'Over Under Bill 1 COPY 到CO欄位'!CF$1,0)-VLOOKUP($A57,'Over Under Bill 1 COPY 到CO欄位'!$1:$1048576,'Over Under Bill 1 COPY 到CO欄位'!CA$1,0)</f>
        <v>0</v>
      </c>
      <c r="CL57" s="158">
        <f t="shared" si="110"/>
        <v>0</v>
      </c>
      <c r="CM57" s="158">
        <f>VLOOKUP($A57,'Over Under Bill 1 COPY 到CO欄位'!$1:$1048576,'Over Under Bill 1 COPY 到CO欄位'!CH$1,0)-VLOOKUP($A57,'Over Under Bill 1 COPY 到CO欄位'!$1:$1048576,'Over Under Bill 1 COPY 到CO欄位'!CC$1,0)</f>
        <v>0</v>
      </c>
      <c r="CN57" s="158">
        <f t="shared" si="111"/>
        <v>0</v>
      </c>
      <c r="CO57" s="157">
        <f>VLOOKUP($A57,'Over Under Bill 1 COPY 到CO欄位'!$1:$1048576,'Over Under Bill 1 COPY 到CO欄位'!CJ$1,0)-VLOOKUP($A57,'Over Under Bill 1 COPY 到CO欄位'!$1:$1048576,'Over Under Bill 1 COPY 到CO欄位'!CE$1,0)</f>
        <v>0</v>
      </c>
      <c r="CP57" s="157">
        <f>VLOOKUP($A57,'Over Under Bill 1 COPY 到CO欄位'!$1:$1048576,'Over Under Bill 1 COPY 到CO欄位'!CK$1,0)-VLOOKUP($A57,'Over Under Bill 1 COPY 到CO欄位'!$1:$1048576,'Over Under Bill 1 COPY 到CO欄位'!CF$1,0)</f>
        <v>0</v>
      </c>
      <c r="CQ57" s="157">
        <f t="shared" si="112"/>
        <v>0</v>
      </c>
      <c r="CR57" s="157">
        <f>VLOOKUP($A57,'Over Under Bill 1 COPY 到CO欄位'!$1:$1048576,'Over Under Bill 1 COPY 到CO欄位'!CM$1,0)-VLOOKUP($A57,'Over Under Bill 1 COPY 到CO欄位'!$1:$1048576,'Over Under Bill 1 COPY 到CO欄位'!CH$1,0)</f>
        <v>0</v>
      </c>
      <c r="CS57" s="157">
        <f t="shared" si="113"/>
        <v>0</v>
      </c>
    </row>
    <row r="58" spans="1:97">
      <c r="A58" s="171" t="s">
        <v>411</v>
      </c>
      <c r="B58" s="172" t="s">
        <v>412</v>
      </c>
      <c r="C58" s="157">
        <f>IFERROR(VLOOKUP($A58,'A0 BS 1240在建'!$1:$1048576,5,0),0)</f>
        <v>0</v>
      </c>
      <c r="D58" s="157">
        <f>IFERROR(VLOOKUP($A58,'B0 2264預收'!$1:$1048576,5,0),0)</f>
        <v>0</v>
      </c>
      <c r="E58" s="157">
        <f t="shared" si="76"/>
        <v>0</v>
      </c>
      <c r="F58" s="157">
        <f>IFERROR(VLOOKUP($A58,'B0 2264預收'!$1:$1048576,6,0),0)</f>
        <v>0</v>
      </c>
      <c r="G58" s="157">
        <f t="shared" si="77"/>
        <v>0</v>
      </c>
      <c r="H58" s="158">
        <f>IFERROR(VLOOKUP($A58,'A0 BS 1240在建'!$1:$1048576,13,0),0)-C58</f>
        <v>0</v>
      </c>
      <c r="I58" s="158">
        <f>IFERROR(VLOOKUP($A58,'B0 2264預收'!$1:$1048576,13,0),0)-D58</f>
        <v>0</v>
      </c>
      <c r="J58" s="158">
        <f t="shared" si="78"/>
        <v>0</v>
      </c>
      <c r="K58" s="158">
        <f>IFERROR(VLOOKUP($A58,'B0 2264預收'!$1:$1048576,14,0),0)-F58</f>
        <v>0</v>
      </c>
      <c r="L58" s="158">
        <f t="shared" si="79"/>
        <v>0</v>
      </c>
      <c r="M58" s="157">
        <f>VLOOKUP($A58,'Over Under Bill 1 COPY 到CO欄位'!$1:$1048576,'Over Under Bill 1 COPY 到CO欄位'!M$1,0)-VLOOKUP($A58,'Over Under Bill 1 COPY 到CO欄位'!$1:$1048576,'Over Under Bill 1 COPY 到CO欄位'!H$1,0)</f>
        <v>0</v>
      </c>
      <c r="N58" s="157">
        <f>VLOOKUP($A58,'Over Under Bill 1 COPY 到CO欄位'!$1:$1048576,'Over Under Bill 1 COPY 到CO欄位'!N$1,0)-VLOOKUP($A58,'Over Under Bill 1 COPY 到CO欄位'!$1:$1048576,'Over Under Bill 1 COPY 到CO欄位'!I$1,0)</f>
        <v>0</v>
      </c>
      <c r="O58" s="157">
        <f t="shared" si="80"/>
        <v>0</v>
      </c>
      <c r="P58" s="157">
        <f>VLOOKUP($A58,'Over Under Bill 1 COPY 到CO欄位'!$1:$1048576,'Over Under Bill 1 COPY 到CO欄位'!P$1,0)-VLOOKUP($A58,'Over Under Bill 1 COPY 到CO欄位'!$1:$1048576,'Over Under Bill 1 COPY 到CO欄位'!K$1,0)</f>
        <v>0</v>
      </c>
      <c r="Q58" s="157">
        <f t="shared" si="81"/>
        <v>0</v>
      </c>
      <c r="R58" s="158">
        <f>VLOOKUP($A58,'Over Under Bill 1 COPY 到CO欄位'!$1:$1048576,'Over Under Bill 1 COPY 到CO欄位'!R$1,0)-VLOOKUP($A58,'Over Under Bill 1 COPY 到CO欄位'!$1:$1048576,'Over Under Bill 1 COPY 到CO欄位'!M$1,0)</f>
        <v>0</v>
      </c>
      <c r="S58" s="158">
        <f>VLOOKUP($A58,'Over Under Bill 1 COPY 到CO欄位'!$1:$1048576,'Over Under Bill 1 COPY 到CO欄位'!S$1,0)-VLOOKUP($A58,'Over Under Bill 1 COPY 到CO欄位'!$1:$1048576,'Over Under Bill 1 COPY 到CO欄位'!N$1,0)</f>
        <v>0</v>
      </c>
      <c r="T58" s="158">
        <f t="shared" si="82"/>
        <v>0</v>
      </c>
      <c r="U58" s="158">
        <f>VLOOKUP($A58,'Over Under Bill 1 COPY 到CO欄位'!$1:$1048576,'Over Under Bill 1 COPY 到CO欄位'!U$1,0)-VLOOKUP($A58,'Over Under Bill 1 COPY 到CO欄位'!$1:$1048576,'Over Under Bill 1 COPY 到CO欄位'!P$1,0)</f>
        <v>0</v>
      </c>
      <c r="V58" s="158">
        <f t="shared" si="83"/>
        <v>0</v>
      </c>
      <c r="W58" s="157">
        <f>VLOOKUP($A58,'Over Under Bill 1 COPY 到CO欄位'!$1:$1048576,'Over Under Bill 1 COPY 到CO欄位'!W$1,0)-VLOOKUP($A58,'Over Under Bill 1 COPY 到CO欄位'!$1:$1048576,'Over Under Bill 1 COPY 到CO欄位'!R$1,0)</f>
        <v>0</v>
      </c>
      <c r="X58" s="157">
        <f>VLOOKUP($A58,'Over Under Bill 1 COPY 到CO欄位'!$1:$1048576,'Over Under Bill 1 COPY 到CO欄位'!X$1,0)-VLOOKUP($A58,'Over Under Bill 1 COPY 到CO欄位'!$1:$1048576,'Over Under Bill 1 COPY 到CO欄位'!S$1,0)</f>
        <v>0</v>
      </c>
      <c r="Y58" s="157">
        <f t="shared" si="84"/>
        <v>0</v>
      </c>
      <c r="Z58" s="157">
        <f>VLOOKUP($A58,'Over Under Bill 1 COPY 到CO欄位'!$1:$1048576,'Over Under Bill 1 COPY 到CO欄位'!Z$1,0)-VLOOKUP($A58,'Over Under Bill 1 COPY 到CO欄位'!$1:$1048576,'Over Under Bill 1 COPY 到CO欄位'!U$1,0)</f>
        <v>0</v>
      </c>
      <c r="AA58" s="157">
        <f t="shared" si="85"/>
        <v>0</v>
      </c>
      <c r="AB58" s="158">
        <f>VLOOKUP($A58,'Over Under Bill 1 COPY 到CO欄位'!$1:$1048576,'Over Under Bill 1 COPY 到CO欄位'!AB$1,0)-VLOOKUP($A58,'Over Under Bill 1 COPY 到CO欄位'!$1:$1048576,'Over Under Bill 1 COPY 到CO欄位'!W$1,0)</f>
        <v>0</v>
      </c>
      <c r="AC58" s="158">
        <f>VLOOKUP($A58,'Over Under Bill 1 COPY 到CO欄位'!$1:$1048576,'Over Under Bill 1 COPY 到CO欄位'!AC$1,0)-VLOOKUP($A58,'Over Under Bill 1 COPY 到CO欄位'!$1:$1048576,'Over Under Bill 1 COPY 到CO欄位'!X$1,0)</f>
        <v>0</v>
      </c>
      <c r="AD58" s="158">
        <f t="shared" si="86"/>
        <v>0</v>
      </c>
      <c r="AE58" s="158">
        <f>VLOOKUP($A58,'Over Under Bill 1 COPY 到CO欄位'!$1:$1048576,'Over Under Bill 1 COPY 到CO欄位'!AE$1,0)-VLOOKUP($A58,'Over Under Bill 1 COPY 到CO欄位'!$1:$1048576,'Over Under Bill 1 COPY 到CO欄位'!Z$1,0)</f>
        <v>0</v>
      </c>
      <c r="AF58" s="158">
        <f t="shared" si="87"/>
        <v>0</v>
      </c>
      <c r="AG58" s="157">
        <f>VLOOKUP($A58,'Over Under Bill 1 COPY 到CO欄位'!$1:$1048576,'Over Under Bill 1 COPY 到CO欄位'!AG$1,0)-VLOOKUP($A58,'Over Under Bill 1 COPY 到CO欄位'!$1:$1048576,'Over Under Bill 1 COPY 到CO欄位'!AB$1,0)</f>
        <v>0</v>
      </c>
      <c r="AH58" s="157">
        <f>VLOOKUP($A58,'Over Under Bill 1 COPY 到CO欄位'!$1:$1048576,'Over Under Bill 1 COPY 到CO欄位'!AH$1,0)-VLOOKUP($A58,'Over Under Bill 1 COPY 到CO欄位'!$1:$1048576,'Over Under Bill 1 COPY 到CO欄位'!AC$1,0)</f>
        <v>0</v>
      </c>
      <c r="AI58" s="157">
        <f t="shared" si="88"/>
        <v>0</v>
      </c>
      <c r="AJ58" s="157">
        <f>VLOOKUP($A58,'Over Under Bill 1 COPY 到CO欄位'!$1:$1048576,'Over Under Bill 1 COPY 到CO欄位'!AJ$1,0)-VLOOKUP($A58,'Over Under Bill 1 COPY 到CO欄位'!$1:$1048576,'Over Under Bill 1 COPY 到CO欄位'!AE$1,0)</f>
        <v>0</v>
      </c>
      <c r="AK58" s="157">
        <f t="shared" si="89"/>
        <v>0</v>
      </c>
      <c r="AL58" s="158">
        <f>VLOOKUP($A58,'Over Under Bill 1 COPY 到CO欄位'!$1:$1048576,'Over Under Bill 1 COPY 到CO欄位'!AL$1,0)-VLOOKUP($A58,'Over Under Bill 1 COPY 到CO欄位'!$1:$1048576,'Over Under Bill 1 COPY 到CO欄位'!AG$1,0)</f>
        <v>0</v>
      </c>
      <c r="AM58" s="158">
        <f>VLOOKUP($A58,'Over Under Bill 1 COPY 到CO欄位'!$1:$1048576,'Over Under Bill 1 COPY 到CO欄位'!AM$1,0)-VLOOKUP($A58,'Over Under Bill 1 COPY 到CO欄位'!$1:$1048576,'Over Under Bill 1 COPY 到CO欄位'!AH$1,0)</f>
        <v>0</v>
      </c>
      <c r="AN58" s="158">
        <f t="shared" si="90"/>
        <v>0</v>
      </c>
      <c r="AO58" s="158">
        <f>VLOOKUP($A58,'Over Under Bill 1 COPY 到CO欄位'!$1:$1048576,'Over Under Bill 1 COPY 到CO欄位'!AO$1,0)-VLOOKUP($A58,'Over Under Bill 1 COPY 到CO欄位'!$1:$1048576,'Over Under Bill 1 COPY 到CO欄位'!AJ$1,0)</f>
        <v>0</v>
      </c>
      <c r="AP58" s="158">
        <f t="shared" si="91"/>
        <v>0</v>
      </c>
      <c r="AQ58" s="157">
        <f>VLOOKUP($A58,'Over Under Bill 1 COPY 到CO欄位'!$1:$1048576,'Over Under Bill 1 COPY 到CO欄位'!AQ$1,0)-VLOOKUP($A58,'Over Under Bill 1 COPY 到CO欄位'!$1:$1048576,'Over Under Bill 1 COPY 到CO欄位'!AL$1,0)</f>
        <v>0</v>
      </c>
      <c r="AR58" s="157">
        <f>VLOOKUP($A58,'Over Under Bill 1 COPY 到CO欄位'!$1:$1048576,'Over Under Bill 1 COPY 到CO欄位'!AR$1,0)-VLOOKUP($A58,'Over Under Bill 1 COPY 到CO欄位'!$1:$1048576,'Over Under Bill 1 COPY 到CO欄位'!AM$1,0)</f>
        <v>0</v>
      </c>
      <c r="AS58" s="157">
        <f t="shared" si="92"/>
        <v>0</v>
      </c>
      <c r="AT58" s="157">
        <f>VLOOKUP($A58,'Over Under Bill 1 COPY 到CO欄位'!$1:$1048576,'Over Under Bill 1 COPY 到CO欄位'!AT$1,0)-VLOOKUP($A58,'Over Under Bill 1 COPY 到CO欄位'!$1:$1048576,'Over Under Bill 1 COPY 到CO欄位'!AO$1,0)</f>
        <v>0</v>
      </c>
      <c r="AU58" s="157">
        <f t="shared" si="93"/>
        <v>0</v>
      </c>
      <c r="AV58" s="158">
        <f>VLOOKUP($A58,'Over Under Bill 1 COPY 到CO欄位'!$1:$1048576,'Over Under Bill 1 COPY 到CO欄位'!AV$1,0)-VLOOKUP($A58,'Over Under Bill 1 COPY 到CO欄位'!$1:$1048576,'Over Under Bill 1 COPY 到CO欄位'!AQ$1,0)</f>
        <v>0</v>
      </c>
      <c r="AW58" s="158">
        <f>VLOOKUP($A58,'Over Under Bill 1 COPY 到CO欄位'!$1:$1048576,'Over Under Bill 1 COPY 到CO欄位'!AW$1,0)-VLOOKUP($A58,'Over Under Bill 1 COPY 到CO欄位'!$1:$1048576,'Over Under Bill 1 COPY 到CO欄位'!AR$1,0)</f>
        <v>0</v>
      </c>
      <c r="AX58" s="158">
        <f t="shared" si="94"/>
        <v>0</v>
      </c>
      <c r="AY58" s="158">
        <f>VLOOKUP($A58,'Over Under Bill 1 COPY 到CO欄位'!$1:$1048576,'Over Under Bill 1 COPY 到CO欄位'!AY$1,0)-VLOOKUP($A58,'Over Under Bill 1 COPY 到CO欄位'!$1:$1048576,'Over Under Bill 1 COPY 到CO欄位'!AT$1,0)</f>
        <v>0</v>
      </c>
      <c r="AZ58" s="158">
        <f t="shared" si="95"/>
        <v>0</v>
      </c>
      <c r="BA58" s="157">
        <f>VLOOKUP($A58,'Over Under Bill 1 COPY 到CO欄位'!$1:$1048576,'Over Under Bill 1 COPY 到CO欄位'!BA$1,0)-VLOOKUP($A58,'Over Under Bill 1 COPY 到CO欄位'!$1:$1048576,'Over Under Bill 1 COPY 到CO欄位'!AV$1,0)</f>
        <v>0</v>
      </c>
      <c r="BB58" s="157">
        <f>VLOOKUP($A58,'Over Under Bill 1 COPY 到CO欄位'!$1:$1048576,'Over Under Bill 1 COPY 到CO欄位'!BB$1,0)-VLOOKUP($A58,'Over Under Bill 1 COPY 到CO欄位'!$1:$1048576,'Over Under Bill 1 COPY 到CO欄位'!AW$1,0)</f>
        <v>0</v>
      </c>
      <c r="BC58" s="157">
        <f t="shared" si="96"/>
        <v>0</v>
      </c>
      <c r="BD58" s="157">
        <f>VLOOKUP($A58,'Over Under Bill 1 COPY 到CO欄位'!$1:$1048576,'Over Under Bill 1 COPY 到CO欄位'!BD$1,0)-VLOOKUP($A58,'Over Under Bill 1 COPY 到CO欄位'!$1:$1048576,'Over Under Bill 1 COPY 到CO欄位'!AY$1,0)</f>
        <v>0</v>
      </c>
      <c r="BE58" s="157">
        <f t="shared" si="97"/>
        <v>0</v>
      </c>
      <c r="BF58" s="158">
        <f>VLOOKUP($A58,'Over Under Bill 1 COPY 到CO欄位'!$1:$1048576,'Over Under Bill 1 COPY 到CO欄位'!BF$1,0)-VLOOKUP($A58,'Over Under Bill 1 COPY 到CO欄位'!$1:$1048576,'Over Under Bill 1 COPY 到CO欄位'!BA$1,0)</f>
        <v>0</v>
      </c>
      <c r="BG58" s="158">
        <f>VLOOKUP($A58,'Over Under Bill 1 COPY 到CO欄位'!$1:$1048576,'Over Under Bill 1 COPY 到CO欄位'!BG$1,0)-VLOOKUP($A58,'Over Under Bill 1 COPY 到CO欄位'!$1:$1048576,'Over Under Bill 1 COPY 到CO欄位'!BB$1,0)</f>
        <v>0</v>
      </c>
      <c r="BH58" s="158">
        <f t="shared" si="98"/>
        <v>0</v>
      </c>
      <c r="BI58" s="158">
        <f>VLOOKUP($A58,'Over Under Bill 1 COPY 到CO欄位'!$1:$1048576,'Over Under Bill 1 COPY 到CO欄位'!BI$1,0)-VLOOKUP($A58,'Over Under Bill 1 COPY 到CO欄位'!$1:$1048576,'Over Under Bill 1 COPY 到CO欄位'!BD$1,0)</f>
        <v>0</v>
      </c>
      <c r="BJ58" s="158">
        <f t="shared" si="99"/>
        <v>0</v>
      </c>
      <c r="BK58" s="157">
        <f>VLOOKUP($A58,'Over Under Bill 1 COPY 到CO欄位'!$1:$1048576,'Over Under Bill 1 COPY 到CO欄位'!BK$1,0)-VLOOKUP($A58,'Over Under Bill 1 COPY 到CO欄位'!$1:$1048576,'Over Under Bill 1 COPY 到CO欄位'!BF$1,0)</f>
        <v>0</v>
      </c>
      <c r="BL58" s="157">
        <f>VLOOKUP($A58,'Over Under Bill 1 COPY 到CO欄位'!$1:$1048576,'Over Under Bill 1 COPY 到CO欄位'!BL$1,0)-VLOOKUP($A58,'Over Under Bill 1 COPY 到CO欄位'!$1:$1048576,'Over Under Bill 1 COPY 到CO欄位'!BG$1,0)</f>
        <v>0</v>
      </c>
      <c r="BM58" s="157">
        <f t="shared" si="100"/>
        <v>0</v>
      </c>
      <c r="BN58" s="157">
        <f>VLOOKUP($A58,'Over Under Bill 1 COPY 到CO欄位'!$1:$1048576,'Over Under Bill 1 COPY 到CO欄位'!BN$1,0)-VLOOKUP($A58,'Over Under Bill 1 COPY 到CO欄位'!$1:$1048576,'Over Under Bill 1 COPY 到CO欄位'!BI$1,0)</f>
        <v>0</v>
      </c>
      <c r="BO58" s="157">
        <f t="shared" si="101"/>
        <v>0</v>
      </c>
      <c r="BP58" s="158">
        <f>VLOOKUP($A58,'Over Under Bill 1 COPY 到CO欄位'!$1:$1048576,'Over Under Bill 1 COPY 到CO欄位'!BP$1,0)-VLOOKUP($A58,'Over Under Bill 1 COPY 到CO欄位'!$1:$1048576,'Over Under Bill 1 COPY 到CO欄位'!BK$1,0)</f>
        <v>0</v>
      </c>
      <c r="BQ58" s="158">
        <f>VLOOKUP($A58,'Over Under Bill 1 COPY 到CO欄位'!$1:$1048576,'Over Under Bill 1 COPY 到CO欄位'!BQ$1,0)-VLOOKUP($A58,'Over Under Bill 1 COPY 到CO欄位'!$1:$1048576,'Over Under Bill 1 COPY 到CO欄位'!BL$1,0)</f>
        <v>0</v>
      </c>
      <c r="BR58" s="158">
        <f t="shared" si="102"/>
        <v>0</v>
      </c>
      <c r="BS58" s="158">
        <f>VLOOKUP($A58,'Over Under Bill 1 COPY 到CO欄位'!$1:$1048576,'Over Under Bill 1 COPY 到CO欄位'!BS$1,0)-VLOOKUP($A58,'Over Under Bill 1 COPY 到CO欄位'!$1:$1048576,'Over Under Bill 1 COPY 到CO欄位'!BN$1,0)</f>
        <v>0</v>
      </c>
      <c r="BT58" s="158">
        <f t="shared" si="103"/>
        <v>0</v>
      </c>
      <c r="BU58" s="157">
        <f>VLOOKUP($A58,'Over Under Bill 1 COPY 到CO欄位'!$1:$1048576,'Over Under Bill 1 COPY 到CO欄位'!BP$1,0)-VLOOKUP($A58,'Over Under Bill 1 COPY 到CO欄位'!$1:$1048576,'Over Under Bill 1 COPY 到CO欄位'!H$1,0)</f>
        <v>0</v>
      </c>
      <c r="BV58" s="157">
        <f>VLOOKUP($A58,'Over Under Bill 1 COPY 到CO欄位'!$1:$1048576,'Over Under Bill 1 COPY 到CO欄位'!BQ$1,0)-VLOOKUP($A58,'Over Under Bill 1 COPY 到CO欄位'!$1:$1048576,'Over Under Bill 1 COPY 到CO欄位'!I$1,0)</f>
        <v>0</v>
      </c>
      <c r="BW58" s="157">
        <f t="shared" si="104"/>
        <v>0</v>
      </c>
      <c r="BX58" s="157">
        <f>VLOOKUP($A58,'Over Under Bill 1 COPY 到CO欄位'!$1:$1048576,'Over Under Bill 1 COPY 到CO欄位'!BS$1,0)-VLOOKUP($A58,'Over Under Bill 1 COPY 到CO欄位'!$1:$1048576,'Over Under Bill 1 COPY 到CO欄位'!K$1,0)</f>
        <v>0</v>
      </c>
      <c r="BY58" s="157">
        <f t="shared" si="105"/>
        <v>0</v>
      </c>
      <c r="BZ58" s="158">
        <f>VLOOKUP($A58,'Over Under Bill 1 COPY 到CO欄位'!$1:$1048576,'Over Under Bill 1 COPY 到CO欄位'!BU$1,0)-VLOOKUP($A58,'Over Under Bill 1 COPY 到CO欄位'!$1:$1048576,'Over Under Bill 1 COPY 到CO欄位'!BP$1,0)</f>
        <v>0</v>
      </c>
      <c r="CA58" s="158">
        <f>VLOOKUP($A58,'Over Under Bill 1 COPY 到CO欄位'!$1:$1048576,'Over Under Bill 1 COPY 到CO欄位'!BV$1,0)-VLOOKUP($A58,'Over Under Bill 1 COPY 到CO欄位'!$1:$1048576,'Over Under Bill 1 COPY 到CO欄位'!BQ$1,0)</f>
        <v>0</v>
      </c>
      <c r="CB58" s="158">
        <f t="shared" si="106"/>
        <v>0</v>
      </c>
      <c r="CC58" s="158">
        <f>VLOOKUP($A58,'Over Under Bill 1 COPY 到CO欄位'!$1:$1048576,'Over Under Bill 1 COPY 到CO欄位'!BX$1,0)-VLOOKUP($A58,'Over Under Bill 1 COPY 到CO欄位'!$1:$1048576,'Over Under Bill 1 COPY 到CO欄位'!BS$1,0)</f>
        <v>0</v>
      </c>
      <c r="CD58" s="158">
        <f t="shared" si="107"/>
        <v>0</v>
      </c>
      <c r="CE58" s="157">
        <f>VLOOKUP($A58,'Over Under Bill 1 COPY 到CO欄位'!$1:$1048576,'Over Under Bill 1 COPY 到CO欄位'!BZ$1,0)-VLOOKUP($A58,'Over Under Bill 1 COPY 到CO欄位'!$1:$1048576,'Over Under Bill 1 COPY 到CO欄位'!BU$1,0)</f>
        <v>0</v>
      </c>
      <c r="CF58" s="157">
        <f>VLOOKUP($A58,'Over Under Bill 1 COPY 到CO欄位'!$1:$1048576,'Over Under Bill 1 COPY 到CO欄位'!CA$1,0)-VLOOKUP($A58,'Over Under Bill 1 COPY 到CO欄位'!$1:$1048576,'Over Under Bill 1 COPY 到CO欄位'!BV$1,0)</f>
        <v>0</v>
      </c>
      <c r="CG58" s="157">
        <f t="shared" si="108"/>
        <v>0</v>
      </c>
      <c r="CH58" s="157">
        <f>VLOOKUP($A58,'Over Under Bill 1 COPY 到CO欄位'!$1:$1048576,'Over Under Bill 1 COPY 到CO欄位'!CC$1,0)-VLOOKUP($A58,'Over Under Bill 1 COPY 到CO欄位'!$1:$1048576,'Over Under Bill 1 COPY 到CO欄位'!BX$1,0)</f>
        <v>0</v>
      </c>
      <c r="CI58" s="157">
        <f t="shared" si="109"/>
        <v>0</v>
      </c>
      <c r="CJ58" s="158">
        <f>VLOOKUP($A58,'Over Under Bill 1 COPY 到CO欄位'!$1:$1048576,'Over Under Bill 1 COPY 到CO欄位'!CE$1,0)-VLOOKUP($A58,'Over Under Bill 1 COPY 到CO欄位'!$1:$1048576,'Over Under Bill 1 COPY 到CO欄位'!BZ$1,0)</f>
        <v>0</v>
      </c>
      <c r="CK58" s="158">
        <f>VLOOKUP($A58,'Over Under Bill 1 COPY 到CO欄位'!$1:$1048576,'Over Under Bill 1 COPY 到CO欄位'!CF$1,0)-VLOOKUP($A58,'Over Under Bill 1 COPY 到CO欄位'!$1:$1048576,'Over Under Bill 1 COPY 到CO欄位'!CA$1,0)</f>
        <v>0</v>
      </c>
      <c r="CL58" s="158">
        <f t="shared" si="110"/>
        <v>0</v>
      </c>
      <c r="CM58" s="158">
        <f>VLOOKUP($A58,'Over Under Bill 1 COPY 到CO欄位'!$1:$1048576,'Over Under Bill 1 COPY 到CO欄位'!CH$1,0)-VLOOKUP($A58,'Over Under Bill 1 COPY 到CO欄位'!$1:$1048576,'Over Under Bill 1 COPY 到CO欄位'!CC$1,0)</f>
        <v>0</v>
      </c>
      <c r="CN58" s="158">
        <f t="shared" si="111"/>
        <v>0</v>
      </c>
      <c r="CO58" s="157">
        <f>VLOOKUP($A58,'Over Under Bill 1 COPY 到CO欄位'!$1:$1048576,'Over Under Bill 1 COPY 到CO欄位'!CJ$1,0)-VLOOKUP($A58,'Over Under Bill 1 COPY 到CO欄位'!$1:$1048576,'Over Under Bill 1 COPY 到CO欄位'!CE$1,0)</f>
        <v>0</v>
      </c>
      <c r="CP58" s="157">
        <f>VLOOKUP($A58,'Over Under Bill 1 COPY 到CO欄位'!$1:$1048576,'Over Under Bill 1 COPY 到CO欄位'!CK$1,0)-VLOOKUP($A58,'Over Under Bill 1 COPY 到CO欄位'!$1:$1048576,'Over Under Bill 1 COPY 到CO欄位'!CF$1,0)</f>
        <v>0</v>
      </c>
      <c r="CQ58" s="157">
        <f t="shared" si="112"/>
        <v>0</v>
      </c>
      <c r="CR58" s="157">
        <f>VLOOKUP($A58,'Over Under Bill 1 COPY 到CO欄位'!$1:$1048576,'Over Under Bill 1 COPY 到CO欄位'!CM$1,0)-VLOOKUP($A58,'Over Under Bill 1 COPY 到CO欄位'!$1:$1048576,'Over Under Bill 1 COPY 到CO欄位'!CH$1,0)</f>
        <v>0</v>
      </c>
      <c r="CS58" s="157">
        <f t="shared" si="113"/>
        <v>0</v>
      </c>
    </row>
    <row r="59" spans="1:97">
      <c r="A59" s="171" t="s">
        <v>413</v>
      </c>
      <c r="B59" s="172" t="s">
        <v>414</v>
      </c>
      <c r="C59" s="157">
        <f>IFERROR(VLOOKUP($A59,'A0 BS 1240在建'!$1:$1048576,5,0),0)</f>
        <v>0</v>
      </c>
      <c r="D59" s="157">
        <f>IFERROR(VLOOKUP($A59,'B0 2264預收'!$1:$1048576,5,0),0)</f>
        <v>0</v>
      </c>
      <c r="E59" s="157">
        <f t="shared" si="76"/>
        <v>0</v>
      </c>
      <c r="F59" s="157">
        <f>IFERROR(VLOOKUP($A59,'B0 2264預收'!$1:$1048576,6,0),0)</f>
        <v>0</v>
      </c>
      <c r="G59" s="157">
        <f t="shared" si="77"/>
        <v>0</v>
      </c>
      <c r="H59" s="158">
        <f>IFERROR(VLOOKUP($A59,'A0 BS 1240在建'!$1:$1048576,13,0),0)-C59</f>
        <v>0</v>
      </c>
      <c r="I59" s="158">
        <f>IFERROR(VLOOKUP($A59,'B0 2264預收'!$1:$1048576,13,0),0)-D59</f>
        <v>0</v>
      </c>
      <c r="J59" s="158">
        <f t="shared" si="78"/>
        <v>0</v>
      </c>
      <c r="K59" s="158">
        <f>IFERROR(VLOOKUP($A59,'B0 2264預收'!$1:$1048576,14,0),0)-F59</f>
        <v>0</v>
      </c>
      <c r="L59" s="158">
        <f t="shared" si="79"/>
        <v>0</v>
      </c>
      <c r="M59" s="157">
        <f>VLOOKUP($A59,'Over Under Bill 1 COPY 到CO欄位'!$1:$1048576,'Over Under Bill 1 COPY 到CO欄位'!M$1,0)-VLOOKUP($A59,'Over Under Bill 1 COPY 到CO欄位'!$1:$1048576,'Over Under Bill 1 COPY 到CO欄位'!H$1,0)</f>
        <v>0</v>
      </c>
      <c r="N59" s="157">
        <f>VLOOKUP($A59,'Over Under Bill 1 COPY 到CO欄位'!$1:$1048576,'Over Under Bill 1 COPY 到CO欄位'!N$1,0)-VLOOKUP($A59,'Over Under Bill 1 COPY 到CO欄位'!$1:$1048576,'Over Under Bill 1 COPY 到CO欄位'!I$1,0)</f>
        <v>0</v>
      </c>
      <c r="O59" s="157">
        <f t="shared" si="80"/>
        <v>0</v>
      </c>
      <c r="P59" s="157">
        <f>VLOOKUP($A59,'Over Under Bill 1 COPY 到CO欄位'!$1:$1048576,'Over Under Bill 1 COPY 到CO欄位'!P$1,0)-VLOOKUP($A59,'Over Under Bill 1 COPY 到CO欄位'!$1:$1048576,'Over Under Bill 1 COPY 到CO欄位'!K$1,0)</f>
        <v>0</v>
      </c>
      <c r="Q59" s="157">
        <f t="shared" si="81"/>
        <v>0</v>
      </c>
      <c r="R59" s="158">
        <f>VLOOKUP($A59,'Over Under Bill 1 COPY 到CO欄位'!$1:$1048576,'Over Under Bill 1 COPY 到CO欄位'!R$1,0)-VLOOKUP($A59,'Over Under Bill 1 COPY 到CO欄位'!$1:$1048576,'Over Under Bill 1 COPY 到CO欄位'!M$1,0)</f>
        <v>0</v>
      </c>
      <c r="S59" s="158">
        <f>VLOOKUP($A59,'Over Under Bill 1 COPY 到CO欄位'!$1:$1048576,'Over Under Bill 1 COPY 到CO欄位'!S$1,0)-VLOOKUP($A59,'Over Under Bill 1 COPY 到CO欄位'!$1:$1048576,'Over Under Bill 1 COPY 到CO欄位'!N$1,0)</f>
        <v>0</v>
      </c>
      <c r="T59" s="158">
        <f t="shared" si="82"/>
        <v>0</v>
      </c>
      <c r="U59" s="158">
        <f>VLOOKUP($A59,'Over Under Bill 1 COPY 到CO欄位'!$1:$1048576,'Over Under Bill 1 COPY 到CO欄位'!U$1,0)-VLOOKUP($A59,'Over Under Bill 1 COPY 到CO欄位'!$1:$1048576,'Over Under Bill 1 COPY 到CO欄位'!P$1,0)</f>
        <v>0</v>
      </c>
      <c r="V59" s="158">
        <f t="shared" si="83"/>
        <v>0</v>
      </c>
      <c r="W59" s="157">
        <f>VLOOKUP($A59,'Over Under Bill 1 COPY 到CO欄位'!$1:$1048576,'Over Under Bill 1 COPY 到CO欄位'!W$1,0)-VLOOKUP($A59,'Over Under Bill 1 COPY 到CO欄位'!$1:$1048576,'Over Under Bill 1 COPY 到CO欄位'!R$1,0)</f>
        <v>0</v>
      </c>
      <c r="X59" s="157">
        <f>VLOOKUP($A59,'Over Under Bill 1 COPY 到CO欄位'!$1:$1048576,'Over Under Bill 1 COPY 到CO欄位'!X$1,0)-VLOOKUP($A59,'Over Under Bill 1 COPY 到CO欄位'!$1:$1048576,'Over Under Bill 1 COPY 到CO欄位'!S$1,0)</f>
        <v>0</v>
      </c>
      <c r="Y59" s="157">
        <f t="shared" si="84"/>
        <v>0</v>
      </c>
      <c r="Z59" s="157">
        <f>VLOOKUP($A59,'Over Under Bill 1 COPY 到CO欄位'!$1:$1048576,'Over Under Bill 1 COPY 到CO欄位'!Z$1,0)-VLOOKUP($A59,'Over Under Bill 1 COPY 到CO欄位'!$1:$1048576,'Over Under Bill 1 COPY 到CO欄位'!U$1,0)</f>
        <v>0</v>
      </c>
      <c r="AA59" s="157">
        <f t="shared" si="85"/>
        <v>0</v>
      </c>
      <c r="AB59" s="158">
        <f>VLOOKUP($A59,'Over Under Bill 1 COPY 到CO欄位'!$1:$1048576,'Over Under Bill 1 COPY 到CO欄位'!AB$1,0)-VLOOKUP($A59,'Over Under Bill 1 COPY 到CO欄位'!$1:$1048576,'Over Under Bill 1 COPY 到CO欄位'!W$1,0)</f>
        <v>0</v>
      </c>
      <c r="AC59" s="158">
        <f>VLOOKUP($A59,'Over Under Bill 1 COPY 到CO欄位'!$1:$1048576,'Over Under Bill 1 COPY 到CO欄位'!AC$1,0)-VLOOKUP($A59,'Over Under Bill 1 COPY 到CO欄位'!$1:$1048576,'Over Under Bill 1 COPY 到CO欄位'!X$1,0)</f>
        <v>0</v>
      </c>
      <c r="AD59" s="158">
        <f t="shared" si="86"/>
        <v>0</v>
      </c>
      <c r="AE59" s="158">
        <f>VLOOKUP($A59,'Over Under Bill 1 COPY 到CO欄位'!$1:$1048576,'Over Under Bill 1 COPY 到CO欄位'!AE$1,0)-VLOOKUP($A59,'Over Under Bill 1 COPY 到CO欄位'!$1:$1048576,'Over Under Bill 1 COPY 到CO欄位'!Z$1,0)</f>
        <v>0</v>
      </c>
      <c r="AF59" s="158">
        <f t="shared" si="87"/>
        <v>0</v>
      </c>
      <c r="AG59" s="157">
        <f>VLOOKUP($A59,'Over Under Bill 1 COPY 到CO欄位'!$1:$1048576,'Over Under Bill 1 COPY 到CO欄位'!AG$1,0)-VLOOKUP($A59,'Over Under Bill 1 COPY 到CO欄位'!$1:$1048576,'Over Under Bill 1 COPY 到CO欄位'!AB$1,0)</f>
        <v>0</v>
      </c>
      <c r="AH59" s="157">
        <f>VLOOKUP($A59,'Over Under Bill 1 COPY 到CO欄位'!$1:$1048576,'Over Under Bill 1 COPY 到CO欄位'!AH$1,0)-VLOOKUP($A59,'Over Under Bill 1 COPY 到CO欄位'!$1:$1048576,'Over Under Bill 1 COPY 到CO欄位'!AC$1,0)</f>
        <v>0</v>
      </c>
      <c r="AI59" s="157">
        <f t="shared" si="88"/>
        <v>0</v>
      </c>
      <c r="AJ59" s="157">
        <f>VLOOKUP($A59,'Over Under Bill 1 COPY 到CO欄位'!$1:$1048576,'Over Under Bill 1 COPY 到CO欄位'!AJ$1,0)-VLOOKUP($A59,'Over Under Bill 1 COPY 到CO欄位'!$1:$1048576,'Over Under Bill 1 COPY 到CO欄位'!AE$1,0)</f>
        <v>0</v>
      </c>
      <c r="AK59" s="157">
        <f t="shared" si="89"/>
        <v>0</v>
      </c>
      <c r="AL59" s="158">
        <f>VLOOKUP($A59,'Over Under Bill 1 COPY 到CO欄位'!$1:$1048576,'Over Under Bill 1 COPY 到CO欄位'!AL$1,0)-VLOOKUP($A59,'Over Under Bill 1 COPY 到CO欄位'!$1:$1048576,'Over Under Bill 1 COPY 到CO欄位'!AG$1,0)</f>
        <v>0</v>
      </c>
      <c r="AM59" s="158">
        <f>VLOOKUP($A59,'Over Under Bill 1 COPY 到CO欄位'!$1:$1048576,'Over Under Bill 1 COPY 到CO欄位'!AM$1,0)-VLOOKUP($A59,'Over Under Bill 1 COPY 到CO欄位'!$1:$1048576,'Over Under Bill 1 COPY 到CO欄位'!AH$1,0)</f>
        <v>0</v>
      </c>
      <c r="AN59" s="158">
        <f t="shared" si="90"/>
        <v>0</v>
      </c>
      <c r="AO59" s="158">
        <f>VLOOKUP($A59,'Over Under Bill 1 COPY 到CO欄位'!$1:$1048576,'Over Under Bill 1 COPY 到CO欄位'!AO$1,0)-VLOOKUP($A59,'Over Under Bill 1 COPY 到CO欄位'!$1:$1048576,'Over Under Bill 1 COPY 到CO欄位'!AJ$1,0)</f>
        <v>0</v>
      </c>
      <c r="AP59" s="158">
        <f t="shared" si="91"/>
        <v>0</v>
      </c>
      <c r="AQ59" s="157">
        <f>VLOOKUP($A59,'Over Under Bill 1 COPY 到CO欄位'!$1:$1048576,'Over Under Bill 1 COPY 到CO欄位'!AQ$1,0)-VLOOKUP($A59,'Over Under Bill 1 COPY 到CO欄位'!$1:$1048576,'Over Under Bill 1 COPY 到CO欄位'!AL$1,0)</f>
        <v>0</v>
      </c>
      <c r="AR59" s="157">
        <f>VLOOKUP($A59,'Over Under Bill 1 COPY 到CO欄位'!$1:$1048576,'Over Under Bill 1 COPY 到CO欄位'!AR$1,0)-VLOOKUP($A59,'Over Under Bill 1 COPY 到CO欄位'!$1:$1048576,'Over Under Bill 1 COPY 到CO欄位'!AM$1,0)</f>
        <v>0</v>
      </c>
      <c r="AS59" s="157">
        <f t="shared" si="92"/>
        <v>0</v>
      </c>
      <c r="AT59" s="157">
        <f>VLOOKUP($A59,'Over Under Bill 1 COPY 到CO欄位'!$1:$1048576,'Over Under Bill 1 COPY 到CO欄位'!AT$1,0)-VLOOKUP($A59,'Over Under Bill 1 COPY 到CO欄位'!$1:$1048576,'Over Under Bill 1 COPY 到CO欄位'!AO$1,0)</f>
        <v>0</v>
      </c>
      <c r="AU59" s="157">
        <f t="shared" si="93"/>
        <v>0</v>
      </c>
      <c r="AV59" s="158">
        <f>VLOOKUP($A59,'Over Under Bill 1 COPY 到CO欄位'!$1:$1048576,'Over Under Bill 1 COPY 到CO欄位'!AV$1,0)-VLOOKUP($A59,'Over Under Bill 1 COPY 到CO欄位'!$1:$1048576,'Over Under Bill 1 COPY 到CO欄位'!AQ$1,0)</f>
        <v>0</v>
      </c>
      <c r="AW59" s="158">
        <f>VLOOKUP($A59,'Over Under Bill 1 COPY 到CO欄位'!$1:$1048576,'Over Under Bill 1 COPY 到CO欄位'!AW$1,0)-VLOOKUP($A59,'Over Under Bill 1 COPY 到CO欄位'!$1:$1048576,'Over Under Bill 1 COPY 到CO欄位'!AR$1,0)</f>
        <v>0</v>
      </c>
      <c r="AX59" s="158">
        <f t="shared" si="94"/>
        <v>0</v>
      </c>
      <c r="AY59" s="158">
        <f>VLOOKUP($A59,'Over Under Bill 1 COPY 到CO欄位'!$1:$1048576,'Over Under Bill 1 COPY 到CO欄位'!AY$1,0)-VLOOKUP($A59,'Over Under Bill 1 COPY 到CO欄位'!$1:$1048576,'Over Under Bill 1 COPY 到CO欄位'!AT$1,0)</f>
        <v>0</v>
      </c>
      <c r="AZ59" s="158">
        <f t="shared" si="95"/>
        <v>0</v>
      </c>
      <c r="BA59" s="157">
        <f>VLOOKUP($A59,'Over Under Bill 1 COPY 到CO欄位'!$1:$1048576,'Over Under Bill 1 COPY 到CO欄位'!BA$1,0)-VLOOKUP($A59,'Over Under Bill 1 COPY 到CO欄位'!$1:$1048576,'Over Under Bill 1 COPY 到CO欄位'!AV$1,0)</f>
        <v>0</v>
      </c>
      <c r="BB59" s="157">
        <f>VLOOKUP($A59,'Over Under Bill 1 COPY 到CO欄位'!$1:$1048576,'Over Under Bill 1 COPY 到CO欄位'!BB$1,0)-VLOOKUP($A59,'Over Under Bill 1 COPY 到CO欄位'!$1:$1048576,'Over Under Bill 1 COPY 到CO欄位'!AW$1,0)</f>
        <v>0</v>
      </c>
      <c r="BC59" s="157">
        <f t="shared" si="96"/>
        <v>0</v>
      </c>
      <c r="BD59" s="157">
        <f>VLOOKUP($A59,'Over Under Bill 1 COPY 到CO欄位'!$1:$1048576,'Over Under Bill 1 COPY 到CO欄位'!BD$1,0)-VLOOKUP($A59,'Over Under Bill 1 COPY 到CO欄位'!$1:$1048576,'Over Under Bill 1 COPY 到CO欄位'!AY$1,0)</f>
        <v>0</v>
      </c>
      <c r="BE59" s="157">
        <f t="shared" si="97"/>
        <v>0</v>
      </c>
      <c r="BF59" s="158">
        <f>VLOOKUP($A59,'Over Under Bill 1 COPY 到CO欄位'!$1:$1048576,'Over Under Bill 1 COPY 到CO欄位'!BF$1,0)-VLOOKUP($A59,'Over Under Bill 1 COPY 到CO欄位'!$1:$1048576,'Over Under Bill 1 COPY 到CO欄位'!BA$1,0)</f>
        <v>0</v>
      </c>
      <c r="BG59" s="158">
        <f>VLOOKUP($A59,'Over Under Bill 1 COPY 到CO欄位'!$1:$1048576,'Over Under Bill 1 COPY 到CO欄位'!BG$1,0)-VLOOKUP($A59,'Over Under Bill 1 COPY 到CO欄位'!$1:$1048576,'Over Under Bill 1 COPY 到CO欄位'!BB$1,0)</f>
        <v>0</v>
      </c>
      <c r="BH59" s="158">
        <f t="shared" si="98"/>
        <v>0</v>
      </c>
      <c r="BI59" s="158">
        <f>VLOOKUP($A59,'Over Under Bill 1 COPY 到CO欄位'!$1:$1048576,'Over Under Bill 1 COPY 到CO欄位'!BI$1,0)-VLOOKUP($A59,'Over Under Bill 1 COPY 到CO欄位'!$1:$1048576,'Over Under Bill 1 COPY 到CO欄位'!BD$1,0)</f>
        <v>0</v>
      </c>
      <c r="BJ59" s="158">
        <f t="shared" si="99"/>
        <v>0</v>
      </c>
      <c r="BK59" s="157">
        <f>VLOOKUP($A59,'Over Under Bill 1 COPY 到CO欄位'!$1:$1048576,'Over Under Bill 1 COPY 到CO欄位'!BK$1,0)-VLOOKUP($A59,'Over Under Bill 1 COPY 到CO欄位'!$1:$1048576,'Over Under Bill 1 COPY 到CO欄位'!BF$1,0)</f>
        <v>0</v>
      </c>
      <c r="BL59" s="157">
        <f>VLOOKUP($A59,'Over Under Bill 1 COPY 到CO欄位'!$1:$1048576,'Over Under Bill 1 COPY 到CO欄位'!BL$1,0)-VLOOKUP($A59,'Over Under Bill 1 COPY 到CO欄位'!$1:$1048576,'Over Under Bill 1 COPY 到CO欄位'!BG$1,0)</f>
        <v>0</v>
      </c>
      <c r="BM59" s="157">
        <f t="shared" si="100"/>
        <v>0</v>
      </c>
      <c r="BN59" s="157">
        <f>VLOOKUP($A59,'Over Under Bill 1 COPY 到CO欄位'!$1:$1048576,'Over Under Bill 1 COPY 到CO欄位'!BN$1,0)-VLOOKUP($A59,'Over Under Bill 1 COPY 到CO欄位'!$1:$1048576,'Over Under Bill 1 COPY 到CO欄位'!BI$1,0)</f>
        <v>0</v>
      </c>
      <c r="BO59" s="157">
        <f t="shared" si="101"/>
        <v>0</v>
      </c>
      <c r="BP59" s="158">
        <f>VLOOKUP($A59,'Over Under Bill 1 COPY 到CO欄位'!$1:$1048576,'Over Under Bill 1 COPY 到CO欄位'!BP$1,0)-VLOOKUP($A59,'Over Under Bill 1 COPY 到CO欄位'!$1:$1048576,'Over Under Bill 1 COPY 到CO欄位'!BK$1,0)</f>
        <v>0</v>
      </c>
      <c r="BQ59" s="158">
        <f>VLOOKUP($A59,'Over Under Bill 1 COPY 到CO欄位'!$1:$1048576,'Over Under Bill 1 COPY 到CO欄位'!BQ$1,0)-VLOOKUP($A59,'Over Under Bill 1 COPY 到CO欄位'!$1:$1048576,'Over Under Bill 1 COPY 到CO欄位'!BL$1,0)</f>
        <v>0</v>
      </c>
      <c r="BR59" s="158">
        <f t="shared" si="102"/>
        <v>0</v>
      </c>
      <c r="BS59" s="158">
        <f>VLOOKUP($A59,'Over Under Bill 1 COPY 到CO欄位'!$1:$1048576,'Over Under Bill 1 COPY 到CO欄位'!BS$1,0)-VLOOKUP($A59,'Over Under Bill 1 COPY 到CO欄位'!$1:$1048576,'Over Under Bill 1 COPY 到CO欄位'!BN$1,0)</f>
        <v>0</v>
      </c>
      <c r="BT59" s="158">
        <f t="shared" si="103"/>
        <v>0</v>
      </c>
      <c r="BU59" s="157">
        <f>VLOOKUP($A59,'Over Under Bill 1 COPY 到CO欄位'!$1:$1048576,'Over Under Bill 1 COPY 到CO欄位'!BP$1,0)-VLOOKUP($A59,'Over Under Bill 1 COPY 到CO欄位'!$1:$1048576,'Over Under Bill 1 COPY 到CO欄位'!H$1,0)</f>
        <v>0</v>
      </c>
      <c r="BV59" s="157">
        <f>VLOOKUP($A59,'Over Under Bill 1 COPY 到CO欄位'!$1:$1048576,'Over Under Bill 1 COPY 到CO欄位'!BQ$1,0)-VLOOKUP($A59,'Over Under Bill 1 COPY 到CO欄位'!$1:$1048576,'Over Under Bill 1 COPY 到CO欄位'!I$1,0)</f>
        <v>0</v>
      </c>
      <c r="BW59" s="157">
        <f t="shared" si="104"/>
        <v>0</v>
      </c>
      <c r="BX59" s="157">
        <f>VLOOKUP($A59,'Over Under Bill 1 COPY 到CO欄位'!$1:$1048576,'Over Under Bill 1 COPY 到CO欄位'!BS$1,0)-VLOOKUP($A59,'Over Under Bill 1 COPY 到CO欄位'!$1:$1048576,'Over Under Bill 1 COPY 到CO欄位'!K$1,0)</f>
        <v>0</v>
      </c>
      <c r="BY59" s="157">
        <f t="shared" si="105"/>
        <v>0</v>
      </c>
      <c r="BZ59" s="158">
        <f>VLOOKUP($A59,'Over Under Bill 1 COPY 到CO欄位'!$1:$1048576,'Over Under Bill 1 COPY 到CO欄位'!BU$1,0)-VLOOKUP($A59,'Over Under Bill 1 COPY 到CO欄位'!$1:$1048576,'Over Under Bill 1 COPY 到CO欄位'!BP$1,0)</f>
        <v>0</v>
      </c>
      <c r="CA59" s="158">
        <f>VLOOKUP($A59,'Over Under Bill 1 COPY 到CO欄位'!$1:$1048576,'Over Under Bill 1 COPY 到CO欄位'!BV$1,0)-VLOOKUP($A59,'Over Under Bill 1 COPY 到CO欄位'!$1:$1048576,'Over Under Bill 1 COPY 到CO欄位'!BQ$1,0)</f>
        <v>0</v>
      </c>
      <c r="CB59" s="158">
        <f t="shared" si="106"/>
        <v>0</v>
      </c>
      <c r="CC59" s="158">
        <f>VLOOKUP($A59,'Over Under Bill 1 COPY 到CO欄位'!$1:$1048576,'Over Under Bill 1 COPY 到CO欄位'!BX$1,0)-VLOOKUP($A59,'Over Under Bill 1 COPY 到CO欄位'!$1:$1048576,'Over Under Bill 1 COPY 到CO欄位'!BS$1,0)</f>
        <v>0</v>
      </c>
      <c r="CD59" s="158">
        <f t="shared" si="107"/>
        <v>0</v>
      </c>
      <c r="CE59" s="157">
        <f>VLOOKUP($A59,'Over Under Bill 1 COPY 到CO欄位'!$1:$1048576,'Over Under Bill 1 COPY 到CO欄位'!BZ$1,0)-VLOOKUP($A59,'Over Under Bill 1 COPY 到CO欄位'!$1:$1048576,'Over Under Bill 1 COPY 到CO欄位'!BU$1,0)</f>
        <v>0</v>
      </c>
      <c r="CF59" s="157">
        <f>VLOOKUP($A59,'Over Under Bill 1 COPY 到CO欄位'!$1:$1048576,'Over Under Bill 1 COPY 到CO欄位'!CA$1,0)-VLOOKUP($A59,'Over Under Bill 1 COPY 到CO欄位'!$1:$1048576,'Over Under Bill 1 COPY 到CO欄位'!BV$1,0)</f>
        <v>0</v>
      </c>
      <c r="CG59" s="157">
        <f t="shared" si="108"/>
        <v>0</v>
      </c>
      <c r="CH59" s="157">
        <f>VLOOKUP($A59,'Over Under Bill 1 COPY 到CO欄位'!$1:$1048576,'Over Under Bill 1 COPY 到CO欄位'!CC$1,0)-VLOOKUP($A59,'Over Under Bill 1 COPY 到CO欄位'!$1:$1048576,'Over Under Bill 1 COPY 到CO欄位'!BX$1,0)</f>
        <v>0</v>
      </c>
      <c r="CI59" s="157">
        <f t="shared" si="109"/>
        <v>0</v>
      </c>
      <c r="CJ59" s="158">
        <f>VLOOKUP($A59,'Over Under Bill 1 COPY 到CO欄位'!$1:$1048576,'Over Under Bill 1 COPY 到CO欄位'!CE$1,0)-VLOOKUP($A59,'Over Under Bill 1 COPY 到CO欄位'!$1:$1048576,'Over Under Bill 1 COPY 到CO欄位'!BZ$1,0)</f>
        <v>0</v>
      </c>
      <c r="CK59" s="158">
        <f>VLOOKUP($A59,'Over Under Bill 1 COPY 到CO欄位'!$1:$1048576,'Over Under Bill 1 COPY 到CO欄位'!CF$1,0)-VLOOKUP($A59,'Over Under Bill 1 COPY 到CO欄位'!$1:$1048576,'Over Under Bill 1 COPY 到CO欄位'!CA$1,0)</f>
        <v>0</v>
      </c>
      <c r="CL59" s="158">
        <f t="shared" si="110"/>
        <v>0</v>
      </c>
      <c r="CM59" s="158">
        <f>VLOOKUP($A59,'Over Under Bill 1 COPY 到CO欄位'!$1:$1048576,'Over Under Bill 1 COPY 到CO欄位'!CH$1,0)-VLOOKUP($A59,'Over Under Bill 1 COPY 到CO欄位'!$1:$1048576,'Over Under Bill 1 COPY 到CO欄位'!CC$1,0)</f>
        <v>0</v>
      </c>
      <c r="CN59" s="158">
        <f t="shared" si="111"/>
        <v>0</v>
      </c>
      <c r="CO59" s="157">
        <f>VLOOKUP($A59,'Over Under Bill 1 COPY 到CO欄位'!$1:$1048576,'Over Under Bill 1 COPY 到CO欄位'!CJ$1,0)-VLOOKUP($A59,'Over Under Bill 1 COPY 到CO欄位'!$1:$1048576,'Over Under Bill 1 COPY 到CO欄位'!CE$1,0)</f>
        <v>0</v>
      </c>
      <c r="CP59" s="157">
        <f>VLOOKUP($A59,'Over Under Bill 1 COPY 到CO欄位'!$1:$1048576,'Over Under Bill 1 COPY 到CO欄位'!CK$1,0)-VLOOKUP($A59,'Over Under Bill 1 COPY 到CO欄位'!$1:$1048576,'Over Under Bill 1 COPY 到CO欄位'!CF$1,0)</f>
        <v>0</v>
      </c>
      <c r="CQ59" s="157">
        <f t="shared" si="112"/>
        <v>0</v>
      </c>
      <c r="CR59" s="157">
        <f>VLOOKUP($A59,'Over Under Bill 1 COPY 到CO欄位'!$1:$1048576,'Over Under Bill 1 COPY 到CO欄位'!CM$1,0)-VLOOKUP($A59,'Over Under Bill 1 COPY 到CO欄位'!$1:$1048576,'Over Under Bill 1 COPY 到CO欄位'!CH$1,0)</f>
        <v>0</v>
      </c>
      <c r="CS59" s="157">
        <f t="shared" si="113"/>
        <v>0</v>
      </c>
    </row>
    <row r="60" spans="1:97">
      <c r="A60" s="171" t="s">
        <v>415</v>
      </c>
      <c r="B60" s="172" t="s">
        <v>539</v>
      </c>
      <c r="C60" s="157">
        <f>IFERROR(VLOOKUP($A60,'A0 BS 1240在建'!$1:$1048576,5,0),0)</f>
        <v>0</v>
      </c>
      <c r="D60" s="157">
        <f>IFERROR(VLOOKUP($A60,'B0 2264預收'!$1:$1048576,5,0),0)</f>
        <v>0</v>
      </c>
      <c r="E60" s="157">
        <f t="shared" si="76"/>
        <v>0</v>
      </c>
      <c r="F60" s="157">
        <f>IFERROR(VLOOKUP($A60,'B0 2264預收'!$1:$1048576,6,0),0)</f>
        <v>0</v>
      </c>
      <c r="G60" s="157">
        <f t="shared" si="77"/>
        <v>0</v>
      </c>
      <c r="H60" s="158">
        <f>IFERROR(VLOOKUP($A60,'A0 BS 1240在建'!$1:$1048576,13,0),0)-C60</f>
        <v>0</v>
      </c>
      <c r="I60" s="158">
        <f>IFERROR(VLOOKUP($A60,'B0 2264預收'!$1:$1048576,13,0),0)-D60</f>
        <v>0</v>
      </c>
      <c r="J60" s="158">
        <f t="shared" si="78"/>
        <v>0</v>
      </c>
      <c r="K60" s="158">
        <f>IFERROR(VLOOKUP($A60,'B0 2264預收'!$1:$1048576,14,0),0)-F60</f>
        <v>0</v>
      </c>
      <c r="L60" s="158">
        <f t="shared" si="79"/>
        <v>0</v>
      </c>
      <c r="M60" s="157">
        <f>VLOOKUP($A60,'Over Under Bill 1 COPY 到CO欄位'!$1:$1048576,'Over Under Bill 1 COPY 到CO欄位'!M$1,0)-VLOOKUP($A60,'Over Under Bill 1 COPY 到CO欄位'!$1:$1048576,'Over Under Bill 1 COPY 到CO欄位'!H$1,0)</f>
        <v>0</v>
      </c>
      <c r="N60" s="157">
        <f>VLOOKUP($A60,'Over Under Bill 1 COPY 到CO欄位'!$1:$1048576,'Over Under Bill 1 COPY 到CO欄位'!N$1,0)-VLOOKUP($A60,'Over Under Bill 1 COPY 到CO欄位'!$1:$1048576,'Over Under Bill 1 COPY 到CO欄位'!I$1,0)</f>
        <v>0</v>
      </c>
      <c r="O60" s="157">
        <f t="shared" si="80"/>
        <v>0</v>
      </c>
      <c r="P60" s="157">
        <f>VLOOKUP($A60,'Over Under Bill 1 COPY 到CO欄位'!$1:$1048576,'Over Under Bill 1 COPY 到CO欄位'!P$1,0)-VLOOKUP($A60,'Over Under Bill 1 COPY 到CO欄位'!$1:$1048576,'Over Under Bill 1 COPY 到CO欄位'!K$1,0)</f>
        <v>0</v>
      </c>
      <c r="Q60" s="157">
        <f t="shared" si="81"/>
        <v>0</v>
      </c>
      <c r="R60" s="158">
        <f>VLOOKUP($A60,'Over Under Bill 1 COPY 到CO欄位'!$1:$1048576,'Over Under Bill 1 COPY 到CO欄位'!R$1,0)-VLOOKUP($A60,'Over Under Bill 1 COPY 到CO欄位'!$1:$1048576,'Over Under Bill 1 COPY 到CO欄位'!M$1,0)</f>
        <v>0</v>
      </c>
      <c r="S60" s="158">
        <f>VLOOKUP($A60,'Over Under Bill 1 COPY 到CO欄位'!$1:$1048576,'Over Under Bill 1 COPY 到CO欄位'!S$1,0)-VLOOKUP($A60,'Over Under Bill 1 COPY 到CO欄位'!$1:$1048576,'Over Under Bill 1 COPY 到CO欄位'!N$1,0)</f>
        <v>0</v>
      </c>
      <c r="T60" s="158">
        <f t="shared" si="82"/>
        <v>0</v>
      </c>
      <c r="U60" s="158">
        <f>VLOOKUP($A60,'Over Under Bill 1 COPY 到CO欄位'!$1:$1048576,'Over Under Bill 1 COPY 到CO欄位'!U$1,0)-VLOOKUP($A60,'Over Under Bill 1 COPY 到CO欄位'!$1:$1048576,'Over Under Bill 1 COPY 到CO欄位'!P$1,0)</f>
        <v>0</v>
      </c>
      <c r="V60" s="158">
        <f t="shared" si="83"/>
        <v>0</v>
      </c>
      <c r="W60" s="157">
        <f>VLOOKUP($A60,'Over Under Bill 1 COPY 到CO欄位'!$1:$1048576,'Over Under Bill 1 COPY 到CO欄位'!W$1,0)-VLOOKUP($A60,'Over Under Bill 1 COPY 到CO欄位'!$1:$1048576,'Over Under Bill 1 COPY 到CO欄位'!R$1,0)</f>
        <v>0</v>
      </c>
      <c r="X60" s="157">
        <f>VLOOKUP($A60,'Over Under Bill 1 COPY 到CO欄位'!$1:$1048576,'Over Under Bill 1 COPY 到CO欄位'!X$1,0)-VLOOKUP($A60,'Over Under Bill 1 COPY 到CO欄位'!$1:$1048576,'Over Under Bill 1 COPY 到CO欄位'!S$1,0)</f>
        <v>0</v>
      </c>
      <c r="Y60" s="157">
        <f t="shared" si="84"/>
        <v>0</v>
      </c>
      <c r="Z60" s="157">
        <f>VLOOKUP($A60,'Over Under Bill 1 COPY 到CO欄位'!$1:$1048576,'Over Under Bill 1 COPY 到CO欄位'!Z$1,0)-VLOOKUP($A60,'Over Under Bill 1 COPY 到CO欄位'!$1:$1048576,'Over Under Bill 1 COPY 到CO欄位'!U$1,0)</f>
        <v>0</v>
      </c>
      <c r="AA60" s="157">
        <f t="shared" si="85"/>
        <v>0</v>
      </c>
      <c r="AB60" s="158">
        <f>VLOOKUP($A60,'Over Under Bill 1 COPY 到CO欄位'!$1:$1048576,'Over Under Bill 1 COPY 到CO欄位'!AB$1,0)-VLOOKUP($A60,'Over Under Bill 1 COPY 到CO欄位'!$1:$1048576,'Over Under Bill 1 COPY 到CO欄位'!W$1,0)</f>
        <v>0</v>
      </c>
      <c r="AC60" s="158">
        <f>VLOOKUP($A60,'Over Under Bill 1 COPY 到CO欄位'!$1:$1048576,'Over Under Bill 1 COPY 到CO欄位'!AC$1,0)-VLOOKUP($A60,'Over Under Bill 1 COPY 到CO欄位'!$1:$1048576,'Over Under Bill 1 COPY 到CO欄位'!X$1,0)</f>
        <v>0</v>
      </c>
      <c r="AD60" s="158">
        <f t="shared" si="86"/>
        <v>0</v>
      </c>
      <c r="AE60" s="158">
        <f>VLOOKUP($A60,'Over Under Bill 1 COPY 到CO欄位'!$1:$1048576,'Over Under Bill 1 COPY 到CO欄位'!AE$1,0)-VLOOKUP($A60,'Over Under Bill 1 COPY 到CO欄位'!$1:$1048576,'Over Under Bill 1 COPY 到CO欄位'!Z$1,0)</f>
        <v>0</v>
      </c>
      <c r="AF60" s="158">
        <f t="shared" si="87"/>
        <v>0</v>
      </c>
      <c r="AG60" s="157">
        <f>VLOOKUP($A60,'Over Under Bill 1 COPY 到CO欄位'!$1:$1048576,'Over Under Bill 1 COPY 到CO欄位'!AG$1,0)-VLOOKUP($A60,'Over Under Bill 1 COPY 到CO欄位'!$1:$1048576,'Over Under Bill 1 COPY 到CO欄位'!AB$1,0)</f>
        <v>0</v>
      </c>
      <c r="AH60" s="157">
        <f>VLOOKUP($A60,'Over Under Bill 1 COPY 到CO欄位'!$1:$1048576,'Over Under Bill 1 COPY 到CO欄位'!AH$1,0)-VLOOKUP($A60,'Over Under Bill 1 COPY 到CO欄位'!$1:$1048576,'Over Under Bill 1 COPY 到CO欄位'!AC$1,0)</f>
        <v>0</v>
      </c>
      <c r="AI60" s="157">
        <f t="shared" si="88"/>
        <v>0</v>
      </c>
      <c r="AJ60" s="157">
        <f>VLOOKUP($A60,'Over Under Bill 1 COPY 到CO欄位'!$1:$1048576,'Over Under Bill 1 COPY 到CO欄位'!AJ$1,0)-VLOOKUP($A60,'Over Under Bill 1 COPY 到CO欄位'!$1:$1048576,'Over Under Bill 1 COPY 到CO欄位'!AE$1,0)</f>
        <v>0</v>
      </c>
      <c r="AK60" s="157">
        <f t="shared" si="89"/>
        <v>0</v>
      </c>
      <c r="AL60" s="158">
        <f>VLOOKUP($A60,'Over Under Bill 1 COPY 到CO欄位'!$1:$1048576,'Over Under Bill 1 COPY 到CO欄位'!AL$1,0)-VLOOKUP($A60,'Over Under Bill 1 COPY 到CO欄位'!$1:$1048576,'Over Under Bill 1 COPY 到CO欄位'!AG$1,0)</f>
        <v>0</v>
      </c>
      <c r="AM60" s="158">
        <f>VLOOKUP($A60,'Over Under Bill 1 COPY 到CO欄位'!$1:$1048576,'Over Under Bill 1 COPY 到CO欄位'!AM$1,0)-VLOOKUP($A60,'Over Under Bill 1 COPY 到CO欄位'!$1:$1048576,'Over Under Bill 1 COPY 到CO欄位'!AH$1,0)</f>
        <v>0</v>
      </c>
      <c r="AN60" s="158">
        <f t="shared" si="90"/>
        <v>0</v>
      </c>
      <c r="AO60" s="158">
        <f>VLOOKUP($A60,'Over Under Bill 1 COPY 到CO欄位'!$1:$1048576,'Over Under Bill 1 COPY 到CO欄位'!AO$1,0)-VLOOKUP($A60,'Over Under Bill 1 COPY 到CO欄位'!$1:$1048576,'Over Under Bill 1 COPY 到CO欄位'!AJ$1,0)</f>
        <v>0</v>
      </c>
      <c r="AP60" s="158">
        <f t="shared" si="91"/>
        <v>0</v>
      </c>
      <c r="AQ60" s="157">
        <f>VLOOKUP($A60,'Over Under Bill 1 COPY 到CO欄位'!$1:$1048576,'Over Under Bill 1 COPY 到CO欄位'!AQ$1,0)-VLOOKUP($A60,'Over Under Bill 1 COPY 到CO欄位'!$1:$1048576,'Over Under Bill 1 COPY 到CO欄位'!AL$1,0)</f>
        <v>0</v>
      </c>
      <c r="AR60" s="157">
        <f>VLOOKUP($A60,'Over Under Bill 1 COPY 到CO欄位'!$1:$1048576,'Over Under Bill 1 COPY 到CO欄位'!AR$1,0)-VLOOKUP($A60,'Over Under Bill 1 COPY 到CO欄位'!$1:$1048576,'Over Under Bill 1 COPY 到CO欄位'!AM$1,0)</f>
        <v>0</v>
      </c>
      <c r="AS60" s="157">
        <f t="shared" si="92"/>
        <v>0</v>
      </c>
      <c r="AT60" s="157">
        <f>VLOOKUP($A60,'Over Under Bill 1 COPY 到CO欄位'!$1:$1048576,'Over Under Bill 1 COPY 到CO欄位'!AT$1,0)-VLOOKUP($A60,'Over Under Bill 1 COPY 到CO欄位'!$1:$1048576,'Over Under Bill 1 COPY 到CO欄位'!AO$1,0)</f>
        <v>0</v>
      </c>
      <c r="AU60" s="157">
        <f t="shared" si="93"/>
        <v>0</v>
      </c>
      <c r="AV60" s="158">
        <f>VLOOKUP($A60,'Over Under Bill 1 COPY 到CO欄位'!$1:$1048576,'Over Under Bill 1 COPY 到CO欄位'!AV$1,0)-VLOOKUP($A60,'Over Under Bill 1 COPY 到CO欄位'!$1:$1048576,'Over Under Bill 1 COPY 到CO欄位'!AQ$1,0)</f>
        <v>0</v>
      </c>
      <c r="AW60" s="158">
        <f>VLOOKUP($A60,'Over Under Bill 1 COPY 到CO欄位'!$1:$1048576,'Over Under Bill 1 COPY 到CO欄位'!AW$1,0)-VLOOKUP($A60,'Over Under Bill 1 COPY 到CO欄位'!$1:$1048576,'Over Under Bill 1 COPY 到CO欄位'!AR$1,0)</f>
        <v>0</v>
      </c>
      <c r="AX60" s="158">
        <f t="shared" si="94"/>
        <v>0</v>
      </c>
      <c r="AY60" s="158">
        <f>VLOOKUP($A60,'Over Under Bill 1 COPY 到CO欄位'!$1:$1048576,'Over Under Bill 1 COPY 到CO欄位'!AY$1,0)-VLOOKUP($A60,'Over Under Bill 1 COPY 到CO欄位'!$1:$1048576,'Over Under Bill 1 COPY 到CO欄位'!AT$1,0)</f>
        <v>0</v>
      </c>
      <c r="AZ60" s="158">
        <f t="shared" si="95"/>
        <v>0</v>
      </c>
      <c r="BA60" s="157">
        <f>VLOOKUP($A60,'Over Under Bill 1 COPY 到CO欄位'!$1:$1048576,'Over Under Bill 1 COPY 到CO欄位'!BA$1,0)-VLOOKUP($A60,'Over Under Bill 1 COPY 到CO欄位'!$1:$1048576,'Over Under Bill 1 COPY 到CO欄位'!AV$1,0)</f>
        <v>0</v>
      </c>
      <c r="BB60" s="157">
        <f>VLOOKUP($A60,'Over Under Bill 1 COPY 到CO欄位'!$1:$1048576,'Over Under Bill 1 COPY 到CO欄位'!BB$1,0)-VLOOKUP($A60,'Over Under Bill 1 COPY 到CO欄位'!$1:$1048576,'Over Under Bill 1 COPY 到CO欄位'!AW$1,0)</f>
        <v>0</v>
      </c>
      <c r="BC60" s="157">
        <f t="shared" si="96"/>
        <v>0</v>
      </c>
      <c r="BD60" s="157">
        <f>VLOOKUP($A60,'Over Under Bill 1 COPY 到CO欄位'!$1:$1048576,'Over Under Bill 1 COPY 到CO欄位'!BD$1,0)-VLOOKUP($A60,'Over Under Bill 1 COPY 到CO欄位'!$1:$1048576,'Over Under Bill 1 COPY 到CO欄位'!AY$1,0)</f>
        <v>0</v>
      </c>
      <c r="BE60" s="157">
        <f t="shared" si="97"/>
        <v>0</v>
      </c>
      <c r="BF60" s="158">
        <f>VLOOKUP($A60,'Over Under Bill 1 COPY 到CO欄位'!$1:$1048576,'Over Under Bill 1 COPY 到CO欄位'!BF$1,0)-VLOOKUP($A60,'Over Under Bill 1 COPY 到CO欄位'!$1:$1048576,'Over Under Bill 1 COPY 到CO欄位'!BA$1,0)</f>
        <v>0</v>
      </c>
      <c r="BG60" s="158">
        <f>VLOOKUP($A60,'Over Under Bill 1 COPY 到CO欄位'!$1:$1048576,'Over Under Bill 1 COPY 到CO欄位'!BG$1,0)-VLOOKUP($A60,'Over Under Bill 1 COPY 到CO欄位'!$1:$1048576,'Over Under Bill 1 COPY 到CO欄位'!BB$1,0)</f>
        <v>0</v>
      </c>
      <c r="BH60" s="158">
        <f t="shared" si="98"/>
        <v>0</v>
      </c>
      <c r="BI60" s="158">
        <f>VLOOKUP($A60,'Over Under Bill 1 COPY 到CO欄位'!$1:$1048576,'Over Under Bill 1 COPY 到CO欄位'!BI$1,0)-VLOOKUP($A60,'Over Under Bill 1 COPY 到CO欄位'!$1:$1048576,'Over Under Bill 1 COPY 到CO欄位'!BD$1,0)</f>
        <v>0</v>
      </c>
      <c r="BJ60" s="158">
        <f t="shared" si="99"/>
        <v>0</v>
      </c>
      <c r="BK60" s="157">
        <f>VLOOKUP($A60,'Over Under Bill 1 COPY 到CO欄位'!$1:$1048576,'Over Under Bill 1 COPY 到CO欄位'!BK$1,0)-VLOOKUP($A60,'Over Under Bill 1 COPY 到CO欄位'!$1:$1048576,'Over Under Bill 1 COPY 到CO欄位'!BF$1,0)</f>
        <v>0</v>
      </c>
      <c r="BL60" s="157">
        <f>VLOOKUP($A60,'Over Under Bill 1 COPY 到CO欄位'!$1:$1048576,'Over Under Bill 1 COPY 到CO欄位'!BL$1,0)-VLOOKUP($A60,'Over Under Bill 1 COPY 到CO欄位'!$1:$1048576,'Over Under Bill 1 COPY 到CO欄位'!BG$1,0)</f>
        <v>0</v>
      </c>
      <c r="BM60" s="157">
        <f t="shared" si="100"/>
        <v>0</v>
      </c>
      <c r="BN60" s="157">
        <f>VLOOKUP($A60,'Over Under Bill 1 COPY 到CO欄位'!$1:$1048576,'Over Under Bill 1 COPY 到CO欄位'!BN$1,0)-VLOOKUP($A60,'Over Under Bill 1 COPY 到CO欄位'!$1:$1048576,'Over Under Bill 1 COPY 到CO欄位'!BI$1,0)</f>
        <v>0</v>
      </c>
      <c r="BO60" s="157">
        <f t="shared" si="101"/>
        <v>0</v>
      </c>
      <c r="BP60" s="158">
        <f>VLOOKUP($A60,'Over Under Bill 1 COPY 到CO欄位'!$1:$1048576,'Over Under Bill 1 COPY 到CO欄位'!BP$1,0)-VLOOKUP($A60,'Over Under Bill 1 COPY 到CO欄位'!$1:$1048576,'Over Under Bill 1 COPY 到CO欄位'!BK$1,0)</f>
        <v>0</v>
      </c>
      <c r="BQ60" s="158">
        <f>VLOOKUP($A60,'Over Under Bill 1 COPY 到CO欄位'!$1:$1048576,'Over Under Bill 1 COPY 到CO欄位'!BQ$1,0)-VLOOKUP($A60,'Over Under Bill 1 COPY 到CO欄位'!$1:$1048576,'Over Under Bill 1 COPY 到CO欄位'!BL$1,0)</f>
        <v>0</v>
      </c>
      <c r="BR60" s="158">
        <f t="shared" si="102"/>
        <v>0</v>
      </c>
      <c r="BS60" s="158">
        <f>VLOOKUP($A60,'Over Under Bill 1 COPY 到CO欄位'!$1:$1048576,'Over Under Bill 1 COPY 到CO欄位'!BS$1,0)-VLOOKUP($A60,'Over Under Bill 1 COPY 到CO欄位'!$1:$1048576,'Over Under Bill 1 COPY 到CO欄位'!BN$1,0)</f>
        <v>0</v>
      </c>
      <c r="BT60" s="158">
        <f t="shared" si="103"/>
        <v>0</v>
      </c>
      <c r="BU60" s="157">
        <f>VLOOKUP($A60,'Over Under Bill 1 COPY 到CO欄位'!$1:$1048576,'Over Under Bill 1 COPY 到CO欄位'!BP$1,0)-VLOOKUP($A60,'Over Under Bill 1 COPY 到CO欄位'!$1:$1048576,'Over Under Bill 1 COPY 到CO欄位'!H$1,0)</f>
        <v>0</v>
      </c>
      <c r="BV60" s="157">
        <f>VLOOKUP($A60,'Over Under Bill 1 COPY 到CO欄位'!$1:$1048576,'Over Under Bill 1 COPY 到CO欄位'!BQ$1,0)-VLOOKUP($A60,'Over Under Bill 1 COPY 到CO欄位'!$1:$1048576,'Over Under Bill 1 COPY 到CO欄位'!I$1,0)</f>
        <v>0</v>
      </c>
      <c r="BW60" s="157">
        <f t="shared" si="104"/>
        <v>0</v>
      </c>
      <c r="BX60" s="157">
        <f>VLOOKUP($A60,'Over Under Bill 1 COPY 到CO欄位'!$1:$1048576,'Over Under Bill 1 COPY 到CO欄位'!BS$1,0)-VLOOKUP($A60,'Over Under Bill 1 COPY 到CO欄位'!$1:$1048576,'Over Under Bill 1 COPY 到CO欄位'!K$1,0)</f>
        <v>0</v>
      </c>
      <c r="BY60" s="157">
        <f t="shared" si="105"/>
        <v>0</v>
      </c>
      <c r="BZ60" s="158">
        <f>VLOOKUP($A60,'Over Under Bill 1 COPY 到CO欄位'!$1:$1048576,'Over Under Bill 1 COPY 到CO欄位'!BU$1,0)-VLOOKUP($A60,'Over Under Bill 1 COPY 到CO欄位'!$1:$1048576,'Over Under Bill 1 COPY 到CO欄位'!BP$1,0)</f>
        <v>0</v>
      </c>
      <c r="CA60" s="158">
        <f>VLOOKUP($A60,'Over Under Bill 1 COPY 到CO欄位'!$1:$1048576,'Over Under Bill 1 COPY 到CO欄位'!BV$1,0)-VLOOKUP($A60,'Over Under Bill 1 COPY 到CO欄位'!$1:$1048576,'Over Under Bill 1 COPY 到CO欄位'!BQ$1,0)</f>
        <v>0</v>
      </c>
      <c r="CB60" s="158">
        <f t="shared" si="106"/>
        <v>0</v>
      </c>
      <c r="CC60" s="158">
        <f>VLOOKUP($A60,'Over Under Bill 1 COPY 到CO欄位'!$1:$1048576,'Over Under Bill 1 COPY 到CO欄位'!BX$1,0)-VLOOKUP($A60,'Over Under Bill 1 COPY 到CO欄位'!$1:$1048576,'Over Under Bill 1 COPY 到CO欄位'!BS$1,0)</f>
        <v>0</v>
      </c>
      <c r="CD60" s="158">
        <f t="shared" si="107"/>
        <v>0</v>
      </c>
      <c r="CE60" s="157">
        <f>VLOOKUP($A60,'Over Under Bill 1 COPY 到CO欄位'!$1:$1048576,'Over Under Bill 1 COPY 到CO欄位'!BZ$1,0)-VLOOKUP($A60,'Over Under Bill 1 COPY 到CO欄位'!$1:$1048576,'Over Under Bill 1 COPY 到CO欄位'!BU$1,0)</f>
        <v>0</v>
      </c>
      <c r="CF60" s="157">
        <f>VLOOKUP($A60,'Over Under Bill 1 COPY 到CO欄位'!$1:$1048576,'Over Under Bill 1 COPY 到CO欄位'!CA$1,0)-VLOOKUP($A60,'Over Under Bill 1 COPY 到CO欄位'!$1:$1048576,'Over Under Bill 1 COPY 到CO欄位'!BV$1,0)</f>
        <v>0</v>
      </c>
      <c r="CG60" s="157">
        <f t="shared" si="108"/>
        <v>0</v>
      </c>
      <c r="CH60" s="157">
        <f>VLOOKUP($A60,'Over Under Bill 1 COPY 到CO欄位'!$1:$1048576,'Over Under Bill 1 COPY 到CO欄位'!CC$1,0)-VLOOKUP($A60,'Over Under Bill 1 COPY 到CO欄位'!$1:$1048576,'Over Under Bill 1 COPY 到CO欄位'!BX$1,0)</f>
        <v>0</v>
      </c>
      <c r="CI60" s="157">
        <f t="shared" si="109"/>
        <v>0</v>
      </c>
      <c r="CJ60" s="158">
        <f>VLOOKUP($A60,'Over Under Bill 1 COPY 到CO欄位'!$1:$1048576,'Over Under Bill 1 COPY 到CO欄位'!CE$1,0)-VLOOKUP($A60,'Over Under Bill 1 COPY 到CO欄位'!$1:$1048576,'Over Under Bill 1 COPY 到CO欄位'!BZ$1,0)</f>
        <v>0</v>
      </c>
      <c r="CK60" s="158">
        <f>VLOOKUP($A60,'Over Under Bill 1 COPY 到CO欄位'!$1:$1048576,'Over Under Bill 1 COPY 到CO欄位'!CF$1,0)-VLOOKUP($A60,'Over Under Bill 1 COPY 到CO欄位'!$1:$1048576,'Over Under Bill 1 COPY 到CO欄位'!CA$1,0)</f>
        <v>0</v>
      </c>
      <c r="CL60" s="158">
        <f t="shared" si="110"/>
        <v>0</v>
      </c>
      <c r="CM60" s="158">
        <f>VLOOKUP($A60,'Over Under Bill 1 COPY 到CO欄位'!$1:$1048576,'Over Under Bill 1 COPY 到CO欄位'!CH$1,0)-VLOOKUP($A60,'Over Under Bill 1 COPY 到CO欄位'!$1:$1048576,'Over Under Bill 1 COPY 到CO欄位'!CC$1,0)</f>
        <v>0</v>
      </c>
      <c r="CN60" s="158">
        <f t="shared" si="111"/>
        <v>0</v>
      </c>
      <c r="CO60" s="157">
        <f>VLOOKUP($A60,'Over Under Bill 1 COPY 到CO欄位'!$1:$1048576,'Over Under Bill 1 COPY 到CO欄位'!CJ$1,0)-VLOOKUP($A60,'Over Under Bill 1 COPY 到CO欄位'!$1:$1048576,'Over Under Bill 1 COPY 到CO欄位'!CE$1,0)</f>
        <v>0</v>
      </c>
      <c r="CP60" s="157">
        <f>VLOOKUP($A60,'Over Under Bill 1 COPY 到CO欄位'!$1:$1048576,'Over Under Bill 1 COPY 到CO欄位'!CK$1,0)-VLOOKUP($A60,'Over Under Bill 1 COPY 到CO欄位'!$1:$1048576,'Over Under Bill 1 COPY 到CO欄位'!CF$1,0)</f>
        <v>0</v>
      </c>
      <c r="CQ60" s="157">
        <f t="shared" si="112"/>
        <v>0</v>
      </c>
      <c r="CR60" s="157">
        <f>VLOOKUP($A60,'Over Under Bill 1 COPY 到CO欄位'!$1:$1048576,'Over Under Bill 1 COPY 到CO欄位'!CM$1,0)-VLOOKUP($A60,'Over Under Bill 1 COPY 到CO欄位'!$1:$1048576,'Over Under Bill 1 COPY 到CO欄位'!CH$1,0)</f>
        <v>0</v>
      </c>
      <c r="CS60" s="157">
        <f t="shared" si="113"/>
        <v>0</v>
      </c>
    </row>
    <row r="61" spans="1:97">
      <c r="A61" s="171" t="s">
        <v>417</v>
      </c>
      <c r="B61" s="172" t="s">
        <v>540</v>
      </c>
      <c r="C61" s="157">
        <f>IFERROR(VLOOKUP($A61,'A0 BS 1240在建'!$1:$1048576,5,0),0)</f>
        <v>0</v>
      </c>
      <c r="D61" s="157">
        <f>IFERROR(VLOOKUP($A61,'B0 2264預收'!$1:$1048576,5,0),0)</f>
        <v>0</v>
      </c>
      <c r="E61" s="157">
        <f t="shared" si="76"/>
        <v>0</v>
      </c>
      <c r="F61" s="157">
        <f>IFERROR(VLOOKUP($A61,'B0 2264預收'!$1:$1048576,6,0),0)</f>
        <v>0</v>
      </c>
      <c r="G61" s="157">
        <f t="shared" si="77"/>
        <v>0</v>
      </c>
      <c r="H61" s="158">
        <f>IFERROR(VLOOKUP($A61,'A0 BS 1240在建'!$1:$1048576,13,0),0)-C61</f>
        <v>0</v>
      </c>
      <c r="I61" s="158">
        <f>IFERROR(VLOOKUP($A61,'B0 2264預收'!$1:$1048576,13,0),0)-D61</f>
        <v>0</v>
      </c>
      <c r="J61" s="158">
        <f t="shared" si="78"/>
        <v>0</v>
      </c>
      <c r="K61" s="158">
        <f>IFERROR(VLOOKUP($A61,'B0 2264預收'!$1:$1048576,14,0),0)-F61</f>
        <v>0</v>
      </c>
      <c r="L61" s="158">
        <f t="shared" si="79"/>
        <v>0</v>
      </c>
      <c r="M61" s="157">
        <f>VLOOKUP($A61,'Over Under Bill 1 COPY 到CO欄位'!$1:$1048576,'Over Under Bill 1 COPY 到CO欄位'!M$1,0)-VLOOKUP($A61,'Over Under Bill 1 COPY 到CO欄位'!$1:$1048576,'Over Under Bill 1 COPY 到CO欄位'!H$1,0)</f>
        <v>0</v>
      </c>
      <c r="N61" s="157">
        <f>VLOOKUP($A61,'Over Under Bill 1 COPY 到CO欄位'!$1:$1048576,'Over Under Bill 1 COPY 到CO欄位'!N$1,0)-VLOOKUP($A61,'Over Under Bill 1 COPY 到CO欄位'!$1:$1048576,'Over Under Bill 1 COPY 到CO欄位'!I$1,0)</f>
        <v>0</v>
      </c>
      <c r="O61" s="157">
        <f t="shared" si="80"/>
        <v>0</v>
      </c>
      <c r="P61" s="157">
        <f>VLOOKUP($A61,'Over Under Bill 1 COPY 到CO欄位'!$1:$1048576,'Over Under Bill 1 COPY 到CO欄位'!P$1,0)-VLOOKUP($A61,'Over Under Bill 1 COPY 到CO欄位'!$1:$1048576,'Over Under Bill 1 COPY 到CO欄位'!K$1,0)</f>
        <v>0</v>
      </c>
      <c r="Q61" s="157">
        <f t="shared" si="81"/>
        <v>0</v>
      </c>
      <c r="R61" s="158">
        <f>VLOOKUP($A61,'Over Under Bill 1 COPY 到CO欄位'!$1:$1048576,'Over Under Bill 1 COPY 到CO欄位'!R$1,0)-VLOOKUP($A61,'Over Under Bill 1 COPY 到CO欄位'!$1:$1048576,'Over Under Bill 1 COPY 到CO欄位'!M$1,0)</f>
        <v>0</v>
      </c>
      <c r="S61" s="158">
        <f>VLOOKUP($A61,'Over Under Bill 1 COPY 到CO欄位'!$1:$1048576,'Over Under Bill 1 COPY 到CO欄位'!S$1,0)-VLOOKUP($A61,'Over Under Bill 1 COPY 到CO欄位'!$1:$1048576,'Over Under Bill 1 COPY 到CO欄位'!N$1,0)</f>
        <v>0</v>
      </c>
      <c r="T61" s="158">
        <f t="shared" si="82"/>
        <v>0</v>
      </c>
      <c r="U61" s="158">
        <f>VLOOKUP($A61,'Over Under Bill 1 COPY 到CO欄位'!$1:$1048576,'Over Under Bill 1 COPY 到CO欄位'!U$1,0)-VLOOKUP($A61,'Over Under Bill 1 COPY 到CO欄位'!$1:$1048576,'Over Under Bill 1 COPY 到CO欄位'!P$1,0)</f>
        <v>0</v>
      </c>
      <c r="V61" s="158">
        <f t="shared" si="83"/>
        <v>0</v>
      </c>
      <c r="W61" s="157">
        <f>VLOOKUP($A61,'Over Under Bill 1 COPY 到CO欄位'!$1:$1048576,'Over Under Bill 1 COPY 到CO欄位'!W$1,0)-VLOOKUP($A61,'Over Under Bill 1 COPY 到CO欄位'!$1:$1048576,'Over Under Bill 1 COPY 到CO欄位'!R$1,0)</f>
        <v>0</v>
      </c>
      <c r="X61" s="157">
        <f>VLOOKUP($A61,'Over Under Bill 1 COPY 到CO欄位'!$1:$1048576,'Over Under Bill 1 COPY 到CO欄位'!X$1,0)-VLOOKUP($A61,'Over Under Bill 1 COPY 到CO欄位'!$1:$1048576,'Over Under Bill 1 COPY 到CO欄位'!S$1,0)</f>
        <v>0</v>
      </c>
      <c r="Y61" s="157">
        <f t="shared" si="84"/>
        <v>0</v>
      </c>
      <c r="Z61" s="157">
        <f>VLOOKUP($A61,'Over Under Bill 1 COPY 到CO欄位'!$1:$1048576,'Over Under Bill 1 COPY 到CO欄位'!Z$1,0)-VLOOKUP($A61,'Over Under Bill 1 COPY 到CO欄位'!$1:$1048576,'Over Under Bill 1 COPY 到CO欄位'!U$1,0)</f>
        <v>0</v>
      </c>
      <c r="AA61" s="157">
        <f t="shared" si="85"/>
        <v>0</v>
      </c>
      <c r="AB61" s="158">
        <f>VLOOKUP($A61,'Over Under Bill 1 COPY 到CO欄位'!$1:$1048576,'Over Under Bill 1 COPY 到CO欄位'!AB$1,0)-VLOOKUP($A61,'Over Under Bill 1 COPY 到CO欄位'!$1:$1048576,'Over Under Bill 1 COPY 到CO欄位'!W$1,0)</f>
        <v>0</v>
      </c>
      <c r="AC61" s="158">
        <f>VLOOKUP($A61,'Over Under Bill 1 COPY 到CO欄位'!$1:$1048576,'Over Under Bill 1 COPY 到CO欄位'!AC$1,0)-VLOOKUP($A61,'Over Under Bill 1 COPY 到CO欄位'!$1:$1048576,'Over Under Bill 1 COPY 到CO欄位'!X$1,0)</f>
        <v>0</v>
      </c>
      <c r="AD61" s="158">
        <f t="shared" si="86"/>
        <v>0</v>
      </c>
      <c r="AE61" s="158">
        <f>VLOOKUP($A61,'Over Under Bill 1 COPY 到CO欄位'!$1:$1048576,'Over Under Bill 1 COPY 到CO欄位'!AE$1,0)-VLOOKUP($A61,'Over Under Bill 1 COPY 到CO欄位'!$1:$1048576,'Over Under Bill 1 COPY 到CO欄位'!Z$1,0)</f>
        <v>0</v>
      </c>
      <c r="AF61" s="158">
        <f t="shared" si="87"/>
        <v>0</v>
      </c>
      <c r="AG61" s="157">
        <f>VLOOKUP($A61,'Over Under Bill 1 COPY 到CO欄位'!$1:$1048576,'Over Under Bill 1 COPY 到CO欄位'!AG$1,0)-VLOOKUP($A61,'Over Under Bill 1 COPY 到CO欄位'!$1:$1048576,'Over Under Bill 1 COPY 到CO欄位'!AB$1,0)</f>
        <v>0</v>
      </c>
      <c r="AH61" s="157">
        <f>VLOOKUP($A61,'Over Under Bill 1 COPY 到CO欄位'!$1:$1048576,'Over Under Bill 1 COPY 到CO欄位'!AH$1,0)-VLOOKUP($A61,'Over Under Bill 1 COPY 到CO欄位'!$1:$1048576,'Over Under Bill 1 COPY 到CO欄位'!AC$1,0)</f>
        <v>0</v>
      </c>
      <c r="AI61" s="157">
        <f t="shared" si="88"/>
        <v>0</v>
      </c>
      <c r="AJ61" s="157">
        <f>VLOOKUP($A61,'Over Under Bill 1 COPY 到CO欄位'!$1:$1048576,'Over Under Bill 1 COPY 到CO欄位'!AJ$1,0)-VLOOKUP($A61,'Over Under Bill 1 COPY 到CO欄位'!$1:$1048576,'Over Under Bill 1 COPY 到CO欄位'!AE$1,0)</f>
        <v>0</v>
      </c>
      <c r="AK61" s="157">
        <f t="shared" si="89"/>
        <v>0</v>
      </c>
      <c r="AL61" s="158">
        <f>VLOOKUP($A61,'Over Under Bill 1 COPY 到CO欄位'!$1:$1048576,'Over Under Bill 1 COPY 到CO欄位'!AL$1,0)-VLOOKUP($A61,'Over Under Bill 1 COPY 到CO欄位'!$1:$1048576,'Over Under Bill 1 COPY 到CO欄位'!AG$1,0)</f>
        <v>0</v>
      </c>
      <c r="AM61" s="158">
        <f>VLOOKUP($A61,'Over Under Bill 1 COPY 到CO欄位'!$1:$1048576,'Over Under Bill 1 COPY 到CO欄位'!AM$1,0)-VLOOKUP($A61,'Over Under Bill 1 COPY 到CO欄位'!$1:$1048576,'Over Under Bill 1 COPY 到CO欄位'!AH$1,0)</f>
        <v>0</v>
      </c>
      <c r="AN61" s="158">
        <f t="shared" si="90"/>
        <v>0</v>
      </c>
      <c r="AO61" s="158">
        <f>VLOOKUP($A61,'Over Under Bill 1 COPY 到CO欄位'!$1:$1048576,'Over Under Bill 1 COPY 到CO欄位'!AO$1,0)-VLOOKUP($A61,'Over Under Bill 1 COPY 到CO欄位'!$1:$1048576,'Over Under Bill 1 COPY 到CO欄位'!AJ$1,0)</f>
        <v>0</v>
      </c>
      <c r="AP61" s="158">
        <f t="shared" si="91"/>
        <v>0</v>
      </c>
      <c r="AQ61" s="157">
        <f>VLOOKUP($A61,'Over Under Bill 1 COPY 到CO欄位'!$1:$1048576,'Over Under Bill 1 COPY 到CO欄位'!AQ$1,0)-VLOOKUP($A61,'Over Under Bill 1 COPY 到CO欄位'!$1:$1048576,'Over Under Bill 1 COPY 到CO欄位'!AL$1,0)</f>
        <v>0</v>
      </c>
      <c r="AR61" s="157">
        <f>VLOOKUP($A61,'Over Under Bill 1 COPY 到CO欄位'!$1:$1048576,'Over Under Bill 1 COPY 到CO欄位'!AR$1,0)-VLOOKUP($A61,'Over Under Bill 1 COPY 到CO欄位'!$1:$1048576,'Over Under Bill 1 COPY 到CO欄位'!AM$1,0)</f>
        <v>0</v>
      </c>
      <c r="AS61" s="157">
        <f t="shared" si="92"/>
        <v>0</v>
      </c>
      <c r="AT61" s="157">
        <f>VLOOKUP($A61,'Over Under Bill 1 COPY 到CO欄位'!$1:$1048576,'Over Under Bill 1 COPY 到CO欄位'!AT$1,0)-VLOOKUP($A61,'Over Under Bill 1 COPY 到CO欄位'!$1:$1048576,'Over Under Bill 1 COPY 到CO欄位'!AO$1,0)</f>
        <v>0</v>
      </c>
      <c r="AU61" s="157">
        <f t="shared" si="93"/>
        <v>0</v>
      </c>
      <c r="AV61" s="158">
        <f>VLOOKUP($A61,'Over Under Bill 1 COPY 到CO欄位'!$1:$1048576,'Over Under Bill 1 COPY 到CO欄位'!AV$1,0)-VLOOKUP($A61,'Over Under Bill 1 COPY 到CO欄位'!$1:$1048576,'Over Under Bill 1 COPY 到CO欄位'!AQ$1,0)</f>
        <v>0</v>
      </c>
      <c r="AW61" s="158">
        <f>VLOOKUP($A61,'Over Under Bill 1 COPY 到CO欄位'!$1:$1048576,'Over Under Bill 1 COPY 到CO欄位'!AW$1,0)-VLOOKUP($A61,'Over Under Bill 1 COPY 到CO欄位'!$1:$1048576,'Over Under Bill 1 COPY 到CO欄位'!AR$1,0)</f>
        <v>0</v>
      </c>
      <c r="AX61" s="158">
        <f t="shared" si="94"/>
        <v>0</v>
      </c>
      <c r="AY61" s="158">
        <f>VLOOKUP($A61,'Over Under Bill 1 COPY 到CO欄位'!$1:$1048576,'Over Under Bill 1 COPY 到CO欄位'!AY$1,0)-VLOOKUP($A61,'Over Under Bill 1 COPY 到CO欄位'!$1:$1048576,'Over Under Bill 1 COPY 到CO欄位'!AT$1,0)</f>
        <v>0</v>
      </c>
      <c r="AZ61" s="158">
        <f t="shared" si="95"/>
        <v>0</v>
      </c>
      <c r="BA61" s="157">
        <f>VLOOKUP($A61,'Over Under Bill 1 COPY 到CO欄位'!$1:$1048576,'Over Under Bill 1 COPY 到CO欄位'!BA$1,0)-VLOOKUP($A61,'Over Under Bill 1 COPY 到CO欄位'!$1:$1048576,'Over Under Bill 1 COPY 到CO欄位'!AV$1,0)</f>
        <v>0</v>
      </c>
      <c r="BB61" s="157">
        <f>VLOOKUP($A61,'Over Under Bill 1 COPY 到CO欄位'!$1:$1048576,'Over Under Bill 1 COPY 到CO欄位'!BB$1,0)-VLOOKUP($A61,'Over Under Bill 1 COPY 到CO欄位'!$1:$1048576,'Over Under Bill 1 COPY 到CO欄位'!AW$1,0)</f>
        <v>0</v>
      </c>
      <c r="BC61" s="157">
        <f t="shared" si="96"/>
        <v>0</v>
      </c>
      <c r="BD61" s="157">
        <f>VLOOKUP($A61,'Over Under Bill 1 COPY 到CO欄位'!$1:$1048576,'Over Under Bill 1 COPY 到CO欄位'!BD$1,0)-VLOOKUP($A61,'Over Under Bill 1 COPY 到CO欄位'!$1:$1048576,'Over Under Bill 1 COPY 到CO欄位'!AY$1,0)</f>
        <v>0</v>
      </c>
      <c r="BE61" s="157">
        <f t="shared" si="97"/>
        <v>0</v>
      </c>
      <c r="BF61" s="158">
        <f>VLOOKUP($A61,'Over Under Bill 1 COPY 到CO欄位'!$1:$1048576,'Over Under Bill 1 COPY 到CO欄位'!BF$1,0)-VLOOKUP($A61,'Over Under Bill 1 COPY 到CO欄位'!$1:$1048576,'Over Under Bill 1 COPY 到CO欄位'!BA$1,0)</f>
        <v>0</v>
      </c>
      <c r="BG61" s="158">
        <f>VLOOKUP($A61,'Over Under Bill 1 COPY 到CO欄位'!$1:$1048576,'Over Under Bill 1 COPY 到CO欄位'!BG$1,0)-VLOOKUP($A61,'Over Under Bill 1 COPY 到CO欄位'!$1:$1048576,'Over Under Bill 1 COPY 到CO欄位'!BB$1,0)</f>
        <v>0</v>
      </c>
      <c r="BH61" s="158">
        <f t="shared" si="98"/>
        <v>0</v>
      </c>
      <c r="BI61" s="158">
        <f>VLOOKUP($A61,'Over Under Bill 1 COPY 到CO欄位'!$1:$1048576,'Over Under Bill 1 COPY 到CO欄位'!BI$1,0)-VLOOKUP($A61,'Over Under Bill 1 COPY 到CO欄位'!$1:$1048576,'Over Under Bill 1 COPY 到CO欄位'!BD$1,0)</f>
        <v>0</v>
      </c>
      <c r="BJ61" s="158">
        <f t="shared" si="99"/>
        <v>0</v>
      </c>
      <c r="BK61" s="157">
        <f>VLOOKUP($A61,'Over Under Bill 1 COPY 到CO欄位'!$1:$1048576,'Over Under Bill 1 COPY 到CO欄位'!BK$1,0)-VLOOKUP($A61,'Over Under Bill 1 COPY 到CO欄位'!$1:$1048576,'Over Under Bill 1 COPY 到CO欄位'!BF$1,0)</f>
        <v>0</v>
      </c>
      <c r="BL61" s="157">
        <f>VLOOKUP($A61,'Over Under Bill 1 COPY 到CO欄位'!$1:$1048576,'Over Under Bill 1 COPY 到CO欄位'!BL$1,0)-VLOOKUP($A61,'Over Under Bill 1 COPY 到CO欄位'!$1:$1048576,'Over Under Bill 1 COPY 到CO欄位'!BG$1,0)</f>
        <v>0</v>
      </c>
      <c r="BM61" s="157">
        <f t="shared" si="100"/>
        <v>0</v>
      </c>
      <c r="BN61" s="157">
        <f>VLOOKUP($A61,'Over Under Bill 1 COPY 到CO欄位'!$1:$1048576,'Over Under Bill 1 COPY 到CO欄位'!BN$1,0)-VLOOKUP($A61,'Over Under Bill 1 COPY 到CO欄位'!$1:$1048576,'Over Under Bill 1 COPY 到CO欄位'!BI$1,0)</f>
        <v>0</v>
      </c>
      <c r="BO61" s="157">
        <f t="shared" si="101"/>
        <v>0</v>
      </c>
      <c r="BP61" s="158">
        <f>VLOOKUP($A61,'Over Under Bill 1 COPY 到CO欄位'!$1:$1048576,'Over Under Bill 1 COPY 到CO欄位'!BP$1,0)-VLOOKUP($A61,'Over Under Bill 1 COPY 到CO欄位'!$1:$1048576,'Over Under Bill 1 COPY 到CO欄位'!BK$1,0)</f>
        <v>0</v>
      </c>
      <c r="BQ61" s="158">
        <f>VLOOKUP($A61,'Over Under Bill 1 COPY 到CO欄位'!$1:$1048576,'Over Under Bill 1 COPY 到CO欄位'!BQ$1,0)-VLOOKUP($A61,'Over Under Bill 1 COPY 到CO欄位'!$1:$1048576,'Over Under Bill 1 COPY 到CO欄位'!BL$1,0)</f>
        <v>0</v>
      </c>
      <c r="BR61" s="158">
        <f t="shared" si="102"/>
        <v>0</v>
      </c>
      <c r="BS61" s="158">
        <f>VLOOKUP($A61,'Over Under Bill 1 COPY 到CO欄位'!$1:$1048576,'Over Under Bill 1 COPY 到CO欄位'!BS$1,0)-VLOOKUP($A61,'Over Under Bill 1 COPY 到CO欄位'!$1:$1048576,'Over Under Bill 1 COPY 到CO欄位'!BN$1,0)</f>
        <v>0</v>
      </c>
      <c r="BT61" s="158">
        <f t="shared" si="103"/>
        <v>0</v>
      </c>
      <c r="BU61" s="157">
        <f>VLOOKUP($A61,'Over Under Bill 1 COPY 到CO欄位'!$1:$1048576,'Over Under Bill 1 COPY 到CO欄位'!BP$1,0)-VLOOKUP($A61,'Over Under Bill 1 COPY 到CO欄位'!$1:$1048576,'Over Under Bill 1 COPY 到CO欄位'!H$1,0)</f>
        <v>0</v>
      </c>
      <c r="BV61" s="157">
        <f>VLOOKUP($A61,'Over Under Bill 1 COPY 到CO欄位'!$1:$1048576,'Over Under Bill 1 COPY 到CO欄位'!BQ$1,0)-VLOOKUP($A61,'Over Under Bill 1 COPY 到CO欄位'!$1:$1048576,'Over Under Bill 1 COPY 到CO欄位'!I$1,0)</f>
        <v>0</v>
      </c>
      <c r="BW61" s="157">
        <f t="shared" si="104"/>
        <v>0</v>
      </c>
      <c r="BX61" s="157">
        <f>VLOOKUP($A61,'Over Under Bill 1 COPY 到CO欄位'!$1:$1048576,'Over Under Bill 1 COPY 到CO欄位'!BS$1,0)-VLOOKUP($A61,'Over Under Bill 1 COPY 到CO欄位'!$1:$1048576,'Over Under Bill 1 COPY 到CO欄位'!K$1,0)</f>
        <v>0</v>
      </c>
      <c r="BY61" s="157">
        <f t="shared" si="105"/>
        <v>0</v>
      </c>
      <c r="BZ61" s="158">
        <f>VLOOKUP($A61,'Over Under Bill 1 COPY 到CO欄位'!$1:$1048576,'Over Under Bill 1 COPY 到CO欄位'!BU$1,0)-VLOOKUP($A61,'Over Under Bill 1 COPY 到CO欄位'!$1:$1048576,'Over Under Bill 1 COPY 到CO欄位'!BP$1,0)</f>
        <v>0</v>
      </c>
      <c r="CA61" s="158">
        <f>VLOOKUP($A61,'Over Under Bill 1 COPY 到CO欄位'!$1:$1048576,'Over Under Bill 1 COPY 到CO欄位'!BV$1,0)-VLOOKUP($A61,'Over Under Bill 1 COPY 到CO欄位'!$1:$1048576,'Over Under Bill 1 COPY 到CO欄位'!BQ$1,0)</f>
        <v>0</v>
      </c>
      <c r="CB61" s="158">
        <f t="shared" si="106"/>
        <v>0</v>
      </c>
      <c r="CC61" s="158">
        <f>VLOOKUP($A61,'Over Under Bill 1 COPY 到CO欄位'!$1:$1048576,'Over Under Bill 1 COPY 到CO欄位'!BX$1,0)-VLOOKUP($A61,'Over Under Bill 1 COPY 到CO欄位'!$1:$1048576,'Over Under Bill 1 COPY 到CO欄位'!BS$1,0)</f>
        <v>0</v>
      </c>
      <c r="CD61" s="158">
        <f t="shared" si="107"/>
        <v>0</v>
      </c>
      <c r="CE61" s="157">
        <f>VLOOKUP($A61,'Over Under Bill 1 COPY 到CO欄位'!$1:$1048576,'Over Under Bill 1 COPY 到CO欄位'!BZ$1,0)-VLOOKUP($A61,'Over Under Bill 1 COPY 到CO欄位'!$1:$1048576,'Over Under Bill 1 COPY 到CO欄位'!BU$1,0)</f>
        <v>0</v>
      </c>
      <c r="CF61" s="157">
        <f>VLOOKUP($A61,'Over Under Bill 1 COPY 到CO欄位'!$1:$1048576,'Over Under Bill 1 COPY 到CO欄位'!CA$1,0)-VLOOKUP($A61,'Over Under Bill 1 COPY 到CO欄位'!$1:$1048576,'Over Under Bill 1 COPY 到CO欄位'!BV$1,0)</f>
        <v>0</v>
      </c>
      <c r="CG61" s="157">
        <f t="shared" si="108"/>
        <v>0</v>
      </c>
      <c r="CH61" s="157">
        <f>VLOOKUP($A61,'Over Under Bill 1 COPY 到CO欄位'!$1:$1048576,'Over Under Bill 1 COPY 到CO欄位'!CC$1,0)-VLOOKUP($A61,'Over Under Bill 1 COPY 到CO欄位'!$1:$1048576,'Over Under Bill 1 COPY 到CO欄位'!BX$1,0)</f>
        <v>0</v>
      </c>
      <c r="CI61" s="157">
        <f t="shared" si="109"/>
        <v>0</v>
      </c>
      <c r="CJ61" s="158">
        <f>VLOOKUP($A61,'Over Under Bill 1 COPY 到CO欄位'!$1:$1048576,'Over Under Bill 1 COPY 到CO欄位'!CE$1,0)-VLOOKUP($A61,'Over Under Bill 1 COPY 到CO欄位'!$1:$1048576,'Over Under Bill 1 COPY 到CO欄位'!BZ$1,0)</f>
        <v>0</v>
      </c>
      <c r="CK61" s="158">
        <f>VLOOKUP($A61,'Over Under Bill 1 COPY 到CO欄位'!$1:$1048576,'Over Under Bill 1 COPY 到CO欄位'!CF$1,0)-VLOOKUP($A61,'Over Under Bill 1 COPY 到CO欄位'!$1:$1048576,'Over Under Bill 1 COPY 到CO欄位'!CA$1,0)</f>
        <v>0</v>
      </c>
      <c r="CL61" s="158">
        <f t="shared" si="110"/>
        <v>0</v>
      </c>
      <c r="CM61" s="158">
        <f>VLOOKUP($A61,'Over Under Bill 1 COPY 到CO欄位'!$1:$1048576,'Over Under Bill 1 COPY 到CO欄位'!CH$1,0)-VLOOKUP($A61,'Over Under Bill 1 COPY 到CO欄位'!$1:$1048576,'Over Under Bill 1 COPY 到CO欄位'!CC$1,0)</f>
        <v>0</v>
      </c>
      <c r="CN61" s="158">
        <f t="shared" si="111"/>
        <v>0</v>
      </c>
      <c r="CO61" s="157">
        <f>VLOOKUP($A61,'Over Under Bill 1 COPY 到CO欄位'!$1:$1048576,'Over Under Bill 1 COPY 到CO欄位'!CJ$1,0)-VLOOKUP($A61,'Over Under Bill 1 COPY 到CO欄位'!$1:$1048576,'Over Under Bill 1 COPY 到CO欄位'!CE$1,0)</f>
        <v>0</v>
      </c>
      <c r="CP61" s="157">
        <f>VLOOKUP($A61,'Over Under Bill 1 COPY 到CO欄位'!$1:$1048576,'Over Under Bill 1 COPY 到CO欄位'!CK$1,0)-VLOOKUP($A61,'Over Under Bill 1 COPY 到CO欄位'!$1:$1048576,'Over Under Bill 1 COPY 到CO欄位'!CF$1,0)</f>
        <v>0</v>
      </c>
      <c r="CQ61" s="157">
        <f t="shared" si="112"/>
        <v>0</v>
      </c>
      <c r="CR61" s="157">
        <f>VLOOKUP($A61,'Over Under Bill 1 COPY 到CO欄位'!$1:$1048576,'Over Under Bill 1 COPY 到CO欄位'!CM$1,0)-VLOOKUP($A61,'Over Under Bill 1 COPY 到CO欄位'!$1:$1048576,'Over Under Bill 1 COPY 到CO欄位'!CH$1,0)</f>
        <v>0</v>
      </c>
      <c r="CS61" s="157">
        <f t="shared" si="113"/>
        <v>0</v>
      </c>
    </row>
    <row r="62" spans="1:97">
      <c r="A62" s="158" t="s">
        <v>419</v>
      </c>
      <c r="B62" s="172" t="s">
        <v>420</v>
      </c>
      <c r="C62" s="157">
        <f>IFERROR(VLOOKUP($A62,'A0 BS 1240在建'!$1:$1048576,5,0),0)</f>
        <v>0</v>
      </c>
      <c r="D62" s="157">
        <f>IFERROR(VLOOKUP($A62,'B0 2264預收'!$1:$1048576,5,0),0)</f>
        <v>0</v>
      </c>
      <c r="E62" s="157">
        <f t="shared" si="76"/>
        <v>0</v>
      </c>
      <c r="F62" s="157">
        <f>IFERROR(VLOOKUP($A62,'B0 2264預收'!$1:$1048576,6,0),0)</f>
        <v>0</v>
      </c>
      <c r="G62" s="157">
        <f t="shared" si="77"/>
        <v>0</v>
      </c>
      <c r="H62" s="158">
        <f>IFERROR(VLOOKUP($A62,'A0 BS 1240在建'!$1:$1048576,13,0),0)-C62</f>
        <v>0</v>
      </c>
      <c r="I62" s="158">
        <f>IFERROR(VLOOKUP($A62,'B0 2264預收'!$1:$1048576,13,0),0)-D62</f>
        <v>0</v>
      </c>
      <c r="J62" s="158">
        <f t="shared" si="78"/>
        <v>0</v>
      </c>
      <c r="K62" s="158">
        <f>IFERROR(VLOOKUP($A62,'B0 2264預收'!$1:$1048576,14,0),0)-F62</f>
        <v>0</v>
      </c>
      <c r="L62" s="158">
        <f t="shared" si="79"/>
        <v>0</v>
      </c>
      <c r="M62" s="157">
        <f>VLOOKUP($A62,'Over Under Bill 1 COPY 到CO欄位'!$1:$1048576,'Over Under Bill 1 COPY 到CO欄位'!M$1,0)-VLOOKUP($A62,'Over Under Bill 1 COPY 到CO欄位'!$1:$1048576,'Over Under Bill 1 COPY 到CO欄位'!H$1,0)</f>
        <v>0</v>
      </c>
      <c r="N62" s="157">
        <f>VLOOKUP($A62,'Over Under Bill 1 COPY 到CO欄位'!$1:$1048576,'Over Under Bill 1 COPY 到CO欄位'!N$1,0)-VLOOKUP($A62,'Over Under Bill 1 COPY 到CO欄位'!$1:$1048576,'Over Under Bill 1 COPY 到CO欄位'!I$1,0)</f>
        <v>0</v>
      </c>
      <c r="O62" s="157">
        <f t="shared" si="80"/>
        <v>0</v>
      </c>
      <c r="P62" s="157">
        <f>VLOOKUP($A62,'Over Under Bill 1 COPY 到CO欄位'!$1:$1048576,'Over Under Bill 1 COPY 到CO欄位'!P$1,0)-VLOOKUP($A62,'Over Under Bill 1 COPY 到CO欄位'!$1:$1048576,'Over Under Bill 1 COPY 到CO欄位'!K$1,0)</f>
        <v>0</v>
      </c>
      <c r="Q62" s="157">
        <f t="shared" si="81"/>
        <v>0</v>
      </c>
      <c r="R62" s="158">
        <f>VLOOKUP($A62,'Over Under Bill 1 COPY 到CO欄位'!$1:$1048576,'Over Under Bill 1 COPY 到CO欄位'!R$1,0)-VLOOKUP($A62,'Over Under Bill 1 COPY 到CO欄位'!$1:$1048576,'Over Under Bill 1 COPY 到CO欄位'!M$1,0)</f>
        <v>0</v>
      </c>
      <c r="S62" s="158">
        <f>VLOOKUP($A62,'Over Under Bill 1 COPY 到CO欄位'!$1:$1048576,'Over Under Bill 1 COPY 到CO欄位'!S$1,0)-VLOOKUP($A62,'Over Under Bill 1 COPY 到CO欄位'!$1:$1048576,'Over Under Bill 1 COPY 到CO欄位'!N$1,0)</f>
        <v>0</v>
      </c>
      <c r="T62" s="158">
        <f t="shared" si="82"/>
        <v>0</v>
      </c>
      <c r="U62" s="158">
        <f>VLOOKUP($A62,'Over Under Bill 1 COPY 到CO欄位'!$1:$1048576,'Over Under Bill 1 COPY 到CO欄位'!U$1,0)-VLOOKUP($A62,'Over Under Bill 1 COPY 到CO欄位'!$1:$1048576,'Over Under Bill 1 COPY 到CO欄位'!P$1,0)</f>
        <v>0</v>
      </c>
      <c r="V62" s="158">
        <f t="shared" si="83"/>
        <v>0</v>
      </c>
      <c r="W62" s="157">
        <f>VLOOKUP($A62,'Over Under Bill 1 COPY 到CO欄位'!$1:$1048576,'Over Under Bill 1 COPY 到CO欄位'!W$1,0)-VLOOKUP($A62,'Over Under Bill 1 COPY 到CO欄位'!$1:$1048576,'Over Under Bill 1 COPY 到CO欄位'!R$1,0)</f>
        <v>0</v>
      </c>
      <c r="X62" s="157">
        <f>VLOOKUP($A62,'Over Under Bill 1 COPY 到CO欄位'!$1:$1048576,'Over Under Bill 1 COPY 到CO欄位'!X$1,0)-VLOOKUP($A62,'Over Under Bill 1 COPY 到CO欄位'!$1:$1048576,'Over Under Bill 1 COPY 到CO欄位'!S$1,0)</f>
        <v>0</v>
      </c>
      <c r="Y62" s="157">
        <f t="shared" si="84"/>
        <v>0</v>
      </c>
      <c r="Z62" s="157">
        <f>VLOOKUP($A62,'Over Under Bill 1 COPY 到CO欄位'!$1:$1048576,'Over Under Bill 1 COPY 到CO欄位'!Z$1,0)-VLOOKUP($A62,'Over Under Bill 1 COPY 到CO欄位'!$1:$1048576,'Over Under Bill 1 COPY 到CO欄位'!U$1,0)</f>
        <v>0</v>
      </c>
      <c r="AA62" s="157">
        <f t="shared" si="85"/>
        <v>0</v>
      </c>
      <c r="AB62" s="158">
        <f>VLOOKUP($A62,'Over Under Bill 1 COPY 到CO欄位'!$1:$1048576,'Over Under Bill 1 COPY 到CO欄位'!AB$1,0)-VLOOKUP($A62,'Over Under Bill 1 COPY 到CO欄位'!$1:$1048576,'Over Under Bill 1 COPY 到CO欄位'!W$1,0)</f>
        <v>0</v>
      </c>
      <c r="AC62" s="158">
        <f>VLOOKUP($A62,'Over Under Bill 1 COPY 到CO欄位'!$1:$1048576,'Over Under Bill 1 COPY 到CO欄位'!AC$1,0)-VLOOKUP($A62,'Over Under Bill 1 COPY 到CO欄位'!$1:$1048576,'Over Under Bill 1 COPY 到CO欄位'!X$1,0)</f>
        <v>0</v>
      </c>
      <c r="AD62" s="158">
        <f t="shared" si="86"/>
        <v>0</v>
      </c>
      <c r="AE62" s="158">
        <f>VLOOKUP($A62,'Over Under Bill 1 COPY 到CO欄位'!$1:$1048576,'Over Under Bill 1 COPY 到CO欄位'!AE$1,0)-VLOOKUP($A62,'Over Under Bill 1 COPY 到CO欄位'!$1:$1048576,'Over Under Bill 1 COPY 到CO欄位'!Z$1,0)</f>
        <v>0</v>
      </c>
      <c r="AF62" s="158">
        <f t="shared" si="87"/>
        <v>0</v>
      </c>
      <c r="AG62" s="157">
        <f>VLOOKUP($A62,'Over Under Bill 1 COPY 到CO欄位'!$1:$1048576,'Over Under Bill 1 COPY 到CO欄位'!AG$1,0)-VLOOKUP($A62,'Over Under Bill 1 COPY 到CO欄位'!$1:$1048576,'Over Under Bill 1 COPY 到CO欄位'!AB$1,0)</f>
        <v>0</v>
      </c>
      <c r="AH62" s="157">
        <f>VLOOKUP($A62,'Over Under Bill 1 COPY 到CO欄位'!$1:$1048576,'Over Under Bill 1 COPY 到CO欄位'!AH$1,0)-VLOOKUP($A62,'Over Under Bill 1 COPY 到CO欄位'!$1:$1048576,'Over Under Bill 1 COPY 到CO欄位'!AC$1,0)</f>
        <v>0</v>
      </c>
      <c r="AI62" s="157">
        <f t="shared" si="88"/>
        <v>0</v>
      </c>
      <c r="AJ62" s="157">
        <f>VLOOKUP($A62,'Over Under Bill 1 COPY 到CO欄位'!$1:$1048576,'Over Under Bill 1 COPY 到CO欄位'!AJ$1,0)-VLOOKUP($A62,'Over Under Bill 1 COPY 到CO欄位'!$1:$1048576,'Over Under Bill 1 COPY 到CO欄位'!AE$1,0)</f>
        <v>0</v>
      </c>
      <c r="AK62" s="157">
        <f t="shared" si="89"/>
        <v>0</v>
      </c>
      <c r="AL62" s="158">
        <f>VLOOKUP($A62,'Over Under Bill 1 COPY 到CO欄位'!$1:$1048576,'Over Under Bill 1 COPY 到CO欄位'!AL$1,0)-VLOOKUP($A62,'Over Under Bill 1 COPY 到CO欄位'!$1:$1048576,'Over Under Bill 1 COPY 到CO欄位'!AG$1,0)</f>
        <v>0</v>
      </c>
      <c r="AM62" s="158">
        <f>VLOOKUP($A62,'Over Under Bill 1 COPY 到CO欄位'!$1:$1048576,'Over Under Bill 1 COPY 到CO欄位'!AM$1,0)-VLOOKUP($A62,'Over Under Bill 1 COPY 到CO欄位'!$1:$1048576,'Over Under Bill 1 COPY 到CO欄位'!AH$1,0)</f>
        <v>0</v>
      </c>
      <c r="AN62" s="158">
        <f t="shared" si="90"/>
        <v>0</v>
      </c>
      <c r="AO62" s="158">
        <f>VLOOKUP($A62,'Over Under Bill 1 COPY 到CO欄位'!$1:$1048576,'Over Under Bill 1 COPY 到CO欄位'!AO$1,0)-VLOOKUP($A62,'Over Under Bill 1 COPY 到CO欄位'!$1:$1048576,'Over Under Bill 1 COPY 到CO欄位'!AJ$1,0)</f>
        <v>0</v>
      </c>
      <c r="AP62" s="158">
        <f t="shared" si="91"/>
        <v>0</v>
      </c>
      <c r="AQ62" s="157">
        <f>VLOOKUP($A62,'Over Under Bill 1 COPY 到CO欄位'!$1:$1048576,'Over Under Bill 1 COPY 到CO欄位'!AQ$1,0)-VLOOKUP($A62,'Over Under Bill 1 COPY 到CO欄位'!$1:$1048576,'Over Under Bill 1 COPY 到CO欄位'!AL$1,0)</f>
        <v>0</v>
      </c>
      <c r="AR62" s="157">
        <f>VLOOKUP($A62,'Over Under Bill 1 COPY 到CO欄位'!$1:$1048576,'Over Under Bill 1 COPY 到CO欄位'!AR$1,0)-VLOOKUP($A62,'Over Under Bill 1 COPY 到CO欄位'!$1:$1048576,'Over Under Bill 1 COPY 到CO欄位'!AM$1,0)</f>
        <v>0</v>
      </c>
      <c r="AS62" s="157">
        <f t="shared" si="92"/>
        <v>0</v>
      </c>
      <c r="AT62" s="157">
        <f>VLOOKUP($A62,'Over Under Bill 1 COPY 到CO欄位'!$1:$1048576,'Over Under Bill 1 COPY 到CO欄位'!AT$1,0)-VLOOKUP($A62,'Over Under Bill 1 COPY 到CO欄位'!$1:$1048576,'Over Under Bill 1 COPY 到CO欄位'!AO$1,0)</f>
        <v>0</v>
      </c>
      <c r="AU62" s="157">
        <f t="shared" si="93"/>
        <v>0</v>
      </c>
      <c r="AV62" s="158">
        <f>VLOOKUP($A62,'Over Under Bill 1 COPY 到CO欄位'!$1:$1048576,'Over Under Bill 1 COPY 到CO欄位'!AV$1,0)-VLOOKUP($A62,'Over Under Bill 1 COPY 到CO欄位'!$1:$1048576,'Over Under Bill 1 COPY 到CO欄位'!AQ$1,0)</f>
        <v>0</v>
      </c>
      <c r="AW62" s="158">
        <f>VLOOKUP($A62,'Over Under Bill 1 COPY 到CO欄位'!$1:$1048576,'Over Under Bill 1 COPY 到CO欄位'!AW$1,0)-VLOOKUP($A62,'Over Under Bill 1 COPY 到CO欄位'!$1:$1048576,'Over Under Bill 1 COPY 到CO欄位'!AR$1,0)</f>
        <v>0</v>
      </c>
      <c r="AX62" s="158">
        <f t="shared" si="94"/>
        <v>0</v>
      </c>
      <c r="AY62" s="158">
        <f>VLOOKUP($A62,'Over Under Bill 1 COPY 到CO欄位'!$1:$1048576,'Over Under Bill 1 COPY 到CO欄位'!AY$1,0)-VLOOKUP($A62,'Over Under Bill 1 COPY 到CO欄位'!$1:$1048576,'Over Under Bill 1 COPY 到CO欄位'!AT$1,0)</f>
        <v>0</v>
      </c>
      <c r="AZ62" s="158">
        <f t="shared" si="95"/>
        <v>0</v>
      </c>
      <c r="BA62" s="157">
        <f>VLOOKUP($A62,'Over Under Bill 1 COPY 到CO欄位'!$1:$1048576,'Over Under Bill 1 COPY 到CO欄位'!BA$1,0)-VLOOKUP($A62,'Over Under Bill 1 COPY 到CO欄位'!$1:$1048576,'Over Under Bill 1 COPY 到CO欄位'!AV$1,0)</f>
        <v>0</v>
      </c>
      <c r="BB62" s="157">
        <f>VLOOKUP($A62,'Over Under Bill 1 COPY 到CO欄位'!$1:$1048576,'Over Under Bill 1 COPY 到CO欄位'!BB$1,0)-VLOOKUP($A62,'Over Under Bill 1 COPY 到CO欄位'!$1:$1048576,'Over Under Bill 1 COPY 到CO欄位'!AW$1,0)</f>
        <v>0</v>
      </c>
      <c r="BC62" s="157">
        <f t="shared" si="96"/>
        <v>0</v>
      </c>
      <c r="BD62" s="157">
        <f>VLOOKUP($A62,'Over Under Bill 1 COPY 到CO欄位'!$1:$1048576,'Over Under Bill 1 COPY 到CO欄位'!BD$1,0)-VLOOKUP($A62,'Over Under Bill 1 COPY 到CO欄位'!$1:$1048576,'Over Under Bill 1 COPY 到CO欄位'!AY$1,0)</f>
        <v>0</v>
      </c>
      <c r="BE62" s="157">
        <f t="shared" si="97"/>
        <v>0</v>
      </c>
      <c r="BF62" s="158">
        <f>VLOOKUP($A62,'Over Under Bill 1 COPY 到CO欄位'!$1:$1048576,'Over Under Bill 1 COPY 到CO欄位'!BF$1,0)-VLOOKUP($A62,'Over Under Bill 1 COPY 到CO欄位'!$1:$1048576,'Over Under Bill 1 COPY 到CO欄位'!BA$1,0)</f>
        <v>0</v>
      </c>
      <c r="BG62" s="158">
        <f>VLOOKUP($A62,'Over Under Bill 1 COPY 到CO欄位'!$1:$1048576,'Over Under Bill 1 COPY 到CO欄位'!BG$1,0)-VLOOKUP($A62,'Over Under Bill 1 COPY 到CO欄位'!$1:$1048576,'Over Under Bill 1 COPY 到CO欄位'!BB$1,0)</f>
        <v>0</v>
      </c>
      <c r="BH62" s="158">
        <f t="shared" si="98"/>
        <v>0</v>
      </c>
      <c r="BI62" s="158">
        <f>VLOOKUP($A62,'Over Under Bill 1 COPY 到CO欄位'!$1:$1048576,'Over Under Bill 1 COPY 到CO欄位'!BI$1,0)-VLOOKUP($A62,'Over Under Bill 1 COPY 到CO欄位'!$1:$1048576,'Over Under Bill 1 COPY 到CO欄位'!BD$1,0)</f>
        <v>0</v>
      </c>
      <c r="BJ62" s="158">
        <f t="shared" si="99"/>
        <v>0</v>
      </c>
      <c r="BK62" s="157">
        <f>VLOOKUP($A62,'Over Under Bill 1 COPY 到CO欄位'!$1:$1048576,'Over Under Bill 1 COPY 到CO欄位'!BK$1,0)-VLOOKUP($A62,'Over Under Bill 1 COPY 到CO欄位'!$1:$1048576,'Over Under Bill 1 COPY 到CO欄位'!BF$1,0)</f>
        <v>0</v>
      </c>
      <c r="BL62" s="157">
        <f>VLOOKUP($A62,'Over Under Bill 1 COPY 到CO欄位'!$1:$1048576,'Over Under Bill 1 COPY 到CO欄位'!BL$1,0)-VLOOKUP($A62,'Over Under Bill 1 COPY 到CO欄位'!$1:$1048576,'Over Under Bill 1 COPY 到CO欄位'!BG$1,0)</f>
        <v>0</v>
      </c>
      <c r="BM62" s="157">
        <f t="shared" si="100"/>
        <v>0</v>
      </c>
      <c r="BN62" s="157">
        <f>VLOOKUP($A62,'Over Under Bill 1 COPY 到CO欄位'!$1:$1048576,'Over Under Bill 1 COPY 到CO欄位'!BN$1,0)-VLOOKUP($A62,'Over Under Bill 1 COPY 到CO欄位'!$1:$1048576,'Over Under Bill 1 COPY 到CO欄位'!BI$1,0)</f>
        <v>0</v>
      </c>
      <c r="BO62" s="157">
        <f t="shared" si="101"/>
        <v>0</v>
      </c>
      <c r="BP62" s="158">
        <f>VLOOKUP($A62,'Over Under Bill 1 COPY 到CO欄位'!$1:$1048576,'Over Under Bill 1 COPY 到CO欄位'!BP$1,0)-VLOOKUP($A62,'Over Under Bill 1 COPY 到CO欄位'!$1:$1048576,'Over Under Bill 1 COPY 到CO欄位'!BK$1,0)</f>
        <v>0</v>
      </c>
      <c r="BQ62" s="158">
        <f>VLOOKUP($A62,'Over Under Bill 1 COPY 到CO欄位'!$1:$1048576,'Over Under Bill 1 COPY 到CO欄位'!BQ$1,0)-VLOOKUP($A62,'Over Under Bill 1 COPY 到CO欄位'!$1:$1048576,'Over Under Bill 1 COPY 到CO欄位'!BL$1,0)</f>
        <v>0</v>
      </c>
      <c r="BR62" s="158">
        <f t="shared" si="102"/>
        <v>0</v>
      </c>
      <c r="BS62" s="158">
        <f>VLOOKUP($A62,'Over Under Bill 1 COPY 到CO欄位'!$1:$1048576,'Over Under Bill 1 COPY 到CO欄位'!BS$1,0)-VLOOKUP($A62,'Over Under Bill 1 COPY 到CO欄位'!$1:$1048576,'Over Under Bill 1 COPY 到CO欄位'!BN$1,0)</f>
        <v>0</v>
      </c>
      <c r="BT62" s="158">
        <f t="shared" si="103"/>
        <v>0</v>
      </c>
      <c r="BU62" s="157">
        <f>VLOOKUP($A62,'Over Under Bill 1 COPY 到CO欄位'!$1:$1048576,'Over Under Bill 1 COPY 到CO欄位'!BP$1,0)-VLOOKUP($A62,'Over Under Bill 1 COPY 到CO欄位'!$1:$1048576,'Over Under Bill 1 COPY 到CO欄位'!H$1,0)</f>
        <v>0</v>
      </c>
      <c r="BV62" s="157">
        <f>VLOOKUP($A62,'Over Under Bill 1 COPY 到CO欄位'!$1:$1048576,'Over Under Bill 1 COPY 到CO欄位'!BQ$1,0)-VLOOKUP($A62,'Over Under Bill 1 COPY 到CO欄位'!$1:$1048576,'Over Under Bill 1 COPY 到CO欄位'!I$1,0)</f>
        <v>0</v>
      </c>
      <c r="BW62" s="157">
        <f t="shared" si="104"/>
        <v>0</v>
      </c>
      <c r="BX62" s="157">
        <f>VLOOKUP($A62,'Over Under Bill 1 COPY 到CO欄位'!$1:$1048576,'Over Under Bill 1 COPY 到CO欄位'!BS$1,0)-VLOOKUP($A62,'Over Under Bill 1 COPY 到CO欄位'!$1:$1048576,'Over Under Bill 1 COPY 到CO欄位'!K$1,0)</f>
        <v>0</v>
      </c>
      <c r="BY62" s="157">
        <f t="shared" si="105"/>
        <v>0</v>
      </c>
      <c r="BZ62" s="158">
        <f>VLOOKUP($A62,'Over Under Bill 1 COPY 到CO欄位'!$1:$1048576,'Over Under Bill 1 COPY 到CO欄位'!BU$1,0)-VLOOKUP($A62,'Over Under Bill 1 COPY 到CO欄位'!$1:$1048576,'Over Under Bill 1 COPY 到CO欄位'!BP$1,0)</f>
        <v>0</v>
      </c>
      <c r="CA62" s="158">
        <f>VLOOKUP($A62,'Over Under Bill 1 COPY 到CO欄位'!$1:$1048576,'Over Under Bill 1 COPY 到CO欄位'!BV$1,0)-VLOOKUP($A62,'Over Under Bill 1 COPY 到CO欄位'!$1:$1048576,'Over Under Bill 1 COPY 到CO欄位'!BQ$1,0)</f>
        <v>0</v>
      </c>
      <c r="CB62" s="158">
        <f t="shared" si="106"/>
        <v>0</v>
      </c>
      <c r="CC62" s="158">
        <f>VLOOKUP($A62,'Over Under Bill 1 COPY 到CO欄位'!$1:$1048576,'Over Under Bill 1 COPY 到CO欄位'!BX$1,0)-VLOOKUP($A62,'Over Under Bill 1 COPY 到CO欄位'!$1:$1048576,'Over Under Bill 1 COPY 到CO欄位'!BS$1,0)</f>
        <v>0</v>
      </c>
      <c r="CD62" s="158">
        <f t="shared" si="107"/>
        <v>0</v>
      </c>
      <c r="CE62" s="157">
        <f>VLOOKUP($A62,'Over Under Bill 1 COPY 到CO欄位'!$1:$1048576,'Over Under Bill 1 COPY 到CO欄位'!BZ$1,0)-VLOOKUP($A62,'Over Under Bill 1 COPY 到CO欄位'!$1:$1048576,'Over Under Bill 1 COPY 到CO欄位'!BU$1,0)</f>
        <v>0</v>
      </c>
      <c r="CF62" s="157">
        <f>VLOOKUP($A62,'Over Under Bill 1 COPY 到CO欄位'!$1:$1048576,'Over Under Bill 1 COPY 到CO欄位'!CA$1,0)-VLOOKUP($A62,'Over Under Bill 1 COPY 到CO欄位'!$1:$1048576,'Over Under Bill 1 COPY 到CO欄位'!BV$1,0)</f>
        <v>0</v>
      </c>
      <c r="CG62" s="157">
        <f t="shared" si="108"/>
        <v>0</v>
      </c>
      <c r="CH62" s="157">
        <f>VLOOKUP($A62,'Over Under Bill 1 COPY 到CO欄位'!$1:$1048576,'Over Under Bill 1 COPY 到CO欄位'!CC$1,0)-VLOOKUP($A62,'Over Under Bill 1 COPY 到CO欄位'!$1:$1048576,'Over Under Bill 1 COPY 到CO欄位'!BX$1,0)</f>
        <v>0</v>
      </c>
      <c r="CI62" s="157">
        <f t="shared" si="109"/>
        <v>0</v>
      </c>
      <c r="CJ62" s="158">
        <f>VLOOKUP($A62,'Over Under Bill 1 COPY 到CO欄位'!$1:$1048576,'Over Under Bill 1 COPY 到CO欄位'!CE$1,0)-VLOOKUP($A62,'Over Under Bill 1 COPY 到CO欄位'!$1:$1048576,'Over Under Bill 1 COPY 到CO欄位'!BZ$1,0)</f>
        <v>0</v>
      </c>
      <c r="CK62" s="158">
        <f>VLOOKUP($A62,'Over Under Bill 1 COPY 到CO欄位'!$1:$1048576,'Over Under Bill 1 COPY 到CO欄位'!CF$1,0)-VLOOKUP($A62,'Over Under Bill 1 COPY 到CO欄位'!$1:$1048576,'Over Under Bill 1 COPY 到CO欄位'!CA$1,0)</f>
        <v>0</v>
      </c>
      <c r="CL62" s="158">
        <f t="shared" si="110"/>
        <v>0</v>
      </c>
      <c r="CM62" s="158">
        <f>VLOOKUP($A62,'Over Under Bill 1 COPY 到CO欄位'!$1:$1048576,'Over Under Bill 1 COPY 到CO欄位'!CH$1,0)-VLOOKUP($A62,'Over Under Bill 1 COPY 到CO欄位'!$1:$1048576,'Over Under Bill 1 COPY 到CO欄位'!CC$1,0)</f>
        <v>0</v>
      </c>
      <c r="CN62" s="158">
        <f t="shared" si="111"/>
        <v>0</v>
      </c>
      <c r="CO62" s="157">
        <f>VLOOKUP($A62,'Over Under Bill 1 COPY 到CO欄位'!$1:$1048576,'Over Under Bill 1 COPY 到CO欄位'!CJ$1,0)-VLOOKUP($A62,'Over Under Bill 1 COPY 到CO欄位'!$1:$1048576,'Over Under Bill 1 COPY 到CO欄位'!CE$1,0)</f>
        <v>0</v>
      </c>
      <c r="CP62" s="157">
        <f>VLOOKUP($A62,'Over Under Bill 1 COPY 到CO欄位'!$1:$1048576,'Over Under Bill 1 COPY 到CO欄位'!CK$1,0)-VLOOKUP($A62,'Over Under Bill 1 COPY 到CO欄位'!$1:$1048576,'Over Under Bill 1 COPY 到CO欄位'!CF$1,0)</f>
        <v>0</v>
      </c>
      <c r="CQ62" s="157">
        <f t="shared" si="112"/>
        <v>0</v>
      </c>
      <c r="CR62" s="157">
        <f>VLOOKUP($A62,'Over Under Bill 1 COPY 到CO欄位'!$1:$1048576,'Over Under Bill 1 COPY 到CO欄位'!CM$1,0)-VLOOKUP($A62,'Over Under Bill 1 COPY 到CO欄位'!$1:$1048576,'Over Under Bill 1 COPY 到CO欄位'!CH$1,0)</f>
        <v>0</v>
      </c>
      <c r="CS62" s="157">
        <f t="shared" si="113"/>
        <v>0</v>
      </c>
    </row>
    <row r="63" spans="1:97">
      <c r="A63" s="158" t="s">
        <v>421</v>
      </c>
      <c r="B63" s="172" t="s">
        <v>422</v>
      </c>
      <c r="C63" s="157">
        <f>IFERROR(VLOOKUP($A63,'A0 BS 1240在建'!$1:$1048576,5,0),0)</f>
        <v>0</v>
      </c>
      <c r="D63" s="157">
        <f>IFERROR(VLOOKUP($A63,'B0 2264預收'!$1:$1048576,5,0),0)</f>
        <v>0</v>
      </c>
      <c r="E63" s="157">
        <f t="shared" si="76"/>
        <v>0</v>
      </c>
      <c r="F63" s="157">
        <f>IFERROR(VLOOKUP($A63,'B0 2264預收'!$1:$1048576,6,0),0)</f>
        <v>0</v>
      </c>
      <c r="G63" s="157">
        <f t="shared" si="77"/>
        <v>0</v>
      </c>
      <c r="H63" s="158">
        <f>IFERROR(VLOOKUP($A63,'A0 BS 1240在建'!$1:$1048576,13,0),0)-C63</f>
        <v>0</v>
      </c>
      <c r="I63" s="158">
        <f>IFERROR(VLOOKUP($A63,'B0 2264預收'!$1:$1048576,13,0),0)-D63</f>
        <v>0</v>
      </c>
      <c r="J63" s="158">
        <f t="shared" si="78"/>
        <v>0</v>
      </c>
      <c r="K63" s="158">
        <f>IFERROR(VLOOKUP($A63,'B0 2264預收'!$1:$1048576,14,0),0)-F63</f>
        <v>0</v>
      </c>
      <c r="L63" s="158">
        <f t="shared" si="79"/>
        <v>0</v>
      </c>
      <c r="M63" s="157">
        <f>VLOOKUP($A63,'Over Under Bill 1 COPY 到CO欄位'!$1:$1048576,'Over Under Bill 1 COPY 到CO欄位'!M$1,0)-VLOOKUP($A63,'Over Under Bill 1 COPY 到CO欄位'!$1:$1048576,'Over Under Bill 1 COPY 到CO欄位'!H$1,0)</f>
        <v>0</v>
      </c>
      <c r="N63" s="157">
        <f>VLOOKUP($A63,'Over Under Bill 1 COPY 到CO欄位'!$1:$1048576,'Over Under Bill 1 COPY 到CO欄位'!N$1,0)-VLOOKUP($A63,'Over Under Bill 1 COPY 到CO欄位'!$1:$1048576,'Over Under Bill 1 COPY 到CO欄位'!I$1,0)</f>
        <v>0</v>
      </c>
      <c r="O63" s="157">
        <f t="shared" si="80"/>
        <v>0</v>
      </c>
      <c r="P63" s="157">
        <f>VLOOKUP($A63,'Over Under Bill 1 COPY 到CO欄位'!$1:$1048576,'Over Under Bill 1 COPY 到CO欄位'!P$1,0)-VLOOKUP($A63,'Over Under Bill 1 COPY 到CO欄位'!$1:$1048576,'Over Under Bill 1 COPY 到CO欄位'!K$1,0)</f>
        <v>0</v>
      </c>
      <c r="Q63" s="157">
        <f t="shared" si="81"/>
        <v>0</v>
      </c>
      <c r="R63" s="158">
        <f>VLOOKUP($A63,'Over Under Bill 1 COPY 到CO欄位'!$1:$1048576,'Over Under Bill 1 COPY 到CO欄位'!R$1,0)-VLOOKUP($A63,'Over Under Bill 1 COPY 到CO欄位'!$1:$1048576,'Over Under Bill 1 COPY 到CO欄位'!M$1,0)</f>
        <v>0</v>
      </c>
      <c r="S63" s="158">
        <f>VLOOKUP($A63,'Over Under Bill 1 COPY 到CO欄位'!$1:$1048576,'Over Under Bill 1 COPY 到CO欄位'!S$1,0)-VLOOKUP($A63,'Over Under Bill 1 COPY 到CO欄位'!$1:$1048576,'Over Under Bill 1 COPY 到CO欄位'!N$1,0)</f>
        <v>0</v>
      </c>
      <c r="T63" s="158">
        <f t="shared" si="82"/>
        <v>0</v>
      </c>
      <c r="U63" s="158">
        <f>VLOOKUP($A63,'Over Under Bill 1 COPY 到CO欄位'!$1:$1048576,'Over Under Bill 1 COPY 到CO欄位'!U$1,0)-VLOOKUP($A63,'Over Under Bill 1 COPY 到CO欄位'!$1:$1048576,'Over Under Bill 1 COPY 到CO欄位'!P$1,0)</f>
        <v>0</v>
      </c>
      <c r="V63" s="158">
        <f t="shared" si="83"/>
        <v>0</v>
      </c>
      <c r="W63" s="157">
        <f>VLOOKUP($A63,'Over Under Bill 1 COPY 到CO欄位'!$1:$1048576,'Over Under Bill 1 COPY 到CO欄位'!W$1,0)-VLOOKUP($A63,'Over Under Bill 1 COPY 到CO欄位'!$1:$1048576,'Over Under Bill 1 COPY 到CO欄位'!R$1,0)</f>
        <v>0</v>
      </c>
      <c r="X63" s="157">
        <f>VLOOKUP($A63,'Over Under Bill 1 COPY 到CO欄位'!$1:$1048576,'Over Under Bill 1 COPY 到CO欄位'!X$1,0)-VLOOKUP($A63,'Over Under Bill 1 COPY 到CO欄位'!$1:$1048576,'Over Under Bill 1 COPY 到CO欄位'!S$1,0)</f>
        <v>0</v>
      </c>
      <c r="Y63" s="157">
        <f t="shared" si="84"/>
        <v>0</v>
      </c>
      <c r="Z63" s="157">
        <f>VLOOKUP($A63,'Over Under Bill 1 COPY 到CO欄位'!$1:$1048576,'Over Under Bill 1 COPY 到CO欄位'!Z$1,0)-VLOOKUP($A63,'Over Under Bill 1 COPY 到CO欄位'!$1:$1048576,'Over Under Bill 1 COPY 到CO欄位'!U$1,0)</f>
        <v>0</v>
      </c>
      <c r="AA63" s="157">
        <f t="shared" si="85"/>
        <v>0</v>
      </c>
      <c r="AB63" s="158">
        <f>VLOOKUP($A63,'Over Under Bill 1 COPY 到CO欄位'!$1:$1048576,'Over Under Bill 1 COPY 到CO欄位'!AB$1,0)-VLOOKUP($A63,'Over Under Bill 1 COPY 到CO欄位'!$1:$1048576,'Over Under Bill 1 COPY 到CO欄位'!W$1,0)</f>
        <v>0</v>
      </c>
      <c r="AC63" s="158">
        <f>VLOOKUP($A63,'Over Under Bill 1 COPY 到CO欄位'!$1:$1048576,'Over Under Bill 1 COPY 到CO欄位'!AC$1,0)-VLOOKUP($A63,'Over Under Bill 1 COPY 到CO欄位'!$1:$1048576,'Over Under Bill 1 COPY 到CO欄位'!X$1,0)</f>
        <v>0</v>
      </c>
      <c r="AD63" s="158">
        <f t="shared" si="86"/>
        <v>0</v>
      </c>
      <c r="AE63" s="158">
        <f>VLOOKUP($A63,'Over Under Bill 1 COPY 到CO欄位'!$1:$1048576,'Over Under Bill 1 COPY 到CO欄位'!AE$1,0)-VLOOKUP($A63,'Over Under Bill 1 COPY 到CO欄位'!$1:$1048576,'Over Under Bill 1 COPY 到CO欄位'!Z$1,0)</f>
        <v>0</v>
      </c>
      <c r="AF63" s="158">
        <f t="shared" si="87"/>
        <v>0</v>
      </c>
      <c r="AG63" s="157">
        <f>VLOOKUP($A63,'Over Under Bill 1 COPY 到CO欄位'!$1:$1048576,'Over Under Bill 1 COPY 到CO欄位'!AG$1,0)-VLOOKUP($A63,'Over Under Bill 1 COPY 到CO欄位'!$1:$1048576,'Over Under Bill 1 COPY 到CO欄位'!AB$1,0)</f>
        <v>0</v>
      </c>
      <c r="AH63" s="157">
        <f>VLOOKUP($A63,'Over Under Bill 1 COPY 到CO欄位'!$1:$1048576,'Over Under Bill 1 COPY 到CO欄位'!AH$1,0)-VLOOKUP($A63,'Over Under Bill 1 COPY 到CO欄位'!$1:$1048576,'Over Under Bill 1 COPY 到CO欄位'!AC$1,0)</f>
        <v>0</v>
      </c>
      <c r="AI63" s="157">
        <f t="shared" si="88"/>
        <v>0</v>
      </c>
      <c r="AJ63" s="157">
        <f>VLOOKUP($A63,'Over Under Bill 1 COPY 到CO欄位'!$1:$1048576,'Over Under Bill 1 COPY 到CO欄位'!AJ$1,0)-VLOOKUP($A63,'Over Under Bill 1 COPY 到CO欄位'!$1:$1048576,'Over Under Bill 1 COPY 到CO欄位'!AE$1,0)</f>
        <v>0</v>
      </c>
      <c r="AK63" s="157">
        <f t="shared" si="89"/>
        <v>0</v>
      </c>
      <c r="AL63" s="158">
        <f>VLOOKUP($A63,'Over Under Bill 1 COPY 到CO欄位'!$1:$1048576,'Over Under Bill 1 COPY 到CO欄位'!AL$1,0)-VLOOKUP($A63,'Over Under Bill 1 COPY 到CO欄位'!$1:$1048576,'Over Under Bill 1 COPY 到CO欄位'!AG$1,0)</f>
        <v>0</v>
      </c>
      <c r="AM63" s="158">
        <f>VLOOKUP($A63,'Over Under Bill 1 COPY 到CO欄位'!$1:$1048576,'Over Under Bill 1 COPY 到CO欄位'!AM$1,0)-VLOOKUP($A63,'Over Under Bill 1 COPY 到CO欄位'!$1:$1048576,'Over Under Bill 1 COPY 到CO欄位'!AH$1,0)</f>
        <v>0</v>
      </c>
      <c r="AN63" s="158">
        <f t="shared" si="90"/>
        <v>0</v>
      </c>
      <c r="AO63" s="158">
        <f>VLOOKUP($A63,'Over Under Bill 1 COPY 到CO欄位'!$1:$1048576,'Over Under Bill 1 COPY 到CO欄位'!AO$1,0)-VLOOKUP($A63,'Over Under Bill 1 COPY 到CO欄位'!$1:$1048576,'Over Under Bill 1 COPY 到CO欄位'!AJ$1,0)</f>
        <v>0</v>
      </c>
      <c r="AP63" s="158">
        <f t="shared" si="91"/>
        <v>0</v>
      </c>
      <c r="AQ63" s="157">
        <f>VLOOKUP($A63,'Over Under Bill 1 COPY 到CO欄位'!$1:$1048576,'Over Under Bill 1 COPY 到CO欄位'!AQ$1,0)-VLOOKUP($A63,'Over Under Bill 1 COPY 到CO欄位'!$1:$1048576,'Over Under Bill 1 COPY 到CO欄位'!AL$1,0)</f>
        <v>0</v>
      </c>
      <c r="AR63" s="157">
        <f>VLOOKUP($A63,'Over Under Bill 1 COPY 到CO欄位'!$1:$1048576,'Over Under Bill 1 COPY 到CO欄位'!AR$1,0)-VLOOKUP($A63,'Over Under Bill 1 COPY 到CO欄位'!$1:$1048576,'Over Under Bill 1 COPY 到CO欄位'!AM$1,0)</f>
        <v>0</v>
      </c>
      <c r="AS63" s="157">
        <f t="shared" si="92"/>
        <v>0</v>
      </c>
      <c r="AT63" s="157">
        <f>VLOOKUP($A63,'Over Under Bill 1 COPY 到CO欄位'!$1:$1048576,'Over Under Bill 1 COPY 到CO欄位'!AT$1,0)-VLOOKUP($A63,'Over Under Bill 1 COPY 到CO欄位'!$1:$1048576,'Over Under Bill 1 COPY 到CO欄位'!AO$1,0)</f>
        <v>0</v>
      </c>
      <c r="AU63" s="157">
        <f t="shared" si="93"/>
        <v>0</v>
      </c>
      <c r="AV63" s="158">
        <f>VLOOKUP($A63,'Over Under Bill 1 COPY 到CO欄位'!$1:$1048576,'Over Under Bill 1 COPY 到CO欄位'!AV$1,0)-VLOOKUP($A63,'Over Under Bill 1 COPY 到CO欄位'!$1:$1048576,'Over Under Bill 1 COPY 到CO欄位'!AQ$1,0)</f>
        <v>0</v>
      </c>
      <c r="AW63" s="158">
        <f>VLOOKUP($A63,'Over Under Bill 1 COPY 到CO欄位'!$1:$1048576,'Over Under Bill 1 COPY 到CO欄位'!AW$1,0)-VLOOKUP($A63,'Over Under Bill 1 COPY 到CO欄位'!$1:$1048576,'Over Under Bill 1 COPY 到CO欄位'!AR$1,0)</f>
        <v>0</v>
      </c>
      <c r="AX63" s="158">
        <f t="shared" si="94"/>
        <v>0</v>
      </c>
      <c r="AY63" s="158">
        <f>VLOOKUP($A63,'Over Under Bill 1 COPY 到CO欄位'!$1:$1048576,'Over Under Bill 1 COPY 到CO欄位'!AY$1,0)-VLOOKUP($A63,'Over Under Bill 1 COPY 到CO欄位'!$1:$1048576,'Over Under Bill 1 COPY 到CO欄位'!AT$1,0)</f>
        <v>0</v>
      </c>
      <c r="AZ63" s="158">
        <f t="shared" si="95"/>
        <v>0</v>
      </c>
      <c r="BA63" s="157">
        <f>VLOOKUP($A63,'Over Under Bill 1 COPY 到CO欄位'!$1:$1048576,'Over Under Bill 1 COPY 到CO欄位'!BA$1,0)-VLOOKUP($A63,'Over Under Bill 1 COPY 到CO欄位'!$1:$1048576,'Over Under Bill 1 COPY 到CO欄位'!AV$1,0)</f>
        <v>0</v>
      </c>
      <c r="BB63" s="157">
        <f>VLOOKUP($A63,'Over Under Bill 1 COPY 到CO欄位'!$1:$1048576,'Over Under Bill 1 COPY 到CO欄位'!BB$1,0)-VLOOKUP($A63,'Over Under Bill 1 COPY 到CO欄位'!$1:$1048576,'Over Under Bill 1 COPY 到CO欄位'!AW$1,0)</f>
        <v>0</v>
      </c>
      <c r="BC63" s="157">
        <f t="shared" si="96"/>
        <v>0</v>
      </c>
      <c r="BD63" s="157">
        <f>VLOOKUP($A63,'Over Under Bill 1 COPY 到CO欄位'!$1:$1048576,'Over Under Bill 1 COPY 到CO欄位'!BD$1,0)-VLOOKUP($A63,'Over Under Bill 1 COPY 到CO欄位'!$1:$1048576,'Over Under Bill 1 COPY 到CO欄位'!AY$1,0)</f>
        <v>0</v>
      </c>
      <c r="BE63" s="157">
        <f t="shared" si="97"/>
        <v>0</v>
      </c>
      <c r="BF63" s="158">
        <f>VLOOKUP($A63,'Over Under Bill 1 COPY 到CO欄位'!$1:$1048576,'Over Under Bill 1 COPY 到CO欄位'!BF$1,0)-VLOOKUP($A63,'Over Under Bill 1 COPY 到CO欄位'!$1:$1048576,'Over Under Bill 1 COPY 到CO欄位'!BA$1,0)</f>
        <v>0</v>
      </c>
      <c r="BG63" s="158">
        <f>VLOOKUP($A63,'Over Under Bill 1 COPY 到CO欄位'!$1:$1048576,'Over Under Bill 1 COPY 到CO欄位'!BG$1,0)-VLOOKUP($A63,'Over Under Bill 1 COPY 到CO欄位'!$1:$1048576,'Over Under Bill 1 COPY 到CO欄位'!BB$1,0)</f>
        <v>0</v>
      </c>
      <c r="BH63" s="158">
        <f t="shared" si="98"/>
        <v>0</v>
      </c>
      <c r="BI63" s="158">
        <f>VLOOKUP($A63,'Over Under Bill 1 COPY 到CO欄位'!$1:$1048576,'Over Under Bill 1 COPY 到CO欄位'!BI$1,0)-VLOOKUP($A63,'Over Under Bill 1 COPY 到CO欄位'!$1:$1048576,'Over Under Bill 1 COPY 到CO欄位'!BD$1,0)</f>
        <v>0</v>
      </c>
      <c r="BJ63" s="158">
        <f t="shared" si="99"/>
        <v>0</v>
      </c>
      <c r="BK63" s="157">
        <f>VLOOKUP($A63,'Over Under Bill 1 COPY 到CO欄位'!$1:$1048576,'Over Under Bill 1 COPY 到CO欄位'!BK$1,0)-VLOOKUP($A63,'Over Under Bill 1 COPY 到CO欄位'!$1:$1048576,'Over Under Bill 1 COPY 到CO欄位'!BF$1,0)</f>
        <v>0</v>
      </c>
      <c r="BL63" s="157">
        <f>VLOOKUP($A63,'Over Under Bill 1 COPY 到CO欄位'!$1:$1048576,'Over Under Bill 1 COPY 到CO欄位'!BL$1,0)-VLOOKUP($A63,'Over Under Bill 1 COPY 到CO欄位'!$1:$1048576,'Over Under Bill 1 COPY 到CO欄位'!BG$1,0)</f>
        <v>0</v>
      </c>
      <c r="BM63" s="157">
        <f t="shared" si="100"/>
        <v>0</v>
      </c>
      <c r="BN63" s="157">
        <f>VLOOKUP($A63,'Over Under Bill 1 COPY 到CO欄位'!$1:$1048576,'Over Under Bill 1 COPY 到CO欄位'!BN$1,0)-VLOOKUP($A63,'Over Under Bill 1 COPY 到CO欄位'!$1:$1048576,'Over Under Bill 1 COPY 到CO欄位'!BI$1,0)</f>
        <v>0</v>
      </c>
      <c r="BO63" s="157">
        <f t="shared" si="101"/>
        <v>0</v>
      </c>
      <c r="BP63" s="158">
        <f>VLOOKUP($A63,'Over Under Bill 1 COPY 到CO欄位'!$1:$1048576,'Over Under Bill 1 COPY 到CO欄位'!BP$1,0)-VLOOKUP($A63,'Over Under Bill 1 COPY 到CO欄位'!$1:$1048576,'Over Under Bill 1 COPY 到CO欄位'!BK$1,0)</f>
        <v>0</v>
      </c>
      <c r="BQ63" s="158">
        <f>VLOOKUP($A63,'Over Under Bill 1 COPY 到CO欄位'!$1:$1048576,'Over Under Bill 1 COPY 到CO欄位'!BQ$1,0)-VLOOKUP($A63,'Over Under Bill 1 COPY 到CO欄位'!$1:$1048576,'Over Under Bill 1 COPY 到CO欄位'!BL$1,0)</f>
        <v>0</v>
      </c>
      <c r="BR63" s="158">
        <f t="shared" si="102"/>
        <v>0</v>
      </c>
      <c r="BS63" s="158">
        <f>VLOOKUP($A63,'Over Under Bill 1 COPY 到CO欄位'!$1:$1048576,'Over Under Bill 1 COPY 到CO欄位'!BS$1,0)-VLOOKUP($A63,'Over Under Bill 1 COPY 到CO欄位'!$1:$1048576,'Over Under Bill 1 COPY 到CO欄位'!BN$1,0)</f>
        <v>0</v>
      </c>
      <c r="BT63" s="158">
        <f t="shared" si="103"/>
        <v>0</v>
      </c>
      <c r="BU63" s="157">
        <f>VLOOKUP($A63,'Over Under Bill 1 COPY 到CO欄位'!$1:$1048576,'Over Under Bill 1 COPY 到CO欄位'!BP$1,0)-VLOOKUP($A63,'Over Under Bill 1 COPY 到CO欄位'!$1:$1048576,'Over Under Bill 1 COPY 到CO欄位'!H$1,0)</f>
        <v>0</v>
      </c>
      <c r="BV63" s="157">
        <f>VLOOKUP($A63,'Over Under Bill 1 COPY 到CO欄位'!$1:$1048576,'Over Under Bill 1 COPY 到CO欄位'!BQ$1,0)-VLOOKUP($A63,'Over Under Bill 1 COPY 到CO欄位'!$1:$1048576,'Over Under Bill 1 COPY 到CO欄位'!I$1,0)</f>
        <v>0</v>
      </c>
      <c r="BW63" s="157">
        <f t="shared" si="104"/>
        <v>0</v>
      </c>
      <c r="BX63" s="157">
        <f>VLOOKUP($A63,'Over Under Bill 1 COPY 到CO欄位'!$1:$1048576,'Over Under Bill 1 COPY 到CO欄位'!BS$1,0)-VLOOKUP($A63,'Over Under Bill 1 COPY 到CO欄位'!$1:$1048576,'Over Under Bill 1 COPY 到CO欄位'!K$1,0)</f>
        <v>0</v>
      </c>
      <c r="BY63" s="157">
        <f t="shared" si="105"/>
        <v>0</v>
      </c>
      <c r="BZ63" s="158">
        <f>VLOOKUP($A63,'Over Under Bill 1 COPY 到CO欄位'!$1:$1048576,'Over Under Bill 1 COPY 到CO欄位'!BU$1,0)-VLOOKUP($A63,'Over Under Bill 1 COPY 到CO欄位'!$1:$1048576,'Over Under Bill 1 COPY 到CO欄位'!BP$1,0)</f>
        <v>0</v>
      </c>
      <c r="CA63" s="158">
        <f>VLOOKUP($A63,'Over Under Bill 1 COPY 到CO欄位'!$1:$1048576,'Over Under Bill 1 COPY 到CO欄位'!BV$1,0)-VLOOKUP($A63,'Over Under Bill 1 COPY 到CO欄位'!$1:$1048576,'Over Under Bill 1 COPY 到CO欄位'!BQ$1,0)</f>
        <v>0</v>
      </c>
      <c r="CB63" s="158">
        <f t="shared" si="106"/>
        <v>0</v>
      </c>
      <c r="CC63" s="158">
        <f>VLOOKUP($A63,'Over Under Bill 1 COPY 到CO欄位'!$1:$1048576,'Over Under Bill 1 COPY 到CO欄位'!BX$1,0)-VLOOKUP($A63,'Over Under Bill 1 COPY 到CO欄位'!$1:$1048576,'Over Under Bill 1 COPY 到CO欄位'!BS$1,0)</f>
        <v>0</v>
      </c>
      <c r="CD63" s="158">
        <f t="shared" si="107"/>
        <v>0</v>
      </c>
      <c r="CE63" s="157">
        <f>VLOOKUP($A63,'Over Under Bill 1 COPY 到CO欄位'!$1:$1048576,'Over Under Bill 1 COPY 到CO欄位'!BZ$1,0)-VLOOKUP($A63,'Over Under Bill 1 COPY 到CO欄位'!$1:$1048576,'Over Under Bill 1 COPY 到CO欄位'!BU$1,0)</f>
        <v>0</v>
      </c>
      <c r="CF63" s="157">
        <f>VLOOKUP($A63,'Over Under Bill 1 COPY 到CO欄位'!$1:$1048576,'Over Under Bill 1 COPY 到CO欄位'!CA$1,0)-VLOOKUP($A63,'Over Under Bill 1 COPY 到CO欄位'!$1:$1048576,'Over Under Bill 1 COPY 到CO欄位'!BV$1,0)</f>
        <v>0</v>
      </c>
      <c r="CG63" s="157">
        <f t="shared" si="108"/>
        <v>0</v>
      </c>
      <c r="CH63" s="157">
        <f>VLOOKUP($A63,'Over Under Bill 1 COPY 到CO欄位'!$1:$1048576,'Over Under Bill 1 COPY 到CO欄位'!CC$1,0)-VLOOKUP($A63,'Over Under Bill 1 COPY 到CO欄位'!$1:$1048576,'Over Under Bill 1 COPY 到CO欄位'!BX$1,0)</f>
        <v>0</v>
      </c>
      <c r="CI63" s="157">
        <f t="shared" si="109"/>
        <v>0</v>
      </c>
      <c r="CJ63" s="158">
        <f>VLOOKUP($A63,'Over Under Bill 1 COPY 到CO欄位'!$1:$1048576,'Over Under Bill 1 COPY 到CO欄位'!CE$1,0)-VLOOKUP($A63,'Over Under Bill 1 COPY 到CO欄位'!$1:$1048576,'Over Under Bill 1 COPY 到CO欄位'!BZ$1,0)</f>
        <v>0</v>
      </c>
      <c r="CK63" s="158">
        <f>VLOOKUP($A63,'Over Under Bill 1 COPY 到CO欄位'!$1:$1048576,'Over Under Bill 1 COPY 到CO欄位'!CF$1,0)-VLOOKUP($A63,'Over Under Bill 1 COPY 到CO欄位'!$1:$1048576,'Over Under Bill 1 COPY 到CO欄位'!CA$1,0)</f>
        <v>0</v>
      </c>
      <c r="CL63" s="158">
        <f t="shared" si="110"/>
        <v>0</v>
      </c>
      <c r="CM63" s="158">
        <f>VLOOKUP($A63,'Over Under Bill 1 COPY 到CO欄位'!$1:$1048576,'Over Under Bill 1 COPY 到CO欄位'!CH$1,0)-VLOOKUP($A63,'Over Under Bill 1 COPY 到CO欄位'!$1:$1048576,'Over Under Bill 1 COPY 到CO欄位'!CC$1,0)</f>
        <v>0</v>
      </c>
      <c r="CN63" s="158">
        <f t="shared" si="111"/>
        <v>0</v>
      </c>
      <c r="CO63" s="157">
        <f>VLOOKUP($A63,'Over Under Bill 1 COPY 到CO欄位'!$1:$1048576,'Over Under Bill 1 COPY 到CO欄位'!CJ$1,0)-VLOOKUP($A63,'Over Under Bill 1 COPY 到CO欄位'!$1:$1048576,'Over Under Bill 1 COPY 到CO欄位'!CE$1,0)</f>
        <v>0</v>
      </c>
      <c r="CP63" s="157">
        <f>VLOOKUP($A63,'Over Under Bill 1 COPY 到CO欄位'!$1:$1048576,'Over Under Bill 1 COPY 到CO欄位'!CK$1,0)-VLOOKUP($A63,'Over Under Bill 1 COPY 到CO欄位'!$1:$1048576,'Over Under Bill 1 COPY 到CO欄位'!CF$1,0)</f>
        <v>0</v>
      </c>
      <c r="CQ63" s="157">
        <f t="shared" si="112"/>
        <v>0</v>
      </c>
      <c r="CR63" s="157">
        <f>VLOOKUP($A63,'Over Under Bill 1 COPY 到CO欄位'!$1:$1048576,'Over Under Bill 1 COPY 到CO欄位'!CM$1,0)-VLOOKUP($A63,'Over Under Bill 1 COPY 到CO欄位'!$1:$1048576,'Over Under Bill 1 COPY 到CO欄位'!CH$1,0)</f>
        <v>0</v>
      </c>
      <c r="CS63" s="157">
        <f t="shared" si="113"/>
        <v>0</v>
      </c>
    </row>
    <row r="64" spans="1:97">
      <c r="A64" s="158" t="s">
        <v>423</v>
      </c>
      <c r="B64" s="172" t="s">
        <v>424</v>
      </c>
      <c r="C64" s="157">
        <f>IFERROR(VLOOKUP($A64,'A0 BS 1240在建'!$1:$1048576,5,0),0)</f>
        <v>0</v>
      </c>
      <c r="D64" s="157">
        <f>IFERROR(VLOOKUP($A64,'B0 2264預收'!$1:$1048576,5,0),0)</f>
        <v>0</v>
      </c>
      <c r="E64" s="157">
        <f t="shared" si="76"/>
        <v>0</v>
      </c>
      <c r="F64" s="157">
        <f>IFERROR(VLOOKUP($A64,'B0 2264預收'!$1:$1048576,6,0),0)</f>
        <v>0</v>
      </c>
      <c r="G64" s="157">
        <f t="shared" si="77"/>
        <v>0</v>
      </c>
      <c r="H64" s="158">
        <f>IFERROR(VLOOKUP($A64,'A0 BS 1240在建'!$1:$1048576,13,0),0)-C64</f>
        <v>0</v>
      </c>
      <c r="I64" s="158">
        <f>IFERROR(VLOOKUP($A64,'B0 2264預收'!$1:$1048576,13,0),0)-D64</f>
        <v>0</v>
      </c>
      <c r="J64" s="158">
        <f t="shared" si="78"/>
        <v>0</v>
      </c>
      <c r="K64" s="158">
        <f>IFERROR(VLOOKUP($A64,'B0 2264預收'!$1:$1048576,14,0),0)-F64</f>
        <v>0</v>
      </c>
      <c r="L64" s="158">
        <f t="shared" si="79"/>
        <v>0</v>
      </c>
      <c r="M64" s="157">
        <f>VLOOKUP($A64,'Over Under Bill 1 COPY 到CO欄位'!$1:$1048576,'Over Under Bill 1 COPY 到CO欄位'!M$1,0)-VLOOKUP($A64,'Over Under Bill 1 COPY 到CO欄位'!$1:$1048576,'Over Under Bill 1 COPY 到CO欄位'!H$1,0)</f>
        <v>0</v>
      </c>
      <c r="N64" s="157">
        <f>VLOOKUP($A64,'Over Under Bill 1 COPY 到CO欄位'!$1:$1048576,'Over Under Bill 1 COPY 到CO欄位'!N$1,0)-VLOOKUP($A64,'Over Under Bill 1 COPY 到CO欄位'!$1:$1048576,'Over Under Bill 1 COPY 到CO欄位'!I$1,0)</f>
        <v>0</v>
      </c>
      <c r="O64" s="157">
        <f t="shared" si="80"/>
        <v>0</v>
      </c>
      <c r="P64" s="157">
        <f>VLOOKUP($A64,'Over Under Bill 1 COPY 到CO欄位'!$1:$1048576,'Over Under Bill 1 COPY 到CO欄位'!P$1,0)-VLOOKUP($A64,'Over Under Bill 1 COPY 到CO欄位'!$1:$1048576,'Over Under Bill 1 COPY 到CO欄位'!K$1,0)</f>
        <v>0</v>
      </c>
      <c r="Q64" s="157">
        <f t="shared" si="81"/>
        <v>0</v>
      </c>
      <c r="R64" s="158">
        <f>VLOOKUP($A64,'Over Under Bill 1 COPY 到CO欄位'!$1:$1048576,'Over Under Bill 1 COPY 到CO欄位'!R$1,0)-VLOOKUP($A64,'Over Under Bill 1 COPY 到CO欄位'!$1:$1048576,'Over Under Bill 1 COPY 到CO欄位'!M$1,0)</f>
        <v>0</v>
      </c>
      <c r="S64" s="158">
        <f>VLOOKUP($A64,'Over Under Bill 1 COPY 到CO欄位'!$1:$1048576,'Over Under Bill 1 COPY 到CO欄位'!S$1,0)-VLOOKUP($A64,'Over Under Bill 1 COPY 到CO欄位'!$1:$1048576,'Over Under Bill 1 COPY 到CO欄位'!N$1,0)</f>
        <v>0</v>
      </c>
      <c r="T64" s="158">
        <f t="shared" si="82"/>
        <v>0</v>
      </c>
      <c r="U64" s="158">
        <f>VLOOKUP($A64,'Over Under Bill 1 COPY 到CO欄位'!$1:$1048576,'Over Under Bill 1 COPY 到CO欄位'!U$1,0)-VLOOKUP($A64,'Over Under Bill 1 COPY 到CO欄位'!$1:$1048576,'Over Under Bill 1 COPY 到CO欄位'!P$1,0)</f>
        <v>0</v>
      </c>
      <c r="V64" s="158">
        <f t="shared" si="83"/>
        <v>0</v>
      </c>
      <c r="W64" s="157">
        <f>VLOOKUP($A64,'Over Under Bill 1 COPY 到CO欄位'!$1:$1048576,'Over Under Bill 1 COPY 到CO欄位'!W$1,0)-VLOOKUP($A64,'Over Under Bill 1 COPY 到CO欄位'!$1:$1048576,'Over Under Bill 1 COPY 到CO欄位'!R$1,0)</f>
        <v>0</v>
      </c>
      <c r="X64" s="157">
        <f>VLOOKUP($A64,'Over Under Bill 1 COPY 到CO欄位'!$1:$1048576,'Over Under Bill 1 COPY 到CO欄位'!X$1,0)-VLOOKUP($A64,'Over Under Bill 1 COPY 到CO欄位'!$1:$1048576,'Over Under Bill 1 COPY 到CO欄位'!S$1,0)</f>
        <v>0</v>
      </c>
      <c r="Y64" s="157">
        <f t="shared" si="84"/>
        <v>0</v>
      </c>
      <c r="Z64" s="157">
        <f>VLOOKUP($A64,'Over Under Bill 1 COPY 到CO欄位'!$1:$1048576,'Over Under Bill 1 COPY 到CO欄位'!Z$1,0)-VLOOKUP($A64,'Over Under Bill 1 COPY 到CO欄位'!$1:$1048576,'Over Under Bill 1 COPY 到CO欄位'!U$1,0)</f>
        <v>0</v>
      </c>
      <c r="AA64" s="157">
        <f t="shared" si="85"/>
        <v>0</v>
      </c>
      <c r="AB64" s="158">
        <f>VLOOKUP($A64,'Over Under Bill 1 COPY 到CO欄位'!$1:$1048576,'Over Under Bill 1 COPY 到CO欄位'!AB$1,0)-VLOOKUP($A64,'Over Under Bill 1 COPY 到CO欄位'!$1:$1048576,'Over Under Bill 1 COPY 到CO欄位'!W$1,0)</f>
        <v>0</v>
      </c>
      <c r="AC64" s="158">
        <f>VLOOKUP($A64,'Over Under Bill 1 COPY 到CO欄位'!$1:$1048576,'Over Under Bill 1 COPY 到CO欄位'!AC$1,0)-VLOOKUP($A64,'Over Under Bill 1 COPY 到CO欄位'!$1:$1048576,'Over Under Bill 1 COPY 到CO欄位'!X$1,0)</f>
        <v>0</v>
      </c>
      <c r="AD64" s="158">
        <f t="shared" si="86"/>
        <v>0</v>
      </c>
      <c r="AE64" s="158">
        <f>VLOOKUP($A64,'Over Under Bill 1 COPY 到CO欄位'!$1:$1048576,'Over Under Bill 1 COPY 到CO欄位'!AE$1,0)-VLOOKUP($A64,'Over Under Bill 1 COPY 到CO欄位'!$1:$1048576,'Over Under Bill 1 COPY 到CO欄位'!Z$1,0)</f>
        <v>0</v>
      </c>
      <c r="AF64" s="158">
        <f t="shared" si="87"/>
        <v>0</v>
      </c>
      <c r="AG64" s="157">
        <f>VLOOKUP($A64,'Over Under Bill 1 COPY 到CO欄位'!$1:$1048576,'Over Under Bill 1 COPY 到CO欄位'!AG$1,0)-VLOOKUP($A64,'Over Under Bill 1 COPY 到CO欄位'!$1:$1048576,'Over Under Bill 1 COPY 到CO欄位'!AB$1,0)</f>
        <v>0</v>
      </c>
      <c r="AH64" s="157">
        <f>VLOOKUP($A64,'Over Under Bill 1 COPY 到CO欄位'!$1:$1048576,'Over Under Bill 1 COPY 到CO欄位'!AH$1,0)-VLOOKUP($A64,'Over Under Bill 1 COPY 到CO欄位'!$1:$1048576,'Over Under Bill 1 COPY 到CO欄位'!AC$1,0)</f>
        <v>0</v>
      </c>
      <c r="AI64" s="157">
        <f t="shared" si="88"/>
        <v>0</v>
      </c>
      <c r="AJ64" s="157">
        <f>VLOOKUP($A64,'Over Under Bill 1 COPY 到CO欄位'!$1:$1048576,'Over Under Bill 1 COPY 到CO欄位'!AJ$1,0)-VLOOKUP($A64,'Over Under Bill 1 COPY 到CO欄位'!$1:$1048576,'Over Under Bill 1 COPY 到CO欄位'!AE$1,0)</f>
        <v>0</v>
      </c>
      <c r="AK64" s="157">
        <f t="shared" si="89"/>
        <v>0</v>
      </c>
      <c r="AL64" s="158">
        <f>VLOOKUP($A64,'Over Under Bill 1 COPY 到CO欄位'!$1:$1048576,'Over Under Bill 1 COPY 到CO欄位'!AL$1,0)-VLOOKUP($A64,'Over Under Bill 1 COPY 到CO欄位'!$1:$1048576,'Over Under Bill 1 COPY 到CO欄位'!AG$1,0)</f>
        <v>0</v>
      </c>
      <c r="AM64" s="158">
        <f>VLOOKUP($A64,'Over Under Bill 1 COPY 到CO欄位'!$1:$1048576,'Over Under Bill 1 COPY 到CO欄位'!AM$1,0)-VLOOKUP($A64,'Over Under Bill 1 COPY 到CO欄位'!$1:$1048576,'Over Under Bill 1 COPY 到CO欄位'!AH$1,0)</f>
        <v>0</v>
      </c>
      <c r="AN64" s="158">
        <f t="shared" si="90"/>
        <v>0</v>
      </c>
      <c r="AO64" s="158">
        <f>VLOOKUP($A64,'Over Under Bill 1 COPY 到CO欄位'!$1:$1048576,'Over Under Bill 1 COPY 到CO欄位'!AO$1,0)-VLOOKUP($A64,'Over Under Bill 1 COPY 到CO欄位'!$1:$1048576,'Over Under Bill 1 COPY 到CO欄位'!AJ$1,0)</f>
        <v>0</v>
      </c>
      <c r="AP64" s="158">
        <f t="shared" si="91"/>
        <v>0</v>
      </c>
      <c r="AQ64" s="157">
        <f>VLOOKUP($A64,'Over Under Bill 1 COPY 到CO欄位'!$1:$1048576,'Over Under Bill 1 COPY 到CO欄位'!AQ$1,0)-VLOOKUP($A64,'Over Under Bill 1 COPY 到CO欄位'!$1:$1048576,'Over Under Bill 1 COPY 到CO欄位'!AL$1,0)</f>
        <v>0</v>
      </c>
      <c r="AR64" s="157">
        <f>VLOOKUP($A64,'Over Under Bill 1 COPY 到CO欄位'!$1:$1048576,'Over Under Bill 1 COPY 到CO欄位'!AR$1,0)-VLOOKUP($A64,'Over Under Bill 1 COPY 到CO欄位'!$1:$1048576,'Over Under Bill 1 COPY 到CO欄位'!AM$1,0)</f>
        <v>0</v>
      </c>
      <c r="AS64" s="157">
        <f t="shared" si="92"/>
        <v>0</v>
      </c>
      <c r="AT64" s="157">
        <f>VLOOKUP($A64,'Over Under Bill 1 COPY 到CO欄位'!$1:$1048576,'Over Under Bill 1 COPY 到CO欄位'!AT$1,0)-VLOOKUP($A64,'Over Under Bill 1 COPY 到CO欄位'!$1:$1048576,'Over Under Bill 1 COPY 到CO欄位'!AO$1,0)</f>
        <v>0</v>
      </c>
      <c r="AU64" s="157">
        <f t="shared" si="93"/>
        <v>0</v>
      </c>
      <c r="AV64" s="158">
        <f>VLOOKUP($A64,'Over Under Bill 1 COPY 到CO欄位'!$1:$1048576,'Over Under Bill 1 COPY 到CO欄位'!AV$1,0)-VLOOKUP($A64,'Over Under Bill 1 COPY 到CO欄位'!$1:$1048576,'Over Under Bill 1 COPY 到CO欄位'!AQ$1,0)</f>
        <v>0</v>
      </c>
      <c r="AW64" s="158">
        <f>VLOOKUP($A64,'Over Under Bill 1 COPY 到CO欄位'!$1:$1048576,'Over Under Bill 1 COPY 到CO欄位'!AW$1,0)-VLOOKUP($A64,'Over Under Bill 1 COPY 到CO欄位'!$1:$1048576,'Over Under Bill 1 COPY 到CO欄位'!AR$1,0)</f>
        <v>0</v>
      </c>
      <c r="AX64" s="158">
        <f t="shared" si="94"/>
        <v>0</v>
      </c>
      <c r="AY64" s="158">
        <f>VLOOKUP($A64,'Over Under Bill 1 COPY 到CO欄位'!$1:$1048576,'Over Under Bill 1 COPY 到CO欄位'!AY$1,0)-VLOOKUP($A64,'Over Under Bill 1 COPY 到CO欄位'!$1:$1048576,'Over Under Bill 1 COPY 到CO欄位'!AT$1,0)</f>
        <v>0</v>
      </c>
      <c r="AZ64" s="158">
        <f t="shared" si="95"/>
        <v>0</v>
      </c>
      <c r="BA64" s="157">
        <f>VLOOKUP($A64,'Over Under Bill 1 COPY 到CO欄位'!$1:$1048576,'Over Under Bill 1 COPY 到CO欄位'!BA$1,0)-VLOOKUP($A64,'Over Under Bill 1 COPY 到CO欄位'!$1:$1048576,'Over Under Bill 1 COPY 到CO欄位'!AV$1,0)</f>
        <v>0</v>
      </c>
      <c r="BB64" s="157">
        <f>VLOOKUP($A64,'Over Under Bill 1 COPY 到CO欄位'!$1:$1048576,'Over Under Bill 1 COPY 到CO欄位'!BB$1,0)-VLOOKUP($A64,'Over Under Bill 1 COPY 到CO欄位'!$1:$1048576,'Over Under Bill 1 COPY 到CO欄位'!AW$1,0)</f>
        <v>0</v>
      </c>
      <c r="BC64" s="157">
        <f t="shared" si="96"/>
        <v>0</v>
      </c>
      <c r="BD64" s="157">
        <f>VLOOKUP($A64,'Over Under Bill 1 COPY 到CO欄位'!$1:$1048576,'Over Under Bill 1 COPY 到CO欄位'!BD$1,0)-VLOOKUP($A64,'Over Under Bill 1 COPY 到CO欄位'!$1:$1048576,'Over Under Bill 1 COPY 到CO欄位'!AY$1,0)</f>
        <v>0</v>
      </c>
      <c r="BE64" s="157">
        <f t="shared" si="97"/>
        <v>0</v>
      </c>
      <c r="BF64" s="158">
        <f>VLOOKUP($A64,'Over Under Bill 1 COPY 到CO欄位'!$1:$1048576,'Over Under Bill 1 COPY 到CO欄位'!BF$1,0)-VLOOKUP($A64,'Over Under Bill 1 COPY 到CO欄位'!$1:$1048576,'Over Under Bill 1 COPY 到CO欄位'!BA$1,0)</f>
        <v>0</v>
      </c>
      <c r="BG64" s="158">
        <f>VLOOKUP($A64,'Over Under Bill 1 COPY 到CO欄位'!$1:$1048576,'Over Under Bill 1 COPY 到CO欄位'!BG$1,0)-VLOOKUP($A64,'Over Under Bill 1 COPY 到CO欄位'!$1:$1048576,'Over Under Bill 1 COPY 到CO欄位'!BB$1,0)</f>
        <v>0</v>
      </c>
      <c r="BH64" s="158">
        <f t="shared" si="98"/>
        <v>0</v>
      </c>
      <c r="BI64" s="158">
        <f>VLOOKUP($A64,'Over Under Bill 1 COPY 到CO欄位'!$1:$1048576,'Over Under Bill 1 COPY 到CO欄位'!BI$1,0)-VLOOKUP($A64,'Over Under Bill 1 COPY 到CO欄位'!$1:$1048576,'Over Under Bill 1 COPY 到CO欄位'!BD$1,0)</f>
        <v>0</v>
      </c>
      <c r="BJ64" s="158">
        <f t="shared" si="99"/>
        <v>0</v>
      </c>
      <c r="BK64" s="157">
        <f>VLOOKUP($A64,'Over Under Bill 1 COPY 到CO欄位'!$1:$1048576,'Over Under Bill 1 COPY 到CO欄位'!BK$1,0)-VLOOKUP($A64,'Over Under Bill 1 COPY 到CO欄位'!$1:$1048576,'Over Under Bill 1 COPY 到CO欄位'!BF$1,0)</f>
        <v>0</v>
      </c>
      <c r="BL64" s="157">
        <f>VLOOKUP($A64,'Over Under Bill 1 COPY 到CO欄位'!$1:$1048576,'Over Under Bill 1 COPY 到CO欄位'!BL$1,0)-VLOOKUP($A64,'Over Under Bill 1 COPY 到CO欄位'!$1:$1048576,'Over Under Bill 1 COPY 到CO欄位'!BG$1,0)</f>
        <v>0</v>
      </c>
      <c r="BM64" s="157">
        <f t="shared" si="100"/>
        <v>0</v>
      </c>
      <c r="BN64" s="157">
        <f>VLOOKUP($A64,'Over Under Bill 1 COPY 到CO欄位'!$1:$1048576,'Over Under Bill 1 COPY 到CO欄位'!BN$1,0)-VLOOKUP($A64,'Over Under Bill 1 COPY 到CO欄位'!$1:$1048576,'Over Under Bill 1 COPY 到CO欄位'!BI$1,0)</f>
        <v>0</v>
      </c>
      <c r="BO64" s="157">
        <f t="shared" si="101"/>
        <v>0</v>
      </c>
      <c r="BP64" s="158">
        <f>VLOOKUP($A64,'Over Under Bill 1 COPY 到CO欄位'!$1:$1048576,'Over Under Bill 1 COPY 到CO欄位'!BP$1,0)-VLOOKUP($A64,'Over Under Bill 1 COPY 到CO欄位'!$1:$1048576,'Over Under Bill 1 COPY 到CO欄位'!BK$1,0)</f>
        <v>0</v>
      </c>
      <c r="BQ64" s="158">
        <f>VLOOKUP($A64,'Over Under Bill 1 COPY 到CO欄位'!$1:$1048576,'Over Under Bill 1 COPY 到CO欄位'!BQ$1,0)-VLOOKUP($A64,'Over Under Bill 1 COPY 到CO欄位'!$1:$1048576,'Over Under Bill 1 COPY 到CO欄位'!BL$1,0)</f>
        <v>0</v>
      </c>
      <c r="BR64" s="158">
        <f t="shared" si="102"/>
        <v>0</v>
      </c>
      <c r="BS64" s="158">
        <f>VLOOKUP($A64,'Over Under Bill 1 COPY 到CO欄位'!$1:$1048576,'Over Under Bill 1 COPY 到CO欄位'!BS$1,0)-VLOOKUP($A64,'Over Under Bill 1 COPY 到CO欄位'!$1:$1048576,'Over Under Bill 1 COPY 到CO欄位'!BN$1,0)</f>
        <v>0</v>
      </c>
      <c r="BT64" s="158">
        <f t="shared" si="103"/>
        <v>0</v>
      </c>
      <c r="BU64" s="157">
        <f>VLOOKUP($A64,'Over Under Bill 1 COPY 到CO欄位'!$1:$1048576,'Over Under Bill 1 COPY 到CO欄位'!BP$1,0)-VLOOKUP($A64,'Over Under Bill 1 COPY 到CO欄位'!$1:$1048576,'Over Under Bill 1 COPY 到CO欄位'!H$1,0)</f>
        <v>0</v>
      </c>
      <c r="BV64" s="157">
        <f>VLOOKUP($A64,'Over Under Bill 1 COPY 到CO欄位'!$1:$1048576,'Over Under Bill 1 COPY 到CO欄位'!BQ$1,0)-VLOOKUP($A64,'Over Under Bill 1 COPY 到CO欄位'!$1:$1048576,'Over Under Bill 1 COPY 到CO欄位'!I$1,0)</f>
        <v>0</v>
      </c>
      <c r="BW64" s="157">
        <f t="shared" si="104"/>
        <v>0</v>
      </c>
      <c r="BX64" s="157">
        <f>VLOOKUP($A64,'Over Under Bill 1 COPY 到CO欄位'!$1:$1048576,'Over Under Bill 1 COPY 到CO欄位'!BS$1,0)-VLOOKUP($A64,'Over Under Bill 1 COPY 到CO欄位'!$1:$1048576,'Over Under Bill 1 COPY 到CO欄位'!K$1,0)</f>
        <v>0</v>
      </c>
      <c r="BY64" s="157">
        <f t="shared" si="105"/>
        <v>0</v>
      </c>
      <c r="BZ64" s="158">
        <f>VLOOKUP($A64,'Over Under Bill 1 COPY 到CO欄位'!$1:$1048576,'Over Under Bill 1 COPY 到CO欄位'!BU$1,0)-VLOOKUP($A64,'Over Under Bill 1 COPY 到CO欄位'!$1:$1048576,'Over Under Bill 1 COPY 到CO欄位'!BP$1,0)</f>
        <v>0</v>
      </c>
      <c r="CA64" s="158">
        <f>VLOOKUP($A64,'Over Under Bill 1 COPY 到CO欄位'!$1:$1048576,'Over Under Bill 1 COPY 到CO欄位'!BV$1,0)-VLOOKUP($A64,'Over Under Bill 1 COPY 到CO欄位'!$1:$1048576,'Over Under Bill 1 COPY 到CO欄位'!BQ$1,0)</f>
        <v>0</v>
      </c>
      <c r="CB64" s="158">
        <f t="shared" si="106"/>
        <v>0</v>
      </c>
      <c r="CC64" s="158">
        <f>VLOOKUP($A64,'Over Under Bill 1 COPY 到CO欄位'!$1:$1048576,'Over Under Bill 1 COPY 到CO欄位'!BX$1,0)-VLOOKUP($A64,'Over Under Bill 1 COPY 到CO欄位'!$1:$1048576,'Over Under Bill 1 COPY 到CO欄位'!BS$1,0)</f>
        <v>0</v>
      </c>
      <c r="CD64" s="158">
        <f t="shared" si="107"/>
        <v>0</v>
      </c>
      <c r="CE64" s="157">
        <f>VLOOKUP($A64,'Over Under Bill 1 COPY 到CO欄位'!$1:$1048576,'Over Under Bill 1 COPY 到CO欄位'!BZ$1,0)-VLOOKUP($A64,'Over Under Bill 1 COPY 到CO欄位'!$1:$1048576,'Over Under Bill 1 COPY 到CO欄位'!BU$1,0)</f>
        <v>0</v>
      </c>
      <c r="CF64" s="157">
        <f>VLOOKUP($A64,'Over Under Bill 1 COPY 到CO欄位'!$1:$1048576,'Over Under Bill 1 COPY 到CO欄位'!CA$1,0)-VLOOKUP($A64,'Over Under Bill 1 COPY 到CO欄位'!$1:$1048576,'Over Under Bill 1 COPY 到CO欄位'!BV$1,0)</f>
        <v>0</v>
      </c>
      <c r="CG64" s="157">
        <f t="shared" si="108"/>
        <v>0</v>
      </c>
      <c r="CH64" s="157">
        <f>VLOOKUP($A64,'Over Under Bill 1 COPY 到CO欄位'!$1:$1048576,'Over Under Bill 1 COPY 到CO欄位'!CC$1,0)-VLOOKUP($A64,'Over Under Bill 1 COPY 到CO欄位'!$1:$1048576,'Over Under Bill 1 COPY 到CO欄位'!BX$1,0)</f>
        <v>0</v>
      </c>
      <c r="CI64" s="157">
        <f t="shared" si="109"/>
        <v>0</v>
      </c>
      <c r="CJ64" s="158">
        <f>VLOOKUP($A64,'Over Under Bill 1 COPY 到CO欄位'!$1:$1048576,'Over Under Bill 1 COPY 到CO欄位'!CE$1,0)-VLOOKUP($A64,'Over Under Bill 1 COPY 到CO欄位'!$1:$1048576,'Over Under Bill 1 COPY 到CO欄位'!BZ$1,0)</f>
        <v>0</v>
      </c>
      <c r="CK64" s="158">
        <f>VLOOKUP($A64,'Over Under Bill 1 COPY 到CO欄位'!$1:$1048576,'Over Under Bill 1 COPY 到CO欄位'!CF$1,0)-VLOOKUP($A64,'Over Under Bill 1 COPY 到CO欄位'!$1:$1048576,'Over Under Bill 1 COPY 到CO欄位'!CA$1,0)</f>
        <v>0</v>
      </c>
      <c r="CL64" s="158">
        <f t="shared" si="110"/>
        <v>0</v>
      </c>
      <c r="CM64" s="158">
        <f>VLOOKUP($A64,'Over Under Bill 1 COPY 到CO欄位'!$1:$1048576,'Over Under Bill 1 COPY 到CO欄位'!CH$1,0)-VLOOKUP($A64,'Over Under Bill 1 COPY 到CO欄位'!$1:$1048576,'Over Under Bill 1 COPY 到CO欄位'!CC$1,0)</f>
        <v>0</v>
      </c>
      <c r="CN64" s="158">
        <f t="shared" si="111"/>
        <v>0</v>
      </c>
      <c r="CO64" s="157">
        <f>VLOOKUP($A64,'Over Under Bill 1 COPY 到CO欄位'!$1:$1048576,'Over Under Bill 1 COPY 到CO欄位'!CJ$1,0)-VLOOKUP($A64,'Over Under Bill 1 COPY 到CO欄位'!$1:$1048576,'Over Under Bill 1 COPY 到CO欄位'!CE$1,0)</f>
        <v>0</v>
      </c>
      <c r="CP64" s="157">
        <f>VLOOKUP($A64,'Over Under Bill 1 COPY 到CO欄位'!$1:$1048576,'Over Under Bill 1 COPY 到CO欄位'!CK$1,0)-VLOOKUP($A64,'Over Under Bill 1 COPY 到CO欄位'!$1:$1048576,'Over Under Bill 1 COPY 到CO欄位'!CF$1,0)</f>
        <v>0</v>
      </c>
      <c r="CQ64" s="157">
        <f t="shared" si="112"/>
        <v>0</v>
      </c>
      <c r="CR64" s="157">
        <f>VLOOKUP($A64,'Over Under Bill 1 COPY 到CO欄位'!$1:$1048576,'Over Under Bill 1 COPY 到CO欄位'!CM$1,0)-VLOOKUP($A64,'Over Under Bill 1 COPY 到CO欄位'!$1:$1048576,'Over Under Bill 1 COPY 到CO欄位'!CH$1,0)</f>
        <v>0</v>
      </c>
      <c r="CS64" s="157">
        <f t="shared" si="113"/>
        <v>0</v>
      </c>
    </row>
    <row r="65" spans="1:97">
      <c r="A65" s="158" t="s">
        <v>425</v>
      </c>
      <c r="B65" s="172" t="s">
        <v>426</v>
      </c>
      <c r="C65" s="157">
        <f>IFERROR(VLOOKUP($A65,'A0 BS 1240在建'!$1:$1048576,5,0),0)</f>
        <v>0</v>
      </c>
      <c r="D65" s="157">
        <f>IFERROR(VLOOKUP($A65,'B0 2264預收'!$1:$1048576,5,0),0)</f>
        <v>0</v>
      </c>
      <c r="E65" s="157">
        <f t="shared" si="76"/>
        <v>0</v>
      </c>
      <c r="F65" s="157">
        <f>IFERROR(VLOOKUP($A65,'B0 2264預收'!$1:$1048576,6,0),0)</f>
        <v>0</v>
      </c>
      <c r="G65" s="157">
        <f t="shared" si="77"/>
        <v>0</v>
      </c>
      <c r="H65" s="158">
        <f>IFERROR(VLOOKUP($A65,'A0 BS 1240在建'!$1:$1048576,13,0),0)-C65</f>
        <v>0</v>
      </c>
      <c r="I65" s="158">
        <f>IFERROR(VLOOKUP($A65,'B0 2264預收'!$1:$1048576,13,0),0)-D65</f>
        <v>0</v>
      </c>
      <c r="J65" s="158">
        <f t="shared" si="78"/>
        <v>0</v>
      </c>
      <c r="K65" s="158">
        <f>IFERROR(VLOOKUP($A65,'B0 2264預收'!$1:$1048576,14,0),0)-F65</f>
        <v>0</v>
      </c>
      <c r="L65" s="158">
        <f t="shared" si="79"/>
        <v>0</v>
      </c>
      <c r="M65" s="157">
        <f>VLOOKUP($A65,'Over Under Bill 1 COPY 到CO欄位'!$1:$1048576,'Over Under Bill 1 COPY 到CO欄位'!M$1,0)-VLOOKUP($A65,'Over Under Bill 1 COPY 到CO欄位'!$1:$1048576,'Over Under Bill 1 COPY 到CO欄位'!H$1,0)</f>
        <v>0</v>
      </c>
      <c r="N65" s="157">
        <f>VLOOKUP($A65,'Over Under Bill 1 COPY 到CO欄位'!$1:$1048576,'Over Under Bill 1 COPY 到CO欄位'!N$1,0)-VLOOKUP($A65,'Over Under Bill 1 COPY 到CO欄位'!$1:$1048576,'Over Under Bill 1 COPY 到CO欄位'!I$1,0)</f>
        <v>0</v>
      </c>
      <c r="O65" s="157">
        <f t="shared" si="80"/>
        <v>0</v>
      </c>
      <c r="P65" s="157">
        <f>VLOOKUP($A65,'Over Under Bill 1 COPY 到CO欄位'!$1:$1048576,'Over Under Bill 1 COPY 到CO欄位'!P$1,0)-VLOOKUP($A65,'Over Under Bill 1 COPY 到CO欄位'!$1:$1048576,'Over Under Bill 1 COPY 到CO欄位'!K$1,0)</f>
        <v>0</v>
      </c>
      <c r="Q65" s="157">
        <f t="shared" si="81"/>
        <v>0</v>
      </c>
      <c r="R65" s="158">
        <f>VLOOKUP($A65,'Over Under Bill 1 COPY 到CO欄位'!$1:$1048576,'Over Under Bill 1 COPY 到CO欄位'!R$1,0)-VLOOKUP($A65,'Over Under Bill 1 COPY 到CO欄位'!$1:$1048576,'Over Under Bill 1 COPY 到CO欄位'!M$1,0)</f>
        <v>0</v>
      </c>
      <c r="S65" s="158">
        <f>VLOOKUP($A65,'Over Under Bill 1 COPY 到CO欄位'!$1:$1048576,'Over Under Bill 1 COPY 到CO欄位'!S$1,0)-VLOOKUP($A65,'Over Under Bill 1 COPY 到CO欄位'!$1:$1048576,'Over Under Bill 1 COPY 到CO欄位'!N$1,0)</f>
        <v>0</v>
      </c>
      <c r="T65" s="158">
        <f t="shared" si="82"/>
        <v>0</v>
      </c>
      <c r="U65" s="158">
        <f>VLOOKUP($A65,'Over Under Bill 1 COPY 到CO欄位'!$1:$1048576,'Over Under Bill 1 COPY 到CO欄位'!U$1,0)-VLOOKUP($A65,'Over Under Bill 1 COPY 到CO欄位'!$1:$1048576,'Over Under Bill 1 COPY 到CO欄位'!P$1,0)</f>
        <v>0</v>
      </c>
      <c r="V65" s="158">
        <f t="shared" si="83"/>
        <v>0</v>
      </c>
      <c r="W65" s="157">
        <f>VLOOKUP($A65,'Over Under Bill 1 COPY 到CO欄位'!$1:$1048576,'Over Under Bill 1 COPY 到CO欄位'!W$1,0)-VLOOKUP($A65,'Over Under Bill 1 COPY 到CO欄位'!$1:$1048576,'Over Under Bill 1 COPY 到CO欄位'!R$1,0)</f>
        <v>0</v>
      </c>
      <c r="X65" s="157">
        <f>VLOOKUP($A65,'Over Under Bill 1 COPY 到CO欄位'!$1:$1048576,'Over Under Bill 1 COPY 到CO欄位'!X$1,0)-VLOOKUP($A65,'Over Under Bill 1 COPY 到CO欄位'!$1:$1048576,'Over Under Bill 1 COPY 到CO欄位'!S$1,0)</f>
        <v>0</v>
      </c>
      <c r="Y65" s="157">
        <f t="shared" si="84"/>
        <v>0</v>
      </c>
      <c r="Z65" s="157">
        <f>VLOOKUP($A65,'Over Under Bill 1 COPY 到CO欄位'!$1:$1048576,'Over Under Bill 1 COPY 到CO欄位'!Z$1,0)-VLOOKUP($A65,'Over Under Bill 1 COPY 到CO欄位'!$1:$1048576,'Over Under Bill 1 COPY 到CO欄位'!U$1,0)</f>
        <v>0</v>
      </c>
      <c r="AA65" s="157">
        <f t="shared" si="85"/>
        <v>0</v>
      </c>
      <c r="AB65" s="158">
        <f>VLOOKUP($A65,'Over Under Bill 1 COPY 到CO欄位'!$1:$1048576,'Over Under Bill 1 COPY 到CO欄位'!AB$1,0)-VLOOKUP($A65,'Over Under Bill 1 COPY 到CO欄位'!$1:$1048576,'Over Under Bill 1 COPY 到CO欄位'!W$1,0)</f>
        <v>0</v>
      </c>
      <c r="AC65" s="158">
        <f>VLOOKUP($A65,'Over Under Bill 1 COPY 到CO欄位'!$1:$1048576,'Over Under Bill 1 COPY 到CO欄位'!AC$1,0)-VLOOKUP($A65,'Over Under Bill 1 COPY 到CO欄位'!$1:$1048576,'Over Under Bill 1 COPY 到CO欄位'!X$1,0)</f>
        <v>0</v>
      </c>
      <c r="AD65" s="158">
        <f t="shared" si="86"/>
        <v>0</v>
      </c>
      <c r="AE65" s="158">
        <f>VLOOKUP($A65,'Over Under Bill 1 COPY 到CO欄位'!$1:$1048576,'Over Under Bill 1 COPY 到CO欄位'!AE$1,0)-VLOOKUP($A65,'Over Under Bill 1 COPY 到CO欄位'!$1:$1048576,'Over Under Bill 1 COPY 到CO欄位'!Z$1,0)</f>
        <v>0</v>
      </c>
      <c r="AF65" s="158">
        <f t="shared" si="87"/>
        <v>0</v>
      </c>
      <c r="AG65" s="157">
        <f>VLOOKUP($A65,'Over Under Bill 1 COPY 到CO欄位'!$1:$1048576,'Over Under Bill 1 COPY 到CO欄位'!AG$1,0)-VLOOKUP($A65,'Over Under Bill 1 COPY 到CO欄位'!$1:$1048576,'Over Under Bill 1 COPY 到CO欄位'!AB$1,0)</f>
        <v>0</v>
      </c>
      <c r="AH65" s="157">
        <f>VLOOKUP($A65,'Over Under Bill 1 COPY 到CO欄位'!$1:$1048576,'Over Under Bill 1 COPY 到CO欄位'!AH$1,0)-VLOOKUP($A65,'Over Under Bill 1 COPY 到CO欄位'!$1:$1048576,'Over Under Bill 1 COPY 到CO欄位'!AC$1,0)</f>
        <v>0</v>
      </c>
      <c r="AI65" s="157">
        <f t="shared" si="88"/>
        <v>0</v>
      </c>
      <c r="AJ65" s="157">
        <f>VLOOKUP($A65,'Over Under Bill 1 COPY 到CO欄位'!$1:$1048576,'Over Under Bill 1 COPY 到CO欄位'!AJ$1,0)-VLOOKUP($A65,'Over Under Bill 1 COPY 到CO欄位'!$1:$1048576,'Over Under Bill 1 COPY 到CO欄位'!AE$1,0)</f>
        <v>0</v>
      </c>
      <c r="AK65" s="157">
        <f t="shared" si="89"/>
        <v>0</v>
      </c>
      <c r="AL65" s="158">
        <f>VLOOKUP($A65,'Over Under Bill 1 COPY 到CO欄位'!$1:$1048576,'Over Under Bill 1 COPY 到CO欄位'!AL$1,0)-VLOOKUP($A65,'Over Under Bill 1 COPY 到CO欄位'!$1:$1048576,'Over Under Bill 1 COPY 到CO欄位'!AG$1,0)</f>
        <v>0</v>
      </c>
      <c r="AM65" s="158">
        <f>VLOOKUP($A65,'Over Under Bill 1 COPY 到CO欄位'!$1:$1048576,'Over Under Bill 1 COPY 到CO欄位'!AM$1,0)-VLOOKUP($A65,'Over Under Bill 1 COPY 到CO欄位'!$1:$1048576,'Over Under Bill 1 COPY 到CO欄位'!AH$1,0)</f>
        <v>0</v>
      </c>
      <c r="AN65" s="158">
        <f t="shared" si="90"/>
        <v>0</v>
      </c>
      <c r="AO65" s="158">
        <f>VLOOKUP($A65,'Over Under Bill 1 COPY 到CO欄位'!$1:$1048576,'Over Under Bill 1 COPY 到CO欄位'!AO$1,0)-VLOOKUP($A65,'Over Under Bill 1 COPY 到CO欄位'!$1:$1048576,'Over Under Bill 1 COPY 到CO欄位'!AJ$1,0)</f>
        <v>0</v>
      </c>
      <c r="AP65" s="158">
        <f t="shared" si="91"/>
        <v>0</v>
      </c>
      <c r="AQ65" s="157">
        <f>VLOOKUP($A65,'Over Under Bill 1 COPY 到CO欄位'!$1:$1048576,'Over Under Bill 1 COPY 到CO欄位'!AQ$1,0)-VLOOKUP($A65,'Over Under Bill 1 COPY 到CO欄位'!$1:$1048576,'Over Under Bill 1 COPY 到CO欄位'!AL$1,0)</f>
        <v>0</v>
      </c>
      <c r="AR65" s="157">
        <f>VLOOKUP($A65,'Over Under Bill 1 COPY 到CO欄位'!$1:$1048576,'Over Under Bill 1 COPY 到CO欄位'!AR$1,0)-VLOOKUP($A65,'Over Under Bill 1 COPY 到CO欄位'!$1:$1048576,'Over Under Bill 1 COPY 到CO欄位'!AM$1,0)</f>
        <v>0</v>
      </c>
      <c r="AS65" s="157">
        <f t="shared" si="92"/>
        <v>0</v>
      </c>
      <c r="AT65" s="157">
        <f>VLOOKUP($A65,'Over Under Bill 1 COPY 到CO欄位'!$1:$1048576,'Over Under Bill 1 COPY 到CO欄位'!AT$1,0)-VLOOKUP($A65,'Over Under Bill 1 COPY 到CO欄位'!$1:$1048576,'Over Under Bill 1 COPY 到CO欄位'!AO$1,0)</f>
        <v>0</v>
      </c>
      <c r="AU65" s="157">
        <f t="shared" si="93"/>
        <v>0</v>
      </c>
      <c r="AV65" s="158">
        <f>VLOOKUP($A65,'Over Under Bill 1 COPY 到CO欄位'!$1:$1048576,'Over Under Bill 1 COPY 到CO欄位'!AV$1,0)-VLOOKUP($A65,'Over Under Bill 1 COPY 到CO欄位'!$1:$1048576,'Over Under Bill 1 COPY 到CO欄位'!AQ$1,0)</f>
        <v>0</v>
      </c>
      <c r="AW65" s="158">
        <f>VLOOKUP($A65,'Over Under Bill 1 COPY 到CO欄位'!$1:$1048576,'Over Under Bill 1 COPY 到CO欄位'!AW$1,0)-VLOOKUP($A65,'Over Under Bill 1 COPY 到CO欄位'!$1:$1048576,'Over Under Bill 1 COPY 到CO欄位'!AR$1,0)</f>
        <v>0</v>
      </c>
      <c r="AX65" s="158">
        <f t="shared" si="94"/>
        <v>0</v>
      </c>
      <c r="AY65" s="158">
        <f>VLOOKUP($A65,'Over Under Bill 1 COPY 到CO欄位'!$1:$1048576,'Over Under Bill 1 COPY 到CO欄位'!AY$1,0)-VLOOKUP($A65,'Over Under Bill 1 COPY 到CO欄位'!$1:$1048576,'Over Under Bill 1 COPY 到CO欄位'!AT$1,0)</f>
        <v>0</v>
      </c>
      <c r="AZ65" s="158">
        <f t="shared" si="95"/>
        <v>0</v>
      </c>
      <c r="BA65" s="157">
        <f>VLOOKUP($A65,'Over Under Bill 1 COPY 到CO欄位'!$1:$1048576,'Over Under Bill 1 COPY 到CO欄位'!BA$1,0)-VLOOKUP($A65,'Over Under Bill 1 COPY 到CO欄位'!$1:$1048576,'Over Under Bill 1 COPY 到CO欄位'!AV$1,0)</f>
        <v>0</v>
      </c>
      <c r="BB65" s="157">
        <f>VLOOKUP($A65,'Over Under Bill 1 COPY 到CO欄位'!$1:$1048576,'Over Under Bill 1 COPY 到CO欄位'!BB$1,0)-VLOOKUP($A65,'Over Under Bill 1 COPY 到CO欄位'!$1:$1048576,'Over Under Bill 1 COPY 到CO欄位'!AW$1,0)</f>
        <v>0</v>
      </c>
      <c r="BC65" s="157">
        <f t="shared" si="96"/>
        <v>0</v>
      </c>
      <c r="BD65" s="157">
        <f>VLOOKUP($A65,'Over Under Bill 1 COPY 到CO欄位'!$1:$1048576,'Over Under Bill 1 COPY 到CO欄位'!BD$1,0)-VLOOKUP($A65,'Over Under Bill 1 COPY 到CO欄位'!$1:$1048576,'Over Under Bill 1 COPY 到CO欄位'!AY$1,0)</f>
        <v>0</v>
      </c>
      <c r="BE65" s="157">
        <f t="shared" si="97"/>
        <v>0</v>
      </c>
      <c r="BF65" s="158">
        <f>VLOOKUP($A65,'Over Under Bill 1 COPY 到CO欄位'!$1:$1048576,'Over Under Bill 1 COPY 到CO欄位'!BF$1,0)-VLOOKUP($A65,'Over Under Bill 1 COPY 到CO欄位'!$1:$1048576,'Over Under Bill 1 COPY 到CO欄位'!BA$1,0)</f>
        <v>0</v>
      </c>
      <c r="BG65" s="158">
        <f>VLOOKUP($A65,'Over Under Bill 1 COPY 到CO欄位'!$1:$1048576,'Over Under Bill 1 COPY 到CO欄位'!BG$1,0)-VLOOKUP($A65,'Over Under Bill 1 COPY 到CO欄位'!$1:$1048576,'Over Under Bill 1 COPY 到CO欄位'!BB$1,0)</f>
        <v>0</v>
      </c>
      <c r="BH65" s="158">
        <f t="shared" si="98"/>
        <v>0</v>
      </c>
      <c r="BI65" s="158">
        <f>VLOOKUP($A65,'Over Under Bill 1 COPY 到CO欄位'!$1:$1048576,'Over Under Bill 1 COPY 到CO欄位'!BI$1,0)-VLOOKUP($A65,'Over Under Bill 1 COPY 到CO欄位'!$1:$1048576,'Over Under Bill 1 COPY 到CO欄位'!BD$1,0)</f>
        <v>0</v>
      </c>
      <c r="BJ65" s="158">
        <f t="shared" si="99"/>
        <v>0</v>
      </c>
      <c r="BK65" s="157">
        <f>VLOOKUP($A65,'Over Under Bill 1 COPY 到CO欄位'!$1:$1048576,'Over Under Bill 1 COPY 到CO欄位'!BK$1,0)-VLOOKUP($A65,'Over Under Bill 1 COPY 到CO欄位'!$1:$1048576,'Over Under Bill 1 COPY 到CO欄位'!BF$1,0)</f>
        <v>0</v>
      </c>
      <c r="BL65" s="157">
        <f>VLOOKUP($A65,'Over Under Bill 1 COPY 到CO欄位'!$1:$1048576,'Over Under Bill 1 COPY 到CO欄位'!BL$1,0)-VLOOKUP($A65,'Over Under Bill 1 COPY 到CO欄位'!$1:$1048576,'Over Under Bill 1 COPY 到CO欄位'!BG$1,0)</f>
        <v>0</v>
      </c>
      <c r="BM65" s="157">
        <f t="shared" si="100"/>
        <v>0</v>
      </c>
      <c r="BN65" s="157">
        <f>VLOOKUP($A65,'Over Under Bill 1 COPY 到CO欄位'!$1:$1048576,'Over Under Bill 1 COPY 到CO欄位'!BN$1,0)-VLOOKUP($A65,'Over Under Bill 1 COPY 到CO欄位'!$1:$1048576,'Over Under Bill 1 COPY 到CO欄位'!BI$1,0)</f>
        <v>0</v>
      </c>
      <c r="BO65" s="157">
        <f t="shared" si="101"/>
        <v>0</v>
      </c>
      <c r="BP65" s="158">
        <f>VLOOKUP($A65,'Over Under Bill 1 COPY 到CO欄位'!$1:$1048576,'Over Under Bill 1 COPY 到CO欄位'!BP$1,0)-VLOOKUP($A65,'Over Under Bill 1 COPY 到CO欄位'!$1:$1048576,'Over Under Bill 1 COPY 到CO欄位'!BK$1,0)</f>
        <v>0</v>
      </c>
      <c r="BQ65" s="158">
        <f>VLOOKUP($A65,'Over Under Bill 1 COPY 到CO欄位'!$1:$1048576,'Over Under Bill 1 COPY 到CO欄位'!BQ$1,0)-VLOOKUP($A65,'Over Under Bill 1 COPY 到CO欄位'!$1:$1048576,'Over Under Bill 1 COPY 到CO欄位'!BL$1,0)</f>
        <v>0</v>
      </c>
      <c r="BR65" s="158">
        <f t="shared" si="102"/>
        <v>0</v>
      </c>
      <c r="BS65" s="158">
        <f>VLOOKUP($A65,'Over Under Bill 1 COPY 到CO欄位'!$1:$1048576,'Over Under Bill 1 COPY 到CO欄位'!BS$1,0)-VLOOKUP($A65,'Over Under Bill 1 COPY 到CO欄位'!$1:$1048576,'Over Under Bill 1 COPY 到CO欄位'!BN$1,0)</f>
        <v>0</v>
      </c>
      <c r="BT65" s="158">
        <f t="shared" si="103"/>
        <v>0</v>
      </c>
      <c r="BU65" s="157">
        <f>VLOOKUP($A65,'Over Under Bill 1 COPY 到CO欄位'!$1:$1048576,'Over Under Bill 1 COPY 到CO欄位'!BP$1,0)-VLOOKUP($A65,'Over Under Bill 1 COPY 到CO欄位'!$1:$1048576,'Over Under Bill 1 COPY 到CO欄位'!H$1,0)</f>
        <v>0</v>
      </c>
      <c r="BV65" s="157">
        <f>VLOOKUP($A65,'Over Under Bill 1 COPY 到CO欄位'!$1:$1048576,'Over Under Bill 1 COPY 到CO欄位'!BQ$1,0)-VLOOKUP($A65,'Over Under Bill 1 COPY 到CO欄位'!$1:$1048576,'Over Under Bill 1 COPY 到CO欄位'!I$1,0)</f>
        <v>0</v>
      </c>
      <c r="BW65" s="157">
        <f t="shared" si="104"/>
        <v>0</v>
      </c>
      <c r="BX65" s="157">
        <f>VLOOKUP($A65,'Over Under Bill 1 COPY 到CO欄位'!$1:$1048576,'Over Under Bill 1 COPY 到CO欄位'!BS$1,0)-VLOOKUP($A65,'Over Under Bill 1 COPY 到CO欄位'!$1:$1048576,'Over Under Bill 1 COPY 到CO欄位'!K$1,0)</f>
        <v>0</v>
      </c>
      <c r="BY65" s="157">
        <f t="shared" si="105"/>
        <v>0</v>
      </c>
      <c r="BZ65" s="158">
        <f>VLOOKUP($A65,'Over Under Bill 1 COPY 到CO欄位'!$1:$1048576,'Over Under Bill 1 COPY 到CO欄位'!BU$1,0)-VLOOKUP($A65,'Over Under Bill 1 COPY 到CO欄位'!$1:$1048576,'Over Under Bill 1 COPY 到CO欄位'!BP$1,0)</f>
        <v>0</v>
      </c>
      <c r="CA65" s="158">
        <f>VLOOKUP($A65,'Over Under Bill 1 COPY 到CO欄位'!$1:$1048576,'Over Under Bill 1 COPY 到CO欄位'!BV$1,0)-VLOOKUP($A65,'Over Under Bill 1 COPY 到CO欄位'!$1:$1048576,'Over Under Bill 1 COPY 到CO欄位'!BQ$1,0)</f>
        <v>0</v>
      </c>
      <c r="CB65" s="158">
        <f t="shared" si="106"/>
        <v>0</v>
      </c>
      <c r="CC65" s="158">
        <f>VLOOKUP($A65,'Over Under Bill 1 COPY 到CO欄位'!$1:$1048576,'Over Under Bill 1 COPY 到CO欄位'!BX$1,0)-VLOOKUP($A65,'Over Under Bill 1 COPY 到CO欄位'!$1:$1048576,'Over Under Bill 1 COPY 到CO欄位'!BS$1,0)</f>
        <v>0</v>
      </c>
      <c r="CD65" s="158">
        <f t="shared" si="107"/>
        <v>0</v>
      </c>
      <c r="CE65" s="157">
        <f>VLOOKUP($A65,'Over Under Bill 1 COPY 到CO欄位'!$1:$1048576,'Over Under Bill 1 COPY 到CO欄位'!BZ$1,0)-VLOOKUP($A65,'Over Under Bill 1 COPY 到CO欄位'!$1:$1048576,'Over Under Bill 1 COPY 到CO欄位'!BU$1,0)</f>
        <v>0</v>
      </c>
      <c r="CF65" s="157">
        <f>VLOOKUP($A65,'Over Under Bill 1 COPY 到CO欄位'!$1:$1048576,'Over Under Bill 1 COPY 到CO欄位'!CA$1,0)-VLOOKUP($A65,'Over Under Bill 1 COPY 到CO欄位'!$1:$1048576,'Over Under Bill 1 COPY 到CO欄位'!BV$1,0)</f>
        <v>0</v>
      </c>
      <c r="CG65" s="157">
        <f t="shared" si="108"/>
        <v>0</v>
      </c>
      <c r="CH65" s="157">
        <f>VLOOKUP($A65,'Over Under Bill 1 COPY 到CO欄位'!$1:$1048576,'Over Under Bill 1 COPY 到CO欄位'!CC$1,0)-VLOOKUP($A65,'Over Under Bill 1 COPY 到CO欄位'!$1:$1048576,'Over Under Bill 1 COPY 到CO欄位'!BX$1,0)</f>
        <v>0</v>
      </c>
      <c r="CI65" s="157">
        <f t="shared" si="109"/>
        <v>0</v>
      </c>
      <c r="CJ65" s="158">
        <f>VLOOKUP($A65,'Over Under Bill 1 COPY 到CO欄位'!$1:$1048576,'Over Under Bill 1 COPY 到CO欄位'!CE$1,0)-VLOOKUP($A65,'Over Under Bill 1 COPY 到CO欄位'!$1:$1048576,'Over Under Bill 1 COPY 到CO欄位'!BZ$1,0)</f>
        <v>0</v>
      </c>
      <c r="CK65" s="158">
        <f>VLOOKUP($A65,'Over Under Bill 1 COPY 到CO欄位'!$1:$1048576,'Over Under Bill 1 COPY 到CO欄位'!CF$1,0)-VLOOKUP($A65,'Over Under Bill 1 COPY 到CO欄位'!$1:$1048576,'Over Under Bill 1 COPY 到CO欄位'!CA$1,0)</f>
        <v>0</v>
      </c>
      <c r="CL65" s="158">
        <f t="shared" si="110"/>
        <v>0</v>
      </c>
      <c r="CM65" s="158">
        <f>VLOOKUP($A65,'Over Under Bill 1 COPY 到CO欄位'!$1:$1048576,'Over Under Bill 1 COPY 到CO欄位'!CH$1,0)-VLOOKUP($A65,'Over Under Bill 1 COPY 到CO欄位'!$1:$1048576,'Over Under Bill 1 COPY 到CO欄位'!CC$1,0)</f>
        <v>0</v>
      </c>
      <c r="CN65" s="158">
        <f t="shared" si="111"/>
        <v>0</v>
      </c>
      <c r="CO65" s="157">
        <f>VLOOKUP($A65,'Over Under Bill 1 COPY 到CO欄位'!$1:$1048576,'Over Under Bill 1 COPY 到CO欄位'!CJ$1,0)-VLOOKUP($A65,'Over Under Bill 1 COPY 到CO欄位'!$1:$1048576,'Over Under Bill 1 COPY 到CO欄位'!CE$1,0)</f>
        <v>0</v>
      </c>
      <c r="CP65" s="157">
        <f>VLOOKUP($A65,'Over Under Bill 1 COPY 到CO欄位'!$1:$1048576,'Over Under Bill 1 COPY 到CO欄位'!CK$1,0)-VLOOKUP($A65,'Over Under Bill 1 COPY 到CO欄位'!$1:$1048576,'Over Under Bill 1 COPY 到CO欄位'!CF$1,0)</f>
        <v>0</v>
      </c>
      <c r="CQ65" s="157">
        <f t="shared" si="112"/>
        <v>0</v>
      </c>
      <c r="CR65" s="157">
        <f>VLOOKUP($A65,'Over Under Bill 1 COPY 到CO欄位'!$1:$1048576,'Over Under Bill 1 COPY 到CO欄位'!CM$1,0)-VLOOKUP($A65,'Over Under Bill 1 COPY 到CO欄位'!$1:$1048576,'Over Under Bill 1 COPY 到CO欄位'!CH$1,0)</f>
        <v>0</v>
      </c>
      <c r="CS65" s="157">
        <f t="shared" si="113"/>
        <v>0</v>
      </c>
    </row>
    <row r="66" spans="1:97">
      <c r="A66" s="178" t="s">
        <v>427</v>
      </c>
      <c r="B66" s="172" t="s">
        <v>428</v>
      </c>
      <c r="C66" s="157">
        <f>IFERROR(VLOOKUP($A66,'A0 BS 1240在建'!$1:$1048576,5,0),0)</f>
        <v>0</v>
      </c>
      <c r="D66" s="157">
        <f>IFERROR(VLOOKUP($A66,'B0 2264預收'!$1:$1048576,5,0),0)</f>
        <v>0</v>
      </c>
      <c r="E66" s="157">
        <f t="shared" si="76"/>
        <v>0</v>
      </c>
      <c r="F66" s="157">
        <f>IFERROR(VLOOKUP($A66,'B0 2264預收'!$1:$1048576,6,0),0)</f>
        <v>0</v>
      </c>
      <c r="G66" s="157">
        <f t="shared" si="77"/>
        <v>0</v>
      </c>
      <c r="H66" s="158">
        <f>IFERROR(VLOOKUP($A66,'A0 BS 1240在建'!$1:$1048576,13,0),0)-C66</f>
        <v>0</v>
      </c>
      <c r="I66" s="158">
        <f>IFERROR(VLOOKUP($A66,'B0 2264預收'!$1:$1048576,13,0),0)-D66</f>
        <v>0</v>
      </c>
      <c r="J66" s="158">
        <f t="shared" si="78"/>
        <v>0</v>
      </c>
      <c r="K66" s="158">
        <f>IFERROR(VLOOKUP($A66,'B0 2264預收'!$1:$1048576,14,0),0)-F66</f>
        <v>0</v>
      </c>
      <c r="L66" s="158">
        <f t="shared" si="79"/>
        <v>0</v>
      </c>
      <c r="M66" s="157">
        <f>VLOOKUP($A66,'Over Under Bill 1 COPY 到CO欄位'!$1:$1048576,'Over Under Bill 1 COPY 到CO欄位'!M$1,0)-VLOOKUP($A66,'Over Under Bill 1 COPY 到CO欄位'!$1:$1048576,'Over Under Bill 1 COPY 到CO欄位'!H$1,0)</f>
        <v>0</v>
      </c>
      <c r="N66" s="157">
        <f>VLOOKUP($A66,'Over Under Bill 1 COPY 到CO欄位'!$1:$1048576,'Over Under Bill 1 COPY 到CO欄位'!N$1,0)-VLOOKUP($A66,'Over Under Bill 1 COPY 到CO欄位'!$1:$1048576,'Over Under Bill 1 COPY 到CO欄位'!I$1,0)</f>
        <v>0</v>
      </c>
      <c r="O66" s="157">
        <f t="shared" si="80"/>
        <v>0</v>
      </c>
      <c r="P66" s="157">
        <f>VLOOKUP($A66,'Over Under Bill 1 COPY 到CO欄位'!$1:$1048576,'Over Under Bill 1 COPY 到CO欄位'!P$1,0)-VLOOKUP($A66,'Over Under Bill 1 COPY 到CO欄位'!$1:$1048576,'Over Under Bill 1 COPY 到CO欄位'!K$1,0)</f>
        <v>0</v>
      </c>
      <c r="Q66" s="157">
        <f t="shared" si="81"/>
        <v>0</v>
      </c>
      <c r="R66" s="158">
        <f>VLOOKUP($A66,'Over Under Bill 1 COPY 到CO欄位'!$1:$1048576,'Over Under Bill 1 COPY 到CO欄位'!R$1,0)-VLOOKUP($A66,'Over Under Bill 1 COPY 到CO欄位'!$1:$1048576,'Over Under Bill 1 COPY 到CO欄位'!M$1,0)</f>
        <v>0</v>
      </c>
      <c r="S66" s="158">
        <f>VLOOKUP($A66,'Over Under Bill 1 COPY 到CO欄位'!$1:$1048576,'Over Under Bill 1 COPY 到CO欄位'!S$1,0)-VLOOKUP($A66,'Over Under Bill 1 COPY 到CO欄位'!$1:$1048576,'Over Under Bill 1 COPY 到CO欄位'!N$1,0)</f>
        <v>0</v>
      </c>
      <c r="T66" s="158">
        <f t="shared" si="82"/>
        <v>0</v>
      </c>
      <c r="U66" s="158">
        <f>VLOOKUP($A66,'Over Under Bill 1 COPY 到CO欄位'!$1:$1048576,'Over Under Bill 1 COPY 到CO欄位'!U$1,0)-VLOOKUP($A66,'Over Under Bill 1 COPY 到CO欄位'!$1:$1048576,'Over Under Bill 1 COPY 到CO欄位'!P$1,0)</f>
        <v>0</v>
      </c>
      <c r="V66" s="158">
        <f t="shared" si="83"/>
        <v>0</v>
      </c>
      <c r="W66" s="157">
        <f>VLOOKUP($A66,'Over Under Bill 1 COPY 到CO欄位'!$1:$1048576,'Over Under Bill 1 COPY 到CO欄位'!W$1,0)-VLOOKUP($A66,'Over Under Bill 1 COPY 到CO欄位'!$1:$1048576,'Over Under Bill 1 COPY 到CO欄位'!R$1,0)</f>
        <v>0</v>
      </c>
      <c r="X66" s="157">
        <f>VLOOKUP($A66,'Over Under Bill 1 COPY 到CO欄位'!$1:$1048576,'Over Under Bill 1 COPY 到CO欄位'!X$1,0)-VLOOKUP($A66,'Over Under Bill 1 COPY 到CO欄位'!$1:$1048576,'Over Under Bill 1 COPY 到CO欄位'!S$1,0)</f>
        <v>0</v>
      </c>
      <c r="Y66" s="157">
        <f t="shared" si="84"/>
        <v>0</v>
      </c>
      <c r="Z66" s="157">
        <f>VLOOKUP($A66,'Over Under Bill 1 COPY 到CO欄位'!$1:$1048576,'Over Under Bill 1 COPY 到CO欄位'!Z$1,0)-VLOOKUP($A66,'Over Under Bill 1 COPY 到CO欄位'!$1:$1048576,'Over Under Bill 1 COPY 到CO欄位'!U$1,0)</f>
        <v>0</v>
      </c>
      <c r="AA66" s="157">
        <f t="shared" si="85"/>
        <v>0</v>
      </c>
      <c r="AB66" s="158">
        <f>VLOOKUP($A66,'Over Under Bill 1 COPY 到CO欄位'!$1:$1048576,'Over Under Bill 1 COPY 到CO欄位'!AB$1,0)-VLOOKUP($A66,'Over Under Bill 1 COPY 到CO欄位'!$1:$1048576,'Over Under Bill 1 COPY 到CO欄位'!W$1,0)</f>
        <v>0</v>
      </c>
      <c r="AC66" s="158">
        <f>VLOOKUP($A66,'Over Under Bill 1 COPY 到CO欄位'!$1:$1048576,'Over Under Bill 1 COPY 到CO欄位'!AC$1,0)-VLOOKUP($A66,'Over Under Bill 1 COPY 到CO欄位'!$1:$1048576,'Over Under Bill 1 COPY 到CO欄位'!X$1,0)</f>
        <v>0</v>
      </c>
      <c r="AD66" s="158">
        <f t="shared" si="86"/>
        <v>0</v>
      </c>
      <c r="AE66" s="158">
        <f>VLOOKUP($A66,'Over Under Bill 1 COPY 到CO欄位'!$1:$1048576,'Over Under Bill 1 COPY 到CO欄位'!AE$1,0)-VLOOKUP($A66,'Over Under Bill 1 COPY 到CO欄位'!$1:$1048576,'Over Under Bill 1 COPY 到CO欄位'!Z$1,0)</f>
        <v>0</v>
      </c>
      <c r="AF66" s="158">
        <f t="shared" si="87"/>
        <v>0</v>
      </c>
      <c r="AG66" s="157">
        <f>VLOOKUP($A66,'Over Under Bill 1 COPY 到CO欄位'!$1:$1048576,'Over Under Bill 1 COPY 到CO欄位'!AG$1,0)-VLOOKUP($A66,'Over Under Bill 1 COPY 到CO欄位'!$1:$1048576,'Over Under Bill 1 COPY 到CO欄位'!AB$1,0)</f>
        <v>0</v>
      </c>
      <c r="AH66" s="157">
        <f>VLOOKUP($A66,'Over Under Bill 1 COPY 到CO欄位'!$1:$1048576,'Over Under Bill 1 COPY 到CO欄位'!AH$1,0)-VLOOKUP($A66,'Over Under Bill 1 COPY 到CO欄位'!$1:$1048576,'Over Under Bill 1 COPY 到CO欄位'!AC$1,0)</f>
        <v>0</v>
      </c>
      <c r="AI66" s="157">
        <f t="shared" si="88"/>
        <v>0</v>
      </c>
      <c r="AJ66" s="157">
        <f>VLOOKUP($A66,'Over Under Bill 1 COPY 到CO欄位'!$1:$1048576,'Over Under Bill 1 COPY 到CO欄位'!AJ$1,0)-VLOOKUP($A66,'Over Under Bill 1 COPY 到CO欄位'!$1:$1048576,'Over Under Bill 1 COPY 到CO欄位'!AE$1,0)</f>
        <v>0</v>
      </c>
      <c r="AK66" s="157">
        <f t="shared" si="89"/>
        <v>0</v>
      </c>
      <c r="AL66" s="158">
        <f>VLOOKUP($A66,'Over Under Bill 1 COPY 到CO欄位'!$1:$1048576,'Over Under Bill 1 COPY 到CO欄位'!AL$1,0)-VLOOKUP($A66,'Over Under Bill 1 COPY 到CO欄位'!$1:$1048576,'Over Under Bill 1 COPY 到CO欄位'!AG$1,0)</f>
        <v>0</v>
      </c>
      <c r="AM66" s="158">
        <f>VLOOKUP($A66,'Over Under Bill 1 COPY 到CO欄位'!$1:$1048576,'Over Under Bill 1 COPY 到CO欄位'!AM$1,0)-VLOOKUP($A66,'Over Under Bill 1 COPY 到CO欄位'!$1:$1048576,'Over Under Bill 1 COPY 到CO欄位'!AH$1,0)</f>
        <v>0</v>
      </c>
      <c r="AN66" s="158">
        <f t="shared" si="90"/>
        <v>0</v>
      </c>
      <c r="AO66" s="158">
        <f>VLOOKUP($A66,'Over Under Bill 1 COPY 到CO欄位'!$1:$1048576,'Over Under Bill 1 COPY 到CO欄位'!AO$1,0)-VLOOKUP($A66,'Over Under Bill 1 COPY 到CO欄位'!$1:$1048576,'Over Under Bill 1 COPY 到CO欄位'!AJ$1,0)</f>
        <v>0</v>
      </c>
      <c r="AP66" s="158">
        <f t="shared" si="91"/>
        <v>0</v>
      </c>
      <c r="AQ66" s="157">
        <f>VLOOKUP($A66,'Over Under Bill 1 COPY 到CO欄位'!$1:$1048576,'Over Under Bill 1 COPY 到CO欄位'!AQ$1,0)-VLOOKUP($A66,'Over Under Bill 1 COPY 到CO欄位'!$1:$1048576,'Over Under Bill 1 COPY 到CO欄位'!AL$1,0)</f>
        <v>0</v>
      </c>
      <c r="AR66" s="157">
        <f>VLOOKUP($A66,'Over Under Bill 1 COPY 到CO欄位'!$1:$1048576,'Over Under Bill 1 COPY 到CO欄位'!AR$1,0)-VLOOKUP($A66,'Over Under Bill 1 COPY 到CO欄位'!$1:$1048576,'Over Under Bill 1 COPY 到CO欄位'!AM$1,0)</f>
        <v>0</v>
      </c>
      <c r="AS66" s="157">
        <f t="shared" si="92"/>
        <v>0</v>
      </c>
      <c r="AT66" s="157">
        <f>VLOOKUP($A66,'Over Under Bill 1 COPY 到CO欄位'!$1:$1048576,'Over Under Bill 1 COPY 到CO欄位'!AT$1,0)-VLOOKUP($A66,'Over Under Bill 1 COPY 到CO欄位'!$1:$1048576,'Over Under Bill 1 COPY 到CO欄位'!AO$1,0)</f>
        <v>0</v>
      </c>
      <c r="AU66" s="157">
        <f t="shared" si="93"/>
        <v>0</v>
      </c>
      <c r="AV66" s="158">
        <f>VLOOKUP($A66,'Over Under Bill 1 COPY 到CO欄位'!$1:$1048576,'Over Under Bill 1 COPY 到CO欄位'!AV$1,0)-VLOOKUP($A66,'Over Under Bill 1 COPY 到CO欄位'!$1:$1048576,'Over Under Bill 1 COPY 到CO欄位'!AQ$1,0)</f>
        <v>0</v>
      </c>
      <c r="AW66" s="158">
        <f>VLOOKUP($A66,'Over Under Bill 1 COPY 到CO欄位'!$1:$1048576,'Over Under Bill 1 COPY 到CO欄位'!AW$1,0)-VLOOKUP($A66,'Over Under Bill 1 COPY 到CO欄位'!$1:$1048576,'Over Under Bill 1 COPY 到CO欄位'!AR$1,0)</f>
        <v>0</v>
      </c>
      <c r="AX66" s="158">
        <f t="shared" si="94"/>
        <v>0</v>
      </c>
      <c r="AY66" s="158">
        <f>VLOOKUP($A66,'Over Under Bill 1 COPY 到CO欄位'!$1:$1048576,'Over Under Bill 1 COPY 到CO欄位'!AY$1,0)-VLOOKUP($A66,'Over Under Bill 1 COPY 到CO欄位'!$1:$1048576,'Over Under Bill 1 COPY 到CO欄位'!AT$1,0)</f>
        <v>0</v>
      </c>
      <c r="AZ66" s="158">
        <f t="shared" si="95"/>
        <v>0</v>
      </c>
      <c r="BA66" s="157">
        <f>VLOOKUP($A66,'Over Under Bill 1 COPY 到CO欄位'!$1:$1048576,'Over Under Bill 1 COPY 到CO欄位'!BA$1,0)-VLOOKUP($A66,'Over Under Bill 1 COPY 到CO欄位'!$1:$1048576,'Over Under Bill 1 COPY 到CO欄位'!AV$1,0)</f>
        <v>0</v>
      </c>
      <c r="BB66" s="157">
        <f>VLOOKUP($A66,'Over Under Bill 1 COPY 到CO欄位'!$1:$1048576,'Over Under Bill 1 COPY 到CO欄位'!BB$1,0)-VLOOKUP($A66,'Over Under Bill 1 COPY 到CO欄位'!$1:$1048576,'Over Under Bill 1 COPY 到CO欄位'!AW$1,0)</f>
        <v>0</v>
      </c>
      <c r="BC66" s="157">
        <f t="shared" si="96"/>
        <v>0</v>
      </c>
      <c r="BD66" s="157">
        <f>VLOOKUP($A66,'Over Under Bill 1 COPY 到CO欄位'!$1:$1048576,'Over Under Bill 1 COPY 到CO欄位'!BD$1,0)-VLOOKUP($A66,'Over Under Bill 1 COPY 到CO欄位'!$1:$1048576,'Over Under Bill 1 COPY 到CO欄位'!AY$1,0)</f>
        <v>0</v>
      </c>
      <c r="BE66" s="157">
        <f t="shared" si="97"/>
        <v>0</v>
      </c>
      <c r="BF66" s="158">
        <f>VLOOKUP($A66,'Over Under Bill 1 COPY 到CO欄位'!$1:$1048576,'Over Under Bill 1 COPY 到CO欄位'!BF$1,0)-VLOOKUP($A66,'Over Under Bill 1 COPY 到CO欄位'!$1:$1048576,'Over Under Bill 1 COPY 到CO欄位'!BA$1,0)</f>
        <v>0</v>
      </c>
      <c r="BG66" s="158">
        <f>VLOOKUP($A66,'Over Under Bill 1 COPY 到CO欄位'!$1:$1048576,'Over Under Bill 1 COPY 到CO欄位'!BG$1,0)-VLOOKUP($A66,'Over Under Bill 1 COPY 到CO欄位'!$1:$1048576,'Over Under Bill 1 COPY 到CO欄位'!BB$1,0)</f>
        <v>0</v>
      </c>
      <c r="BH66" s="158">
        <f t="shared" si="98"/>
        <v>0</v>
      </c>
      <c r="BI66" s="158">
        <f>VLOOKUP($A66,'Over Under Bill 1 COPY 到CO欄位'!$1:$1048576,'Over Under Bill 1 COPY 到CO欄位'!BI$1,0)-VLOOKUP($A66,'Over Under Bill 1 COPY 到CO欄位'!$1:$1048576,'Over Under Bill 1 COPY 到CO欄位'!BD$1,0)</f>
        <v>0</v>
      </c>
      <c r="BJ66" s="158">
        <f t="shared" si="99"/>
        <v>0</v>
      </c>
      <c r="BK66" s="157">
        <f>VLOOKUP($A66,'Over Under Bill 1 COPY 到CO欄位'!$1:$1048576,'Over Under Bill 1 COPY 到CO欄位'!BK$1,0)-VLOOKUP($A66,'Over Under Bill 1 COPY 到CO欄位'!$1:$1048576,'Over Under Bill 1 COPY 到CO欄位'!BF$1,0)</f>
        <v>0</v>
      </c>
      <c r="BL66" s="157">
        <f>VLOOKUP($A66,'Over Under Bill 1 COPY 到CO欄位'!$1:$1048576,'Over Under Bill 1 COPY 到CO欄位'!BL$1,0)-VLOOKUP($A66,'Over Under Bill 1 COPY 到CO欄位'!$1:$1048576,'Over Under Bill 1 COPY 到CO欄位'!BG$1,0)</f>
        <v>0</v>
      </c>
      <c r="BM66" s="157">
        <f t="shared" si="100"/>
        <v>0</v>
      </c>
      <c r="BN66" s="157">
        <f>VLOOKUP($A66,'Over Under Bill 1 COPY 到CO欄位'!$1:$1048576,'Over Under Bill 1 COPY 到CO欄位'!BN$1,0)-VLOOKUP($A66,'Over Under Bill 1 COPY 到CO欄位'!$1:$1048576,'Over Under Bill 1 COPY 到CO欄位'!BI$1,0)</f>
        <v>0</v>
      </c>
      <c r="BO66" s="157">
        <f t="shared" si="101"/>
        <v>0</v>
      </c>
      <c r="BP66" s="158">
        <f>VLOOKUP($A66,'Over Under Bill 1 COPY 到CO欄位'!$1:$1048576,'Over Under Bill 1 COPY 到CO欄位'!BP$1,0)-VLOOKUP($A66,'Over Under Bill 1 COPY 到CO欄位'!$1:$1048576,'Over Under Bill 1 COPY 到CO欄位'!BK$1,0)</f>
        <v>0</v>
      </c>
      <c r="BQ66" s="158">
        <f>VLOOKUP($A66,'Over Under Bill 1 COPY 到CO欄位'!$1:$1048576,'Over Under Bill 1 COPY 到CO欄位'!BQ$1,0)-VLOOKUP($A66,'Over Under Bill 1 COPY 到CO欄位'!$1:$1048576,'Over Under Bill 1 COPY 到CO欄位'!BL$1,0)</f>
        <v>0</v>
      </c>
      <c r="BR66" s="158">
        <f t="shared" si="102"/>
        <v>0</v>
      </c>
      <c r="BS66" s="158">
        <f>VLOOKUP($A66,'Over Under Bill 1 COPY 到CO欄位'!$1:$1048576,'Over Under Bill 1 COPY 到CO欄位'!BS$1,0)-VLOOKUP($A66,'Over Under Bill 1 COPY 到CO欄位'!$1:$1048576,'Over Under Bill 1 COPY 到CO欄位'!BN$1,0)</f>
        <v>0</v>
      </c>
      <c r="BT66" s="158">
        <f t="shared" si="103"/>
        <v>0</v>
      </c>
      <c r="BU66" s="157">
        <f>VLOOKUP($A66,'Over Under Bill 1 COPY 到CO欄位'!$1:$1048576,'Over Under Bill 1 COPY 到CO欄位'!BP$1,0)-VLOOKUP($A66,'Over Under Bill 1 COPY 到CO欄位'!$1:$1048576,'Over Under Bill 1 COPY 到CO欄位'!H$1,0)</f>
        <v>0</v>
      </c>
      <c r="BV66" s="157">
        <f>VLOOKUP($A66,'Over Under Bill 1 COPY 到CO欄位'!$1:$1048576,'Over Under Bill 1 COPY 到CO欄位'!BQ$1,0)-VLOOKUP($A66,'Over Under Bill 1 COPY 到CO欄位'!$1:$1048576,'Over Under Bill 1 COPY 到CO欄位'!I$1,0)</f>
        <v>0</v>
      </c>
      <c r="BW66" s="157">
        <f t="shared" si="104"/>
        <v>0</v>
      </c>
      <c r="BX66" s="157">
        <f>VLOOKUP($A66,'Over Under Bill 1 COPY 到CO欄位'!$1:$1048576,'Over Under Bill 1 COPY 到CO欄位'!BS$1,0)-VLOOKUP($A66,'Over Under Bill 1 COPY 到CO欄位'!$1:$1048576,'Over Under Bill 1 COPY 到CO欄位'!K$1,0)</f>
        <v>0</v>
      </c>
      <c r="BY66" s="157">
        <f t="shared" si="105"/>
        <v>0</v>
      </c>
      <c r="BZ66" s="158">
        <f>VLOOKUP($A66,'Over Under Bill 1 COPY 到CO欄位'!$1:$1048576,'Over Under Bill 1 COPY 到CO欄位'!BU$1,0)-VLOOKUP($A66,'Over Under Bill 1 COPY 到CO欄位'!$1:$1048576,'Over Under Bill 1 COPY 到CO欄位'!BP$1,0)</f>
        <v>0</v>
      </c>
      <c r="CA66" s="158">
        <f>VLOOKUP($A66,'Over Under Bill 1 COPY 到CO欄位'!$1:$1048576,'Over Under Bill 1 COPY 到CO欄位'!BV$1,0)-VLOOKUP($A66,'Over Under Bill 1 COPY 到CO欄位'!$1:$1048576,'Over Under Bill 1 COPY 到CO欄位'!BQ$1,0)</f>
        <v>0</v>
      </c>
      <c r="CB66" s="158">
        <f t="shared" si="106"/>
        <v>0</v>
      </c>
      <c r="CC66" s="158">
        <f>VLOOKUP($A66,'Over Under Bill 1 COPY 到CO欄位'!$1:$1048576,'Over Under Bill 1 COPY 到CO欄位'!BX$1,0)-VLOOKUP($A66,'Over Under Bill 1 COPY 到CO欄位'!$1:$1048576,'Over Under Bill 1 COPY 到CO欄位'!BS$1,0)</f>
        <v>0</v>
      </c>
      <c r="CD66" s="158">
        <f t="shared" si="107"/>
        <v>0</v>
      </c>
      <c r="CE66" s="157">
        <f>VLOOKUP($A66,'Over Under Bill 1 COPY 到CO欄位'!$1:$1048576,'Over Under Bill 1 COPY 到CO欄位'!BZ$1,0)-VLOOKUP($A66,'Over Under Bill 1 COPY 到CO欄位'!$1:$1048576,'Over Under Bill 1 COPY 到CO欄位'!BU$1,0)</f>
        <v>0</v>
      </c>
      <c r="CF66" s="157">
        <f>VLOOKUP($A66,'Over Under Bill 1 COPY 到CO欄位'!$1:$1048576,'Over Under Bill 1 COPY 到CO欄位'!CA$1,0)-VLOOKUP($A66,'Over Under Bill 1 COPY 到CO欄位'!$1:$1048576,'Over Under Bill 1 COPY 到CO欄位'!BV$1,0)</f>
        <v>0</v>
      </c>
      <c r="CG66" s="157">
        <f t="shared" si="108"/>
        <v>0</v>
      </c>
      <c r="CH66" s="157">
        <f>VLOOKUP($A66,'Over Under Bill 1 COPY 到CO欄位'!$1:$1048576,'Over Under Bill 1 COPY 到CO欄位'!CC$1,0)-VLOOKUP($A66,'Over Under Bill 1 COPY 到CO欄位'!$1:$1048576,'Over Under Bill 1 COPY 到CO欄位'!BX$1,0)</f>
        <v>0</v>
      </c>
      <c r="CI66" s="157">
        <f t="shared" si="109"/>
        <v>0</v>
      </c>
      <c r="CJ66" s="158">
        <f>VLOOKUP($A66,'Over Under Bill 1 COPY 到CO欄位'!$1:$1048576,'Over Under Bill 1 COPY 到CO欄位'!CE$1,0)-VLOOKUP($A66,'Over Under Bill 1 COPY 到CO欄位'!$1:$1048576,'Over Under Bill 1 COPY 到CO欄位'!BZ$1,0)</f>
        <v>0</v>
      </c>
      <c r="CK66" s="158">
        <f>VLOOKUP($A66,'Over Under Bill 1 COPY 到CO欄位'!$1:$1048576,'Over Under Bill 1 COPY 到CO欄位'!CF$1,0)-VLOOKUP($A66,'Over Under Bill 1 COPY 到CO欄位'!$1:$1048576,'Over Under Bill 1 COPY 到CO欄位'!CA$1,0)</f>
        <v>0</v>
      </c>
      <c r="CL66" s="158">
        <f t="shared" si="110"/>
        <v>0</v>
      </c>
      <c r="CM66" s="158">
        <f>VLOOKUP($A66,'Over Under Bill 1 COPY 到CO欄位'!$1:$1048576,'Over Under Bill 1 COPY 到CO欄位'!CH$1,0)-VLOOKUP($A66,'Over Under Bill 1 COPY 到CO欄位'!$1:$1048576,'Over Under Bill 1 COPY 到CO欄位'!CC$1,0)</f>
        <v>0</v>
      </c>
      <c r="CN66" s="158">
        <f t="shared" si="111"/>
        <v>0</v>
      </c>
      <c r="CO66" s="157">
        <f>VLOOKUP($A66,'Over Under Bill 1 COPY 到CO欄位'!$1:$1048576,'Over Under Bill 1 COPY 到CO欄位'!CJ$1,0)-VLOOKUP($A66,'Over Under Bill 1 COPY 到CO欄位'!$1:$1048576,'Over Under Bill 1 COPY 到CO欄位'!CE$1,0)</f>
        <v>0</v>
      </c>
      <c r="CP66" s="157">
        <f>VLOOKUP($A66,'Over Under Bill 1 COPY 到CO欄位'!$1:$1048576,'Over Under Bill 1 COPY 到CO欄位'!CK$1,0)-VLOOKUP($A66,'Over Under Bill 1 COPY 到CO欄位'!$1:$1048576,'Over Under Bill 1 COPY 到CO欄位'!CF$1,0)</f>
        <v>0</v>
      </c>
      <c r="CQ66" s="157">
        <f t="shared" si="112"/>
        <v>0</v>
      </c>
      <c r="CR66" s="157">
        <f>VLOOKUP($A66,'Over Under Bill 1 COPY 到CO欄位'!$1:$1048576,'Over Under Bill 1 COPY 到CO欄位'!CM$1,0)-VLOOKUP($A66,'Over Under Bill 1 COPY 到CO欄位'!$1:$1048576,'Over Under Bill 1 COPY 到CO欄位'!CH$1,0)</f>
        <v>0</v>
      </c>
      <c r="CS66" s="157">
        <f t="shared" si="113"/>
        <v>0</v>
      </c>
    </row>
    <row r="67" spans="1:97">
      <c r="A67" s="178" t="s">
        <v>429</v>
      </c>
      <c r="B67" s="172" t="s">
        <v>430</v>
      </c>
      <c r="C67" s="157">
        <f>IFERROR(VLOOKUP($A67,'A0 BS 1240在建'!$1:$1048576,5,0),0)</f>
        <v>0</v>
      </c>
      <c r="D67" s="157">
        <f>IFERROR(VLOOKUP($A67,'B0 2264預收'!$1:$1048576,5,0),0)</f>
        <v>0</v>
      </c>
      <c r="E67" s="157">
        <f t="shared" si="76"/>
        <v>0</v>
      </c>
      <c r="F67" s="157">
        <f>IFERROR(VLOOKUP($A67,'B0 2264預收'!$1:$1048576,6,0),0)</f>
        <v>0</v>
      </c>
      <c r="G67" s="157">
        <f t="shared" si="77"/>
        <v>0</v>
      </c>
      <c r="H67" s="158">
        <f>IFERROR(VLOOKUP($A67,'A0 BS 1240在建'!$1:$1048576,13,0),0)-C67</f>
        <v>0</v>
      </c>
      <c r="I67" s="158">
        <f>IFERROR(VLOOKUP($A67,'B0 2264預收'!$1:$1048576,13,0),0)-D67</f>
        <v>0</v>
      </c>
      <c r="J67" s="158">
        <f t="shared" si="78"/>
        <v>0</v>
      </c>
      <c r="K67" s="158">
        <f>IFERROR(VLOOKUP($A67,'B0 2264預收'!$1:$1048576,14,0),0)-F67</f>
        <v>0</v>
      </c>
      <c r="L67" s="158">
        <f t="shared" si="79"/>
        <v>0</v>
      </c>
      <c r="M67" s="157">
        <f>VLOOKUP($A67,'Over Under Bill 1 COPY 到CO欄位'!$1:$1048576,'Over Under Bill 1 COPY 到CO欄位'!M$1,0)-VLOOKUP($A67,'Over Under Bill 1 COPY 到CO欄位'!$1:$1048576,'Over Under Bill 1 COPY 到CO欄位'!H$1,0)</f>
        <v>0</v>
      </c>
      <c r="N67" s="157">
        <f>VLOOKUP($A67,'Over Under Bill 1 COPY 到CO欄位'!$1:$1048576,'Over Under Bill 1 COPY 到CO欄位'!N$1,0)-VLOOKUP($A67,'Over Under Bill 1 COPY 到CO欄位'!$1:$1048576,'Over Under Bill 1 COPY 到CO欄位'!I$1,0)</f>
        <v>0</v>
      </c>
      <c r="O67" s="157">
        <f t="shared" si="80"/>
        <v>0</v>
      </c>
      <c r="P67" s="157">
        <f>VLOOKUP($A67,'Over Under Bill 1 COPY 到CO欄位'!$1:$1048576,'Over Under Bill 1 COPY 到CO欄位'!P$1,0)-VLOOKUP($A67,'Over Under Bill 1 COPY 到CO欄位'!$1:$1048576,'Over Under Bill 1 COPY 到CO欄位'!K$1,0)</f>
        <v>0</v>
      </c>
      <c r="Q67" s="157">
        <f t="shared" si="81"/>
        <v>0</v>
      </c>
      <c r="R67" s="158">
        <f>VLOOKUP($A67,'Over Under Bill 1 COPY 到CO欄位'!$1:$1048576,'Over Under Bill 1 COPY 到CO欄位'!R$1,0)-VLOOKUP($A67,'Over Under Bill 1 COPY 到CO欄位'!$1:$1048576,'Over Under Bill 1 COPY 到CO欄位'!M$1,0)</f>
        <v>0</v>
      </c>
      <c r="S67" s="158">
        <f>VLOOKUP($A67,'Over Under Bill 1 COPY 到CO欄位'!$1:$1048576,'Over Under Bill 1 COPY 到CO欄位'!S$1,0)-VLOOKUP($A67,'Over Under Bill 1 COPY 到CO欄位'!$1:$1048576,'Over Under Bill 1 COPY 到CO欄位'!N$1,0)</f>
        <v>0</v>
      </c>
      <c r="T67" s="158">
        <f t="shared" si="82"/>
        <v>0</v>
      </c>
      <c r="U67" s="158">
        <f>VLOOKUP($A67,'Over Under Bill 1 COPY 到CO欄位'!$1:$1048576,'Over Under Bill 1 COPY 到CO欄位'!U$1,0)-VLOOKUP($A67,'Over Under Bill 1 COPY 到CO欄位'!$1:$1048576,'Over Under Bill 1 COPY 到CO欄位'!P$1,0)</f>
        <v>0</v>
      </c>
      <c r="V67" s="158">
        <f t="shared" si="83"/>
        <v>0</v>
      </c>
      <c r="W67" s="157">
        <f>VLOOKUP($A67,'Over Under Bill 1 COPY 到CO欄位'!$1:$1048576,'Over Under Bill 1 COPY 到CO欄位'!W$1,0)-VLOOKUP($A67,'Over Under Bill 1 COPY 到CO欄位'!$1:$1048576,'Over Under Bill 1 COPY 到CO欄位'!R$1,0)</f>
        <v>0</v>
      </c>
      <c r="X67" s="157">
        <f>VLOOKUP($A67,'Over Under Bill 1 COPY 到CO欄位'!$1:$1048576,'Over Under Bill 1 COPY 到CO欄位'!X$1,0)-VLOOKUP($A67,'Over Under Bill 1 COPY 到CO欄位'!$1:$1048576,'Over Under Bill 1 COPY 到CO欄位'!S$1,0)</f>
        <v>0</v>
      </c>
      <c r="Y67" s="157">
        <f t="shared" si="84"/>
        <v>0</v>
      </c>
      <c r="Z67" s="157">
        <f>VLOOKUP($A67,'Over Under Bill 1 COPY 到CO欄位'!$1:$1048576,'Over Under Bill 1 COPY 到CO欄位'!Z$1,0)-VLOOKUP($A67,'Over Under Bill 1 COPY 到CO欄位'!$1:$1048576,'Over Under Bill 1 COPY 到CO欄位'!U$1,0)</f>
        <v>0</v>
      </c>
      <c r="AA67" s="157">
        <f t="shared" si="85"/>
        <v>0</v>
      </c>
      <c r="AB67" s="158">
        <f>VLOOKUP($A67,'Over Under Bill 1 COPY 到CO欄位'!$1:$1048576,'Over Under Bill 1 COPY 到CO欄位'!AB$1,0)-VLOOKUP($A67,'Over Under Bill 1 COPY 到CO欄位'!$1:$1048576,'Over Under Bill 1 COPY 到CO欄位'!W$1,0)</f>
        <v>0</v>
      </c>
      <c r="AC67" s="158">
        <f>VLOOKUP($A67,'Over Under Bill 1 COPY 到CO欄位'!$1:$1048576,'Over Under Bill 1 COPY 到CO欄位'!AC$1,0)-VLOOKUP($A67,'Over Under Bill 1 COPY 到CO欄位'!$1:$1048576,'Over Under Bill 1 COPY 到CO欄位'!X$1,0)</f>
        <v>0</v>
      </c>
      <c r="AD67" s="158">
        <f t="shared" si="86"/>
        <v>0</v>
      </c>
      <c r="AE67" s="158">
        <f>VLOOKUP($A67,'Over Under Bill 1 COPY 到CO欄位'!$1:$1048576,'Over Under Bill 1 COPY 到CO欄位'!AE$1,0)-VLOOKUP($A67,'Over Under Bill 1 COPY 到CO欄位'!$1:$1048576,'Over Under Bill 1 COPY 到CO欄位'!Z$1,0)</f>
        <v>0</v>
      </c>
      <c r="AF67" s="158">
        <f t="shared" si="87"/>
        <v>0</v>
      </c>
      <c r="AG67" s="157">
        <f>VLOOKUP($A67,'Over Under Bill 1 COPY 到CO欄位'!$1:$1048576,'Over Under Bill 1 COPY 到CO欄位'!AG$1,0)-VLOOKUP($A67,'Over Under Bill 1 COPY 到CO欄位'!$1:$1048576,'Over Under Bill 1 COPY 到CO欄位'!AB$1,0)</f>
        <v>0</v>
      </c>
      <c r="AH67" s="157">
        <f>VLOOKUP($A67,'Over Under Bill 1 COPY 到CO欄位'!$1:$1048576,'Over Under Bill 1 COPY 到CO欄位'!AH$1,0)-VLOOKUP($A67,'Over Under Bill 1 COPY 到CO欄位'!$1:$1048576,'Over Under Bill 1 COPY 到CO欄位'!AC$1,0)</f>
        <v>0</v>
      </c>
      <c r="AI67" s="157">
        <f t="shared" si="88"/>
        <v>0</v>
      </c>
      <c r="AJ67" s="157">
        <f>VLOOKUP($A67,'Over Under Bill 1 COPY 到CO欄位'!$1:$1048576,'Over Under Bill 1 COPY 到CO欄位'!AJ$1,0)-VLOOKUP($A67,'Over Under Bill 1 COPY 到CO欄位'!$1:$1048576,'Over Under Bill 1 COPY 到CO欄位'!AE$1,0)</f>
        <v>0</v>
      </c>
      <c r="AK67" s="157">
        <f t="shared" si="89"/>
        <v>0</v>
      </c>
      <c r="AL67" s="158">
        <f>VLOOKUP($A67,'Over Under Bill 1 COPY 到CO欄位'!$1:$1048576,'Over Under Bill 1 COPY 到CO欄位'!AL$1,0)-VLOOKUP($A67,'Over Under Bill 1 COPY 到CO欄位'!$1:$1048576,'Over Under Bill 1 COPY 到CO欄位'!AG$1,0)</f>
        <v>0</v>
      </c>
      <c r="AM67" s="158">
        <f>VLOOKUP($A67,'Over Under Bill 1 COPY 到CO欄位'!$1:$1048576,'Over Under Bill 1 COPY 到CO欄位'!AM$1,0)-VLOOKUP($A67,'Over Under Bill 1 COPY 到CO欄位'!$1:$1048576,'Over Under Bill 1 COPY 到CO欄位'!AH$1,0)</f>
        <v>0</v>
      </c>
      <c r="AN67" s="158">
        <f t="shared" si="90"/>
        <v>0</v>
      </c>
      <c r="AO67" s="158">
        <f>VLOOKUP($A67,'Over Under Bill 1 COPY 到CO欄位'!$1:$1048576,'Over Under Bill 1 COPY 到CO欄位'!AO$1,0)-VLOOKUP($A67,'Over Under Bill 1 COPY 到CO欄位'!$1:$1048576,'Over Under Bill 1 COPY 到CO欄位'!AJ$1,0)</f>
        <v>0</v>
      </c>
      <c r="AP67" s="158">
        <f t="shared" si="91"/>
        <v>0</v>
      </c>
      <c r="AQ67" s="157">
        <f>VLOOKUP($A67,'Over Under Bill 1 COPY 到CO欄位'!$1:$1048576,'Over Under Bill 1 COPY 到CO欄位'!AQ$1,0)-VLOOKUP($A67,'Over Under Bill 1 COPY 到CO欄位'!$1:$1048576,'Over Under Bill 1 COPY 到CO欄位'!AL$1,0)</f>
        <v>0</v>
      </c>
      <c r="AR67" s="157">
        <f>VLOOKUP($A67,'Over Under Bill 1 COPY 到CO欄位'!$1:$1048576,'Over Under Bill 1 COPY 到CO欄位'!AR$1,0)-VLOOKUP($A67,'Over Under Bill 1 COPY 到CO欄位'!$1:$1048576,'Over Under Bill 1 COPY 到CO欄位'!AM$1,0)</f>
        <v>0</v>
      </c>
      <c r="AS67" s="157">
        <f t="shared" si="92"/>
        <v>0</v>
      </c>
      <c r="AT67" s="157">
        <f>VLOOKUP($A67,'Over Under Bill 1 COPY 到CO欄位'!$1:$1048576,'Over Under Bill 1 COPY 到CO欄位'!AT$1,0)-VLOOKUP($A67,'Over Under Bill 1 COPY 到CO欄位'!$1:$1048576,'Over Under Bill 1 COPY 到CO欄位'!AO$1,0)</f>
        <v>0</v>
      </c>
      <c r="AU67" s="157">
        <f t="shared" si="93"/>
        <v>0</v>
      </c>
      <c r="AV67" s="158">
        <f>VLOOKUP($A67,'Over Under Bill 1 COPY 到CO欄位'!$1:$1048576,'Over Under Bill 1 COPY 到CO欄位'!AV$1,0)-VLOOKUP($A67,'Over Under Bill 1 COPY 到CO欄位'!$1:$1048576,'Over Under Bill 1 COPY 到CO欄位'!AQ$1,0)</f>
        <v>0</v>
      </c>
      <c r="AW67" s="158">
        <f>VLOOKUP($A67,'Over Under Bill 1 COPY 到CO欄位'!$1:$1048576,'Over Under Bill 1 COPY 到CO欄位'!AW$1,0)-VLOOKUP($A67,'Over Under Bill 1 COPY 到CO欄位'!$1:$1048576,'Over Under Bill 1 COPY 到CO欄位'!AR$1,0)</f>
        <v>0</v>
      </c>
      <c r="AX67" s="158">
        <f t="shared" si="94"/>
        <v>0</v>
      </c>
      <c r="AY67" s="158">
        <f>VLOOKUP($A67,'Over Under Bill 1 COPY 到CO欄位'!$1:$1048576,'Over Under Bill 1 COPY 到CO欄位'!AY$1,0)-VLOOKUP($A67,'Over Under Bill 1 COPY 到CO欄位'!$1:$1048576,'Over Under Bill 1 COPY 到CO欄位'!AT$1,0)</f>
        <v>0</v>
      </c>
      <c r="AZ67" s="158">
        <f t="shared" si="95"/>
        <v>0</v>
      </c>
      <c r="BA67" s="157">
        <f>VLOOKUP($A67,'Over Under Bill 1 COPY 到CO欄位'!$1:$1048576,'Over Under Bill 1 COPY 到CO欄位'!BA$1,0)-VLOOKUP($A67,'Over Under Bill 1 COPY 到CO欄位'!$1:$1048576,'Over Under Bill 1 COPY 到CO欄位'!AV$1,0)</f>
        <v>0</v>
      </c>
      <c r="BB67" s="157">
        <f>VLOOKUP($A67,'Over Under Bill 1 COPY 到CO欄位'!$1:$1048576,'Over Under Bill 1 COPY 到CO欄位'!BB$1,0)-VLOOKUP($A67,'Over Under Bill 1 COPY 到CO欄位'!$1:$1048576,'Over Under Bill 1 COPY 到CO欄位'!AW$1,0)</f>
        <v>0</v>
      </c>
      <c r="BC67" s="157">
        <f t="shared" si="96"/>
        <v>0</v>
      </c>
      <c r="BD67" s="157">
        <f>VLOOKUP($A67,'Over Under Bill 1 COPY 到CO欄位'!$1:$1048576,'Over Under Bill 1 COPY 到CO欄位'!BD$1,0)-VLOOKUP($A67,'Over Under Bill 1 COPY 到CO欄位'!$1:$1048576,'Over Under Bill 1 COPY 到CO欄位'!AY$1,0)</f>
        <v>0</v>
      </c>
      <c r="BE67" s="157">
        <f t="shared" si="97"/>
        <v>0</v>
      </c>
      <c r="BF67" s="158">
        <f>VLOOKUP($A67,'Over Under Bill 1 COPY 到CO欄位'!$1:$1048576,'Over Under Bill 1 COPY 到CO欄位'!BF$1,0)-VLOOKUP($A67,'Over Under Bill 1 COPY 到CO欄位'!$1:$1048576,'Over Under Bill 1 COPY 到CO欄位'!BA$1,0)</f>
        <v>0</v>
      </c>
      <c r="BG67" s="158">
        <f>VLOOKUP($A67,'Over Under Bill 1 COPY 到CO欄位'!$1:$1048576,'Over Under Bill 1 COPY 到CO欄位'!BG$1,0)-VLOOKUP($A67,'Over Under Bill 1 COPY 到CO欄位'!$1:$1048576,'Over Under Bill 1 COPY 到CO欄位'!BB$1,0)</f>
        <v>0</v>
      </c>
      <c r="BH67" s="158">
        <f t="shared" si="98"/>
        <v>0</v>
      </c>
      <c r="BI67" s="158">
        <f>VLOOKUP($A67,'Over Under Bill 1 COPY 到CO欄位'!$1:$1048576,'Over Under Bill 1 COPY 到CO欄位'!BI$1,0)-VLOOKUP($A67,'Over Under Bill 1 COPY 到CO欄位'!$1:$1048576,'Over Under Bill 1 COPY 到CO欄位'!BD$1,0)</f>
        <v>0</v>
      </c>
      <c r="BJ67" s="158">
        <f t="shared" si="99"/>
        <v>0</v>
      </c>
      <c r="BK67" s="157">
        <f>VLOOKUP($A67,'Over Under Bill 1 COPY 到CO欄位'!$1:$1048576,'Over Under Bill 1 COPY 到CO欄位'!BK$1,0)-VLOOKUP($A67,'Over Under Bill 1 COPY 到CO欄位'!$1:$1048576,'Over Under Bill 1 COPY 到CO欄位'!BF$1,0)</f>
        <v>0</v>
      </c>
      <c r="BL67" s="157">
        <f>VLOOKUP($A67,'Over Under Bill 1 COPY 到CO欄位'!$1:$1048576,'Over Under Bill 1 COPY 到CO欄位'!BL$1,0)-VLOOKUP($A67,'Over Under Bill 1 COPY 到CO欄位'!$1:$1048576,'Over Under Bill 1 COPY 到CO欄位'!BG$1,0)</f>
        <v>0</v>
      </c>
      <c r="BM67" s="157">
        <f t="shared" si="100"/>
        <v>0</v>
      </c>
      <c r="BN67" s="157">
        <f>VLOOKUP($A67,'Over Under Bill 1 COPY 到CO欄位'!$1:$1048576,'Over Under Bill 1 COPY 到CO欄位'!BN$1,0)-VLOOKUP($A67,'Over Under Bill 1 COPY 到CO欄位'!$1:$1048576,'Over Under Bill 1 COPY 到CO欄位'!BI$1,0)</f>
        <v>0</v>
      </c>
      <c r="BO67" s="157">
        <f t="shared" si="101"/>
        <v>0</v>
      </c>
      <c r="BP67" s="158">
        <f>VLOOKUP($A67,'Over Under Bill 1 COPY 到CO欄位'!$1:$1048576,'Over Under Bill 1 COPY 到CO欄位'!BP$1,0)-VLOOKUP($A67,'Over Under Bill 1 COPY 到CO欄位'!$1:$1048576,'Over Under Bill 1 COPY 到CO欄位'!BK$1,0)</f>
        <v>0</v>
      </c>
      <c r="BQ67" s="158">
        <f>VLOOKUP($A67,'Over Under Bill 1 COPY 到CO欄位'!$1:$1048576,'Over Under Bill 1 COPY 到CO欄位'!BQ$1,0)-VLOOKUP($A67,'Over Under Bill 1 COPY 到CO欄位'!$1:$1048576,'Over Under Bill 1 COPY 到CO欄位'!BL$1,0)</f>
        <v>0</v>
      </c>
      <c r="BR67" s="158">
        <f t="shared" si="102"/>
        <v>0</v>
      </c>
      <c r="BS67" s="158">
        <f>VLOOKUP($A67,'Over Under Bill 1 COPY 到CO欄位'!$1:$1048576,'Over Under Bill 1 COPY 到CO欄位'!BS$1,0)-VLOOKUP($A67,'Over Under Bill 1 COPY 到CO欄位'!$1:$1048576,'Over Under Bill 1 COPY 到CO欄位'!BN$1,0)</f>
        <v>0</v>
      </c>
      <c r="BT67" s="158">
        <f t="shared" si="103"/>
        <v>0</v>
      </c>
      <c r="BU67" s="157">
        <f>VLOOKUP($A67,'Over Under Bill 1 COPY 到CO欄位'!$1:$1048576,'Over Under Bill 1 COPY 到CO欄位'!BP$1,0)-VLOOKUP($A67,'Over Under Bill 1 COPY 到CO欄位'!$1:$1048576,'Over Under Bill 1 COPY 到CO欄位'!H$1,0)</f>
        <v>0</v>
      </c>
      <c r="BV67" s="157">
        <f>VLOOKUP($A67,'Over Under Bill 1 COPY 到CO欄位'!$1:$1048576,'Over Under Bill 1 COPY 到CO欄位'!BQ$1,0)-VLOOKUP($A67,'Over Under Bill 1 COPY 到CO欄位'!$1:$1048576,'Over Under Bill 1 COPY 到CO欄位'!I$1,0)</f>
        <v>0</v>
      </c>
      <c r="BW67" s="157">
        <f t="shared" si="104"/>
        <v>0</v>
      </c>
      <c r="BX67" s="157">
        <f>VLOOKUP($A67,'Over Under Bill 1 COPY 到CO欄位'!$1:$1048576,'Over Under Bill 1 COPY 到CO欄位'!BS$1,0)-VLOOKUP($A67,'Over Under Bill 1 COPY 到CO欄位'!$1:$1048576,'Over Under Bill 1 COPY 到CO欄位'!K$1,0)</f>
        <v>0</v>
      </c>
      <c r="BY67" s="157">
        <f t="shared" si="105"/>
        <v>0</v>
      </c>
      <c r="BZ67" s="158">
        <f>VLOOKUP($A67,'Over Under Bill 1 COPY 到CO欄位'!$1:$1048576,'Over Under Bill 1 COPY 到CO欄位'!BU$1,0)-VLOOKUP($A67,'Over Under Bill 1 COPY 到CO欄位'!$1:$1048576,'Over Under Bill 1 COPY 到CO欄位'!BP$1,0)</f>
        <v>0</v>
      </c>
      <c r="CA67" s="158">
        <f>VLOOKUP($A67,'Over Under Bill 1 COPY 到CO欄位'!$1:$1048576,'Over Under Bill 1 COPY 到CO欄位'!BV$1,0)-VLOOKUP($A67,'Over Under Bill 1 COPY 到CO欄位'!$1:$1048576,'Over Under Bill 1 COPY 到CO欄位'!BQ$1,0)</f>
        <v>0</v>
      </c>
      <c r="CB67" s="158">
        <f t="shared" si="106"/>
        <v>0</v>
      </c>
      <c r="CC67" s="158">
        <f>VLOOKUP($A67,'Over Under Bill 1 COPY 到CO欄位'!$1:$1048576,'Over Under Bill 1 COPY 到CO欄位'!BX$1,0)-VLOOKUP($A67,'Over Under Bill 1 COPY 到CO欄位'!$1:$1048576,'Over Under Bill 1 COPY 到CO欄位'!BS$1,0)</f>
        <v>0</v>
      </c>
      <c r="CD67" s="158">
        <f t="shared" si="107"/>
        <v>0</v>
      </c>
      <c r="CE67" s="157">
        <f>VLOOKUP($A67,'Over Under Bill 1 COPY 到CO欄位'!$1:$1048576,'Over Under Bill 1 COPY 到CO欄位'!BZ$1,0)-VLOOKUP($A67,'Over Under Bill 1 COPY 到CO欄位'!$1:$1048576,'Over Under Bill 1 COPY 到CO欄位'!BU$1,0)</f>
        <v>0</v>
      </c>
      <c r="CF67" s="157">
        <f>VLOOKUP($A67,'Over Under Bill 1 COPY 到CO欄位'!$1:$1048576,'Over Under Bill 1 COPY 到CO欄位'!CA$1,0)-VLOOKUP($A67,'Over Under Bill 1 COPY 到CO欄位'!$1:$1048576,'Over Under Bill 1 COPY 到CO欄位'!BV$1,0)</f>
        <v>0</v>
      </c>
      <c r="CG67" s="157">
        <f t="shared" si="108"/>
        <v>0</v>
      </c>
      <c r="CH67" s="157">
        <f>VLOOKUP($A67,'Over Under Bill 1 COPY 到CO欄位'!$1:$1048576,'Over Under Bill 1 COPY 到CO欄位'!CC$1,0)-VLOOKUP($A67,'Over Under Bill 1 COPY 到CO欄位'!$1:$1048576,'Over Under Bill 1 COPY 到CO欄位'!BX$1,0)</f>
        <v>0</v>
      </c>
      <c r="CI67" s="157">
        <f t="shared" si="109"/>
        <v>0</v>
      </c>
      <c r="CJ67" s="158">
        <f>VLOOKUP($A67,'Over Under Bill 1 COPY 到CO欄位'!$1:$1048576,'Over Under Bill 1 COPY 到CO欄位'!CE$1,0)-VLOOKUP($A67,'Over Under Bill 1 COPY 到CO欄位'!$1:$1048576,'Over Under Bill 1 COPY 到CO欄位'!BZ$1,0)</f>
        <v>0</v>
      </c>
      <c r="CK67" s="158">
        <f>VLOOKUP($A67,'Over Under Bill 1 COPY 到CO欄位'!$1:$1048576,'Over Under Bill 1 COPY 到CO欄位'!CF$1,0)-VLOOKUP($A67,'Over Under Bill 1 COPY 到CO欄位'!$1:$1048576,'Over Under Bill 1 COPY 到CO欄位'!CA$1,0)</f>
        <v>0</v>
      </c>
      <c r="CL67" s="158">
        <f t="shared" si="110"/>
        <v>0</v>
      </c>
      <c r="CM67" s="158">
        <f>VLOOKUP($A67,'Over Under Bill 1 COPY 到CO欄位'!$1:$1048576,'Over Under Bill 1 COPY 到CO欄位'!CH$1,0)-VLOOKUP($A67,'Over Under Bill 1 COPY 到CO欄位'!$1:$1048576,'Over Under Bill 1 COPY 到CO欄位'!CC$1,0)</f>
        <v>0</v>
      </c>
      <c r="CN67" s="158">
        <f t="shared" si="111"/>
        <v>0</v>
      </c>
      <c r="CO67" s="157">
        <f>VLOOKUP($A67,'Over Under Bill 1 COPY 到CO欄位'!$1:$1048576,'Over Under Bill 1 COPY 到CO欄位'!CJ$1,0)-VLOOKUP($A67,'Over Under Bill 1 COPY 到CO欄位'!$1:$1048576,'Over Under Bill 1 COPY 到CO欄位'!CE$1,0)</f>
        <v>0</v>
      </c>
      <c r="CP67" s="157">
        <f>VLOOKUP($A67,'Over Under Bill 1 COPY 到CO欄位'!$1:$1048576,'Over Under Bill 1 COPY 到CO欄位'!CK$1,0)-VLOOKUP($A67,'Over Under Bill 1 COPY 到CO欄位'!$1:$1048576,'Over Under Bill 1 COPY 到CO欄位'!CF$1,0)</f>
        <v>0</v>
      </c>
      <c r="CQ67" s="157">
        <f t="shared" si="112"/>
        <v>0</v>
      </c>
      <c r="CR67" s="157">
        <f>VLOOKUP($A67,'Over Under Bill 1 COPY 到CO欄位'!$1:$1048576,'Over Under Bill 1 COPY 到CO欄位'!CM$1,0)-VLOOKUP($A67,'Over Under Bill 1 COPY 到CO欄位'!$1:$1048576,'Over Under Bill 1 COPY 到CO欄位'!CH$1,0)</f>
        <v>0</v>
      </c>
      <c r="CS67" s="157">
        <f t="shared" si="113"/>
        <v>0</v>
      </c>
    </row>
    <row r="68" spans="1:97">
      <c r="A68" s="178" t="s">
        <v>431</v>
      </c>
      <c r="B68" s="172" t="s">
        <v>432</v>
      </c>
      <c r="C68" s="157">
        <f>IFERROR(VLOOKUP($A68,'A0 BS 1240在建'!$1:$1048576,5,0),0)</f>
        <v>0</v>
      </c>
      <c r="D68" s="157">
        <f>IFERROR(VLOOKUP($A68,'B0 2264預收'!$1:$1048576,5,0),0)</f>
        <v>0</v>
      </c>
      <c r="E68" s="157">
        <f t="shared" si="76"/>
        <v>0</v>
      </c>
      <c r="F68" s="157">
        <f>IFERROR(VLOOKUP($A68,'B0 2264預收'!$1:$1048576,6,0),0)</f>
        <v>0</v>
      </c>
      <c r="G68" s="157">
        <f t="shared" si="77"/>
        <v>0</v>
      </c>
      <c r="H68" s="158">
        <f>IFERROR(VLOOKUP($A68,'A0 BS 1240在建'!$1:$1048576,13,0),0)-C68</f>
        <v>0</v>
      </c>
      <c r="I68" s="158">
        <f>IFERROR(VLOOKUP($A68,'B0 2264預收'!$1:$1048576,13,0),0)-D68</f>
        <v>0</v>
      </c>
      <c r="J68" s="158">
        <f t="shared" si="78"/>
        <v>0</v>
      </c>
      <c r="K68" s="158">
        <f>IFERROR(VLOOKUP($A68,'B0 2264預收'!$1:$1048576,14,0),0)-F68</f>
        <v>0</v>
      </c>
      <c r="L68" s="158">
        <f t="shared" si="79"/>
        <v>0</v>
      </c>
      <c r="M68" s="157">
        <f>VLOOKUP($A68,'Over Under Bill 1 COPY 到CO欄位'!$1:$1048576,'Over Under Bill 1 COPY 到CO欄位'!M$1,0)-VLOOKUP($A68,'Over Under Bill 1 COPY 到CO欄位'!$1:$1048576,'Over Under Bill 1 COPY 到CO欄位'!H$1,0)</f>
        <v>0</v>
      </c>
      <c r="N68" s="157">
        <f>VLOOKUP($A68,'Over Under Bill 1 COPY 到CO欄位'!$1:$1048576,'Over Under Bill 1 COPY 到CO欄位'!N$1,0)-VLOOKUP($A68,'Over Under Bill 1 COPY 到CO欄位'!$1:$1048576,'Over Under Bill 1 COPY 到CO欄位'!I$1,0)</f>
        <v>0</v>
      </c>
      <c r="O68" s="157">
        <f t="shared" si="80"/>
        <v>0</v>
      </c>
      <c r="P68" s="157">
        <f>VLOOKUP($A68,'Over Under Bill 1 COPY 到CO欄位'!$1:$1048576,'Over Under Bill 1 COPY 到CO欄位'!P$1,0)-VLOOKUP($A68,'Over Under Bill 1 COPY 到CO欄位'!$1:$1048576,'Over Under Bill 1 COPY 到CO欄位'!K$1,0)</f>
        <v>0</v>
      </c>
      <c r="Q68" s="157">
        <f t="shared" si="81"/>
        <v>0</v>
      </c>
      <c r="R68" s="158">
        <f>VLOOKUP($A68,'Over Under Bill 1 COPY 到CO欄位'!$1:$1048576,'Over Under Bill 1 COPY 到CO欄位'!R$1,0)-VLOOKUP($A68,'Over Under Bill 1 COPY 到CO欄位'!$1:$1048576,'Over Under Bill 1 COPY 到CO欄位'!M$1,0)</f>
        <v>0</v>
      </c>
      <c r="S68" s="158">
        <f>VLOOKUP($A68,'Over Under Bill 1 COPY 到CO欄位'!$1:$1048576,'Over Under Bill 1 COPY 到CO欄位'!S$1,0)-VLOOKUP($A68,'Over Under Bill 1 COPY 到CO欄位'!$1:$1048576,'Over Under Bill 1 COPY 到CO欄位'!N$1,0)</f>
        <v>0</v>
      </c>
      <c r="T68" s="158">
        <f t="shared" si="82"/>
        <v>0</v>
      </c>
      <c r="U68" s="158">
        <f>VLOOKUP($A68,'Over Under Bill 1 COPY 到CO欄位'!$1:$1048576,'Over Under Bill 1 COPY 到CO欄位'!U$1,0)-VLOOKUP($A68,'Over Under Bill 1 COPY 到CO欄位'!$1:$1048576,'Over Under Bill 1 COPY 到CO欄位'!P$1,0)</f>
        <v>0</v>
      </c>
      <c r="V68" s="158">
        <f t="shared" si="83"/>
        <v>0</v>
      </c>
      <c r="W68" s="157">
        <f>VLOOKUP($A68,'Over Under Bill 1 COPY 到CO欄位'!$1:$1048576,'Over Under Bill 1 COPY 到CO欄位'!W$1,0)-VLOOKUP($A68,'Over Under Bill 1 COPY 到CO欄位'!$1:$1048576,'Over Under Bill 1 COPY 到CO欄位'!R$1,0)</f>
        <v>0</v>
      </c>
      <c r="X68" s="157">
        <f>VLOOKUP($A68,'Over Under Bill 1 COPY 到CO欄位'!$1:$1048576,'Over Under Bill 1 COPY 到CO欄位'!X$1,0)-VLOOKUP($A68,'Over Under Bill 1 COPY 到CO欄位'!$1:$1048576,'Over Under Bill 1 COPY 到CO欄位'!S$1,0)</f>
        <v>0</v>
      </c>
      <c r="Y68" s="157">
        <f t="shared" si="84"/>
        <v>0</v>
      </c>
      <c r="Z68" s="157">
        <f>VLOOKUP($A68,'Over Under Bill 1 COPY 到CO欄位'!$1:$1048576,'Over Under Bill 1 COPY 到CO欄位'!Z$1,0)-VLOOKUP($A68,'Over Under Bill 1 COPY 到CO欄位'!$1:$1048576,'Over Under Bill 1 COPY 到CO欄位'!U$1,0)</f>
        <v>0</v>
      </c>
      <c r="AA68" s="157">
        <f t="shared" si="85"/>
        <v>0</v>
      </c>
      <c r="AB68" s="158">
        <f>VLOOKUP($A68,'Over Under Bill 1 COPY 到CO欄位'!$1:$1048576,'Over Under Bill 1 COPY 到CO欄位'!AB$1,0)-VLOOKUP($A68,'Over Under Bill 1 COPY 到CO欄位'!$1:$1048576,'Over Under Bill 1 COPY 到CO欄位'!W$1,0)</f>
        <v>0</v>
      </c>
      <c r="AC68" s="158">
        <f>VLOOKUP($A68,'Over Under Bill 1 COPY 到CO欄位'!$1:$1048576,'Over Under Bill 1 COPY 到CO欄位'!AC$1,0)-VLOOKUP($A68,'Over Under Bill 1 COPY 到CO欄位'!$1:$1048576,'Over Under Bill 1 COPY 到CO欄位'!X$1,0)</f>
        <v>0</v>
      </c>
      <c r="AD68" s="158">
        <f t="shared" si="86"/>
        <v>0</v>
      </c>
      <c r="AE68" s="158">
        <f>VLOOKUP($A68,'Over Under Bill 1 COPY 到CO欄位'!$1:$1048576,'Over Under Bill 1 COPY 到CO欄位'!AE$1,0)-VLOOKUP($A68,'Over Under Bill 1 COPY 到CO欄位'!$1:$1048576,'Over Under Bill 1 COPY 到CO欄位'!Z$1,0)</f>
        <v>0</v>
      </c>
      <c r="AF68" s="158">
        <f t="shared" si="87"/>
        <v>0</v>
      </c>
      <c r="AG68" s="157">
        <f>VLOOKUP($A68,'Over Under Bill 1 COPY 到CO欄位'!$1:$1048576,'Over Under Bill 1 COPY 到CO欄位'!AG$1,0)-VLOOKUP($A68,'Over Under Bill 1 COPY 到CO欄位'!$1:$1048576,'Over Under Bill 1 COPY 到CO欄位'!AB$1,0)</f>
        <v>0</v>
      </c>
      <c r="AH68" s="157">
        <f>VLOOKUP($A68,'Over Under Bill 1 COPY 到CO欄位'!$1:$1048576,'Over Under Bill 1 COPY 到CO欄位'!AH$1,0)-VLOOKUP($A68,'Over Under Bill 1 COPY 到CO欄位'!$1:$1048576,'Over Under Bill 1 COPY 到CO欄位'!AC$1,0)</f>
        <v>0</v>
      </c>
      <c r="AI68" s="157">
        <f t="shared" si="88"/>
        <v>0</v>
      </c>
      <c r="AJ68" s="157">
        <f>VLOOKUP($A68,'Over Under Bill 1 COPY 到CO欄位'!$1:$1048576,'Over Under Bill 1 COPY 到CO欄位'!AJ$1,0)-VLOOKUP($A68,'Over Under Bill 1 COPY 到CO欄位'!$1:$1048576,'Over Under Bill 1 COPY 到CO欄位'!AE$1,0)</f>
        <v>0</v>
      </c>
      <c r="AK68" s="157">
        <f t="shared" si="89"/>
        <v>0</v>
      </c>
      <c r="AL68" s="158">
        <f>VLOOKUP($A68,'Over Under Bill 1 COPY 到CO欄位'!$1:$1048576,'Over Under Bill 1 COPY 到CO欄位'!AL$1,0)-VLOOKUP($A68,'Over Under Bill 1 COPY 到CO欄位'!$1:$1048576,'Over Under Bill 1 COPY 到CO欄位'!AG$1,0)</f>
        <v>0</v>
      </c>
      <c r="AM68" s="158">
        <f>VLOOKUP($A68,'Over Under Bill 1 COPY 到CO欄位'!$1:$1048576,'Over Under Bill 1 COPY 到CO欄位'!AM$1,0)-VLOOKUP($A68,'Over Under Bill 1 COPY 到CO欄位'!$1:$1048576,'Over Under Bill 1 COPY 到CO欄位'!AH$1,0)</f>
        <v>0</v>
      </c>
      <c r="AN68" s="158">
        <f t="shared" si="90"/>
        <v>0</v>
      </c>
      <c r="AO68" s="158">
        <f>VLOOKUP($A68,'Over Under Bill 1 COPY 到CO欄位'!$1:$1048576,'Over Under Bill 1 COPY 到CO欄位'!AO$1,0)-VLOOKUP($A68,'Over Under Bill 1 COPY 到CO欄位'!$1:$1048576,'Over Under Bill 1 COPY 到CO欄位'!AJ$1,0)</f>
        <v>0</v>
      </c>
      <c r="AP68" s="158">
        <f t="shared" si="91"/>
        <v>0</v>
      </c>
      <c r="AQ68" s="157">
        <f>VLOOKUP($A68,'Over Under Bill 1 COPY 到CO欄位'!$1:$1048576,'Over Under Bill 1 COPY 到CO欄位'!AQ$1,0)-VLOOKUP($A68,'Over Under Bill 1 COPY 到CO欄位'!$1:$1048576,'Over Under Bill 1 COPY 到CO欄位'!AL$1,0)</f>
        <v>0</v>
      </c>
      <c r="AR68" s="157">
        <f>VLOOKUP($A68,'Over Under Bill 1 COPY 到CO欄位'!$1:$1048576,'Over Under Bill 1 COPY 到CO欄位'!AR$1,0)-VLOOKUP($A68,'Over Under Bill 1 COPY 到CO欄位'!$1:$1048576,'Over Under Bill 1 COPY 到CO欄位'!AM$1,0)</f>
        <v>0</v>
      </c>
      <c r="AS68" s="157">
        <f t="shared" si="92"/>
        <v>0</v>
      </c>
      <c r="AT68" s="157">
        <f>VLOOKUP($A68,'Over Under Bill 1 COPY 到CO欄位'!$1:$1048576,'Over Under Bill 1 COPY 到CO欄位'!AT$1,0)-VLOOKUP($A68,'Over Under Bill 1 COPY 到CO欄位'!$1:$1048576,'Over Under Bill 1 COPY 到CO欄位'!AO$1,0)</f>
        <v>0</v>
      </c>
      <c r="AU68" s="157">
        <f t="shared" si="93"/>
        <v>0</v>
      </c>
      <c r="AV68" s="158">
        <f>VLOOKUP($A68,'Over Under Bill 1 COPY 到CO欄位'!$1:$1048576,'Over Under Bill 1 COPY 到CO欄位'!AV$1,0)-VLOOKUP($A68,'Over Under Bill 1 COPY 到CO欄位'!$1:$1048576,'Over Under Bill 1 COPY 到CO欄位'!AQ$1,0)</f>
        <v>0</v>
      </c>
      <c r="AW68" s="158">
        <f>VLOOKUP($A68,'Over Under Bill 1 COPY 到CO欄位'!$1:$1048576,'Over Under Bill 1 COPY 到CO欄位'!AW$1,0)-VLOOKUP($A68,'Over Under Bill 1 COPY 到CO欄位'!$1:$1048576,'Over Under Bill 1 COPY 到CO欄位'!AR$1,0)</f>
        <v>0</v>
      </c>
      <c r="AX68" s="158">
        <f t="shared" si="94"/>
        <v>0</v>
      </c>
      <c r="AY68" s="158">
        <f>VLOOKUP($A68,'Over Under Bill 1 COPY 到CO欄位'!$1:$1048576,'Over Under Bill 1 COPY 到CO欄位'!AY$1,0)-VLOOKUP($A68,'Over Under Bill 1 COPY 到CO欄位'!$1:$1048576,'Over Under Bill 1 COPY 到CO欄位'!AT$1,0)</f>
        <v>0</v>
      </c>
      <c r="AZ68" s="158">
        <f t="shared" si="95"/>
        <v>0</v>
      </c>
      <c r="BA68" s="157">
        <f>VLOOKUP($A68,'Over Under Bill 1 COPY 到CO欄位'!$1:$1048576,'Over Under Bill 1 COPY 到CO欄位'!BA$1,0)-VLOOKUP($A68,'Over Under Bill 1 COPY 到CO欄位'!$1:$1048576,'Over Under Bill 1 COPY 到CO欄位'!AV$1,0)</f>
        <v>0</v>
      </c>
      <c r="BB68" s="157">
        <f>VLOOKUP($A68,'Over Under Bill 1 COPY 到CO欄位'!$1:$1048576,'Over Under Bill 1 COPY 到CO欄位'!BB$1,0)-VLOOKUP($A68,'Over Under Bill 1 COPY 到CO欄位'!$1:$1048576,'Over Under Bill 1 COPY 到CO欄位'!AW$1,0)</f>
        <v>0</v>
      </c>
      <c r="BC68" s="157">
        <f t="shared" si="96"/>
        <v>0</v>
      </c>
      <c r="BD68" s="157">
        <f>VLOOKUP($A68,'Over Under Bill 1 COPY 到CO欄位'!$1:$1048576,'Over Under Bill 1 COPY 到CO欄位'!BD$1,0)-VLOOKUP($A68,'Over Under Bill 1 COPY 到CO欄位'!$1:$1048576,'Over Under Bill 1 COPY 到CO欄位'!AY$1,0)</f>
        <v>0</v>
      </c>
      <c r="BE68" s="157">
        <f t="shared" si="97"/>
        <v>0</v>
      </c>
      <c r="BF68" s="158">
        <f>VLOOKUP($A68,'Over Under Bill 1 COPY 到CO欄位'!$1:$1048576,'Over Under Bill 1 COPY 到CO欄位'!BF$1,0)-VLOOKUP($A68,'Over Under Bill 1 COPY 到CO欄位'!$1:$1048576,'Over Under Bill 1 COPY 到CO欄位'!BA$1,0)</f>
        <v>0</v>
      </c>
      <c r="BG68" s="158">
        <f>VLOOKUP($A68,'Over Under Bill 1 COPY 到CO欄位'!$1:$1048576,'Over Under Bill 1 COPY 到CO欄位'!BG$1,0)-VLOOKUP($A68,'Over Under Bill 1 COPY 到CO欄位'!$1:$1048576,'Over Under Bill 1 COPY 到CO欄位'!BB$1,0)</f>
        <v>0</v>
      </c>
      <c r="BH68" s="158">
        <f t="shared" si="98"/>
        <v>0</v>
      </c>
      <c r="BI68" s="158">
        <f>VLOOKUP($A68,'Over Under Bill 1 COPY 到CO欄位'!$1:$1048576,'Over Under Bill 1 COPY 到CO欄位'!BI$1,0)-VLOOKUP($A68,'Over Under Bill 1 COPY 到CO欄位'!$1:$1048576,'Over Under Bill 1 COPY 到CO欄位'!BD$1,0)</f>
        <v>0</v>
      </c>
      <c r="BJ68" s="158">
        <f t="shared" si="99"/>
        <v>0</v>
      </c>
      <c r="BK68" s="157">
        <f>VLOOKUP($A68,'Over Under Bill 1 COPY 到CO欄位'!$1:$1048576,'Over Under Bill 1 COPY 到CO欄位'!BK$1,0)-VLOOKUP($A68,'Over Under Bill 1 COPY 到CO欄位'!$1:$1048576,'Over Under Bill 1 COPY 到CO欄位'!BF$1,0)</f>
        <v>0</v>
      </c>
      <c r="BL68" s="157">
        <f>VLOOKUP($A68,'Over Under Bill 1 COPY 到CO欄位'!$1:$1048576,'Over Under Bill 1 COPY 到CO欄位'!BL$1,0)-VLOOKUP($A68,'Over Under Bill 1 COPY 到CO欄位'!$1:$1048576,'Over Under Bill 1 COPY 到CO欄位'!BG$1,0)</f>
        <v>0</v>
      </c>
      <c r="BM68" s="157">
        <f t="shared" si="100"/>
        <v>0</v>
      </c>
      <c r="BN68" s="157">
        <f>VLOOKUP($A68,'Over Under Bill 1 COPY 到CO欄位'!$1:$1048576,'Over Under Bill 1 COPY 到CO欄位'!BN$1,0)-VLOOKUP($A68,'Over Under Bill 1 COPY 到CO欄位'!$1:$1048576,'Over Under Bill 1 COPY 到CO欄位'!BI$1,0)</f>
        <v>0</v>
      </c>
      <c r="BO68" s="157">
        <f t="shared" si="101"/>
        <v>0</v>
      </c>
      <c r="BP68" s="158">
        <f>VLOOKUP($A68,'Over Under Bill 1 COPY 到CO欄位'!$1:$1048576,'Over Under Bill 1 COPY 到CO欄位'!BP$1,0)-VLOOKUP($A68,'Over Under Bill 1 COPY 到CO欄位'!$1:$1048576,'Over Under Bill 1 COPY 到CO欄位'!BK$1,0)</f>
        <v>0</v>
      </c>
      <c r="BQ68" s="158">
        <f>VLOOKUP($A68,'Over Under Bill 1 COPY 到CO欄位'!$1:$1048576,'Over Under Bill 1 COPY 到CO欄位'!BQ$1,0)-VLOOKUP($A68,'Over Under Bill 1 COPY 到CO欄位'!$1:$1048576,'Over Under Bill 1 COPY 到CO欄位'!BL$1,0)</f>
        <v>0</v>
      </c>
      <c r="BR68" s="158">
        <f t="shared" si="102"/>
        <v>0</v>
      </c>
      <c r="BS68" s="158">
        <f>VLOOKUP($A68,'Over Under Bill 1 COPY 到CO欄位'!$1:$1048576,'Over Under Bill 1 COPY 到CO欄位'!BS$1,0)-VLOOKUP($A68,'Over Under Bill 1 COPY 到CO欄位'!$1:$1048576,'Over Under Bill 1 COPY 到CO欄位'!BN$1,0)</f>
        <v>0</v>
      </c>
      <c r="BT68" s="158">
        <f t="shared" si="103"/>
        <v>0</v>
      </c>
      <c r="BU68" s="157">
        <f>VLOOKUP($A68,'Over Under Bill 1 COPY 到CO欄位'!$1:$1048576,'Over Under Bill 1 COPY 到CO欄位'!BP$1,0)-VLOOKUP($A68,'Over Under Bill 1 COPY 到CO欄位'!$1:$1048576,'Over Under Bill 1 COPY 到CO欄位'!H$1,0)</f>
        <v>0</v>
      </c>
      <c r="BV68" s="157">
        <f>VLOOKUP($A68,'Over Under Bill 1 COPY 到CO欄位'!$1:$1048576,'Over Under Bill 1 COPY 到CO欄位'!BQ$1,0)-VLOOKUP($A68,'Over Under Bill 1 COPY 到CO欄位'!$1:$1048576,'Over Under Bill 1 COPY 到CO欄位'!I$1,0)</f>
        <v>0</v>
      </c>
      <c r="BW68" s="157">
        <f t="shared" si="104"/>
        <v>0</v>
      </c>
      <c r="BX68" s="157">
        <f>VLOOKUP($A68,'Over Under Bill 1 COPY 到CO欄位'!$1:$1048576,'Over Under Bill 1 COPY 到CO欄位'!BS$1,0)-VLOOKUP($A68,'Over Under Bill 1 COPY 到CO欄位'!$1:$1048576,'Over Under Bill 1 COPY 到CO欄位'!K$1,0)</f>
        <v>0</v>
      </c>
      <c r="BY68" s="157">
        <f t="shared" si="105"/>
        <v>0</v>
      </c>
      <c r="BZ68" s="158">
        <f>VLOOKUP($A68,'Over Under Bill 1 COPY 到CO欄位'!$1:$1048576,'Over Under Bill 1 COPY 到CO欄位'!BU$1,0)-VLOOKUP($A68,'Over Under Bill 1 COPY 到CO欄位'!$1:$1048576,'Over Under Bill 1 COPY 到CO欄位'!BP$1,0)</f>
        <v>0</v>
      </c>
      <c r="CA68" s="158">
        <f>VLOOKUP($A68,'Over Under Bill 1 COPY 到CO欄位'!$1:$1048576,'Over Under Bill 1 COPY 到CO欄位'!BV$1,0)-VLOOKUP($A68,'Over Under Bill 1 COPY 到CO欄位'!$1:$1048576,'Over Under Bill 1 COPY 到CO欄位'!BQ$1,0)</f>
        <v>0</v>
      </c>
      <c r="CB68" s="158">
        <f t="shared" si="106"/>
        <v>0</v>
      </c>
      <c r="CC68" s="158">
        <f>VLOOKUP($A68,'Over Under Bill 1 COPY 到CO欄位'!$1:$1048576,'Over Under Bill 1 COPY 到CO欄位'!BX$1,0)-VLOOKUP($A68,'Over Under Bill 1 COPY 到CO欄位'!$1:$1048576,'Over Under Bill 1 COPY 到CO欄位'!BS$1,0)</f>
        <v>0</v>
      </c>
      <c r="CD68" s="158">
        <f t="shared" si="107"/>
        <v>0</v>
      </c>
      <c r="CE68" s="157">
        <f>VLOOKUP($A68,'Over Under Bill 1 COPY 到CO欄位'!$1:$1048576,'Over Under Bill 1 COPY 到CO欄位'!BZ$1,0)-VLOOKUP($A68,'Over Under Bill 1 COPY 到CO欄位'!$1:$1048576,'Over Under Bill 1 COPY 到CO欄位'!BU$1,0)</f>
        <v>0</v>
      </c>
      <c r="CF68" s="157">
        <f>VLOOKUP($A68,'Over Under Bill 1 COPY 到CO欄位'!$1:$1048576,'Over Under Bill 1 COPY 到CO欄位'!CA$1,0)-VLOOKUP($A68,'Over Under Bill 1 COPY 到CO欄位'!$1:$1048576,'Over Under Bill 1 COPY 到CO欄位'!BV$1,0)</f>
        <v>0</v>
      </c>
      <c r="CG68" s="157">
        <f t="shared" si="108"/>
        <v>0</v>
      </c>
      <c r="CH68" s="157">
        <f>VLOOKUP($A68,'Over Under Bill 1 COPY 到CO欄位'!$1:$1048576,'Over Under Bill 1 COPY 到CO欄位'!CC$1,0)-VLOOKUP($A68,'Over Under Bill 1 COPY 到CO欄位'!$1:$1048576,'Over Under Bill 1 COPY 到CO欄位'!BX$1,0)</f>
        <v>0</v>
      </c>
      <c r="CI68" s="157">
        <f t="shared" si="109"/>
        <v>0</v>
      </c>
      <c r="CJ68" s="158">
        <f>VLOOKUP($A68,'Over Under Bill 1 COPY 到CO欄位'!$1:$1048576,'Over Under Bill 1 COPY 到CO欄位'!CE$1,0)-VLOOKUP($A68,'Over Under Bill 1 COPY 到CO欄位'!$1:$1048576,'Over Under Bill 1 COPY 到CO欄位'!BZ$1,0)</f>
        <v>0</v>
      </c>
      <c r="CK68" s="158">
        <f>VLOOKUP($A68,'Over Under Bill 1 COPY 到CO欄位'!$1:$1048576,'Over Under Bill 1 COPY 到CO欄位'!CF$1,0)-VLOOKUP($A68,'Over Under Bill 1 COPY 到CO欄位'!$1:$1048576,'Over Under Bill 1 COPY 到CO欄位'!CA$1,0)</f>
        <v>0</v>
      </c>
      <c r="CL68" s="158">
        <f t="shared" si="110"/>
        <v>0</v>
      </c>
      <c r="CM68" s="158">
        <f>VLOOKUP($A68,'Over Under Bill 1 COPY 到CO欄位'!$1:$1048576,'Over Under Bill 1 COPY 到CO欄位'!CH$1,0)-VLOOKUP($A68,'Over Under Bill 1 COPY 到CO欄位'!$1:$1048576,'Over Under Bill 1 COPY 到CO欄位'!CC$1,0)</f>
        <v>0</v>
      </c>
      <c r="CN68" s="158">
        <f t="shared" si="111"/>
        <v>0</v>
      </c>
      <c r="CO68" s="157">
        <f>VLOOKUP($A68,'Over Under Bill 1 COPY 到CO欄位'!$1:$1048576,'Over Under Bill 1 COPY 到CO欄位'!CJ$1,0)-VLOOKUP($A68,'Over Under Bill 1 COPY 到CO欄位'!$1:$1048576,'Over Under Bill 1 COPY 到CO欄位'!CE$1,0)</f>
        <v>0</v>
      </c>
      <c r="CP68" s="157">
        <f>VLOOKUP($A68,'Over Under Bill 1 COPY 到CO欄位'!$1:$1048576,'Over Under Bill 1 COPY 到CO欄位'!CK$1,0)-VLOOKUP($A68,'Over Under Bill 1 COPY 到CO欄位'!$1:$1048576,'Over Under Bill 1 COPY 到CO欄位'!CF$1,0)</f>
        <v>0</v>
      </c>
      <c r="CQ68" s="157">
        <f t="shared" si="112"/>
        <v>0</v>
      </c>
      <c r="CR68" s="157">
        <f>VLOOKUP($A68,'Over Under Bill 1 COPY 到CO欄位'!$1:$1048576,'Over Under Bill 1 COPY 到CO欄位'!CM$1,0)-VLOOKUP($A68,'Over Under Bill 1 COPY 到CO欄位'!$1:$1048576,'Over Under Bill 1 COPY 到CO欄位'!CH$1,0)</f>
        <v>0</v>
      </c>
      <c r="CS68" s="157">
        <f t="shared" si="113"/>
        <v>0</v>
      </c>
    </row>
    <row r="69" spans="1:97">
      <c r="A69" s="178" t="s">
        <v>433</v>
      </c>
      <c r="B69" s="172" t="s">
        <v>541</v>
      </c>
      <c r="C69" s="157">
        <f>IFERROR(VLOOKUP($A69,'A0 BS 1240在建'!$1:$1048576,5,0),0)</f>
        <v>0</v>
      </c>
      <c r="D69" s="157">
        <f>IFERROR(VLOOKUP($A69,'B0 2264預收'!$1:$1048576,5,0),0)</f>
        <v>0</v>
      </c>
      <c r="E69" s="157">
        <f t="shared" si="76"/>
        <v>0</v>
      </c>
      <c r="F69" s="157">
        <f>IFERROR(VLOOKUP($A69,'B0 2264預收'!$1:$1048576,6,0),0)</f>
        <v>0</v>
      </c>
      <c r="G69" s="157">
        <f t="shared" si="77"/>
        <v>0</v>
      </c>
      <c r="H69" s="158">
        <f>IFERROR(VLOOKUP($A69,'A0 BS 1240在建'!$1:$1048576,13,0),0)-C69</f>
        <v>0</v>
      </c>
      <c r="I69" s="158">
        <f>IFERROR(VLOOKUP($A69,'B0 2264預收'!$1:$1048576,13,0),0)-D69</f>
        <v>0</v>
      </c>
      <c r="J69" s="158">
        <f t="shared" si="78"/>
        <v>0</v>
      </c>
      <c r="K69" s="158">
        <f>IFERROR(VLOOKUP($A69,'B0 2264預收'!$1:$1048576,14,0),0)-F69</f>
        <v>0</v>
      </c>
      <c r="L69" s="158">
        <f t="shared" si="79"/>
        <v>0</v>
      </c>
      <c r="M69" s="157">
        <f>VLOOKUP($A69,'Over Under Bill 1 COPY 到CO欄位'!$1:$1048576,'Over Under Bill 1 COPY 到CO欄位'!M$1,0)-VLOOKUP($A69,'Over Under Bill 1 COPY 到CO欄位'!$1:$1048576,'Over Under Bill 1 COPY 到CO欄位'!H$1,0)</f>
        <v>0</v>
      </c>
      <c r="N69" s="157">
        <f>VLOOKUP($A69,'Over Under Bill 1 COPY 到CO欄位'!$1:$1048576,'Over Under Bill 1 COPY 到CO欄位'!N$1,0)-VLOOKUP($A69,'Over Under Bill 1 COPY 到CO欄位'!$1:$1048576,'Over Under Bill 1 COPY 到CO欄位'!I$1,0)</f>
        <v>0</v>
      </c>
      <c r="O69" s="157">
        <f t="shared" si="80"/>
        <v>0</v>
      </c>
      <c r="P69" s="157">
        <f>VLOOKUP($A69,'Over Under Bill 1 COPY 到CO欄位'!$1:$1048576,'Over Under Bill 1 COPY 到CO欄位'!P$1,0)-VLOOKUP($A69,'Over Under Bill 1 COPY 到CO欄位'!$1:$1048576,'Over Under Bill 1 COPY 到CO欄位'!K$1,0)</f>
        <v>0</v>
      </c>
      <c r="Q69" s="157">
        <f t="shared" si="81"/>
        <v>0</v>
      </c>
      <c r="R69" s="158">
        <f>VLOOKUP($A69,'Over Under Bill 1 COPY 到CO欄位'!$1:$1048576,'Over Under Bill 1 COPY 到CO欄位'!R$1,0)-VLOOKUP($A69,'Over Under Bill 1 COPY 到CO欄位'!$1:$1048576,'Over Under Bill 1 COPY 到CO欄位'!M$1,0)</f>
        <v>0</v>
      </c>
      <c r="S69" s="158">
        <f>VLOOKUP($A69,'Over Under Bill 1 COPY 到CO欄位'!$1:$1048576,'Over Under Bill 1 COPY 到CO欄位'!S$1,0)-VLOOKUP($A69,'Over Under Bill 1 COPY 到CO欄位'!$1:$1048576,'Over Under Bill 1 COPY 到CO欄位'!N$1,0)</f>
        <v>0</v>
      </c>
      <c r="T69" s="158">
        <f t="shared" si="82"/>
        <v>0</v>
      </c>
      <c r="U69" s="158">
        <f>VLOOKUP($A69,'Over Under Bill 1 COPY 到CO欄位'!$1:$1048576,'Over Under Bill 1 COPY 到CO欄位'!U$1,0)-VLOOKUP($A69,'Over Under Bill 1 COPY 到CO欄位'!$1:$1048576,'Over Under Bill 1 COPY 到CO欄位'!P$1,0)</f>
        <v>0</v>
      </c>
      <c r="V69" s="158">
        <f t="shared" si="83"/>
        <v>0</v>
      </c>
      <c r="W69" s="157">
        <f>VLOOKUP($A69,'Over Under Bill 1 COPY 到CO欄位'!$1:$1048576,'Over Under Bill 1 COPY 到CO欄位'!W$1,0)-VLOOKUP($A69,'Over Under Bill 1 COPY 到CO欄位'!$1:$1048576,'Over Under Bill 1 COPY 到CO欄位'!R$1,0)</f>
        <v>0</v>
      </c>
      <c r="X69" s="157">
        <f>VLOOKUP($A69,'Over Under Bill 1 COPY 到CO欄位'!$1:$1048576,'Over Under Bill 1 COPY 到CO欄位'!X$1,0)-VLOOKUP($A69,'Over Under Bill 1 COPY 到CO欄位'!$1:$1048576,'Over Under Bill 1 COPY 到CO欄位'!S$1,0)</f>
        <v>0</v>
      </c>
      <c r="Y69" s="157">
        <f t="shared" si="84"/>
        <v>0</v>
      </c>
      <c r="Z69" s="157">
        <f>VLOOKUP($A69,'Over Under Bill 1 COPY 到CO欄位'!$1:$1048576,'Over Under Bill 1 COPY 到CO欄位'!Z$1,0)-VLOOKUP($A69,'Over Under Bill 1 COPY 到CO欄位'!$1:$1048576,'Over Under Bill 1 COPY 到CO欄位'!U$1,0)</f>
        <v>0</v>
      </c>
      <c r="AA69" s="157">
        <f t="shared" si="85"/>
        <v>0</v>
      </c>
      <c r="AB69" s="158">
        <f>VLOOKUP($A69,'Over Under Bill 1 COPY 到CO欄位'!$1:$1048576,'Over Under Bill 1 COPY 到CO欄位'!AB$1,0)-VLOOKUP($A69,'Over Under Bill 1 COPY 到CO欄位'!$1:$1048576,'Over Under Bill 1 COPY 到CO欄位'!W$1,0)</f>
        <v>0</v>
      </c>
      <c r="AC69" s="158">
        <f>VLOOKUP($A69,'Over Under Bill 1 COPY 到CO欄位'!$1:$1048576,'Over Under Bill 1 COPY 到CO欄位'!AC$1,0)-VLOOKUP($A69,'Over Under Bill 1 COPY 到CO欄位'!$1:$1048576,'Over Under Bill 1 COPY 到CO欄位'!X$1,0)</f>
        <v>0</v>
      </c>
      <c r="AD69" s="158">
        <f t="shared" si="86"/>
        <v>0</v>
      </c>
      <c r="AE69" s="158">
        <f>VLOOKUP($A69,'Over Under Bill 1 COPY 到CO欄位'!$1:$1048576,'Over Under Bill 1 COPY 到CO欄位'!AE$1,0)-VLOOKUP($A69,'Over Under Bill 1 COPY 到CO欄位'!$1:$1048576,'Over Under Bill 1 COPY 到CO欄位'!Z$1,0)</f>
        <v>0</v>
      </c>
      <c r="AF69" s="158">
        <f t="shared" si="87"/>
        <v>0</v>
      </c>
      <c r="AG69" s="157">
        <f>VLOOKUP($A69,'Over Under Bill 1 COPY 到CO欄位'!$1:$1048576,'Over Under Bill 1 COPY 到CO欄位'!AG$1,0)-VLOOKUP($A69,'Over Under Bill 1 COPY 到CO欄位'!$1:$1048576,'Over Under Bill 1 COPY 到CO欄位'!AB$1,0)</f>
        <v>0</v>
      </c>
      <c r="AH69" s="157">
        <f>VLOOKUP($A69,'Over Under Bill 1 COPY 到CO欄位'!$1:$1048576,'Over Under Bill 1 COPY 到CO欄位'!AH$1,0)-VLOOKUP($A69,'Over Under Bill 1 COPY 到CO欄位'!$1:$1048576,'Over Under Bill 1 COPY 到CO欄位'!AC$1,0)</f>
        <v>0</v>
      </c>
      <c r="AI69" s="157">
        <f t="shared" si="88"/>
        <v>0</v>
      </c>
      <c r="AJ69" s="157">
        <f>VLOOKUP($A69,'Over Under Bill 1 COPY 到CO欄位'!$1:$1048576,'Over Under Bill 1 COPY 到CO欄位'!AJ$1,0)-VLOOKUP($A69,'Over Under Bill 1 COPY 到CO欄位'!$1:$1048576,'Over Under Bill 1 COPY 到CO欄位'!AE$1,0)</f>
        <v>0</v>
      </c>
      <c r="AK69" s="157">
        <f t="shared" si="89"/>
        <v>0</v>
      </c>
      <c r="AL69" s="158">
        <f>VLOOKUP($A69,'Over Under Bill 1 COPY 到CO欄位'!$1:$1048576,'Over Under Bill 1 COPY 到CO欄位'!AL$1,0)-VLOOKUP($A69,'Over Under Bill 1 COPY 到CO欄位'!$1:$1048576,'Over Under Bill 1 COPY 到CO欄位'!AG$1,0)</f>
        <v>0</v>
      </c>
      <c r="AM69" s="158">
        <f>VLOOKUP($A69,'Over Under Bill 1 COPY 到CO欄位'!$1:$1048576,'Over Under Bill 1 COPY 到CO欄位'!AM$1,0)-VLOOKUP($A69,'Over Under Bill 1 COPY 到CO欄位'!$1:$1048576,'Over Under Bill 1 COPY 到CO欄位'!AH$1,0)</f>
        <v>0</v>
      </c>
      <c r="AN69" s="158">
        <f t="shared" si="90"/>
        <v>0</v>
      </c>
      <c r="AO69" s="158">
        <f>VLOOKUP($A69,'Over Under Bill 1 COPY 到CO欄位'!$1:$1048576,'Over Under Bill 1 COPY 到CO欄位'!AO$1,0)-VLOOKUP($A69,'Over Under Bill 1 COPY 到CO欄位'!$1:$1048576,'Over Under Bill 1 COPY 到CO欄位'!AJ$1,0)</f>
        <v>0</v>
      </c>
      <c r="AP69" s="158">
        <f t="shared" si="91"/>
        <v>0</v>
      </c>
      <c r="AQ69" s="157">
        <f>VLOOKUP($A69,'Over Under Bill 1 COPY 到CO欄位'!$1:$1048576,'Over Under Bill 1 COPY 到CO欄位'!AQ$1,0)-VLOOKUP($A69,'Over Under Bill 1 COPY 到CO欄位'!$1:$1048576,'Over Under Bill 1 COPY 到CO欄位'!AL$1,0)</f>
        <v>0</v>
      </c>
      <c r="AR69" s="157">
        <f>VLOOKUP($A69,'Over Under Bill 1 COPY 到CO欄位'!$1:$1048576,'Over Under Bill 1 COPY 到CO欄位'!AR$1,0)-VLOOKUP($A69,'Over Under Bill 1 COPY 到CO欄位'!$1:$1048576,'Over Under Bill 1 COPY 到CO欄位'!AM$1,0)</f>
        <v>0</v>
      </c>
      <c r="AS69" s="157">
        <f t="shared" si="92"/>
        <v>0</v>
      </c>
      <c r="AT69" s="157">
        <f>VLOOKUP($A69,'Over Under Bill 1 COPY 到CO欄位'!$1:$1048576,'Over Under Bill 1 COPY 到CO欄位'!AT$1,0)-VLOOKUP($A69,'Over Under Bill 1 COPY 到CO欄位'!$1:$1048576,'Over Under Bill 1 COPY 到CO欄位'!AO$1,0)</f>
        <v>0</v>
      </c>
      <c r="AU69" s="157">
        <f t="shared" si="93"/>
        <v>0</v>
      </c>
      <c r="AV69" s="158">
        <f>VLOOKUP($A69,'Over Under Bill 1 COPY 到CO欄位'!$1:$1048576,'Over Under Bill 1 COPY 到CO欄位'!AV$1,0)-VLOOKUP($A69,'Over Under Bill 1 COPY 到CO欄位'!$1:$1048576,'Over Under Bill 1 COPY 到CO欄位'!AQ$1,0)</f>
        <v>0</v>
      </c>
      <c r="AW69" s="158">
        <f>VLOOKUP($A69,'Over Under Bill 1 COPY 到CO欄位'!$1:$1048576,'Over Under Bill 1 COPY 到CO欄位'!AW$1,0)-VLOOKUP($A69,'Over Under Bill 1 COPY 到CO欄位'!$1:$1048576,'Over Under Bill 1 COPY 到CO欄位'!AR$1,0)</f>
        <v>0</v>
      </c>
      <c r="AX69" s="158">
        <f t="shared" si="94"/>
        <v>0</v>
      </c>
      <c r="AY69" s="158">
        <f>VLOOKUP($A69,'Over Under Bill 1 COPY 到CO欄位'!$1:$1048576,'Over Under Bill 1 COPY 到CO欄位'!AY$1,0)-VLOOKUP($A69,'Over Under Bill 1 COPY 到CO欄位'!$1:$1048576,'Over Under Bill 1 COPY 到CO欄位'!AT$1,0)</f>
        <v>0</v>
      </c>
      <c r="AZ69" s="158">
        <f t="shared" si="95"/>
        <v>0</v>
      </c>
      <c r="BA69" s="157">
        <f>VLOOKUP($A69,'Over Under Bill 1 COPY 到CO欄位'!$1:$1048576,'Over Under Bill 1 COPY 到CO欄位'!BA$1,0)-VLOOKUP($A69,'Over Under Bill 1 COPY 到CO欄位'!$1:$1048576,'Over Under Bill 1 COPY 到CO欄位'!AV$1,0)</f>
        <v>0</v>
      </c>
      <c r="BB69" s="157">
        <f>VLOOKUP($A69,'Over Under Bill 1 COPY 到CO欄位'!$1:$1048576,'Over Under Bill 1 COPY 到CO欄位'!BB$1,0)-VLOOKUP($A69,'Over Under Bill 1 COPY 到CO欄位'!$1:$1048576,'Over Under Bill 1 COPY 到CO欄位'!AW$1,0)</f>
        <v>0</v>
      </c>
      <c r="BC69" s="157">
        <f t="shared" si="96"/>
        <v>0</v>
      </c>
      <c r="BD69" s="157">
        <f>VLOOKUP($A69,'Over Under Bill 1 COPY 到CO欄位'!$1:$1048576,'Over Under Bill 1 COPY 到CO欄位'!BD$1,0)-VLOOKUP($A69,'Over Under Bill 1 COPY 到CO欄位'!$1:$1048576,'Over Under Bill 1 COPY 到CO欄位'!AY$1,0)</f>
        <v>0</v>
      </c>
      <c r="BE69" s="157">
        <f t="shared" si="97"/>
        <v>0</v>
      </c>
      <c r="BF69" s="158">
        <f>VLOOKUP($A69,'Over Under Bill 1 COPY 到CO欄位'!$1:$1048576,'Over Under Bill 1 COPY 到CO欄位'!BF$1,0)-VLOOKUP($A69,'Over Under Bill 1 COPY 到CO欄位'!$1:$1048576,'Over Under Bill 1 COPY 到CO欄位'!BA$1,0)</f>
        <v>0</v>
      </c>
      <c r="BG69" s="158">
        <f>VLOOKUP($A69,'Over Under Bill 1 COPY 到CO欄位'!$1:$1048576,'Over Under Bill 1 COPY 到CO欄位'!BG$1,0)-VLOOKUP($A69,'Over Under Bill 1 COPY 到CO欄位'!$1:$1048576,'Over Under Bill 1 COPY 到CO欄位'!BB$1,0)</f>
        <v>0</v>
      </c>
      <c r="BH69" s="158">
        <f t="shared" si="98"/>
        <v>0</v>
      </c>
      <c r="BI69" s="158">
        <f>VLOOKUP($A69,'Over Under Bill 1 COPY 到CO欄位'!$1:$1048576,'Over Under Bill 1 COPY 到CO欄位'!BI$1,0)-VLOOKUP($A69,'Over Under Bill 1 COPY 到CO欄位'!$1:$1048576,'Over Under Bill 1 COPY 到CO欄位'!BD$1,0)</f>
        <v>0</v>
      </c>
      <c r="BJ69" s="158">
        <f t="shared" si="99"/>
        <v>0</v>
      </c>
      <c r="BK69" s="157">
        <f>VLOOKUP($A69,'Over Under Bill 1 COPY 到CO欄位'!$1:$1048576,'Over Under Bill 1 COPY 到CO欄位'!BK$1,0)-VLOOKUP($A69,'Over Under Bill 1 COPY 到CO欄位'!$1:$1048576,'Over Under Bill 1 COPY 到CO欄位'!BF$1,0)</f>
        <v>0</v>
      </c>
      <c r="BL69" s="157">
        <f>VLOOKUP($A69,'Over Under Bill 1 COPY 到CO欄位'!$1:$1048576,'Over Under Bill 1 COPY 到CO欄位'!BL$1,0)-VLOOKUP($A69,'Over Under Bill 1 COPY 到CO欄位'!$1:$1048576,'Over Under Bill 1 COPY 到CO欄位'!BG$1,0)</f>
        <v>0</v>
      </c>
      <c r="BM69" s="157">
        <f t="shared" si="100"/>
        <v>0</v>
      </c>
      <c r="BN69" s="157">
        <f>VLOOKUP($A69,'Over Under Bill 1 COPY 到CO欄位'!$1:$1048576,'Over Under Bill 1 COPY 到CO欄位'!BN$1,0)-VLOOKUP($A69,'Over Under Bill 1 COPY 到CO欄位'!$1:$1048576,'Over Under Bill 1 COPY 到CO欄位'!BI$1,0)</f>
        <v>0</v>
      </c>
      <c r="BO69" s="157">
        <f t="shared" si="101"/>
        <v>0</v>
      </c>
      <c r="BP69" s="158">
        <f>VLOOKUP($A69,'Over Under Bill 1 COPY 到CO欄位'!$1:$1048576,'Over Under Bill 1 COPY 到CO欄位'!BP$1,0)-VLOOKUP($A69,'Over Under Bill 1 COPY 到CO欄位'!$1:$1048576,'Over Under Bill 1 COPY 到CO欄位'!BK$1,0)</f>
        <v>0</v>
      </c>
      <c r="BQ69" s="158">
        <f>VLOOKUP($A69,'Over Under Bill 1 COPY 到CO欄位'!$1:$1048576,'Over Under Bill 1 COPY 到CO欄位'!BQ$1,0)-VLOOKUP($A69,'Over Under Bill 1 COPY 到CO欄位'!$1:$1048576,'Over Under Bill 1 COPY 到CO欄位'!BL$1,0)</f>
        <v>0</v>
      </c>
      <c r="BR69" s="158">
        <f t="shared" si="102"/>
        <v>0</v>
      </c>
      <c r="BS69" s="158">
        <f>VLOOKUP($A69,'Over Under Bill 1 COPY 到CO欄位'!$1:$1048576,'Over Under Bill 1 COPY 到CO欄位'!BS$1,0)-VLOOKUP($A69,'Over Under Bill 1 COPY 到CO欄位'!$1:$1048576,'Over Under Bill 1 COPY 到CO欄位'!BN$1,0)</f>
        <v>0</v>
      </c>
      <c r="BT69" s="158">
        <f t="shared" si="103"/>
        <v>0</v>
      </c>
      <c r="BU69" s="157">
        <f>VLOOKUP($A69,'Over Under Bill 1 COPY 到CO欄位'!$1:$1048576,'Over Under Bill 1 COPY 到CO欄位'!BP$1,0)-VLOOKUP($A69,'Over Under Bill 1 COPY 到CO欄位'!$1:$1048576,'Over Under Bill 1 COPY 到CO欄位'!H$1,0)</f>
        <v>0</v>
      </c>
      <c r="BV69" s="157">
        <f>VLOOKUP($A69,'Over Under Bill 1 COPY 到CO欄位'!$1:$1048576,'Over Under Bill 1 COPY 到CO欄位'!BQ$1,0)-VLOOKUP($A69,'Over Under Bill 1 COPY 到CO欄位'!$1:$1048576,'Over Under Bill 1 COPY 到CO欄位'!I$1,0)</f>
        <v>0</v>
      </c>
      <c r="BW69" s="157">
        <f t="shared" si="104"/>
        <v>0</v>
      </c>
      <c r="BX69" s="157">
        <f>VLOOKUP($A69,'Over Under Bill 1 COPY 到CO欄位'!$1:$1048576,'Over Under Bill 1 COPY 到CO欄位'!BS$1,0)-VLOOKUP($A69,'Over Under Bill 1 COPY 到CO欄位'!$1:$1048576,'Over Under Bill 1 COPY 到CO欄位'!K$1,0)</f>
        <v>0</v>
      </c>
      <c r="BY69" s="157">
        <f t="shared" si="105"/>
        <v>0</v>
      </c>
      <c r="BZ69" s="158">
        <f>VLOOKUP($A69,'Over Under Bill 1 COPY 到CO欄位'!$1:$1048576,'Over Under Bill 1 COPY 到CO欄位'!BU$1,0)-VLOOKUP($A69,'Over Under Bill 1 COPY 到CO欄位'!$1:$1048576,'Over Under Bill 1 COPY 到CO欄位'!BP$1,0)</f>
        <v>0</v>
      </c>
      <c r="CA69" s="158">
        <f>VLOOKUP($A69,'Over Under Bill 1 COPY 到CO欄位'!$1:$1048576,'Over Under Bill 1 COPY 到CO欄位'!BV$1,0)-VLOOKUP($A69,'Over Under Bill 1 COPY 到CO欄位'!$1:$1048576,'Over Under Bill 1 COPY 到CO欄位'!BQ$1,0)</f>
        <v>0</v>
      </c>
      <c r="CB69" s="158">
        <f t="shared" si="106"/>
        <v>0</v>
      </c>
      <c r="CC69" s="158">
        <f>VLOOKUP($A69,'Over Under Bill 1 COPY 到CO欄位'!$1:$1048576,'Over Under Bill 1 COPY 到CO欄位'!BX$1,0)-VLOOKUP($A69,'Over Under Bill 1 COPY 到CO欄位'!$1:$1048576,'Over Under Bill 1 COPY 到CO欄位'!BS$1,0)</f>
        <v>0</v>
      </c>
      <c r="CD69" s="158">
        <f t="shared" si="107"/>
        <v>0</v>
      </c>
      <c r="CE69" s="157">
        <f>VLOOKUP($A69,'Over Under Bill 1 COPY 到CO欄位'!$1:$1048576,'Over Under Bill 1 COPY 到CO欄位'!BZ$1,0)-VLOOKUP($A69,'Over Under Bill 1 COPY 到CO欄位'!$1:$1048576,'Over Under Bill 1 COPY 到CO欄位'!BU$1,0)</f>
        <v>0</v>
      </c>
      <c r="CF69" s="157">
        <f>VLOOKUP($A69,'Over Under Bill 1 COPY 到CO欄位'!$1:$1048576,'Over Under Bill 1 COPY 到CO欄位'!CA$1,0)-VLOOKUP($A69,'Over Under Bill 1 COPY 到CO欄位'!$1:$1048576,'Over Under Bill 1 COPY 到CO欄位'!BV$1,0)</f>
        <v>0</v>
      </c>
      <c r="CG69" s="157">
        <f t="shared" si="108"/>
        <v>0</v>
      </c>
      <c r="CH69" s="157">
        <f>VLOOKUP($A69,'Over Under Bill 1 COPY 到CO欄位'!$1:$1048576,'Over Under Bill 1 COPY 到CO欄位'!CC$1,0)-VLOOKUP($A69,'Over Under Bill 1 COPY 到CO欄位'!$1:$1048576,'Over Under Bill 1 COPY 到CO欄位'!BX$1,0)</f>
        <v>0</v>
      </c>
      <c r="CI69" s="157">
        <f t="shared" si="109"/>
        <v>0</v>
      </c>
      <c r="CJ69" s="158">
        <f>VLOOKUP($A69,'Over Under Bill 1 COPY 到CO欄位'!$1:$1048576,'Over Under Bill 1 COPY 到CO欄位'!CE$1,0)-VLOOKUP($A69,'Over Under Bill 1 COPY 到CO欄位'!$1:$1048576,'Over Under Bill 1 COPY 到CO欄位'!BZ$1,0)</f>
        <v>0</v>
      </c>
      <c r="CK69" s="158">
        <f>VLOOKUP($A69,'Over Under Bill 1 COPY 到CO欄位'!$1:$1048576,'Over Under Bill 1 COPY 到CO欄位'!CF$1,0)-VLOOKUP($A69,'Over Under Bill 1 COPY 到CO欄位'!$1:$1048576,'Over Under Bill 1 COPY 到CO欄位'!CA$1,0)</f>
        <v>0</v>
      </c>
      <c r="CL69" s="158">
        <f t="shared" si="110"/>
        <v>0</v>
      </c>
      <c r="CM69" s="158">
        <f>VLOOKUP($A69,'Over Under Bill 1 COPY 到CO欄位'!$1:$1048576,'Over Under Bill 1 COPY 到CO欄位'!CH$1,0)-VLOOKUP($A69,'Over Under Bill 1 COPY 到CO欄位'!$1:$1048576,'Over Under Bill 1 COPY 到CO欄位'!CC$1,0)</f>
        <v>0</v>
      </c>
      <c r="CN69" s="158">
        <f t="shared" si="111"/>
        <v>0</v>
      </c>
      <c r="CO69" s="157">
        <f>VLOOKUP($A69,'Over Under Bill 1 COPY 到CO欄位'!$1:$1048576,'Over Under Bill 1 COPY 到CO欄位'!CJ$1,0)-VLOOKUP($A69,'Over Under Bill 1 COPY 到CO欄位'!$1:$1048576,'Over Under Bill 1 COPY 到CO欄位'!CE$1,0)</f>
        <v>0</v>
      </c>
      <c r="CP69" s="157">
        <f>VLOOKUP($A69,'Over Under Bill 1 COPY 到CO欄位'!$1:$1048576,'Over Under Bill 1 COPY 到CO欄位'!CK$1,0)-VLOOKUP($A69,'Over Under Bill 1 COPY 到CO欄位'!$1:$1048576,'Over Under Bill 1 COPY 到CO欄位'!CF$1,0)</f>
        <v>0</v>
      </c>
      <c r="CQ69" s="157">
        <f t="shared" si="112"/>
        <v>0</v>
      </c>
      <c r="CR69" s="157">
        <f>VLOOKUP($A69,'Over Under Bill 1 COPY 到CO欄位'!$1:$1048576,'Over Under Bill 1 COPY 到CO欄位'!CM$1,0)-VLOOKUP($A69,'Over Under Bill 1 COPY 到CO欄位'!$1:$1048576,'Over Under Bill 1 COPY 到CO欄位'!CH$1,0)</f>
        <v>0</v>
      </c>
      <c r="CS69" s="157">
        <f t="shared" si="113"/>
        <v>0</v>
      </c>
    </row>
    <row r="70" spans="1:97">
      <c r="A70" s="178" t="s">
        <v>435</v>
      </c>
      <c r="B70" s="172" t="s">
        <v>436</v>
      </c>
      <c r="C70" s="157">
        <f>IFERROR(VLOOKUP($A70,'A0 BS 1240在建'!$1:$1048576,5,0),0)</f>
        <v>0</v>
      </c>
      <c r="D70" s="157">
        <f>IFERROR(VLOOKUP($A70,'B0 2264預收'!$1:$1048576,5,0),0)</f>
        <v>0</v>
      </c>
      <c r="E70" s="157">
        <f t="shared" si="76"/>
        <v>0</v>
      </c>
      <c r="F70" s="157">
        <f>IFERROR(VLOOKUP($A70,'B0 2264預收'!$1:$1048576,6,0),0)</f>
        <v>0</v>
      </c>
      <c r="G70" s="157">
        <f t="shared" si="77"/>
        <v>0</v>
      </c>
      <c r="H70" s="158">
        <f>IFERROR(VLOOKUP($A70,'A0 BS 1240在建'!$1:$1048576,13,0),0)-C70</f>
        <v>0</v>
      </c>
      <c r="I70" s="158">
        <f>IFERROR(VLOOKUP($A70,'B0 2264預收'!$1:$1048576,13,0),0)-D70</f>
        <v>0</v>
      </c>
      <c r="J70" s="158">
        <f t="shared" si="78"/>
        <v>0</v>
      </c>
      <c r="K70" s="158">
        <f>IFERROR(VLOOKUP($A70,'B0 2264預收'!$1:$1048576,14,0),0)-F70</f>
        <v>0</v>
      </c>
      <c r="L70" s="158">
        <f t="shared" si="79"/>
        <v>0</v>
      </c>
      <c r="M70" s="157">
        <f>VLOOKUP($A70,'Over Under Bill 1 COPY 到CO欄位'!$1:$1048576,'Over Under Bill 1 COPY 到CO欄位'!M$1,0)-VLOOKUP($A70,'Over Under Bill 1 COPY 到CO欄位'!$1:$1048576,'Over Under Bill 1 COPY 到CO欄位'!H$1,0)</f>
        <v>0</v>
      </c>
      <c r="N70" s="157">
        <f>VLOOKUP($A70,'Over Under Bill 1 COPY 到CO欄位'!$1:$1048576,'Over Under Bill 1 COPY 到CO欄位'!N$1,0)-VLOOKUP($A70,'Over Under Bill 1 COPY 到CO欄位'!$1:$1048576,'Over Under Bill 1 COPY 到CO欄位'!I$1,0)</f>
        <v>0</v>
      </c>
      <c r="O70" s="157">
        <f t="shared" si="80"/>
        <v>0</v>
      </c>
      <c r="P70" s="157">
        <f>VLOOKUP($A70,'Over Under Bill 1 COPY 到CO欄位'!$1:$1048576,'Over Under Bill 1 COPY 到CO欄位'!P$1,0)-VLOOKUP($A70,'Over Under Bill 1 COPY 到CO欄位'!$1:$1048576,'Over Under Bill 1 COPY 到CO欄位'!K$1,0)</f>
        <v>0</v>
      </c>
      <c r="Q70" s="157">
        <f t="shared" si="81"/>
        <v>0</v>
      </c>
      <c r="R70" s="158">
        <f>VLOOKUP($A70,'Over Under Bill 1 COPY 到CO欄位'!$1:$1048576,'Over Under Bill 1 COPY 到CO欄位'!R$1,0)-VLOOKUP($A70,'Over Under Bill 1 COPY 到CO欄位'!$1:$1048576,'Over Under Bill 1 COPY 到CO欄位'!M$1,0)</f>
        <v>0</v>
      </c>
      <c r="S70" s="158">
        <f>VLOOKUP($A70,'Over Under Bill 1 COPY 到CO欄位'!$1:$1048576,'Over Under Bill 1 COPY 到CO欄位'!S$1,0)-VLOOKUP($A70,'Over Under Bill 1 COPY 到CO欄位'!$1:$1048576,'Over Under Bill 1 COPY 到CO欄位'!N$1,0)</f>
        <v>0</v>
      </c>
      <c r="T70" s="158">
        <f t="shared" si="82"/>
        <v>0</v>
      </c>
      <c r="U70" s="158">
        <f>VLOOKUP($A70,'Over Under Bill 1 COPY 到CO欄位'!$1:$1048576,'Over Under Bill 1 COPY 到CO欄位'!U$1,0)-VLOOKUP($A70,'Over Under Bill 1 COPY 到CO欄位'!$1:$1048576,'Over Under Bill 1 COPY 到CO欄位'!P$1,0)</f>
        <v>0</v>
      </c>
      <c r="V70" s="158">
        <f t="shared" si="83"/>
        <v>0</v>
      </c>
      <c r="W70" s="157">
        <f>VLOOKUP($A70,'Over Under Bill 1 COPY 到CO欄位'!$1:$1048576,'Over Under Bill 1 COPY 到CO欄位'!W$1,0)-VLOOKUP($A70,'Over Under Bill 1 COPY 到CO欄位'!$1:$1048576,'Over Under Bill 1 COPY 到CO欄位'!R$1,0)</f>
        <v>0</v>
      </c>
      <c r="X70" s="157">
        <f>VLOOKUP($A70,'Over Under Bill 1 COPY 到CO欄位'!$1:$1048576,'Over Under Bill 1 COPY 到CO欄位'!X$1,0)-VLOOKUP($A70,'Over Under Bill 1 COPY 到CO欄位'!$1:$1048576,'Over Under Bill 1 COPY 到CO欄位'!S$1,0)</f>
        <v>0</v>
      </c>
      <c r="Y70" s="157">
        <f t="shared" si="84"/>
        <v>0</v>
      </c>
      <c r="Z70" s="157">
        <f>VLOOKUP($A70,'Over Under Bill 1 COPY 到CO欄位'!$1:$1048576,'Over Under Bill 1 COPY 到CO欄位'!Z$1,0)-VLOOKUP($A70,'Over Under Bill 1 COPY 到CO欄位'!$1:$1048576,'Over Under Bill 1 COPY 到CO欄位'!U$1,0)</f>
        <v>0</v>
      </c>
      <c r="AA70" s="157">
        <f t="shared" si="85"/>
        <v>0</v>
      </c>
      <c r="AB70" s="158">
        <f>VLOOKUP($A70,'Over Under Bill 1 COPY 到CO欄位'!$1:$1048576,'Over Under Bill 1 COPY 到CO欄位'!AB$1,0)-VLOOKUP($A70,'Over Under Bill 1 COPY 到CO欄位'!$1:$1048576,'Over Under Bill 1 COPY 到CO欄位'!W$1,0)</f>
        <v>0</v>
      </c>
      <c r="AC70" s="158">
        <f>VLOOKUP($A70,'Over Under Bill 1 COPY 到CO欄位'!$1:$1048576,'Over Under Bill 1 COPY 到CO欄位'!AC$1,0)-VLOOKUP($A70,'Over Under Bill 1 COPY 到CO欄位'!$1:$1048576,'Over Under Bill 1 COPY 到CO欄位'!X$1,0)</f>
        <v>0</v>
      </c>
      <c r="AD70" s="158">
        <f t="shared" si="86"/>
        <v>0</v>
      </c>
      <c r="AE70" s="158">
        <f>VLOOKUP($A70,'Over Under Bill 1 COPY 到CO欄位'!$1:$1048576,'Over Under Bill 1 COPY 到CO欄位'!AE$1,0)-VLOOKUP($A70,'Over Under Bill 1 COPY 到CO欄位'!$1:$1048576,'Over Under Bill 1 COPY 到CO欄位'!Z$1,0)</f>
        <v>0</v>
      </c>
      <c r="AF70" s="158">
        <f t="shared" si="87"/>
        <v>0</v>
      </c>
      <c r="AG70" s="157">
        <f>VLOOKUP($A70,'Over Under Bill 1 COPY 到CO欄位'!$1:$1048576,'Over Under Bill 1 COPY 到CO欄位'!AG$1,0)-VLOOKUP($A70,'Over Under Bill 1 COPY 到CO欄位'!$1:$1048576,'Over Under Bill 1 COPY 到CO欄位'!AB$1,0)</f>
        <v>0</v>
      </c>
      <c r="AH70" s="157">
        <f>VLOOKUP($A70,'Over Under Bill 1 COPY 到CO欄位'!$1:$1048576,'Over Under Bill 1 COPY 到CO欄位'!AH$1,0)-VLOOKUP($A70,'Over Under Bill 1 COPY 到CO欄位'!$1:$1048576,'Over Under Bill 1 COPY 到CO欄位'!AC$1,0)</f>
        <v>0</v>
      </c>
      <c r="AI70" s="157">
        <f t="shared" si="88"/>
        <v>0</v>
      </c>
      <c r="AJ70" s="157">
        <f>VLOOKUP($A70,'Over Under Bill 1 COPY 到CO欄位'!$1:$1048576,'Over Under Bill 1 COPY 到CO欄位'!AJ$1,0)-VLOOKUP($A70,'Over Under Bill 1 COPY 到CO欄位'!$1:$1048576,'Over Under Bill 1 COPY 到CO欄位'!AE$1,0)</f>
        <v>0</v>
      </c>
      <c r="AK70" s="157">
        <f t="shared" si="89"/>
        <v>0</v>
      </c>
      <c r="AL70" s="158">
        <f>VLOOKUP($A70,'Over Under Bill 1 COPY 到CO欄位'!$1:$1048576,'Over Under Bill 1 COPY 到CO欄位'!AL$1,0)-VLOOKUP($A70,'Over Under Bill 1 COPY 到CO欄位'!$1:$1048576,'Over Under Bill 1 COPY 到CO欄位'!AG$1,0)</f>
        <v>0</v>
      </c>
      <c r="AM70" s="158">
        <f>VLOOKUP($A70,'Over Under Bill 1 COPY 到CO欄位'!$1:$1048576,'Over Under Bill 1 COPY 到CO欄位'!AM$1,0)-VLOOKUP($A70,'Over Under Bill 1 COPY 到CO欄位'!$1:$1048576,'Over Under Bill 1 COPY 到CO欄位'!AH$1,0)</f>
        <v>0</v>
      </c>
      <c r="AN70" s="158">
        <f t="shared" si="90"/>
        <v>0</v>
      </c>
      <c r="AO70" s="158">
        <f>VLOOKUP($A70,'Over Under Bill 1 COPY 到CO欄位'!$1:$1048576,'Over Under Bill 1 COPY 到CO欄位'!AO$1,0)-VLOOKUP($A70,'Over Under Bill 1 COPY 到CO欄位'!$1:$1048576,'Over Under Bill 1 COPY 到CO欄位'!AJ$1,0)</f>
        <v>0</v>
      </c>
      <c r="AP70" s="158">
        <f t="shared" si="91"/>
        <v>0</v>
      </c>
      <c r="AQ70" s="157">
        <f>VLOOKUP($A70,'Over Under Bill 1 COPY 到CO欄位'!$1:$1048576,'Over Under Bill 1 COPY 到CO欄位'!AQ$1,0)-VLOOKUP($A70,'Over Under Bill 1 COPY 到CO欄位'!$1:$1048576,'Over Under Bill 1 COPY 到CO欄位'!AL$1,0)</f>
        <v>0</v>
      </c>
      <c r="AR70" s="157">
        <f>VLOOKUP($A70,'Over Under Bill 1 COPY 到CO欄位'!$1:$1048576,'Over Under Bill 1 COPY 到CO欄位'!AR$1,0)-VLOOKUP($A70,'Over Under Bill 1 COPY 到CO欄位'!$1:$1048576,'Over Under Bill 1 COPY 到CO欄位'!AM$1,0)</f>
        <v>0</v>
      </c>
      <c r="AS70" s="157">
        <f t="shared" si="92"/>
        <v>0</v>
      </c>
      <c r="AT70" s="157">
        <f>VLOOKUP($A70,'Over Under Bill 1 COPY 到CO欄位'!$1:$1048576,'Over Under Bill 1 COPY 到CO欄位'!AT$1,0)-VLOOKUP($A70,'Over Under Bill 1 COPY 到CO欄位'!$1:$1048576,'Over Under Bill 1 COPY 到CO欄位'!AO$1,0)</f>
        <v>0</v>
      </c>
      <c r="AU70" s="157">
        <f t="shared" si="93"/>
        <v>0</v>
      </c>
      <c r="AV70" s="158">
        <f>VLOOKUP($A70,'Over Under Bill 1 COPY 到CO欄位'!$1:$1048576,'Over Under Bill 1 COPY 到CO欄位'!AV$1,0)-VLOOKUP($A70,'Over Under Bill 1 COPY 到CO欄位'!$1:$1048576,'Over Under Bill 1 COPY 到CO欄位'!AQ$1,0)</f>
        <v>0</v>
      </c>
      <c r="AW70" s="158">
        <f>VLOOKUP($A70,'Over Under Bill 1 COPY 到CO欄位'!$1:$1048576,'Over Under Bill 1 COPY 到CO欄位'!AW$1,0)-VLOOKUP($A70,'Over Under Bill 1 COPY 到CO欄位'!$1:$1048576,'Over Under Bill 1 COPY 到CO欄位'!AR$1,0)</f>
        <v>0</v>
      </c>
      <c r="AX70" s="158">
        <f t="shared" si="94"/>
        <v>0</v>
      </c>
      <c r="AY70" s="158">
        <f>VLOOKUP($A70,'Over Under Bill 1 COPY 到CO欄位'!$1:$1048576,'Over Under Bill 1 COPY 到CO欄位'!AY$1,0)-VLOOKUP($A70,'Over Under Bill 1 COPY 到CO欄位'!$1:$1048576,'Over Under Bill 1 COPY 到CO欄位'!AT$1,0)</f>
        <v>0</v>
      </c>
      <c r="AZ70" s="158">
        <f t="shared" si="95"/>
        <v>0</v>
      </c>
      <c r="BA70" s="157">
        <f>VLOOKUP($A70,'Over Under Bill 1 COPY 到CO欄位'!$1:$1048576,'Over Under Bill 1 COPY 到CO欄位'!BA$1,0)-VLOOKUP($A70,'Over Under Bill 1 COPY 到CO欄位'!$1:$1048576,'Over Under Bill 1 COPY 到CO欄位'!AV$1,0)</f>
        <v>0</v>
      </c>
      <c r="BB70" s="157">
        <f>VLOOKUP($A70,'Over Under Bill 1 COPY 到CO欄位'!$1:$1048576,'Over Under Bill 1 COPY 到CO欄位'!BB$1,0)-VLOOKUP($A70,'Over Under Bill 1 COPY 到CO欄位'!$1:$1048576,'Over Under Bill 1 COPY 到CO欄位'!AW$1,0)</f>
        <v>0</v>
      </c>
      <c r="BC70" s="157">
        <f t="shared" si="96"/>
        <v>0</v>
      </c>
      <c r="BD70" s="157">
        <f>VLOOKUP($A70,'Over Under Bill 1 COPY 到CO欄位'!$1:$1048576,'Over Under Bill 1 COPY 到CO欄位'!BD$1,0)-VLOOKUP($A70,'Over Under Bill 1 COPY 到CO欄位'!$1:$1048576,'Over Under Bill 1 COPY 到CO欄位'!AY$1,0)</f>
        <v>0</v>
      </c>
      <c r="BE70" s="157">
        <f t="shared" si="97"/>
        <v>0</v>
      </c>
      <c r="BF70" s="158">
        <f>VLOOKUP($A70,'Over Under Bill 1 COPY 到CO欄位'!$1:$1048576,'Over Under Bill 1 COPY 到CO欄位'!BF$1,0)-VLOOKUP($A70,'Over Under Bill 1 COPY 到CO欄位'!$1:$1048576,'Over Under Bill 1 COPY 到CO欄位'!BA$1,0)</f>
        <v>0</v>
      </c>
      <c r="BG70" s="158">
        <f>VLOOKUP($A70,'Over Under Bill 1 COPY 到CO欄位'!$1:$1048576,'Over Under Bill 1 COPY 到CO欄位'!BG$1,0)-VLOOKUP($A70,'Over Under Bill 1 COPY 到CO欄位'!$1:$1048576,'Over Under Bill 1 COPY 到CO欄位'!BB$1,0)</f>
        <v>0</v>
      </c>
      <c r="BH70" s="158">
        <f t="shared" si="98"/>
        <v>0</v>
      </c>
      <c r="BI70" s="158">
        <f>VLOOKUP($A70,'Over Under Bill 1 COPY 到CO欄位'!$1:$1048576,'Over Under Bill 1 COPY 到CO欄位'!BI$1,0)-VLOOKUP($A70,'Over Under Bill 1 COPY 到CO欄位'!$1:$1048576,'Over Under Bill 1 COPY 到CO欄位'!BD$1,0)</f>
        <v>0</v>
      </c>
      <c r="BJ70" s="158">
        <f t="shared" si="99"/>
        <v>0</v>
      </c>
      <c r="BK70" s="157">
        <f>VLOOKUP($A70,'Over Under Bill 1 COPY 到CO欄位'!$1:$1048576,'Over Under Bill 1 COPY 到CO欄位'!BK$1,0)-VLOOKUP($A70,'Over Under Bill 1 COPY 到CO欄位'!$1:$1048576,'Over Under Bill 1 COPY 到CO欄位'!BF$1,0)</f>
        <v>0</v>
      </c>
      <c r="BL70" s="157">
        <f>VLOOKUP($A70,'Over Under Bill 1 COPY 到CO欄位'!$1:$1048576,'Over Under Bill 1 COPY 到CO欄位'!BL$1,0)-VLOOKUP($A70,'Over Under Bill 1 COPY 到CO欄位'!$1:$1048576,'Over Under Bill 1 COPY 到CO欄位'!BG$1,0)</f>
        <v>0</v>
      </c>
      <c r="BM70" s="157">
        <f t="shared" si="100"/>
        <v>0</v>
      </c>
      <c r="BN70" s="157">
        <f>VLOOKUP($A70,'Over Under Bill 1 COPY 到CO欄位'!$1:$1048576,'Over Under Bill 1 COPY 到CO欄位'!BN$1,0)-VLOOKUP($A70,'Over Under Bill 1 COPY 到CO欄位'!$1:$1048576,'Over Under Bill 1 COPY 到CO欄位'!BI$1,0)</f>
        <v>0</v>
      </c>
      <c r="BO70" s="157">
        <f t="shared" si="101"/>
        <v>0</v>
      </c>
      <c r="BP70" s="158">
        <f>VLOOKUP($A70,'Over Under Bill 1 COPY 到CO欄位'!$1:$1048576,'Over Under Bill 1 COPY 到CO欄位'!BP$1,0)-VLOOKUP($A70,'Over Under Bill 1 COPY 到CO欄位'!$1:$1048576,'Over Under Bill 1 COPY 到CO欄位'!BK$1,0)</f>
        <v>0</v>
      </c>
      <c r="BQ70" s="158">
        <f>VLOOKUP($A70,'Over Under Bill 1 COPY 到CO欄位'!$1:$1048576,'Over Under Bill 1 COPY 到CO欄位'!BQ$1,0)-VLOOKUP($A70,'Over Under Bill 1 COPY 到CO欄位'!$1:$1048576,'Over Under Bill 1 COPY 到CO欄位'!BL$1,0)</f>
        <v>0</v>
      </c>
      <c r="BR70" s="158">
        <f t="shared" si="102"/>
        <v>0</v>
      </c>
      <c r="BS70" s="158">
        <f>VLOOKUP($A70,'Over Under Bill 1 COPY 到CO欄位'!$1:$1048576,'Over Under Bill 1 COPY 到CO欄位'!BS$1,0)-VLOOKUP($A70,'Over Under Bill 1 COPY 到CO欄位'!$1:$1048576,'Over Under Bill 1 COPY 到CO欄位'!BN$1,0)</f>
        <v>0</v>
      </c>
      <c r="BT70" s="158">
        <f t="shared" si="103"/>
        <v>0</v>
      </c>
      <c r="BU70" s="157">
        <f>VLOOKUP($A70,'Over Under Bill 1 COPY 到CO欄位'!$1:$1048576,'Over Under Bill 1 COPY 到CO欄位'!BP$1,0)-VLOOKUP($A70,'Over Under Bill 1 COPY 到CO欄位'!$1:$1048576,'Over Under Bill 1 COPY 到CO欄位'!H$1,0)</f>
        <v>0</v>
      </c>
      <c r="BV70" s="157">
        <f>VLOOKUP($A70,'Over Under Bill 1 COPY 到CO欄位'!$1:$1048576,'Over Under Bill 1 COPY 到CO欄位'!BQ$1,0)-VLOOKUP($A70,'Over Under Bill 1 COPY 到CO欄位'!$1:$1048576,'Over Under Bill 1 COPY 到CO欄位'!I$1,0)</f>
        <v>0</v>
      </c>
      <c r="BW70" s="157">
        <f t="shared" si="104"/>
        <v>0</v>
      </c>
      <c r="BX70" s="157">
        <f>VLOOKUP($A70,'Over Under Bill 1 COPY 到CO欄位'!$1:$1048576,'Over Under Bill 1 COPY 到CO欄位'!BS$1,0)-VLOOKUP($A70,'Over Under Bill 1 COPY 到CO欄位'!$1:$1048576,'Over Under Bill 1 COPY 到CO欄位'!K$1,0)</f>
        <v>0</v>
      </c>
      <c r="BY70" s="157">
        <f t="shared" si="105"/>
        <v>0</v>
      </c>
      <c r="BZ70" s="158">
        <f>VLOOKUP($A70,'Over Under Bill 1 COPY 到CO欄位'!$1:$1048576,'Over Under Bill 1 COPY 到CO欄位'!BU$1,0)-VLOOKUP($A70,'Over Under Bill 1 COPY 到CO欄位'!$1:$1048576,'Over Under Bill 1 COPY 到CO欄位'!BP$1,0)</f>
        <v>0</v>
      </c>
      <c r="CA70" s="158">
        <f>VLOOKUP($A70,'Over Under Bill 1 COPY 到CO欄位'!$1:$1048576,'Over Under Bill 1 COPY 到CO欄位'!BV$1,0)-VLOOKUP($A70,'Over Under Bill 1 COPY 到CO欄位'!$1:$1048576,'Over Under Bill 1 COPY 到CO欄位'!BQ$1,0)</f>
        <v>0</v>
      </c>
      <c r="CB70" s="158">
        <f t="shared" si="106"/>
        <v>0</v>
      </c>
      <c r="CC70" s="158">
        <f>VLOOKUP($A70,'Over Under Bill 1 COPY 到CO欄位'!$1:$1048576,'Over Under Bill 1 COPY 到CO欄位'!BX$1,0)-VLOOKUP($A70,'Over Under Bill 1 COPY 到CO欄位'!$1:$1048576,'Over Under Bill 1 COPY 到CO欄位'!BS$1,0)</f>
        <v>0</v>
      </c>
      <c r="CD70" s="158">
        <f t="shared" si="107"/>
        <v>0</v>
      </c>
      <c r="CE70" s="157">
        <f>VLOOKUP($A70,'Over Under Bill 1 COPY 到CO欄位'!$1:$1048576,'Over Under Bill 1 COPY 到CO欄位'!BZ$1,0)-VLOOKUP($A70,'Over Under Bill 1 COPY 到CO欄位'!$1:$1048576,'Over Under Bill 1 COPY 到CO欄位'!BU$1,0)</f>
        <v>0</v>
      </c>
      <c r="CF70" s="157">
        <f>VLOOKUP($A70,'Over Under Bill 1 COPY 到CO欄位'!$1:$1048576,'Over Under Bill 1 COPY 到CO欄位'!CA$1,0)-VLOOKUP($A70,'Over Under Bill 1 COPY 到CO欄位'!$1:$1048576,'Over Under Bill 1 COPY 到CO欄位'!BV$1,0)</f>
        <v>0</v>
      </c>
      <c r="CG70" s="157">
        <f t="shared" si="108"/>
        <v>0</v>
      </c>
      <c r="CH70" s="157">
        <f>VLOOKUP($A70,'Over Under Bill 1 COPY 到CO欄位'!$1:$1048576,'Over Under Bill 1 COPY 到CO欄位'!CC$1,0)-VLOOKUP($A70,'Over Under Bill 1 COPY 到CO欄位'!$1:$1048576,'Over Under Bill 1 COPY 到CO欄位'!BX$1,0)</f>
        <v>0</v>
      </c>
      <c r="CI70" s="157">
        <f t="shared" si="109"/>
        <v>0</v>
      </c>
      <c r="CJ70" s="158">
        <f>VLOOKUP($A70,'Over Under Bill 1 COPY 到CO欄位'!$1:$1048576,'Over Under Bill 1 COPY 到CO欄位'!CE$1,0)-VLOOKUP($A70,'Over Under Bill 1 COPY 到CO欄位'!$1:$1048576,'Over Under Bill 1 COPY 到CO欄位'!BZ$1,0)</f>
        <v>0</v>
      </c>
      <c r="CK70" s="158">
        <f>VLOOKUP($A70,'Over Under Bill 1 COPY 到CO欄位'!$1:$1048576,'Over Under Bill 1 COPY 到CO欄位'!CF$1,0)-VLOOKUP($A70,'Over Under Bill 1 COPY 到CO欄位'!$1:$1048576,'Over Under Bill 1 COPY 到CO欄位'!CA$1,0)</f>
        <v>0</v>
      </c>
      <c r="CL70" s="158">
        <f t="shared" si="110"/>
        <v>0</v>
      </c>
      <c r="CM70" s="158">
        <f>VLOOKUP($A70,'Over Under Bill 1 COPY 到CO欄位'!$1:$1048576,'Over Under Bill 1 COPY 到CO欄位'!CH$1,0)-VLOOKUP($A70,'Over Under Bill 1 COPY 到CO欄位'!$1:$1048576,'Over Under Bill 1 COPY 到CO欄位'!CC$1,0)</f>
        <v>0</v>
      </c>
      <c r="CN70" s="158">
        <f t="shared" si="111"/>
        <v>0</v>
      </c>
      <c r="CO70" s="157">
        <f>VLOOKUP($A70,'Over Under Bill 1 COPY 到CO欄位'!$1:$1048576,'Over Under Bill 1 COPY 到CO欄位'!CJ$1,0)-VLOOKUP($A70,'Over Under Bill 1 COPY 到CO欄位'!$1:$1048576,'Over Under Bill 1 COPY 到CO欄位'!CE$1,0)</f>
        <v>0</v>
      </c>
      <c r="CP70" s="157">
        <f>VLOOKUP($A70,'Over Under Bill 1 COPY 到CO欄位'!$1:$1048576,'Over Under Bill 1 COPY 到CO欄位'!CK$1,0)-VLOOKUP($A70,'Over Under Bill 1 COPY 到CO欄位'!$1:$1048576,'Over Under Bill 1 COPY 到CO欄位'!CF$1,0)</f>
        <v>0</v>
      </c>
      <c r="CQ70" s="157">
        <f t="shared" si="112"/>
        <v>0</v>
      </c>
      <c r="CR70" s="157">
        <f>VLOOKUP($A70,'Over Under Bill 1 COPY 到CO欄位'!$1:$1048576,'Over Under Bill 1 COPY 到CO欄位'!CM$1,0)-VLOOKUP($A70,'Over Under Bill 1 COPY 到CO欄位'!$1:$1048576,'Over Under Bill 1 COPY 到CO欄位'!CH$1,0)</f>
        <v>0</v>
      </c>
      <c r="CS70" s="157">
        <f t="shared" si="113"/>
        <v>0</v>
      </c>
    </row>
    <row r="71" spans="1:97">
      <c r="A71" s="178" t="s">
        <v>437</v>
      </c>
      <c r="B71" s="172" t="s">
        <v>438</v>
      </c>
      <c r="C71" s="157">
        <f>IFERROR(VLOOKUP($A71,'A0 BS 1240在建'!$1:$1048576,5,0),0)</f>
        <v>0</v>
      </c>
      <c r="D71" s="157">
        <f>IFERROR(VLOOKUP($A71,'B0 2264預收'!$1:$1048576,5,0),0)</f>
        <v>0</v>
      </c>
      <c r="E71" s="157">
        <f t="shared" si="76"/>
        <v>0</v>
      </c>
      <c r="F71" s="157">
        <f>IFERROR(VLOOKUP($A71,'B0 2264預收'!$1:$1048576,6,0),0)</f>
        <v>0</v>
      </c>
      <c r="G71" s="157">
        <f t="shared" si="77"/>
        <v>0</v>
      </c>
      <c r="H71" s="158">
        <f>IFERROR(VLOOKUP($A71,'A0 BS 1240在建'!$1:$1048576,13,0),0)-C71</f>
        <v>0</v>
      </c>
      <c r="I71" s="158">
        <f>IFERROR(VLOOKUP($A71,'B0 2264預收'!$1:$1048576,13,0),0)-D71</f>
        <v>0</v>
      </c>
      <c r="J71" s="158">
        <f t="shared" si="78"/>
        <v>0</v>
      </c>
      <c r="K71" s="158">
        <f>IFERROR(VLOOKUP($A71,'B0 2264預收'!$1:$1048576,14,0),0)-F71</f>
        <v>0</v>
      </c>
      <c r="L71" s="158">
        <f t="shared" si="79"/>
        <v>0</v>
      </c>
      <c r="M71" s="157">
        <f>VLOOKUP($A71,'Over Under Bill 1 COPY 到CO欄位'!$1:$1048576,'Over Under Bill 1 COPY 到CO欄位'!M$1,0)-VLOOKUP($A71,'Over Under Bill 1 COPY 到CO欄位'!$1:$1048576,'Over Under Bill 1 COPY 到CO欄位'!H$1,0)</f>
        <v>0</v>
      </c>
      <c r="N71" s="157">
        <f>VLOOKUP($A71,'Over Under Bill 1 COPY 到CO欄位'!$1:$1048576,'Over Under Bill 1 COPY 到CO欄位'!N$1,0)-VLOOKUP($A71,'Over Under Bill 1 COPY 到CO欄位'!$1:$1048576,'Over Under Bill 1 COPY 到CO欄位'!I$1,0)</f>
        <v>0</v>
      </c>
      <c r="O71" s="157">
        <f t="shared" si="80"/>
        <v>0</v>
      </c>
      <c r="P71" s="157">
        <f>VLOOKUP($A71,'Over Under Bill 1 COPY 到CO欄位'!$1:$1048576,'Over Under Bill 1 COPY 到CO欄位'!P$1,0)-VLOOKUP($A71,'Over Under Bill 1 COPY 到CO欄位'!$1:$1048576,'Over Under Bill 1 COPY 到CO欄位'!K$1,0)</f>
        <v>0</v>
      </c>
      <c r="Q71" s="157">
        <f t="shared" si="81"/>
        <v>0</v>
      </c>
      <c r="R71" s="158">
        <f>VLOOKUP($A71,'Over Under Bill 1 COPY 到CO欄位'!$1:$1048576,'Over Under Bill 1 COPY 到CO欄位'!R$1,0)-VLOOKUP($A71,'Over Under Bill 1 COPY 到CO欄位'!$1:$1048576,'Over Under Bill 1 COPY 到CO欄位'!M$1,0)</f>
        <v>0</v>
      </c>
      <c r="S71" s="158">
        <f>VLOOKUP($A71,'Over Under Bill 1 COPY 到CO欄位'!$1:$1048576,'Over Under Bill 1 COPY 到CO欄位'!S$1,0)-VLOOKUP($A71,'Over Under Bill 1 COPY 到CO欄位'!$1:$1048576,'Over Under Bill 1 COPY 到CO欄位'!N$1,0)</f>
        <v>0</v>
      </c>
      <c r="T71" s="158">
        <f t="shared" si="82"/>
        <v>0</v>
      </c>
      <c r="U71" s="158">
        <f>VLOOKUP($A71,'Over Under Bill 1 COPY 到CO欄位'!$1:$1048576,'Over Under Bill 1 COPY 到CO欄位'!U$1,0)-VLOOKUP($A71,'Over Under Bill 1 COPY 到CO欄位'!$1:$1048576,'Over Under Bill 1 COPY 到CO欄位'!P$1,0)</f>
        <v>0</v>
      </c>
      <c r="V71" s="158">
        <f t="shared" si="83"/>
        <v>0</v>
      </c>
      <c r="W71" s="157">
        <f>VLOOKUP($A71,'Over Under Bill 1 COPY 到CO欄位'!$1:$1048576,'Over Under Bill 1 COPY 到CO欄位'!W$1,0)-VLOOKUP($A71,'Over Under Bill 1 COPY 到CO欄位'!$1:$1048576,'Over Under Bill 1 COPY 到CO欄位'!R$1,0)</f>
        <v>0</v>
      </c>
      <c r="X71" s="157">
        <f>VLOOKUP($A71,'Over Under Bill 1 COPY 到CO欄位'!$1:$1048576,'Over Under Bill 1 COPY 到CO欄位'!X$1,0)-VLOOKUP($A71,'Over Under Bill 1 COPY 到CO欄位'!$1:$1048576,'Over Under Bill 1 COPY 到CO欄位'!S$1,0)</f>
        <v>0</v>
      </c>
      <c r="Y71" s="157">
        <f t="shared" si="84"/>
        <v>0</v>
      </c>
      <c r="Z71" s="157">
        <f>VLOOKUP($A71,'Over Under Bill 1 COPY 到CO欄位'!$1:$1048576,'Over Under Bill 1 COPY 到CO欄位'!Z$1,0)-VLOOKUP($A71,'Over Under Bill 1 COPY 到CO欄位'!$1:$1048576,'Over Under Bill 1 COPY 到CO欄位'!U$1,0)</f>
        <v>0</v>
      </c>
      <c r="AA71" s="157">
        <f t="shared" si="85"/>
        <v>0</v>
      </c>
      <c r="AB71" s="158">
        <f>VLOOKUP($A71,'Over Under Bill 1 COPY 到CO欄位'!$1:$1048576,'Over Under Bill 1 COPY 到CO欄位'!AB$1,0)-VLOOKUP($A71,'Over Under Bill 1 COPY 到CO欄位'!$1:$1048576,'Over Under Bill 1 COPY 到CO欄位'!W$1,0)</f>
        <v>0</v>
      </c>
      <c r="AC71" s="158">
        <f>VLOOKUP($A71,'Over Under Bill 1 COPY 到CO欄位'!$1:$1048576,'Over Under Bill 1 COPY 到CO欄位'!AC$1,0)-VLOOKUP($A71,'Over Under Bill 1 COPY 到CO欄位'!$1:$1048576,'Over Under Bill 1 COPY 到CO欄位'!X$1,0)</f>
        <v>0</v>
      </c>
      <c r="AD71" s="158">
        <f t="shared" si="86"/>
        <v>0</v>
      </c>
      <c r="AE71" s="158">
        <f>VLOOKUP($A71,'Over Under Bill 1 COPY 到CO欄位'!$1:$1048576,'Over Under Bill 1 COPY 到CO欄位'!AE$1,0)-VLOOKUP($A71,'Over Under Bill 1 COPY 到CO欄位'!$1:$1048576,'Over Under Bill 1 COPY 到CO欄位'!Z$1,0)</f>
        <v>0</v>
      </c>
      <c r="AF71" s="158">
        <f t="shared" si="87"/>
        <v>0</v>
      </c>
      <c r="AG71" s="157">
        <f>VLOOKUP($A71,'Over Under Bill 1 COPY 到CO欄位'!$1:$1048576,'Over Under Bill 1 COPY 到CO欄位'!AG$1,0)-VLOOKUP($A71,'Over Under Bill 1 COPY 到CO欄位'!$1:$1048576,'Over Under Bill 1 COPY 到CO欄位'!AB$1,0)</f>
        <v>0</v>
      </c>
      <c r="AH71" s="157">
        <f>VLOOKUP($A71,'Over Under Bill 1 COPY 到CO欄位'!$1:$1048576,'Over Under Bill 1 COPY 到CO欄位'!AH$1,0)-VLOOKUP($A71,'Over Under Bill 1 COPY 到CO欄位'!$1:$1048576,'Over Under Bill 1 COPY 到CO欄位'!AC$1,0)</f>
        <v>0</v>
      </c>
      <c r="AI71" s="157">
        <f t="shared" si="88"/>
        <v>0</v>
      </c>
      <c r="AJ71" s="157">
        <f>VLOOKUP($A71,'Over Under Bill 1 COPY 到CO欄位'!$1:$1048576,'Over Under Bill 1 COPY 到CO欄位'!AJ$1,0)-VLOOKUP($A71,'Over Under Bill 1 COPY 到CO欄位'!$1:$1048576,'Over Under Bill 1 COPY 到CO欄位'!AE$1,0)</f>
        <v>0</v>
      </c>
      <c r="AK71" s="157">
        <f t="shared" si="89"/>
        <v>0</v>
      </c>
      <c r="AL71" s="158">
        <f>VLOOKUP($A71,'Over Under Bill 1 COPY 到CO欄位'!$1:$1048576,'Over Under Bill 1 COPY 到CO欄位'!AL$1,0)-VLOOKUP($A71,'Over Under Bill 1 COPY 到CO欄位'!$1:$1048576,'Over Under Bill 1 COPY 到CO欄位'!AG$1,0)</f>
        <v>0</v>
      </c>
      <c r="AM71" s="158">
        <f>VLOOKUP($A71,'Over Under Bill 1 COPY 到CO欄位'!$1:$1048576,'Over Under Bill 1 COPY 到CO欄位'!AM$1,0)-VLOOKUP($A71,'Over Under Bill 1 COPY 到CO欄位'!$1:$1048576,'Over Under Bill 1 COPY 到CO欄位'!AH$1,0)</f>
        <v>0</v>
      </c>
      <c r="AN71" s="158">
        <f t="shared" si="90"/>
        <v>0</v>
      </c>
      <c r="AO71" s="158">
        <f>VLOOKUP($A71,'Over Under Bill 1 COPY 到CO欄位'!$1:$1048576,'Over Under Bill 1 COPY 到CO欄位'!AO$1,0)-VLOOKUP($A71,'Over Under Bill 1 COPY 到CO欄位'!$1:$1048576,'Over Under Bill 1 COPY 到CO欄位'!AJ$1,0)</f>
        <v>0</v>
      </c>
      <c r="AP71" s="158">
        <f t="shared" si="91"/>
        <v>0</v>
      </c>
      <c r="AQ71" s="157">
        <f>VLOOKUP($A71,'Over Under Bill 1 COPY 到CO欄位'!$1:$1048576,'Over Under Bill 1 COPY 到CO欄位'!AQ$1,0)-VLOOKUP($A71,'Over Under Bill 1 COPY 到CO欄位'!$1:$1048576,'Over Under Bill 1 COPY 到CO欄位'!AL$1,0)</f>
        <v>0</v>
      </c>
      <c r="AR71" s="157">
        <f>VLOOKUP($A71,'Over Under Bill 1 COPY 到CO欄位'!$1:$1048576,'Over Under Bill 1 COPY 到CO欄位'!AR$1,0)-VLOOKUP($A71,'Over Under Bill 1 COPY 到CO欄位'!$1:$1048576,'Over Under Bill 1 COPY 到CO欄位'!AM$1,0)</f>
        <v>0</v>
      </c>
      <c r="AS71" s="157">
        <f t="shared" si="92"/>
        <v>0</v>
      </c>
      <c r="AT71" s="157">
        <f>VLOOKUP($A71,'Over Under Bill 1 COPY 到CO欄位'!$1:$1048576,'Over Under Bill 1 COPY 到CO欄位'!AT$1,0)-VLOOKUP($A71,'Over Under Bill 1 COPY 到CO欄位'!$1:$1048576,'Over Under Bill 1 COPY 到CO欄位'!AO$1,0)</f>
        <v>0</v>
      </c>
      <c r="AU71" s="157">
        <f t="shared" si="93"/>
        <v>0</v>
      </c>
      <c r="AV71" s="158">
        <f>VLOOKUP($A71,'Over Under Bill 1 COPY 到CO欄位'!$1:$1048576,'Over Under Bill 1 COPY 到CO欄位'!AV$1,0)-VLOOKUP($A71,'Over Under Bill 1 COPY 到CO欄位'!$1:$1048576,'Over Under Bill 1 COPY 到CO欄位'!AQ$1,0)</f>
        <v>0</v>
      </c>
      <c r="AW71" s="158">
        <f>VLOOKUP($A71,'Over Under Bill 1 COPY 到CO欄位'!$1:$1048576,'Over Under Bill 1 COPY 到CO欄位'!AW$1,0)-VLOOKUP($A71,'Over Under Bill 1 COPY 到CO欄位'!$1:$1048576,'Over Under Bill 1 COPY 到CO欄位'!AR$1,0)</f>
        <v>0</v>
      </c>
      <c r="AX71" s="158">
        <f t="shared" si="94"/>
        <v>0</v>
      </c>
      <c r="AY71" s="158">
        <f>VLOOKUP($A71,'Over Under Bill 1 COPY 到CO欄位'!$1:$1048576,'Over Under Bill 1 COPY 到CO欄位'!AY$1,0)-VLOOKUP($A71,'Over Under Bill 1 COPY 到CO欄位'!$1:$1048576,'Over Under Bill 1 COPY 到CO欄位'!AT$1,0)</f>
        <v>0</v>
      </c>
      <c r="AZ71" s="158">
        <f t="shared" si="95"/>
        <v>0</v>
      </c>
      <c r="BA71" s="157">
        <f>VLOOKUP($A71,'Over Under Bill 1 COPY 到CO欄位'!$1:$1048576,'Over Under Bill 1 COPY 到CO欄位'!BA$1,0)-VLOOKUP($A71,'Over Under Bill 1 COPY 到CO欄位'!$1:$1048576,'Over Under Bill 1 COPY 到CO欄位'!AV$1,0)</f>
        <v>0</v>
      </c>
      <c r="BB71" s="157">
        <f>VLOOKUP($A71,'Over Under Bill 1 COPY 到CO欄位'!$1:$1048576,'Over Under Bill 1 COPY 到CO欄位'!BB$1,0)-VLOOKUP($A71,'Over Under Bill 1 COPY 到CO欄位'!$1:$1048576,'Over Under Bill 1 COPY 到CO欄位'!AW$1,0)</f>
        <v>0</v>
      </c>
      <c r="BC71" s="157">
        <f t="shared" si="96"/>
        <v>0</v>
      </c>
      <c r="BD71" s="157">
        <f>VLOOKUP($A71,'Over Under Bill 1 COPY 到CO欄位'!$1:$1048576,'Over Under Bill 1 COPY 到CO欄位'!BD$1,0)-VLOOKUP($A71,'Over Under Bill 1 COPY 到CO欄位'!$1:$1048576,'Over Under Bill 1 COPY 到CO欄位'!AY$1,0)</f>
        <v>0</v>
      </c>
      <c r="BE71" s="157">
        <f t="shared" si="97"/>
        <v>0</v>
      </c>
      <c r="BF71" s="158">
        <f>VLOOKUP($A71,'Over Under Bill 1 COPY 到CO欄位'!$1:$1048576,'Over Under Bill 1 COPY 到CO欄位'!BF$1,0)-VLOOKUP($A71,'Over Under Bill 1 COPY 到CO欄位'!$1:$1048576,'Over Under Bill 1 COPY 到CO欄位'!BA$1,0)</f>
        <v>0</v>
      </c>
      <c r="BG71" s="158">
        <f>VLOOKUP($A71,'Over Under Bill 1 COPY 到CO欄位'!$1:$1048576,'Over Under Bill 1 COPY 到CO欄位'!BG$1,0)-VLOOKUP($A71,'Over Under Bill 1 COPY 到CO欄位'!$1:$1048576,'Over Under Bill 1 COPY 到CO欄位'!BB$1,0)</f>
        <v>0</v>
      </c>
      <c r="BH71" s="158">
        <f t="shared" si="98"/>
        <v>0</v>
      </c>
      <c r="BI71" s="158">
        <f>VLOOKUP($A71,'Over Under Bill 1 COPY 到CO欄位'!$1:$1048576,'Over Under Bill 1 COPY 到CO欄位'!BI$1,0)-VLOOKUP($A71,'Over Under Bill 1 COPY 到CO欄位'!$1:$1048576,'Over Under Bill 1 COPY 到CO欄位'!BD$1,0)</f>
        <v>0</v>
      </c>
      <c r="BJ71" s="158">
        <f t="shared" si="99"/>
        <v>0</v>
      </c>
      <c r="BK71" s="157">
        <f>VLOOKUP($A71,'Over Under Bill 1 COPY 到CO欄位'!$1:$1048576,'Over Under Bill 1 COPY 到CO欄位'!BK$1,0)-VLOOKUP($A71,'Over Under Bill 1 COPY 到CO欄位'!$1:$1048576,'Over Under Bill 1 COPY 到CO欄位'!BF$1,0)</f>
        <v>0</v>
      </c>
      <c r="BL71" s="157">
        <f>VLOOKUP($A71,'Over Under Bill 1 COPY 到CO欄位'!$1:$1048576,'Over Under Bill 1 COPY 到CO欄位'!BL$1,0)-VLOOKUP($A71,'Over Under Bill 1 COPY 到CO欄位'!$1:$1048576,'Over Under Bill 1 COPY 到CO欄位'!BG$1,0)</f>
        <v>0</v>
      </c>
      <c r="BM71" s="157">
        <f t="shared" si="100"/>
        <v>0</v>
      </c>
      <c r="BN71" s="157">
        <f>VLOOKUP($A71,'Over Under Bill 1 COPY 到CO欄位'!$1:$1048576,'Over Under Bill 1 COPY 到CO欄位'!BN$1,0)-VLOOKUP($A71,'Over Under Bill 1 COPY 到CO欄位'!$1:$1048576,'Over Under Bill 1 COPY 到CO欄位'!BI$1,0)</f>
        <v>0</v>
      </c>
      <c r="BO71" s="157">
        <f t="shared" si="101"/>
        <v>0</v>
      </c>
      <c r="BP71" s="158">
        <f>VLOOKUP($A71,'Over Under Bill 1 COPY 到CO欄位'!$1:$1048576,'Over Under Bill 1 COPY 到CO欄位'!BP$1,0)-VLOOKUP($A71,'Over Under Bill 1 COPY 到CO欄位'!$1:$1048576,'Over Under Bill 1 COPY 到CO欄位'!BK$1,0)</f>
        <v>0</v>
      </c>
      <c r="BQ71" s="158">
        <f>VLOOKUP($A71,'Over Under Bill 1 COPY 到CO欄位'!$1:$1048576,'Over Under Bill 1 COPY 到CO欄位'!BQ$1,0)-VLOOKUP($A71,'Over Under Bill 1 COPY 到CO欄位'!$1:$1048576,'Over Under Bill 1 COPY 到CO欄位'!BL$1,0)</f>
        <v>0</v>
      </c>
      <c r="BR71" s="158">
        <f t="shared" si="102"/>
        <v>0</v>
      </c>
      <c r="BS71" s="158">
        <f>VLOOKUP($A71,'Over Under Bill 1 COPY 到CO欄位'!$1:$1048576,'Over Under Bill 1 COPY 到CO欄位'!BS$1,0)-VLOOKUP($A71,'Over Under Bill 1 COPY 到CO欄位'!$1:$1048576,'Over Under Bill 1 COPY 到CO欄位'!BN$1,0)</f>
        <v>0</v>
      </c>
      <c r="BT71" s="158">
        <f t="shared" si="103"/>
        <v>0</v>
      </c>
      <c r="BU71" s="157">
        <f>VLOOKUP($A71,'Over Under Bill 1 COPY 到CO欄位'!$1:$1048576,'Over Under Bill 1 COPY 到CO欄位'!BP$1,0)-VLOOKUP($A71,'Over Under Bill 1 COPY 到CO欄位'!$1:$1048576,'Over Under Bill 1 COPY 到CO欄位'!H$1,0)</f>
        <v>0</v>
      </c>
      <c r="BV71" s="157">
        <f>VLOOKUP($A71,'Over Under Bill 1 COPY 到CO欄位'!$1:$1048576,'Over Under Bill 1 COPY 到CO欄位'!BQ$1,0)-VLOOKUP($A71,'Over Under Bill 1 COPY 到CO欄位'!$1:$1048576,'Over Under Bill 1 COPY 到CO欄位'!I$1,0)</f>
        <v>0</v>
      </c>
      <c r="BW71" s="157">
        <f t="shared" si="104"/>
        <v>0</v>
      </c>
      <c r="BX71" s="157">
        <f>VLOOKUP($A71,'Over Under Bill 1 COPY 到CO欄位'!$1:$1048576,'Over Under Bill 1 COPY 到CO欄位'!BS$1,0)-VLOOKUP($A71,'Over Under Bill 1 COPY 到CO欄位'!$1:$1048576,'Over Under Bill 1 COPY 到CO欄位'!K$1,0)</f>
        <v>0</v>
      </c>
      <c r="BY71" s="157">
        <f t="shared" si="105"/>
        <v>0</v>
      </c>
      <c r="BZ71" s="158">
        <f>VLOOKUP($A71,'Over Under Bill 1 COPY 到CO欄位'!$1:$1048576,'Over Under Bill 1 COPY 到CO欄位'!BU$1,0)-VLOOKUP($A71,'Over Under Bill 1 COPY 到CO欄位'!$1:$1048576,'Over Under Bill 1 COPY 到CO欄位'!BP$1,0)</f>
        <v>0</v>
      </c>
      <c r="CA71" s="158">
        <f>VLOOKUP($A71,'Over Under Bill 1 COPY 到CO欄位'!$1:$1048576,'Over Under Bill 1 COPY 到CO欄位'!BV$1,0)-VLOOKUP($A71,'Over Under Bill 1 COPY 到CO欄位'!$1:$1048576,'Over Under Bill 1 COPY 到CO欄位'!BQ$1,0)</f>
        <v>0</v>
      </c>
      <c r="CB71" s="158">
        <f t="shared" si="106"/>
        <v>0</v>
      </c>
      <c r="CC71" s="158">
        <f>VLOOKUP($A71,'Over Under Bill 1 COPY 到CO欄位'!$1:$1048576,'Over Under Bill 1 COPY 到CO欄位'!BX$1,0)-VLOOKUP($A71,'Over Under Bill 1 COPY 到CO欄位'!$1:$1048576,'Over Under Bill 1 COPY 到CO欄位'!BS$1,0)</f>
        <v>0</v>
      </c>
      <c r="CD71" s="158">
        <f t="shared" si="107"/>
        <v>0</v>
      </c>
      <c r="CE71" s="157">
        <f>VLOOKUP($A71,'Over Under Bill 1 COPY 到CO欄位'!$1:$1048576,'Over Under Bill 1 COPY 到CO欄位'!BZ$1,0)-VLOOKUP($A71,'Over Under Bill 1 COPY 到CO欄位'!$1:$1048576,'Over Under Bill 1 COPY 到CO欄位'!BU$1,0)</f>
        <v>0</v>
      </c>
      <c r="CF71" s="157">
        <f>VLOOKUP($A71,'Over Under Bill 1 COPY 到CO欄位'!$1:$1048576,'Over Under Bill 1 COPY 到CO欄位'!CA$1,0)-VLOOKUP($A71,'Over Under Bill 1 COPY 到CO欄位'!$1:$1048576,'Over Under Bill 1 COPY 到CO欄位'!BV$1,0)</f>
        <v>0</v>
      </c>
      <c r="CG71" s="157">
        <f t="shared" si="108"/>
        <v>0</v>
      </c>
      <c r="CH71" s="157">
        <f>VLOOKUP($A71,'Over Under Bill 1 COPY 到CO欄位'!$1:$1048576,'Over Under Bill 1 COPY 到CO欄位'!CC$1,0)-VLOOKUP($A71,'Over Under Bill 1 COPY 到CO欄位'!$1:$1048576,'Over Under Bill 1 COPY 到CO欄位'!BX$1,0)</f>
        <v>0</v>
      </c>
      <c r="CI71" s="157">
        <f t="shared" si="109"/>
        <v>0</v>
      </c>
      <c r="CJ71" s="158">
        <f>VLOOKUP($A71,'Over Under Bill 1 COPY 到CO欄位'!$1:$1048576,'Over Under Bill 1 COPY 到CO欄位'!CE$1,0)-VLOOKUP($A71,'Over Under Bill 1 COPY 到CO欄位'!$1:$1048576,'Over Under Bill 1 COPY 到CO欄位'!BZ$1,0)</f>
        <v>0</v>
      </c>
      <c r="CK71" s="158">
        <f>VLOOKUP($A71,'Over Under Bill 1 COPY 到CO欄位'!$1:$1048576,'Over Under Bill 1 COPY 到CO欄位'!CF$1,0)-VLOOKUP($A71,'Over Under Bill 1 COPY 到CO欄位'!$1:$1048576,'Over Under Bill 1 COPY 到CO欄位'!CA$1,0)</f>
        <v>0</v>
      </c>
      <c r="CL71" s="158">
        <f t="shared" si="110"/>
        <v>0</v>
      </c>
      <c r="CM71" s="158">
        <f>VLOOKUP($A71,'Over Under Bill 1 COPY 到CO欄位'!$1:$1048576,'Over Under Bill 1 COPY 到CO欄位'!CH$1,0)-VLOOKUP($A71,'Over Under Bill 1 COPY 到CO欄位'!$1:$1048576,'Over Under Bill 1 COPY 到CO欄位'!CC$1,0)</f>
        <v>0</v>
      </c>
      <c r="CN71" s="158">
        <f t="shared" si="111"/>
        <v>0</v>
      </c>
      <c r="CO71" s="157">
        <f>VLOOKUP($A71,'Over Under Bill 1 COPY 到CO欄位'!$1:$1048576,'Over Under Bill 1 COPY 到CO欄位'!CJ$1,0)-VLOOKUP($A71,'Over Under Bill 1 COPY 到CO欄位'!$1:$1048576,'Over Under Bill 1 COPY 到CO欄位'!CE$1,0)</f>
        <v>0</v>
      </c>
      <c r="CP71" s="157">
        <f>VLOOKUP($A71,'Over Under Bill 1 COPY 到CO欄位'!$1:$1048576,'Over Under Bill 1 COPY 到CO欄位'!CK$1,0)-VLOOKUP($A71,'Over Under Bill 1 COPY 到CO欄位'!$1:$1048576,'Over Under Bill 1 COPY 到CO欄位'!CF$1,0)</f>
        <v>0</v>
      </c>
      <c r="CQ71" s="157">
        <f t="shared" si="112"/>
        <v>0</v>
      </c>
      <c r="CR71" s="157">
        <f>VLOOKUP($A71,'Over Under Bill 1 COPY 到CO欄位'!$1:$1048576,'Over Under Bill 1 COPY 到CO欄位'!CM$1,0)-VLOOKUP($A71,'Over Under Bill 1 COPY 到CO欄位'!$1:$1048576,'Over Under Bill 1 COPY 到CO欄位'!CH$1,0)</f>
        <v>0</v>
      </c>
      <c r="CS71" s="157">
        <f t="shared" si="113"/>
        <v>0</v>
      </c>
    </row>
    <row r="72" spans="1:97">
      <c r="A72" s="178" t="s">
        <v>439</v>
      </c>
      <c r="B72" s="172" t="s">
        <v>440</v>
      </c>
      <c r="C72" s="157">
        <f>IFERROR(VLOOKUP($A72,'A0 BS 1240在建'!$1:$1048576,5,0),0)</f>
        <v>0</v>
      </c>
      <c r="D72" s="157">
        <f>IFERROR(VLOOKUP($A72,'B0 2264預收'!$1:$1048576,5,0),0)</f>
        <v>0</v>
      </c>
      <c r="E72" s="157">
        <f t="shared" si="76"/>
        <v>0</v>
      </c>
      <c r="F72" s="157">
        <f>IFERROR(VLOOKUP($A72,'B0 2264預收'!$1:$1048576,6,0),0)</f>
        <v>0</v>
      </c>
      <c r="G72" s="157">
        <f t="shared" si="77"/>
        <v>0</v>
      </c>
      <c r="H72" s="158">
        <f>IFERROR(VLOOKUP($A72,'A0 BS 1240在建'!$1:$1048576,13,0),0)-C72</f>
        <v>0</v>
      </c>
      <c r="I72" s="158">
        <f>IFERROR(VLOOKUP($A72,'B0 2264預收'!$1:$1048576,13,0),0)-D72</f>
        <v>0</v>
      </c>
      <c r="J72" s="158">
        <f t="shared" si="78"/>
        <v>0</v>
      </c>
      <c r="K72" s="158">
        <f>IFERROR(VLOOKUP($A72,'B0 2264預收'!$1:$1048576,14,0),0)-F72</f>
        <v>0</v>
      </c>
      <c r="L72" s="158">
        <f t="shared" si="79"/>
        <v>0</v>
      </c>
      <c r="M72" s="157">
        <f>VLOOKUP($A72,'Over Under Bill 1 COPY 到CO欄位'!$1:$1048576,'Over Under Bill 1 COPY 到CO欄位'!M$1,0)-VLOOKUP($A72,'Over Under Bill 1 COPY 到CO欄位'!$1:$1048576,'Over Under Bill 1 COPY 到CO欄位'!H$1,0)</f>
        <v>0</v>
      </c>
      <c r="N72" s="157">
        <f>VLOOKUP($A72,'Over Under Bill 1 COPY 到CO欄位'!$1:$1048576,'Over Under Bill 1 COPY 到CO欄位'!N$1,0)-VLOOKUP($A72,'Over Under Bill 1 COPY 到CO欄位'!$1:$1048576,'Over Under Bill 1 COPY 到CO欄位'!I$1,0)</f>
        <v>0</v>
      </c>
      <c r="O72" s="157">
        <f t="shared" si="80"/>
        <v>0</v>
      </c>
      <c r="P72" s="157">
        <f>VLOOKUP($A72,'Over Under Bill 1 COPY 到CO欄位'!$1:$1048576,'Over Under Bill 1 COPY 到CO欄位'!P$1,0)-VLOOKUP($A72,'Over Under Bill 1 COPY 到CO欄位'!$1:$1048576,'Over Under Bill 1 COPY 到CO欄位'!K$1,0)</f>
        <v>0</v>
      </c>
      <c r="Q72" s="157">
        <f t="shared" si="81"/>
        <v>0</v>
      </c>
      <c r="R72" s="158">
        <f>VLOOKUP($A72,'Over Under Bill 1 COPY 到CO欄位'!$1:$1048576,'Over Under Bill 1 COPY 到CO欄位'!R$1,0)-VLOOKUP($A72,'Over Under Bill 1 COPY 到CO欄位'!$1:$1048576,'Over Under Bill 1 COPY 到CO欄位'!M$1,0)</f>
        <v>0</v>
      </c>
      <c r="S72" s="158">
        <f>VLOOKUP($A72,'Over Under Bill 1 COPY 到CO欄位'!$1:$1048576,'Over Under Bill 1 COPY 到CO欄位'!S$1,0)-VLOOKUP($A72,'Over Under Bill 1 COPY 到CO欄位'!$1:$1048576,'Over Under Bill 1 COPY 到CO欄位'!N$1,0)</f>
        <v>0</v>
      </c>
      <c r="T72" s="158">
        <f t="shared" si="82"/>
        <v>0</v>
      </c>
      <c r="U72" s="158">
        <f>VLOOKUP($A72,'Over Under Bill 1 COPY 到CO欄位'!$1:$1048576,'Over Under Bill 1 COPY 到CO欄位'!U$1,0)-VLOOKUP($A72,'Over Under Bill 1 COPY 到CO欄位'!$1:$1048576,'Over Under Bill 1 COPY 到CO欄位'!P$1,0)</f>
        <v>0</v>
      </c>
      <c r="V72" s="158">
        <f t="shared" si="83"/>
        <v>0</v>
      </c>
      <c r="W72" s="157">
        <f>VLOOKUP($A72,'Over Under Bill 1 COPY 到CO欄位'!$1:$1048576,'Over Under Bill 1 COPY 到CO欄位'!W$1,0)-VLOOKUP($A72,'Over Under Bill 1 COPY 到CO欄位'!$1:$1048576,'Over Under Bill 1 COPY 到CO欄位'!R$1,0)</f>
        <v>0</v>
      </c>
      <c r="X72" s="157">
        <f>VLOOKUP($A72,'Over Under Bill 1 COPY 到CO欄位'!$1:$1048576,'Over Under Bill 1 COPY 到CO欄位'!X$1,0)-VLOOKUP($A72,'Over Under Bill 1 COPY 到CO欄位'!$1:$1048576,'Over Under Bill 1 COPY 到CO欄位'!S$1,0)</f>
        <v>0</v>
      </c>
      <c r="Y72" s="157">
        <f t="shared" si="84"/>
        <v>0</v>
      </c>
      <c r="Z72" s="157">
        <f>VLOOKUP($A72,'Over Under Bill 1 COPY 到CO欄位'!$1:$1048576,'Over Under Bill 1 COPY 到CO欄位'!Z$1,0)-VLOOKUP($A72,'Over Under Bill 1 COPY 到CO欄位'!$1:$1048576,'Over Under Bill 1 COPY 到CO欄位'!U$1,0)</f>
        <v>0</v>
      </c>
      <c r="AA72" s="157">
        <f t="shared" si="85"/>
        <v>0</v>
      </c>
      <c r="AB72" s="158">
        <f>VLOOKUP($A72,'Over Under Bill 1 COPY 到CO欄位'!$1:$1048576,'Over Under Bill 1 COPY 到CO欄位'!AB$1,0)-VLOOKUP($A72,'Over Under Bill 1 COPY 到CO欄位'!$1:$1048576,'Over Under Bill 1 COPY 到CO欄位'!W$1,0)</f>
        <v>0</v>
      </c>
      <c r="AC72" s="158">
        <f>VLOOKUP($A72,'Over Under Bill 1 COPY 到CO欄位'!$1:$1048576,'Over Under Bill 1 COPY 到CO欄位'!AC$1,0)-VLOOKUP($A72,'Over Under Bill 1 COPY 到CO欄位'!$1:$1048576,'Over Under Bill 1 COPY 到CO欄位'!X$1,0)</f>
        <v>0</v>
      </c>
      <c r="AD72" s="158">
        <f t="shared" si="86"/>
        <v>0</v>
      </c>
      <c r="AE72" s="158">
        <f>VLOOKUP($A72,'Over Under Bill 1 COPY 到CO欄位'!$1:$1048576,'Over Under Bill 1 COPY 到CO欄位'!AE$1,0)-VLOOKUP($A72,'Over Under Bill 1 COPY 到CO欄位'!$1:$1048576,'Over Under Bill 1 COPY 到CO欄位'!Z$1,0)</f>
        <v>0</v>
      </c>
      <c r="AF72" s="158">
        <f t="shared" si="87"/>
        <v>0</v>
      </c>
      <c r="AG72" s="157">
        <f>VLOOKUP($A72,'Over Under Bill 1 COPY 到CO欄位'!$1:$1048576,'Over Under Bill 1 COPY 到CO欄位'!AG$1,0)-VLOOKUP($A72,'Over Under Bill 1 COPY 到CO欄位'!$1:$1048576,'Over Under Bill 1 COPY 到CO欄位'!AB$1,0)</f>
        <v>0</v>
      </c>
      <c r="AH72" s="157">
        <f>VLOOKUP($A72,'Over Under Bill 1 COPY 到CO欄位'!$1:$1048576,'Over Under Bill 1 COPY 到CO欄位'!AH$1,0)-VLOOKUP($A72,'Over Under Bill 1 COPY 到CO欄位'!$1:$1048576,'Over Under Bill 1 COPY 到CO欄位'!AC$1,0)</f>
        <v>0</v>
      </c>
      <c r="AI72" s="157">
        <f t="shared" si="88"/>
        <v>0</v>
      </c>
      <c r="AJ72" s="157">
        <f>VLOOKUP($A72,'Over Under Bill 1 COPY 到CO欄位'!$1:$1048576,'Over Under Bill 1 COPY 到CO欄位'!AJ$1,0)-VLOOKUP($A72,'Over Under Bill 1 COPY 到CO欄位'!$1:$1048576,'Over Under Bill 1 COPY 到CO欄位'!AE$1,0)</f>
        <v>0</v>
      </c>
      <c r="AK72" s="157">
        <f t="shared" si="89"/>
        <v>0</v>
      </c>
      <c r="AL72" s="158">
        <f>VLOOKUP($A72,'Over Under Bill 1 COPY 到CO欄位'!$1:$1048576,'Over Under Bill 1 COPY 到CO欄位'!AL$1,0)-VLOOKUP($A72,'Over Under Bill 1 COPY 到CO欄位'!$1:$1048576,'Over Under Bill 1 COPY 到CO欄位'!AG$1,0)</f>
        <v>0</v>
      </c>
      <c r="AM72" s="158">
        <f>VLOOKUP($A72,'Over Under Bill 1 COPY 到CO欄位'!$1:$1048576,'Over Under Bill 1 COPY 到CO欄位'!AM$1,0)-VLOOKUP($A72,'Over Under Bill 1 COPY 到CO欄位'!$1:$1048576,'Over Under Bill 1 COPY 到CO欄位'!AH$1,0)</f>
        <v>0</v>
      </c>
      <c r="AN72" s="158">
        <f t="shared" si="90"/>
        <v>0</v>
      </c>
      <c r="AO72" s="158">
        <f>VLOOKUP($A72,'Over Under Bill 1 COPY 到CO欄位'!$1:$1048576,'Over Under Bill 1 COPY 到CO欄位'!AO$1,0)-VLOOKUP($A72,'Over Under Bill 1 COPY 到CO欄位'!$1:$1048576,'Over Under Bill 1 COPY 到CO欄位'!AJ$1,0)</f>
        <v>0</v>
      </c>
      <c r="AP72" s="158">
        <f t="shared" si="91"/>
        <v>0</v>
      </c>
      <c r="AQ72" s="157">
        <f>VLOOKUP($A72,'Over Under Bill 1 COPY 到CO欄位'!$1:$1048576,'Over Under Bill 1 COPY 到CO欄位'!AQ$1,0)-VLOOKUP($A72,'Over Under Bill 1 COPY 到CO欄位'!$1:$1048576,'Over Under Bill 1 COPY 到CO欄位'!AL$1,0)</f>
        <v>0</v>
      </c>
      <c r="AR72" s="157">
        <f>VLOOKUP($A72,'Over Under Bill 1 COPY 到CO欄位'!$1:$1048576,'Over Under Bill 1 COPY 到CO欄位'!AR$1,0)-VLOOKUP($A72,'Over Under Bill 1 COPY 到CO欄位'!$1:$1048576,'Over Under Bill 1 COPY 到CO欄位'!AM$1,0)</f>
        <v>0</v>
      </c>
      <c r="AS72" s="157">
        <f t="shared" si="92"/>
        <v>0</v>
      </c>
      <c r="AT72" s="157">
        <f>VLOOKUP($A72,'Over Under Bill 1 COPY 到CO欄位'!$1:$1048576,'Over Under Bill 1 COPY 到CO欄位'!AT$1,0)-VLOOKUP($A72,'Over Under Bill 1 COPY 到CO欄位'!$1:$1048576,'Over Under Bill 1 COPY 到CO欄位'!AO$1,0)</f>
        <v>0</v>
      </c>
      <c r="AU72" s="157">
        <f t="shared" si="93"/>
        <v>0</v>
      </c>
      <c r="AV72" s="158">
        <f>VLOOKUP($A72,'Over Under Bill 1 COPY 到CO欄位'!$1:$1048576,'Over Under Bill 1 COPY 到CO欄位'!AV$1,0)-VLOOKUP($A72,'Over Under Bill 1 COPY 到CO欄位'!$1:$1048576,'Over Under Bill 1 COPY 到CO欄位'!AQ$1,0)</f>
        <v>0</v>
      </c>
      <c r="AW72" s="158">
        <f>VLOOKUP($A72,'Over Under Bill 1 COPY 到CO欄位'!$1:$1048576,'Over Under Bill 1 COPY 到CO欄位'!AW$1,0)-VLOOKUP($A72,'Over Under Bill 1 COPY 到CO欄位'!$1:$1048576,'Over Under Bill 1 COPY 到CO欄位'!AR$1,0)</f>
        <v>0</v>
      </c>
      <c r="AX72" s="158">
        <f t="shared" si="94"/>
        <v>0</v>
      </c>
      <c r="AY72" s="158">
        <f>VLOOKUP($A72,'Over Under Bill 1 COPY 到CO欄位'!$1:$1048576,'Over Under Bill 1 COPY 到CO欄位'!AY$1,0)-VLOOKUP($A72,'Over Under Bill 1 COPY 到CO欄位'!$1:$1048576,'Over Under Bill 1 COPY 到CO欄位'!AT$1,0)</f>
        <v>0</v>
      </c>
      <c r="AZ72" s="158">
        <f t="shared" si="95"/>
        <v>0</v>
      </c>
      <c r="BA72" s="157">
        <f>VLOOKUP($A72,'Over Under Bill 1 COPY 到CO欄位'!$1:$1048576,'Over Under Bill 1 COPY 到CO欄位'!BA$1,0)-VLOOKUP($A72,'Over Under Bill 1 COPY 到CO欄位'!$1:$1048576,'Over Under Bill 1 COPY 到CO欄位'!AV$1,0)</f>
        <v>0</v>
      </c>
      <c r="BB72" s="157">
        <f>VLOOKUP($A72,'Over Under Bill 1 COPY 到CO欄位'!$1:$1048576,'Over Under Bill 1 COPY 到CO欄位'!BB$1,0)-VLOOKUP($A72,'Over Under Bill 1 COPY 到CO欄位'!$1:$1048576,'Over Under Bill 1 COPY 到CO欄位'!AW$1,0)</f>
        <v>0</v>
      </c>
      <c r="BC72" s="157">
        <f t="shared" si="96"/>
        <v>0</v>
      </c>
      <c r="BD72" s="157">
        <f>VLOOKUP($A72,'Over Under Bill 1 COPY 到CO欄位'!$1:$1048576,'Over Under Bill 1 COPY 到CO欄位'!BD$1,0)-VLOOKUP($A72,'Over Under Bill 1 COPY 到CO欄位'!$1:$1048576,'Over Under Bill 1 COPY 到CO欄位'!AY$1,0)</f>
        <v>0</v>
      </c>
      <c r="BE72" s="157">
        <f t="shared" si="97"/>
        <v>0</v>
      </c>
      <c r="BF72" s="158">
        <f>VLOOKUP($A72,'Over Under Bill 1 COPY 到CO欄位'!$1:$1048576,'Over Under Bill 1 COPY 到CO欄位'!BF$1,0)-VLOOKUP($A72,'Over Under Bill 1 COPY 到CO欄位'!$1:$1048576,'Over Under Bill 1 COPY 到CO欄位'!BA$1,0)</f>
        <v>0</v>
      </c>
      <c r="BG72" s="158">
        <f>VLOOKUP($A72,'Over Under Bill 1 COPY 到CO欄位'!$1:$1048576,'Over Under Bill 1 COPY 到CO欄位'!BG$1,0)-VLOOKUP($A72,'Over Under Bill 1 COPY 到CO欄位'!$1:$1048576,'Over Under Bill 1 COPY 到CO欄位'!BB$1,0)</f>
        <v>0</v>
      </c>
      <c r="BH72" s="158">
        <f t="shared" si="98"/>
        <v>0</v>
      </c>
      <c r="BI72" s="158">
        <f>VLOOKUP($A72,'Over Under Bill 1 COPY 到CO欄位'!$1:$1048576,'Over Under Bill 1 COPY 到CO欄位'!BI$1,0)-VLOOKUP($A72,'Over Under Bill 1 COPY 到CO欄位'!$1:$1048576,'Over Under Bill 1 COPY 到CO欄位'!BD$1,0)</f>
        <v>0</v>
      </c>
      <c r="BJ72" s="158">
        <f t="shared" si="99"/>
        <v>0</v>
      </c>
      <c r="BK72" s="157">
        <f>VLOOKUP($A72,'Over Under Bill 1 COPY 到CO欄位'!$1:$1048576,'Over Under Bill 1 COPY 到CO欄位'!BK$1,0)-VLOOKUP($A72,'Over Under Bill 1 COPY 到CO欄位'!$1:$1048576,'Over Under Bill 1 COPY 到CO欄位'!BF$1,0)</f>
        <v>0</v>
      </c>
      <c r="BL72" s="157">
        <f>VLOOKUP($A72,'Over Under Bill 1 COPY 到CO欄位'!$1:$1048576,'Over Under Bill 1 COPY 到CO欄位'!BL$1,0)-VLOOKUP($A72,'Over Under Bill 1 COPY 到CO欄位'!$1:$1048576,'Over Under Bill 1 COPY 到CO欄位'!BG$1,0)</f>
        <v>0</v>
      </c>
      <c r="BM72" s="157">
        <f t="shared" si="100"/>
        <v>0</v>
      </c>
      <c r="BN72" s="157">
        <f>VLOOKUP($A72,'Over Under Bill 1 COPY 到CO欄位'!$1:$1048576,'Over Under Bill 1 COPY 到CO欄位'!BN$1,0)-VLOOKUP($A72,'Over Under Bill 1 COPY 到CO欄位'!$1:$1048576,'Over Under Bill 1 COPY 到CO欄位'!BI$1,0)</f>
        <v>0</v>
      </c>
      <c r="BO72" s="157">
        <f t="shared" si="101"/>
        <v>0</v>
      </c>
      <c r="BP72" s="158">
        <f>VLOOKUP($A72,'Over Under Bill 1 COPY 到CO欄位'!$1:$1048576,'Over Under Bill 1 COPY 到CO欄位'!BP$1,0)-VLOOKUP($A72,'Over Under Bill 1 COPY 到CO欄位'!$1:$1048576,'Over Under Bill 1 COPY 到CO欄位'!BK$1,0)</f>
        <v>0</v>
      </c>
      <c r="BQ72" s="158">
        <f>VLOOKUP($A72,'Over Under Bill 1 COPY 到CO欄位'!$1:$1048576,'Over Under Bill 1 COPY 到CO欄位'!BQ$1,0)-VLOOKUP($A72,'Over Under Bill 1 COPY 到CO欄位'!$1:$1048576,'Over Under Bill 1 COPY 到CO欄位'!BL$1,0)</f>
        <v>0</v>
      </c>
      <c r="BR72" s="158">
        <f t="shared" si="102"/>
        <v>0</v>
      </c>
      <c r="BS72" s="158">
        <f>VLOOKUP($A72,'Over Under Bill 1 COPY 到CO欄位'!$1:$1048576,'Over Under Bill 1 COPY 到CO欄位'!BS$1,0)-VLOOKUP($A72,'Over Under Bill 1 COPY 到CO欄位'!$1:$1048576,'Over Under Bill 1 COPY 到CO欄位'!BN$1,0)</f>
        <v>0</v>
      </c>
      <c r="BT72" s="158">
        <f t="shared" si="103"/>
        <v>0</v>
      </c>
      <c r="BU72" s="157">
        <f>VLOOKUP($A72,'Over Under Bill 1 COPY 到CO欄位'!$1:$1048576,'Over Under Bill 1 COPY 到CO欄位'!BP$1,0)-VLOOKUP($A72,'Over Under Bill 1 COPY 到CO欄位'!$1:$1048576,'Over Under Bill 1 COPY 到CO欄位'!H$1,0)</f>
        <v>0</v>
      </c>
      <c r="BV72" s="157">
        <f>VLOOKUP($A72,'Over Under Bill 1 COPY 到CO欄位'!$1:$1048576,'Over Under Bill 1 COPY 到CO欄位'!BQ$1,0)-VLOOKUP($A72,'Over Under Bill 1 COPY 到CO欄位'!$1:$1048576,'Over Under Bill 1 COPY 到CO欄位'!I$1,0)</f>
        <v>0</v>
      </c>
      <c r="BW72" s="157">
        <f t="shared" si="104"/>
        <v>0</v>
      </c>
      <c r="BX72" s="157">
        <f>VLOOKUP($A72,'Over Under Bill 1 COPY 到CO欄位'!$1:$1048576,'Over Under Bill 1 COPY 到CO欄位'!BS$1,0)-VLOOKUP($A72,'Over Under Bill 1 COPY 到CO欄位'!$1:$1048576,'Over Under Bill 1 COPY 到CO欄位'!K$1,0)</f>
        <v>0</v>
      </c>
      <c r="BY72" s="157">
        <f t="shared" si="105"/>
        <v>0</v>
      </c>
      <c r="BZ72" s="158">
        <f>VLOOKUP($A72,'Over Under Bill 1 COPY 到CO欄位'!$1:$1048576,'Over Under Bill 1 COPY 到CO欄位'!BU$1,0)-VLOOKUP($A72,'Over Under Bill 1 COPY 到CO欄位'!$1:$1048576,'Over Under Bill 1 COPY 到CO欄位'!BP$1,0)</f>
        <v>0</v>
      </c>
      <c r="CA72" s="158">
        <f>VLOOKUP($A72,'Over Under Bill 1 COPY 到CO欄位'!$1:$1048576,'Over Under Bill 1 COPY 到CO欄位'!BV$1,0)-VLOOKUP($A72,'Over Under Bill 1 COPY 到CO欄位'!$1:$1048576,'Over Under Bill 1 COPY 到CO欄位'!BQ$1,0)</f>
        <v>0</v>
      </c>
      <c r="CB72" s="158">
        <f t="shared" si="106"/>
        <v>0</v>
      </c>
      <c r="CC72" s="158">
        <f>VLOOKUP($A72,'Over Under Bill 1 COPY 到CO欄位'!$1:$1048576,'Over Under Bill 1 COPY 到CO欄位'!BX$1,0)-VLOOKUP($A72,'Over Under Bill 1 COPY 到CO欄位'!$1:$1048576,'Over Under Bill 1 COPY 到CO欄位'!BS$1,0)</f>
        <v>0</v>
      </c>
      <c r="CD72" s="158">
        <f t="shared" si="107"/>
        <v>0</v>
      </c>
      <c r="CE72" s="157">
        <f>VLOOKUP($A72,'Over Under Bill 1 COPY 到CO欄位'!$1:$1048576,'Over Under Bill 1 COPY 到CO欄位'!BZ$1,0)-VLOOKUP($A72,'Over Under Bill 1 COPY 到CO欄位'!$1:$1048576,'Over Under Bill 1 COPY 到CO欄位'!BU$1,0)</f>
        <v>0</v>
      </c>
      <c r="CF72" s="157">
        <f>VLOOKUP($A72,'Over Under Bill 1 COPY 到CO欄位'!$1:$1048576,'Over Under Bill 1 COPY 到CO欄位'!CA$1,0)-VLOOKUP($A72,'Over Under Bill 1 COPY 到CO欄位'!$1:$1048576,'Over Under Bill 1 COPY 到CO欄位'!BV$1,0)</f>
        <v>0</v>
      </c>
      <c r="CG72" s="157">
        <f t="shared" si="108"/>
        <v>0</v>
      </c>
      <c r="CH72" s="157">
        <f>VLOOKUP($A72,'Over Under Bill 1 COPY 到CO欄位'!$1:$1048576,'Over Under Bill 1 COPY 到CO欄位'!CC$1,0)-VLOOKUP($A72,'Over Under Bill 1 COPY 到CO欄位'!$1:$1048576,'Over Under Bill 1 COPY 到CO欄位'!BX$1,0)</f>
        <v>0</v>
      </c>
      <c r="CI72" s="157">
        <f t="shared" si="109"/>
        <v>0</v>
      </c>
      <c r="CJ72" s="158">
        <f>VLOOKUP($A72,'Over Under Bill 1 COPY 到CO欄位'!$1:$1048576,'Over Under Bill 1 COPY 到CO欄位'!CE$1,0)-VLOOKUP($A72,'Over Under Bill 1 COPY 到CO欄位'!$1:$1048576,'Over Under Bill 1 COPY 到CO欄位'!BZ$1,0)</f>
        <v>0</v>
      </c>
      <c r="CK72" s="158">
        <f>VLOOKUP($A72,'Over Under Bill 1 COPY 到CO欄位'!$1:$1048576,'Over Under Bill 1 COPY 到CO欄位'!CF$1,0)-VLOOKUP($A72,'Over Under Bill 1 COPY 到CO欄位'!$1:$1048576,'Over Under Bill 1 COPY 到CO欄位'!CA$1,0)</f>
        <v>0</v>
      </c>
      <c r="CL72" s="158">
        <f t="shared" si="110"/>
        <v>0</v>
      </c>
      <c r="CM72" s="158">
        <f>VLOOKUP($A72,'Over Under Bill 1 COPY 到CO欄位'!$1:$1048576,'Over Under Bill 1 COPY 到CO欄位'!CH$1,0)-VLOOKUP($A72,'Over Under Bill 1 COPY 到CO欄位'!$1:$1048576,'Over Under Bill 1 COPY 到CO欄位'!CC$1,0)</f>
        <v>0</v>
      </c>
      <c r="CN72" s="158">
        <f t="shared" si="111"/>
        <v>0</v>
      </c>
      <c r="CO72" s="157">
        <f>VLOOKUP($A72,'Over Under Bill 1 COPY 到CO欄位'!$1:$1048576,'Over Under Bill 1 COPY 到CO欄位'!CJ$1,0)-VLOOKUP($A72,'Over Under Bill 1 COPY 到CO欄位'!$1:$1048576,'Over Under Bill 1 COPY 到CO欄位'!CE$1,0)</f>
        <v>0</v>
      </c>
      <c r="CP72" s="157">
        <f>VLOOKUP($A72,'Over Under Bill 1 COPY 到CO欄位'!$1:$1048576,'Over Under Bill 1 COPY 到CO欄位'!CK$1,0)-VLOOKUP($A72,'Over Under Bill 1 COPY 到CO欄位'!$1:$1048576,'Over Under Bill 1 COPY 到CO欄位'!CF$1,0)</f>
        <v>0</v>
      </c>
      <c r="CQ72" s="157">
        <f t="shared" si="112"/>
        <v>0</v>
      </c>
      <c r="CR72" s="157">
        <f>VLOOKUP($A72,'Over Under Bill 1 COPY 到CO欄位'!$1:$1048576,'Over Under Bill 1 COPY 到CO欄位'!CM$1,0)-VLOOKUP($A72,'Over Under Bill 1 COPY 到CO欄位'!$1:$1048576,'Over Under Bill 1 COPY 到CO欄位'!CH$1,0)</f>
        <v>0</v>
      </c>
      <c r="CS72" s="157">
        <f t="shared" si="113"/>
        <v>0</v>
      </c>
    </row>
    <row r="73" spans="1:97">
      <c r="A73" s="178" t="s">
        <v>441</v>
      </c>
      <c r="B73" s="172" t="s">
        <v>442</v>
      </c>
      <c r="C73" s="157">
        <f>IFERROR(VLOOKUP($A73,'A0 BS 1240在建'!$1:$1048576,5,0),0)</f>
        <v>0</v>
      </c>
      <c r="D73" s="157">
        <f>IFERROR(VLOOKUP($A73,'B0 2264預收'!$1:$1048576,5,0),0)</f>
        <v>0</v>
      </c>
      <c r="E73" s="157">
        <f t="shared" si="76"/>
        <v>0</v>
      </c>
      <c r="F73" s="157">
        <f>IFERROR(VLOOKUP($A73,'B0 2264預收'!$1:$1048576,6,0),0)</f>
        <v>0</v>
      </c>
      <c r="G73" s="157">
        <f t="shared" si="77"/>
        <v>0</v>
      </c>
      <c r="H73" s="158">
        <f>IFERROR(VLOOKUP($A73,'A0 BS 1240在建'!$1:$1048576,13,0),0)-C73</f>
        <v>0</v>
      </c>
      <c r="I73" s="158">
        <f>IFERROR(VLOOKUP($A73,'B0 2264預收'!$1:$1048576,13,0),0)-D73</f>
        <v>0</v>
      </c>
      <c r="J73" s="158">
        <f t="shared" si="78"/>
        <v>0</v>
      </c>
      <c r="K73" s="158">
        <f>IFERROR(VLOOKUP($A73,'B0 2264預收'!$1:$1048576,14,0),0)-F73</f>
        <v>0</v>
      </c>
      <c r="L73" s="158">
        <f t="shared" si="79"/>
        <v>0</v>
      </c>
      <c r="M73" s="157">
        <f>VLOOKUP($A73,'Over Under Bill 1 COPY 到CO欄位'!$1:$1048576,'Over Under Bill 1 COPY 到CO欄位'!M$1,0)-VLOOKUP($A73,'Over Under Bill 1 COPY 到CO欄位'!$1:$1048576,'Over Under Bill 1 COPY 到CO欄位'!H$1,0)</f>
        <v>0</v>
      </c>
      <c r="N73" s="157">
        <f>VLOOKUP($A73,'Over Under Bill 1 COPY 到CO欄位'!$1:$1048576,'Over Under Bill 1 COPY 到CO欄位'!N$1,0)-VLOOKUP($A73,'Over Under Bill 1 COPY 到CO欄位'!$1:$1048576,'Over Under Bill 1 COPY 到CO欄位'!I$1,0)</f>
        <v>0</v>
      </c>
      <c r="O73" s="157">
        <f t="shared" si="80"/>
        <v>0</v>
      </c>
      <c r="P73" s="157">
        <f>VLOOKUP($A73,'Over Under Bill 1 COPY 到CO欄位'!$1:$1048576,'Over Under Bill 1 COPY 到CO欄位'!P$1,0)-VLOOKUP($A73,'Over Under Bill 1 COPY 到CO欄位'!$1:$1048576,'Over Under Bill 1 COPY 到CO欄位'!K$1,0)</f>
        <v>0</v>
      </c>
      <c r="Q73" s="157">
        <f t="shared" si="81"/>
        <v>0</v>
      </c>
      <c r="R73" s="158">
        <f>VLOOKUP($A73,'Over Under Bill 1 COPY 到CO欄位'!$1:$1048576,'Over Under Bill 1 COPY 到CO欄位'!R$1,0)-VLOOKUP($A73,'Over Under Bill 1 COPY 到CO欄位'!$1:$1048576,'Over Under Bill 1 COPY 到CO欄位'!M$1,0)</f>
        <v>0</v>
      </c>
      <c r="S73" s="158">
        <f>VLOOKUP($A73,'Over Under Bill 1 COPY 到CO欄位'!$1:$1048576,'Over Under Bill 1 COPY 到CO欄位'!S$1,0)-VLOOKUP($A73,'Over Under Bill 1 COPY 到CO欄位'!$1:$1048576,'Over Under Bill 1 COPY 到CO欄位'!N$1,0)</f>
        <v>0</v>
      </c>
      <c r="T73" s="158">
        <f t="shared" si="82"/>
        <v>0</v>
      </c>
      <c r="U73" s="158">
        <f>VLOOKUP($A73,'Over Under Bill 1 COPY 到CO欄位'!$1:$1048576,'Over Under Bill 1 COPY 到CO欄位'!U$1,0)-VLOOKUP($A73,'Over Under Bill 1 COPY 到CO欄位'!$1:$1048576,'Over Under Bill 1 COPY 到CO欄位'!P$1,0)</f>
        <v>0</v>
      </c>
      <c r="V73" s="158">
        <f t="shared" si="83"/>
        <v>0</v>
      </c>
      <c r="W73" s="157">
        <f>VLOOKUP($A73,'Over Under Bill 1 COPY 到CO欄位'!$1:$1048576,'Over Under Bill 1 COPY 到CO欄位'!W$1,0)-VLOOKUP($A73,'Over Under Bill 1 COPY 到CO欄位'!$1:$1048576,'Over Under Bill 1 COPY 到CO欄位'!R$1,0)</f>
        <v>0</v>
      </c>
      <c r="X73" s="157">
        <f>VLOOKUP($A73,'Over Under Bill 1 COPY 到CO欄位'!$1:$1048576,'Over Under Bill 1 COPY 到CO欄位'!X$1,0)-VLOOKUP($A73,'Over Under Bill 1 COPY 到CO欄位'!$1:$1048576,'Over Under Bill 1 COPY 到CO欄位'!S$1,0)</f>
        <v>0</v>
      </c>
      <c r="Y73" s="157">
        <f t="shared" si="84"/>
        <v>0</v>
      </c>
      <c r="Z73" s="157">
        <f>VLOOKUP($A73,'Over Under Bill 1 COPY 到CO欄位'!$1:$1048576,'Over Under Bill 1 COPY 到CO欄位'!Z$1,0)-VLOOKUP($A73,'Over Under Bill 1 COPY 到CO欄位'!$1:$1048576,'Over Under Bill 1 COPY 到CO欄位'!U$1,0)</f>
        <v>0</v>
      </c>
      <c r="AA73" s="157">
        <f t="shared" si="85"/>
        <v>0</v>
      </c>
      <c r="AB73" s="158">
        <f>VLOOKUP($A73,'Over Under Bill 1 COPY 到CO欄位'!$1:$1048576,'Over Under Bill 1 COPY 到CO欄位'!AB$1,0)-VLOOKUP($A73,'Over Under Bill 1 COPY 到CO欄位'!$1:$1048576,'Over Under Bill 1 COPY 到CO欄位'!W$1,0)</f>
        <v>0</v>
      </c>
      <c r="AC73" s="158">
        <f>VLOOKUP($A73,'Over Under Bill 1 COPY 到CO欄位'!$1:$1048576,'Over Under Bill 1 COPY 到CO欄位'!AC$1,0)-VLOOKUP($A73,'Over Under Bill 1 COPY 到CO欄位'!$1:$1048576,'Over Under Bill 1 COPY 到CO欄位'!X$1,0)</f>
        <v>0</v>
      </c>
      <c r="AD73" s="158">
        <f t="shared" si="86"/>
        <v>0</v>
      </c>
      <c r="AE73" s="158">
        <f>VLOOKUP($A73,'Over Under Bill 1 COPY 到CO欄位'!$1:$1048576,'Over Under Bill 1 COPY 到CO欄位'!AE$1,0)-VLOOKUP($A73,'Over Under Bill 1 COPY 到CO欄位'!$1:$1048576,'Over Under Bill 1 COPY 到CO欄位'!Z$1,0)</f>
        <v>0</v>
      </c>
      <c r="AF73" s="158">
        <f t="shared" si="87"/>
        <v>0</v>
      </c>
      <c r="AG73" s="157">
        <f>VLOOKUP($A73,'Over Under Bill 1 COPY 到CO欄位'!$1:$1048576,'Over Under Bill 1 COPY 到CO欄位'!AG$1,0)-VLOOKUP($A73,'Over Under Bill 1 COPY 到CO欄位'!$1:$1048576,'Over Under Bill 1 COPY 到CO欄位'!AB$1,0)</f>
        <v>0</v>
      </c>
      <c r="AH73" s="157">
        <f>VLOOKUP($A73,'Over Under Bill 1 COPY 到CO欄位'!$1:$1048576,'Over Under Bill 1 COPY 到CO欄位'!AH$1,0)-VLOOKUP($A73,'Over Under Bill 1 COPY 到CO欄位'!$1:$1048576,'Over Under Bill 1 COPY 到CO欄位'!AC$1,0)</f>
        <v>0</v>
      </c>
      <c r="AI73" s="157">
        <f t="shared" si="88"/>
        <v>0</v>
      </c>
      <c r="AJ73" s="157">
        <f>VLOOKUP($A73,'Over Under Bill 1 COPY 到CO欄位'!$1:$1048576,'Over Under Bill 1 COPY 到CO欄位'!AJ$1,0)-VLOOKUP($A73,'Over Under Bill 1 COPY 到CO欄位'!$1:$1048576,'Over Under Bill 1 COPY 到CO欄位'!AE$1,0)</f>
        <v>0</v>
      </c>
      <c r="AK73" s="157">
        <f t="shared" si="89"/>
        <v>0</v>
      </c>
      <c r="AL73" s="158">
        <f>VLOOKUP($A73,'Over Under Bill 1 COPY 到CO欄位'!$1:$1048576,'Over Under Bill 1 COPY 到CO欄位'!AL$1,0)-VLOOKUP($A73,'Over Under Bill 1 COPY 到CO欄位'!$1:$1048576,'Over Under Bill 1 COPY 到CO欄位'!AG$1,0)</f>
        <v>0</v>
      </c>
      <c r="AM73" s="158">
        <f>VLOOKUP($A73,'Over Under Bill 1 COPY 到CO欄位'!$1:$1048576,'Over Under Bill 1 COPY 到CO欄位'!AM$1,0)-VLOOKUP($A73,'Over Under Bill 1 COPY 到CO欄位'!$1:$1048576,'Over Under Bill 1 COPY 到CO欄位'!AH$1,0)</f>
        <v>0</v>
      </c>
      <c r="AN73" s="158">
        <f t="shared" si="90"/>
        <v>0</v>
      </c>
      <c r="AO73" s="158">
        <f>VLOOKUP($A73,'Over Under Bill 1 COPY 到CO欄位'!$1:$1048576,'Over Under Bill 1 COPY 到CO欄位'!AO$1,0)-VLOOKUP($A73,'Over Under Bill 1 COPY 到CO欄位'!$1:$1048576,'Over Under Bill 1 COPY 到CO欄位'!AJ$1,0)</f>
        <v>0</v>
      </c>
      <c r="AP73" s="158">
        <f t="shared" si="91"/>
        <v>0</v>
      </c>
      <c r="AQ73" s="157">
        <f>VLOOKUP($A73,'Over Under Bill 1 COPY 到CO欄位'!$1:$1048576,'Over Under Bill 1 COPY 到CO欄位'!AQ$1,0)-VLOOKUP($A73,'Over Under Bill 1 COPY 到CO欄位'!$1:$1048576,'Over Under Bill 1 COPY 到CO欄位'!AL$1,0)</f>
        <v>0</v>
      </c>
      <c r="AR73" s="157">
        <f>VLOOKUP($A73,'Over Under Bill 1 COPY 到CO欄位'!$1:$1048576,'Over Under Bill 1 COPY 到CO欄位'!AR$1,0)-VLOOKUP($A73,'Over Under Bill 1 COPY 到CO欄位'!$1:$1048576,'Over Under Bill 1 COPY 到CO欄位'!AM$1,0)</f>
        <v>0</v>
      </c>
      <c r="AS73" s="157">
        <f t="shared" si="92"/>
        <v>0</v>
      </c>
      <c r="AT73" s="157">
        <f>VLOOKUP($A73,'Over Under Bill 1 COPY 到CO欄位'!$1:$1048576,'Over Under Bill 1 COPY 到CO欄位'!AT$1,0)-VLOOKUP($A73,'Over Under Bill 1 COPY 到CO欄位'!$1:$1048576,'Over Under Bill 1 COPY 到CO欄位'!AO$1,0)</f>
        <v>0</v>
      </c>
      <c r="AU73" s="157">
        <f t="shared" si="93"/>
        <v>0</v>
      </c>
      <c r="AV73" s="158">
        <f>VLOOKUP($A73,'Over Under Bill 1 COPY 到CO欄位'!$1:$1048576,'Over Under Bill 1 COPY 到CO欄位'!AV$1,0)-VLOOKUP($A73,'Over Under Bill 1 COPY 到CO欄位'!$1:$1048576,'Over Under Bill 1 COPY 到CO欄位'!AQ$1,0)</f>
        <v>0</v>
      </c>
      <c r="AW73" s="158">
        <f>VLOOKUP($A73,'Over Under Bill 1 COPY 到CO欄位'!$1:$1048576,'Over Under Bill 1 COPY 到CO欄位'!AW$1,0)-VLOOKUP($A73,'Over Under Bill 1 COPY 到CO欄位'!$1:$1048576,'Over Under Bill 1 COPY 到CO欄位'!AR$1,0)</f>
        <v>0</v>
      </c>
      <c r="AX73" s="158">
        <f t="shared" si="94"/>
        <v>0</v>
      </c>
      <c r="AY73" s="158">
        <f>VLOOKUP($A73,'Over Under Bill 1 COPY 到CO欄位'!$1:$1048576,'Over Under Bill 1 COPY 到CO欄位'!AY$1,0)-VLOOKUP($A73,'Over Under Bill 1 COPY 到CO欄位'!$1:$1048576,'Over Under Bill 1 COPY 到CO欄位'!AT$1,0)</f>
        <v>0</v>
      </c>
      <c r="AZ73" s="158">
        <f t="shared" si="95"/>
        <v>0</v>
      </c>
      <c r="BA73" s="157">
        <f>VLOOKUP($A73,'Over Under Bill 1 COPY 到CO欄位'!$1:$1048576,'Over Under Bill 1 COPY 到CO欄位'!BA$1,0)-VLOOKUP($A73,'Over Under Bill 1 COPY 到CO欄位'!$1:$1048576,'Over Under Bill 1 COPY 到CO欄位'!AV$1,0)</f>
        <v>0</v>
      </c>
      <c r="BB73" s="157">
        <f>VLOOKUP($A73,'Over Under Bill 1 COPY 到CO欄位'!$1:$1048576,'Over Under Bill 1 COPY 到CO欄位'!BB$1,0)-VLOOKUP($A73,'Over Under Bill 1 COPY 到CO欄位'!$1:$1048576,'Over Under Bill 1 COPY 到CO欄位'!AW$1,0)</f>
        <v>0</v>
      </c>
      <c r="BC73" s="157">
        <f t="shared" si="96"/>
        <v>0</v>
      </c>
      <c r="BD73" s="157">
        <f>VLOOKUP($A73,'Over Under Bill 1 COPY 到CO欄位'!$1:$1048576,'Over Under Bill 1 COPY 到CO欄位'!BD$1,0)-VLOOKUP($A73,'Over Under Bill 1 COPY 到CO欄位'!$1:$1048576,'Over Under Bill 1 COPY 到CO欄位'!AY$1,0)</f>
        <v>0</v>
      </c>
      <c r="BE73" s="157">
        <f t="shared" si="97"/>
        <v>0</v>
      </c>
      <c r="BF73" s="158">
        <f>VLOOKUP($A73,'Over Under Bill 1 COPY 到CO欄位'!$1:$1048576,'Over Under Bill 1 COPY 到CO欄位'!BF$1,0)-VLOOKUP($A73,'Over Under Bill 1 COPY 到CO欄位'!$1:$1048576,'Over Under Bill 1 COPY 到CO欄位'!BA$1,0)</f>
        <v>0</v>
      </c>
      <c r="BG73" s="158">
        <f>VLOOKUP($A73,'Over Under Bill 1 COPY 到CO欄位'!$1:$1048576,'Over Under Bill 1 COPY 到CO欄位'!BG$1,0)-VLOOKUP($A73,'Over Under Bill 1 COPY 到CO欄位'!$1:$1048576,'Over Under Bill 1 COPY 到CO欄位'!BB$1,0)</f>
        <v>0</v>
      </c>
      <c r="BH73" s="158">
        <f t="shared" si="98"/>
        <v>0</v>
      </c>
      <c r="BI73" s="158">
        <f>VLOOKUP($A73,'Over Under Bill 1 COPY 到CO欄位'!$1:$1048576,'Over Under Bill 1 COPY 到CO欄位'!BI$1,0)-VLOOKUP($A73,'Over Under Bill 1 COPY 到CO欄位'!$1:$1048576,'Over Under Bill 1 COPY 到CO欄位'!BD$1,0)</f>
        <v>0</v>
      </c>
      <c r="BJ73" s="158">
        <f t="shared" si="99"/>
        <v>0</v>
      </c>
      <c r="BK73" s="157">
        <f>VLOOKUP($A73,'Over Under Bill 1 COPY 到CO欄位'!$1:$1048576,'Over Under Bill 1 COPY 到CO欄位'!BK$1,0)-VLOOKUP($A73,'Over Under Bill 1 COPY 到CO欄位'!$1:$1048576,'Over Under Bill 1 COPY 到CO欄位'!BF$1,0)</f>
        <v>0</v>
      </c>
      <c r="BL73" s="157">
        <f>VLOOKUP($A73,'Over Under Bill 1 COPY 到CO欄位'!$1:$1048576,'Over Under Bill 1 COPY 到CO欄位'!BL$1,0)-VLOOKUP($A73,'Over Under Bill 1 COPY 到CO欄位'!$1:$1048576,'Over Under Bill 1 COPY 到CO欄位'!BG$1,0)</f>
        <v>0</v>
      </c>
      <c r="BM73" s="157">
        <f t="shared" si="100"/>
        <v>0</v>
      </c>
      <c r="BN73" s="157">
        <f>VLOOKUP($A73,'Over Under Bill 1 COPY 到CO欄位'!$1:$1048576,'Over Under Bill 1 COPY 到CO欄位'!BN$1,0)-VLOOKUP($A73,'Over Under Bill 1 COPY 到CO欄位'!$1:$1048576,'Over Under Bill 1 COPY 到CO欄位'!BI$1,0)</f>
        <v>0</v>
      </c>
      <c r="BO73" s="157">
        <f t="shared" si="101"/>
        <v>0</v>
      </c>
      <c r="BP73" s="158">
        <f>VLOOKUP($A73,'Over Under Bill 1 COPY 到CO欄位'!$1:$1048576,'Over Under Bill 1 COPY 到CO欄位'!BP$1,0)-VLOOKUP($A73,'Over Under Bill 1 COPY 到CO欄位'!$1:$1048576,'Over Under Bill 1 COPY 到CO欄位'!BK$1,0)</f>
        <v>0</v>
      </c>
      <c r="BQ73" s="158">
        <f>VLOOKUP($A73,'Over Under Bill 1 COPY 到CO欄位'!$1:$1048576,'Over Under Bill 1 COPY 到CO欄位'!BQ$1,0)-VLOOKUP($A73,'Over Under Bill 1 COPY 到CO欄位'!$1:$1048576,'Over Under Bill 1 COPY 到CO欄位'!BL$1,0)</f>
        <v>0</v>
      </c>
      <c r="BR73" s="158">
        <f t="shared" si="102"/>
        <v>0</v>
      </c>
      <c r="BS73" s="158">
        <f>VLOOKUP($A73,'Over Under Bill 1 COPY 到CO欄位'!$1:$1048576,'Over Under Bill 1 COPY 到CO欄位'!BS$1,0)-VLOOKUP($A73,'Over Under Bill 1 COPY 到CO欄位'!$1:$1048576,'Over Under Bill 1 COPY 到CO欄位'!BN$1,0)</f>
        <v>0</v>
      </c>
      <c r="BT73" s="158">
        <f t="shared" si="103"/>
        <v>0</v>
      </c>
      <c r="BU73" s="157">
        <f>VLOOKUP($A73,'Over Under Bill 1 COPY 到CO欄位'!$1:$1048576,'Over Under Bill 1 COPY 到CO欄位'!BP$1,0)-VLOOKUP($A73,'Over Under Bill 1 COPY 到CO欄位'!$1:$1048576,'Over Under Bill 1 COPY 到CO欄位'!H$1,0)</f>
        <v>0</v>
      </c>
      <c r="BV73" s="157">
        <f>VLOOKUP($A73,'Over Under Bill 1 COPY 到CO欄位'!$1:$1048576,'Over Under Bill 1 COPY 到CO欄位'!BQ$1,0)-VLOOKUP($A73,'Over Under Bill 1 COPY 到CO欄位'!$1:$1048576,'Over Under Bill 1 COPY 到CO欄位'!I$1,0)</f>
        <v>0</v>
      </c>
      <c r="BW73" s="157">
        <f t="shared" si="104"/>
        <v>0</v>
      </c>
      <c r="BX73" s="157">
        <f>VLOOKUP($A73,'Over Under Bill 1 COPY 到CO欄位'!$1:$1048576,'Over Under Bill 1 COPY 到CO欄位'!BS$1,0)-VLOOKUP($A73,'Over Under Bill 1 COPY 到CO欄位'!$1:$1048576,'Over Under Bill 1 COPY 到CO欄位'!K$1,0)</f>
        <v>0</v>
      </c>
      <c r="BY73" s="157">
        <f t="shared" si="105"/>
        <v>0</v>
      </c>
      <c r="BZ73" s="158">
        <f>VLOOKUP($A73,'Over Under Bill 1 COPY 到CO欄位'!$1:$1048576,'Over Under Bill 1 COPY 到CO欄位'!BU$1,0)-VLOOKUP($A73,'Over Under Bill 1 COPY 到CO欄位'!$1:$1048576,'Over Under Bill 1 COPY 到CO欄位'!BP$1,0)</f>
        <v>0</v>
      </c>
      <c r="CA73" s="158">
        <f>VLOOKUP($A73,'Over Under Bill 1 COPY 到CO欄位'!$1:$1048576,'Over Under Bill 1 COPY 到CO欄位'!BV$1,0)-VLOOKUP($A73,'Over Under Bill 1 COPY 到CO欄位'!$1:$1048576,'Over Under Bill 1 COPY 到CO欄位'!BQ$1,0)</f>
        <v>0</v>
      </c>
      <c r="CB73" s="158">
        <f t="shared" si="106"/>
        <v>0</v>
      </c>
      <c r="CC73" s="158">
        <f>VLOOKUP($A73,'Over Under Bill 1 COPY 到CO欄位'!$1:$1048576,'Over Under Bill 1 COPY 到CO欄位'!BX$1,0)-VLOOKUP($A73,'Over Under Bill 1 COPY 到CO欄位'!$1:$1048576,'Over Under Bill 1 COPY 到CO欄位'!BS$1,0)</f>
        <v>0</v>
      </c>
      <c r="CD73" s="158">
        <f t="shared" si="107"/>
        <v>0</v>
      </c>
      <c r="CE73" s="157">
        <f>VLOOKUP($A73,'Over Under Bill 1 COPY 到CO欄位'!$1:$1048576,'Over Under Bill 1 COPY 到CO欄位'!BZ$1,0)-VLOOKUP($A73,'Over Under Bill 1 COPY 到CO欄位'!$1:$1048576,'Over Under Bill 1 COPY 到CO欄位'!BU$1,0)</f>
        <v>0</v>
      </c>
      <c r="CF73" s="157">
        <f>VLOOKUP($A73,'Over Under Bill 1 COPY 到CO欄位'!$1:$1048576,'Over Under Bill 1 COPY 到CO欄位'!CA$1,0)-VLOOKUP($A73,'Over Under Bill 1 COPY 到CO欄位'!$1:$1048576,'Over Under Bill 1 COPY 到CO欄位'!BV$1,0)</f>
        <v>0</v>
      </c>
      <c r="CG73" s="157">
        <f t="shared" si="108"/>
        <v>0</v>
      </c>
      <c r="CH73" s="157">
        <f>VLOOKUP($A73,'Over Under Bill 1 COPY 到CO欄位'!$1:$1048576,'Over Under Bill 1 COPY 到CO欄位'!CC$1,0)-VLOOKUP($A73,'Over Under Bill 1 COPY 到CO欄位'!$1:$1048576,'Over Under Bill 1 COPY 到CO欄位'!BX$1,0)</f>
        <v>0</v>
      </c>
      <c r="CI73" s="157">
        <f t="shared" si="109"/>
        <v>0</v>
      </c>
      <c r="CJ73" s="158">
        <f>VLOOKUP($A73,'Over Under Bill 1 COPY 到CO欄位'!$1:$1048576,'Over Under Bill 1 COPY 到CO欄位'!CE$1,0)-VLOOKUP($A73,'Over Under Bill 1 COPY 到CO欄位'!$1:$1048576,'Over Under Bill 1 COPY 到CO欄位'!BZ$1,0)</f>
        <v>0</v>
      </c>
      <c r="CK73" s="158">
        <f>VLOOKUP($A73,'Over Under Bill 1 COPY 到CO欄位'!$1:$1048576,'Over Under Bill 1 COPY 到CO欄位'!CF$1,0)-VLOOKUP($A73,'Over Under Bill 1 COPY 到CO欄位'!$1:$1048576,'Over Under Bill 1 COPY 到CO欄位'!CA$1,0)</f>
        <v>0</v>
      </c>
      <c r="CL73" s="158">
        <f t="shared" si="110"/>
        <v>0</v>
      </c>
      <c r="CM73" s="158">
        <f>VLOOKUP($A73,'Over Under Bill 1 COPY 到CO欄位'!$1:$1048576,'Over Under Bill 1 COPY 到CO欄位'!CH$1,0)-VLOOKUP($A73,'Over Under Bill 1 COPY 到CO欄位'!$1:$1048576,'Over Under Bill 1 COPY 到CO欄位'!CC$1,0)</f>
        <v>0</v>
      </c>
      <c r="CN73" s="158">
        <f t="shared" si="111"/>
        <v>0</v>
      </c>
      <c r="CO73" s="157">
        <f>VLOOKUP($A73,'Over Under Bill 1 COPY 到CO欄位'!$1:$1048576,'Over Under Bill 1 COPY 到CO欄位'!CJ$1,0)-VLOOKUP($A73,'Over Under Bill 1 COPY 到CO欄位'!$1:$1048576,'Over Under Bill 1 COPY 到CO欄位'!CE$1,0)</f>
        <v>0</v>
      </c>
      <c r="CP73" s="157">
        <f>VLOOKUP($A73,'Over Under Bill 1 COPY 到CO欄位'!$1:$1048576,'Over Under Bill 1 COPY 到CO欄位'!CK$1,0)-VLOOKUP($A73,'Over Under Bill 1 COPY 到CO欄位'!$1:$1048576,'Over Under Bill 1 COPY 到CO欄位'!CF$1,0)</f>
        <v>0</v>
      </c>
      <c r="CQ73" s="157">
        <f t="shared" si="112"/>
        <v>0</v>
      </c>
      <c r="CR73" s="157">
        <f>VLOOKUP($A73,'Over Under Bill 1 COPY 到CO欄位'!$1:$1048576,'Over Under Bill 1 COPY 到CO欄位'!CM$1,0)-VLOOKUP($A73,'Over Under Bill 1 COPY 到CO欄位'!$1:$1048576,'Over Under Bill 1 COPY 到CO欄位'!CH$1,0)</f>
        <v>0</v>
      </c>
      <c r="CS73" s="157">
        <f t="shared" si="113"/>
        <v>0</v>
      </c>
    </row>
    <row r="74" spans="1:97">
      <c r="A74" s="158" t="s">
        <v>443</v>
      </c>
      <c r="B74" s="172" t="s">
        <v>542</v>
      </c>
      <c r="C74" s="157">
        <f>IFERROR(VLOOKUP($A74,'A0 BS 1240在建'!$1:$1048576,5,0),0)</f>
        <v>0</v>
      </c>
      <c r="D74" s="157">
        <f>IFERROR(VLOOKUP($A74,'B0 2264預收'!$1:$1048576,5,0),0)</f>
        <v>0</v>
      </c>
      <c r="E74" s="157">
        <f t="shared" si="76"/>
        <v>0</v>
      </c>
      <c r="F74" s="157">
        <f>IFERROR(VLOOKUP($A74,'B0 2264預收'!$1:$1048576,6,0),0)</f>
        <v>0</v>
      </c>
      <c r="G74" s="157">
        <f t="shared" si="77"/>
        <v>0</v>
      </c>
      <c r="H74" s="158">
        <f>IFERROR(VLOOKUP($A74,'A0 BS 1240在建'!$1:$1048576,13,0),0)-C74</f>
        <v>0</v>
      </c>
      <c r="I74" s="158">
        <f>IFERROR(VLOOKUP($A74,'B0 2264預收'!$1:$1048576,13,0),0)-D74</f>
        <v>0</v>
      </c>
      <c r="J74" s="158">
        <f t="shared" si="78"/>
        <v>0</v>
      </c>
      <c r="K74" s="158">
        <f>IFERROR(VLOOKUP($A74,'B0 2264預收'!$1:$1048576,14,0),0)-F74</f>
        <v>0</v>
      </c>
      <c r="L74" s="158">
        <f t="shared" si="79"/>
        <v>0</v>
      </c>
      <c r="M74" s="157">
        <f>VLOOKUP($A74,'Over Under Bill 1 COPY 到CO欄位'!$1:$1048576,'Over Under Bill 1 COPY 到CO欄位'!M$1,0)-VLOOKUP($A74,'Over Under Bill 1 COPY 到CO欄位'!$1:$1048576,'Over Under Bill 1 COPY 到CO欄位'!H$1,0)</f>
        <v>0</v>
      </c>
      <c r="N74" s="157">
        <f>VLOOKUP($A74,'Over Under Bill 1 COPY 到CO欄位'!$1:$1048576,'Over Under Bill 1 COPY 到CO欄位'!N$1,0)-VLOOKUP($A74,'Over Under Bill 1 COPY 到CO欄位'!$1:$1048576,'Over Under Bill 1 COPY 到CO欄位'!I$1,0)</f>
        <v>0</v>
      </c>
      <c r="O74" s="157">
        <f t="shared" si="80"/>
        <v>0</v>
      </c>
      <c r="P74" s="157">
        <f>VLOOKUP($A74,'Over Under Bill 1 COPY 到CO欄位'!$1:$1048576,'Over Under Bill 1 COPY 到CO欄位'!P$1,0)-VLOOKUP($A74,'Over Under Bill 1 COPY 到CO欄位'!$1:$1048576,'Over Under Bill 1 COPY 到CO欄位'!K$1,0)</f>
        <v>0</v>
      </c>
      <c r="Q74" s="157">
        <f t="shared" si="81"/>
        <v>0</v>
      </c>
      <c r="R74" s="158">
        <f>VLOOKUP($A74,'Over Under Bill 1 COPY 到CO欄位'!$1:$1048576,'Over Under Bill 1 COPY 到CO欄位'!R$1,0)-VLOOKUP($A74,'Over Under Bill 1 COPY 到CO欄位'!$1:$1048576,'Over Under Bill 1 COPY 到CO欄位'!M$1,0)</f>
        <v>0</v>
      </c>
      <c r="S74" s="158">
        <f>VLOOKUP($A74,'Over Under Bill 1 COPY 到CO欄位'!$1:$1048576,'Over Under Bill 1 COPY 到CO欄位'!S$1,0)-VLOOKUP($A74,'Over Under Bill 1 COPY 到CO欄位'!$1:$1048576,'Over Under Bill 1 COPY 到CO欄位'!N$1,0)</f>
        <v>0</v>
      </c>
      <c r="T74" s="158">
        <f t="shared" si="82"/>
        <v>0</v>
      </c>
      <c r="U74" s="158">
        <f>VLOOKUP($A74,'Over Under Bill 1 COPY 到CO欄位'!$1:$1048576,'Over Under Bill 1 COPY 到CO欄位'!U$1,0)-VLOOKUP($A74,'Over Under Bill 1 COPY 到CO欄位'!$1:$1048576,'Over Under Bill 1 COPY 到CO欄位'!P$1,0)</f>
        <v>0</v>
      </c>
      <c r="V74" s="158">
        <f t="shared" si="83"/>
        <v>0</v>
      </c>
      <c r="W74" s="157">
        <f>VLOOKUP($A74,'Over Under Bill 1 COPY 到CO欄位'!$1:$1048576,'Over Under Bill 1 COPY 到CO欄位'!W$1,0)-VLOOKUP($A74,'Over Under Bill 1 COPY 到CO欄位'!$1:$1048576,'Over Under Bill 1 COPY 到CO欄位'!R$1,0)</f>
        <v>0</v>
      </c>
      <c r="X74" s="157">
        <f>VLOOKUP($A74,'Over Under Bill 1 COPY 到CO欄位'!$1:$1048576,'Over Under Bill 1 COPY 到CO欄位'!X$1,0)-VLOOKUP($A74,'Over Under Bill 1 COPY 到CO欄位'!$1:$1048576,'Over Under Bill 1 COPY 到CO欄位'!S$1,0)</f>
        <v>0</v>
      </c>
      <c r="Y74" s="157">
        <f t="shared" si="84"/>
        <v>0</v>
      </c>
      <c r="Z74" s="157">
        <f>VLOOKUP($A74,'Over Under Bill 1 COPY 到CO欄位'!$1:$1048576,'Over Under Bill 1 COPY 到CO欄位'!Z$1,0)-VLOOKUP($A74,'Over Under Bill 1 COPY 到CO欄位'!$1:$1048576,'Over Under Bill 1 COPY 到CO欄位'!U$1,0)</f>
        <v>0</v>
      </c>
      <c r="AA74" s="157">
        <f t="shared" si="85"/>
        <v>0</v>
      </c>
      <c r="AB74" s="158">
        <f>VLOOKUP($A74,'Over Under Bill 1 COPY 到CO欄位'!$1:$1048576,'Over Under Bill 1 COPY 到CO欄位'!AB$1,0)-VLOOKUP($A74,'Over Under Bill 1 COPY 到CO欄位'!$1:$1048576,'Over Under Bill 1 COPY 到CO欄位'!W$1,0)</f>
        <v>0</v>
      </c>
      <c r="AC74" s="158">
        <f>VLOOKUP($A74,'Over Under Bill 1 COPY 到CO欄位'!$1:$1048576,'Over Under Bill 1 COPY 到CO欄位'!AC$1,0)-VLOOKUP($A74,'Over Under Bill 1 COPY 到CO欄位'!$1:$1048576,'Over Under Bill 1 COPY 到CO欄位'!X$1,0)</f>
        <v>0</v>
      </c>
      <c r="AD74" s="158">
        <f t="shared" si="86"/>
        <v>0</v>
      </c>
      <c r="AE74" s="158">
        <f>VLOOKUP($A74,'Over Under Bill 1 COPY 到CO欄位'!$1:$1048576,'Over Under Bill 1 COPY 到CO欄位'!AE$1,0)-VLOOKUP($A74,'Over Under Bill 1 COPY 到CO欄位'!$1:$1048576,'Over Under Bill 1 COPY 到CO欄位'!Z$1,0)</f>
        <v>0</v>
      </c>
      <c r="AF74" s="158">
        <f t="shared" si="87"/>
        <v>0</v>
      </c>
      <c r="AG74" s="157">
        <f>VLOOKUP($A74,'Over Under Bill 1 COPY 到CO欄位'!$1:$1048576,'Over Under Bill 1 COPY 到CO欄位'!AG$1,0)-VLOOKUP($A74,'Over Under Bill 1 COPY 到CO欄位'!$1:$1048576,'Over Under Bill 1 COPY 到CO欄位'!AB$1,0)</f>
        <v>0</v>
      </c>
      <c r="AH74" s="157">
        <f>VLOOKUP($A74,'Over Under Bill 1 COPY 到CO欄位'!$1:$1048576,'Over Under Bill 1 COPY 到CO欄位'!AH$1,0)-VLOOKUP($A74,'Over Under Bill 1 COPY 到CO欄位'!$1:$1048576,'Over Under Bill 1 COPY 到CO欄位'!AC$1,0)</f>
        <v>0</v>
      </c>
      <c r="AI74" s="157">
        <f t="shared" si="88"/>
        <v>0</v>
      </c>
      <c r="AJ74" s="157">
        <f>VLOOKUP($A74,'Over Under Bill 1 COPY 到CO欄位'!$1:$1048576,'Over Under Bill 1 COPY 到CO欄位'!AJ$1,0)-VLOOKUP($A74,'Over Under Bill 1 COPY 到CO欄位'!$1:$1048576,'Over Under Bill 1 COPY 到CO欄位'!AE$1,0)</f>
        <v>0</v>
      </c>
      <c r="AK74" s="157">
        <f t="shared" si="89"/>
        <v>0</v>
      </c>
      <c r="AL74" s="158">
        <f>VLOOKUP($A74,'Over Under Bill 1 COPY 到CO欄位'!$1:$1048576,'Over Under Bill 1 COPY 到CO欄位'!AL$1,0)-VLOOKUP($A74,'Over Under Bill 1 COPY 到CO欄位'!$1:$1048576,'Over Under Bill 1 COPY 到CO欄位'!AG$1,0)</f>
        <v>0</v>
      </c>
      <c r="AM74" s="158">
        <f>VLOOKUP($A74,'Over Under Bill 1 COPY 到CO欄位'!$1:$1048576,'Over Under Bill 1 COPY 到CO欄位'!AM$1,0)-VLOOKUP($A74,'Over Under Bill 1 COPY 到CO欄位'!$1:$1048576,'Over Under Bill 1 COPY 到CO欄位'!AH$1,0)</f>
        <v>0</v>
      </c>
      <c r="AN74" s="158">
        <f t="shared" si="90"/>
        <v>0</v>
      </c>
      <c r="AO74" s="158">
        <f>VLOOKUP($A74,'Over Under Bill 1 COPY 到CO欄位'!$1:$1048576,'Over Under Bill 1 COPY 到CO欄位'!AO$1,0)-VLOOKUP($A74,'Over Under Bill 1 COPY 到CO欄位'!$1:$1048576,'Over Under Bill 1 COPY 到CO欄位'!AJ$1,0)</f>
        <v>0</v>
      </c>
      <c r="AP74" s="158">
        <f t="shared" si="91"/>
        <v>0</v>
      </c>
      <c r="AQ74" s="157">
        <f>VLOOKUP($A74,'Over Under Bill 1 COPY 到CO欄位'!$1:$1048576,'Over Under Bill 1 COPY 到CO欄位'!AQ$1,0)-VLOOKUP($A74,'Over Under Bill 1 COPY 到CO欄位'!$1:$1048576,'Over Under Bill 1 COPY 到CO欄位'!AL$1,0)</f>
        <v>0</v>
      </c>
      <c r="AR74" s="157">
        <f>VLOOKUP($A74,'Over Under Bill 1 COPY 到CO欄位'!$1:$1048576,'Over Under Bill 1 COPY 到CO欄位'!AR$1,0)-VLOOKUP($A74,'Over Under Bill 1 COPY 到CO欄位'!$1:$1048576,'Over Under Bill 1 COPY 到CO欄位'!AM$1,0)</f>
        <v>0</v>
      </c>
      <c r="AS74" s="157">
        <f t="shared" si="92"/>
        <v>0</v>
      </c>
      <c r="AT74" s="157">
        <f>VLOOKUP($A74,'Over Under Bill 1 COPY 到CO欄位'!$1:$1048576,'Over Under Bill 1 COPY 到CO欄位'!AT$1,0)-VLOOKUP($A74,'Over Under Bill 1 COPY 到CO欄位'!$1:$1048576,'Over Under Bill 1 COPY 到CO欄位'!AO$1,0)</f>
        <v>0</v>
      </c>
      <c r="AU74" s="157">
        <f t="shared" si="93"/>
        <v>0</v>
      </c>
      <c r="AV74" s="158">
        <f>VLOOKUP($A74,'Over Under Bill 1 COPY 到CO欄位'!$1:$1048576,'Over Under Bill 1 COPY 到CO欄位'!AV$1,0)-VLOOKUP($A74,'Over Under Bill 1 COPY 到CO欄位'!$1:$1048576,'Over Under Bill 1 COPY 到CO欄位'!AQ$1,0)</f>
        <v>0</v>
      </c>
      <c r="AW74" s="158">
        <f>VLOOKUP($A74,'Over Under Bill 1 COPY 到CO欄位'!$1:$1048576,'Over Under Bill 1 COPY 到CO欄位'!AW$1,0)-VLOOKUP($A74,'Over Under Bill 1 COPY 到CO欄位'!$1:$1048576,'Over Under Bill 1 COPY 到CO欄位'!AR$1,0)</f>
        <v>0</v>
      </c>
      <c r="AX74" s="158">
        <f t="shared" si="94"/>
        <v>0</v>
      </c>
      <c r="AY74" s="158">
        <f>VLOOKUP($A74,'Over Under Bill 1 COPY 到CO欄位'!$1:$1048576,'Over Under Bill 1 COPY 到CO欄位'!AY$1,0)-VLOOKUP($A74,'Over Under Bill 1 COPY 到CO欄位'!$1:$1048576,'Over Under Bill 1 COPY 到CO欄位'!AT$1,0)</f>
        <v>0</v>
      </c>
      <c r="AZ74" s="158">
        <f t="shared" si="95"/>
        <v>0</v>
      </c>
      <c r="BA74" s="157">
        <f>VLOOKUP($A74,'Over Under Bill 1 COPY 到CO欄位'!$1:$1048576,'Over Under Bill 1 COPY 到CO欄位'!BA$1,0)-VLOOKUP($A74,'Over Under Bill 1 COPY 到CO欄位'!$1:$1048576,'Over Under Bill 1 COPY 到CO欄位'!AV$1,0)</f>
        <v>0</v>
      </c>
      <c r="BB74" s="157">
        <f>VLOOKUP($A74,'Over Under Bill 1 COPY 到CO欄位'!$1:$1048576,'Over Under Bill 1 COPY 到CO欄位'!BB$1,0)-VLOOKUP($A74,'Over Under Bill 1 COPY 到CO欄位'!$1:$1048576,'Over Under Bill 1 COPY 到CO欄位'!AW$1,0)</f>
        <v>0</v>
      </c>
      <c r="BC74" s="157">
        <f t="shared" si="96"/>
        <v>0</v>
      </c>
      <c r="BD74" s="157">
        <f>VLOOKUP($A74,'Over Under Bill 1 COPY 到CO欄位'!$1:$1048576,'Over Under Bill 1 COPY 到CO欄位'!BD$1,0)-VLOOKUP($A74,'Over Under Bill 1 COPY 到CO欄位'!$1:$1048576,'Over Under Bill 1 COPY 到CO欄位'!AY$1,0)</f>
        <v>0</v>
      </c>
      <c r="BE74" s="157">
        <f t="shared" si="97"/>
        <v>0</v>
      </c>
      <c r="BF74" s="158">
        <f>VLOOKUP($A74,'Over Under Bill 1 COPY 到CO欄位'!$1:$1048576,'Over Under Bill 1 COPY 到CO欄位'!BF$1,0)-VLOOKUP($A74,'Over Under Bill 1 COPY 到CO欄位'!$1:$1048576,'Over Under Bill 1 COPY 到CO欄位'!BA$1,0)</f>
        <v>0</v>
      </c>
      <c r="BG74" s="158">
        <f>VLOOKUP($A74,'Over Under Bill 1 COPY 到CO欄位'!$1:$1048576,'Over Under Bill 1 COPY 到CO欄位'!BG$1,0)-VLOOKUP($A74,'Over Under Bill 1 COPY 到CO欄位'!$1:$1048576,'Over Under Bill 1 COPY 到CO欄位'!BB$1,0)</f>
        <v>0</v>
      </c>
      <c r="BH74" s="158">
        <f t="shared" si="98"/>
        <v>0</v>
      </c>
      <c r="BI74" s="158">
        <f>VLOOKUP($A74,'Over Under Bill 1 COPY 到CO欄位'!$1:$1048576,'Over Under Bill 1 COPY 到CO欄位'!BI$1,0)-VLOOKUP($A74,'Over Under Bill 1 COPY 到CO欄位'!$1:$1048576,'Over Under Bill 1 COPY 到CO欄位'!BD$1,0)</f>
        <v>0</v>
      </c>
      <c r="BJ74" s="158">
        <f t="shared" si="99"/>
        <v>0</v>
      </c>
      <c r="BK74" s="157">
        <f>VLOOKUP($A74,'Over Under Bill 1 COPY 到CO欄位'!$1:$1048576,'Over Under Bill 1 COPY 到CO欄位'!BK$1,0)-VLOOKUP($A74,'Over Under Bill 1 COPY 到CO欄位'!$1:$1048576,'Over Under Bill 1 COPY 到CO欄位'!BF$1,0)</f>
        <v>0</v>
      </c>
      <c r="BL74" s="157">
        <f>VLOOKUP($A74,'Over Under Bill 1 COPY 到CO欄位'!$1:$1048576,'Over Under Bill 1 COPY 到CO欄位'!BL$1,0)-VLOOKUP($A74,'Over Under Bill 1 COPY 到CO欄位'!$1:$1048576,'Over Under Bill 1 COPY 到CO欄位'!BG$1,0)</f>
        <v>0</v>
      </c>
      <c r="BM74" s="157">
        <f t="shared" si="100"/>
        <v>0</v>
      </c>
      <c r="BN74" s="157">
        <f>VLOOKUP($A74,'Over Under Bill 1 COPY 到CO欄位'!$1:$1048576,'Over Under Bill 1 COPY 到CO欄位'!BN$1,0)-VLOOKUP($A74,'Over Under Bill 1 COPY 到CO欄位'!$1:$1048576,'Over Under Bill 1 COPY 到CO欄位'!BI$1,0)</f>
        <v>0</v>
      </c>
      <c r="BO74" s="157">
        <f t="shared" si="101"/>
        <v>0</v>
      </c>
      <c r="BP74" s="158">
        <f>VLOOKUP($A74,'Over Under Bill 1 COPY 到CO欄位'!$1:$1048576,'Over Under Bill 1 COPY 到CO欄位'!BP$1,0)-VLOOKUP($A74,'Over Under Bill 1 COPY 到CO欄位'!$1:$1048576,'Over Under Bill 1 COPY 到CO欄位'!BK$1,0)</f>
        <v>0</v>
      </c>
      <c r="BQ74" s="158">
        <f>VLOOKUP($A74,'Over Under Bill 1 COPY 到CO欄位'!$1:$1048576,'Over Under Bill 1 COPY 到CO欄位'!BQ$1,0)-VLOOKUP($A74,'Over Under Bill 1 COPY 到CO欄位'!$1:$1048576,'Over Under Bill 1 COPY 到CO欄位'!BL$1,0)</f>
        <v>0</v>
      </c>
      <c r="BR74" s="158">
        <f t="shared" si="102"/>
        <v>0</v>
      </c>
      <c r="BS74" s="158">
        <f>VLOOKUP($A74,'Over Under Bill 1 COPY 到CO欄位'!$1:$1048576,'Over Under Bill 1 COPY 到CO欄位'!BS$1,0)-VLOOKUP($A74,'Over Under Bill 1 COPY 到CO欄位'!$1:$1048576,'Over Under Bill 1 COPY 到CO欄位'!BN$1,0)</f>
        <v>0</v>
      </c>
      <c r="BT74" s="158">
        <f t="shared" si="103"/>
        <v>0</v>
      </c>
      <c r="BU74" s="157">
        <f>VLOOKUP($A74,'Over Under Bill 1 COPY 到CO欄位'!$1:$1048576,'Over Under Bill 1 COPY 到CO欄位'!BP$1,0)-VLOOKUP($A74,'Over Under Bill 1 COPY 到CO欄位'!$1:$1048576,'Over Under Bill 1 COPY 到CO欄位'!H$1,0)</f>
        <v>0</v>
      </c>
      <c r="BV74" s="157">
        <f>VLOOKUP($A74,'Over Under Bill 1 COPY 到CO欄位'!$1:$1048576,'Over Under Bill 1 COPY 到CO欄位'!BQ$1,0)-VLOOKUP($A74,'Over Under Bill 1 COPY 到CO欄位'!$1:$1048576,'Over Under Bill 1 COPY 到CO欄位'!I$1,0)</f>
        <v>0</v>
      </c>
      <c r="BW74" s="157">
        <f t="shared" si="104"/>
        <v>0</v>
      </c>
      <c r="BX74" s="157">
        <f>VLOOKUP($A74,'Over Under Bill 1 COPY 到CO欄位'!$1:$1048576,'Over Under Bill 1 COPY 到CO欄位'!BS$1,0)-VLOOKUP($A74,'Over Under Bill 1 COPY 到CO欄位'!$1:$1048576,'Over Under Bill 1 COPY 到CO欄位'!K$1,0)</f>
        <v>0</v>
      </c>
      <c r="BY74" s="157">
        <f t="shared" si="105"/>
        <v>0</v>
      </c>
      <c r="BZ74" s="158">
        <f>VLOOKUP($A74,'Over Under Bill 1 COPY 到CO欄位'!$1:$1048576,'Over Under Bill 1 COPY 到CO欄位'!BU$1,0)-VLOOKUP($A74,'Over Under Bill 1 COPY 到CO欄位'!$1:$1048576,'Over Under Bill 1 COPY 到CO欄位'!BP$1,0)</f>
        <v>0</v>
      </c>
      <c r="CA74" s="158">
        <f>VLOOKUP($A74,'Over Under Bill 1 COPY 到CO欄位'!$1:$1048576,'Over Under Bill 1 COPY 到CO欄位'!BV$1,0)-VLOOKUP($A74,'Over Under Bill 1 COPY 到CO欄位'!$1:$1048576,'Over Under Bill 1 COPY 到CO欄位'!BQ$1,0)</f>
        <v>0</v>
      </c>
      <c r="CB74" s="158">
        <f t="shared" si="106"/>
        <v>0</v>
      </c>
      <c r="CC74" s="158">
        <f>VLOOKUP($A74,'Over Under Bill 1 COPY 到CO欄位'!$1:$1048576,'Over Under Bill 1 COPY 到CO欄位'!BX$1,0)-VLOOKUP($A74,'Over Under Bill 1 COPY 到CO欄位'!$1:$1048576,'Over Under Bill 1 COPY 到CO欄位'!BS$1,0)</f>
        <v>0</v>
      </c>
      <c r="CD74" s="158">
        <f t="shared" si="107"/>
        <v>0</v>
      </c>
      <c r="CE74" s="157">
        <f>VLOOKUP($A74,'Over Under Bill 1 COPY 到CO欄位'!$1:$1048576,'Over Under Bill 1 COPY 到CO欄位'!BZ$1,0)-VLOOKUP($A74,'Over Under Bill 1 COPY 到CO欄位'!$1:$1048576,'Over Under Bill 1 COPY 到CO欄位'!BU$1,0)</f>
        <v>0</v>
      </c>
      <c r="CF74" s="157">
        <f>VLOOKUP($A74,'Over Under Bill 1 COPY 到CO欄位'!$1:$1048576,'Over Under Bill 1 COPY 到CO欄位'!CA$1,0)-VLOOKUP($A74,'Over Under Bill 1 COPY 到CO欄位'!$1:$1048576,'Over Under Bill 1 COPY 到CO欄位'!BV$1,0)</f>
        <v>0</v>
      </c>
      <c r="CG74" s="157">
        <f t="shared" si="108"/>
        <v>0</v>
      </c>
      <c r="CH74" s="157">
        <f>VLOOKUP($A74,'Over Under Bill 1 COPY 到CO欄位'!$1:$1048576,'Over Under Bill 1 COPY 到CO欄位'!CC$1,0)-VLOOKUP($A74,'Over Under Bill 1 COPY 到CO欄位'!$1:$1048576,'Over Under Bill 1 COPY 到CO欄位'!BX$1,0)</f>
        <v>0</v>
      </c>
      <c r="CI74" s="157">
        <f t="shared" si="109"/>
        <v>0</v>
      </c>
      <c r="CJ74" s="158">
        <f>VLOOKUP($A74,'Over Under Bill 1 COPY 到CO欄位'!$1:$1048576,'Over Under Bill 1 COPY 到CO欄位'!CE$1,0)-VLOOKUP($A74,'Over Under Bill 1 COPY 到CO欄位'!$1:$1048576,'Over Under Bill 1 COPY 到CO欄位'!BZ$1,0)</f>
        <v>0</v>
      </c>
      <c r="CK74" s="158">
        <f>VLOOKUP($A74,'Over Under Bill 1 COPY 到CO欄位'!$1:$1048576,'Over Under Bill 1 COPY 到CO欄位'!CF$1,0)-VLOOKUP($A74,'Over Under Bill 1 COPY 到CO欄位'!$1:$1048576,'Over Under Bill 1 COPY 到CO欄位'!CA$1,0)</f>
        <v>0</v>
      </c>
      <c r="CL74" s="158">
        <f t="shared" si="110"/>
        <v>0</v>
      </c>
      <c r="CM74" s="158">
        <f>VLOOKUP($A74,'Over Under Bill 1 COPY 到CO欄位'!$1:$1048576,'Over Under Bill 1 COPY 到CO欄位'!CH$1,0)-VLOOKUP($A74,'Over Under Bill 1 COPY 到CO欄位'!$1:$1048576,'Over Under Bill 1 COPY 到CO欄位'!CC$1,0)</f>
        <v>0</v>
      </c>
      <c r="CN74" s="158">
        <f t="shared" si="111"/>
        <v>0</v>
      </c>
      <c r="CO74" s="157">
        <f>VLOOKUP($A74,'Over Under Bill 1 COPY 到CO欄位'!$1:$1048576,'Over Under Bill 1 COPY 到CO欄位'!CJ$1,0)-VLOOKUP($A74,'Over Under Bill 1 COPY 到CO欄位'!$1:$1048576,'Over Under Bill 1 COPY 到CO欄位'!CE$1,0)</f>
        <v>0</v>
      </c>
      <c r="CP74" s="157">
        <f>VLOOKUP($A74,'Over Under Bill 1 COPY 到CO欄位'!$1:$1048576,'Over Under Bill 1 COPY 到CO欄位'!CK$1,0)-VLOOKUP($A74,'Over Under Bill 1 COPY 到CO欄位'!$1:$1048576,'Over Under Bill 1 COPY 到CO欄位'!CF$1,0)</f>
        <v>0</v>
      </c>
      <c r="CQ74" s="157">
        <f t="shared" si="112"/>
        <v>0</v>
      </c>
      <c r="CR74" s="157">
        <f>VLOOKUP($A74,'Over Under Bill 1 COPY 到CO欄位'!$1:$1048576,'Over Under Bill 1 COPY 到CO欄位'!CM$1,0)-VLOOKUP($A74,'Over Under Bill 1 COPY 到CO欄位'!$1:$1048576,'Over Under Bill 1 COPY 到CO欄位'!CH$1,0)</f>
        <v>0</v>
      </c>
      <c r="CS74" s="157">
        <f t="shared" si="113"/>
        <v>0</v>
      </c>
    </row>
    <row r="75" spans="1:97">
      <c r="A75" s="158" t="s">
        <v>445</v>
      </c>
      <c r="B75" s="172" t="s">
        <v>446</v>
      </c>
      <c r="C75" s="157">
        <f>IFERROR(VLOOKUP($A75,'A0 BS 1240在建'!$1:$1048576,5,0),0)</f>
        <v>0</v>
      </c>
      <c r="D75" s="157">
        <f>IFERROR(VLOOKUP($A75,'B0 2264預收'!$1:$1048576,5,0),0)</f>
        <v>0</v>
      </c>
      <c r="E75" s="157">
        <f t="shared" si="76"/>
        <v>0</v>
      </c>
      <c r="F75" s="157">
        <f>IFERROR(VLOOKUP($A75,'B0 2264預收'!$1:$1048576,6,0),0)</f>
        <v>0</v>
      </c>
      <c r="G75" s="157">
        <f t="shared" si="77"/>
        <v>0</v>
      </c>
      <c r="H75" s="158">
        <f>IFERROR(VLOOKUP($A75,'A0 BS 1240在建'!$1:$1048576,13,0),0)-C75</f>
        <v>0</v>
      </c>
      <c r="I75" s="158">
        <f>IFERROR(VLOOKUP($A75,'B0 2264預收'!$1:$1048576,13,0),0)-D75</f>
        <v>0</v>
      </c>
      <c r="J75" s="158">
        <f t="shared" si="78"/>
        <v>0</v>
      </c>
      <c r="K75" s="158">
        <f>IFERROR(VLOOKUP($A75,'B0 2264預收'!$1:$1048576,14,0),0)-F75</f>
        <v>0</v>
      </c>
      <c r="L75" s="158">
        <f t="shared" si="79"/>
        <v>0</v>
      </c>
      <c r="M75" s="157">
        <f>VLOOKUP($A75,'Over Under Bill 1 COPY 到CO欄位'!$1:$1048576,'Over Under Bill 1 COPY 到CO欄位'!M$1,0)-VLOOKUP($A75,'Over Under Bill 1 COPY 到CO欄位'!$1:$1048576,'Over Under Bill 1 COPY 到CO欄位'!H$1,0)</f>
        <v>0</v>
      </c>
      <c r="N75" s="157">
        <f>VLOOKUP($A75,'Over Under Bill 1 COPY 到CO欄位'!$1:$1048576,'Over Under Bill 1 COPY 到CO欄位'!N$1,0)-VLOOKUP($A75,'Over Under Bill 1 COPY 到CO欄位'!$1:$1048576,'Over Under Bill 1 COPY 到CO欄位'!I$1,0)</f>
        <v>0</v>
      </c>
      <c r="O75" s="157">
        <f t="shared" si="80"/>
        <v>0</v>
      </c>
      <c r="P75" s="157">
        <f>VLOOKUP($A75,'Over Under Bill 1 COPY 到CO欄位'!$1:$1048576,'Over Under Bill 1 COPY 到CO欄位'!P$1,0)-VLOOKUP($A75,'Over Under Bill 1 COPY 到CO欄位'!$1:$1048576,'Over Under Bill 1 COPY 到CO欄位'!K$1,0)</f>
        <v>0</v>
      </c>
      <c r="Q75" s="157">
        <f t="shared" si="81"/>
        <v>0</v>
      </c>
      <c r="R75" s="158">
        <f>VLOOKUP($A75,'Over Under Bill 1 COPY 到CO欄位'!$1:$1048576,'Over Under Bill 1 COPY 到CO欄位'!R$1,0)-VLOOKUP($A75,'Over Under Bill 1 COPY 到CO欄位'!$1:$1048576,'Over Under Bill 1 COPY 到CO欄位'!M$1,0)</f>
        <v>0</v>
      </c>
      <c r="S75" s="158">
        <f>VLOOKUP($A75,'Over Under Bill 1 COPY 到CO欄位'!$1:$1048576,'Over Under Bill 1 COPY 到CO欄位'!S$1,0)-VLOOKUP($A75,'Over Under Bill 1 COPY 到CO欄位'!$1:$1048576,'Over Under Bill 1 COPY 到CO欄位'!N$1,0)</f>
        <v>0</v>
      </c>
      <c r="T75" s="158">
        <f t="shared" si="82"/>
        <v>0</v>
      </c>
      <c r="U75" s="158">
        <f>VLOOKUP($A75,'Over Under Bill 1 COPY 到CO欄位'!$1:$1048576,'Over Under Bill 1 COPY 到CO欄位'!U$1,0)-VLOOKUP($A75,'Over Under Bill 1 COPY 到CO欄位'!$1:$1048576,'Over Under Bill 1 COPY 到CO欄位'!P$1,0)</f>
        <v>0</v>
      </c>
      <c r="V75" s="158">
        <f t="shared" si="83"/>
        <v>0</v>
      </c>
      <c r="W75" s="157">
        <f>VLOOKUP($A75,'Over Under Bill 1 COPY 到CO欄位'!$1:$1048576,'Over Under Bill 1 COPY 到CO欄位'!W$1,0)-VLOOKUP($A75,'Over Under Bill 1 COPY 到CO欄位'!$1:$1048576,'Over Under Bill 1 COPY 到CO欄位'!R$1,0)</f>
        <v>0</v>
      </c>
      <c r="X75" s="157">
        <f>VLOOKUP($A75,'Over Under Bill 1 COPY 到CO欄位'!$1:$1048576,'Over Under Bill 1 COPY 到CO欄位'!X$1,0)-VLOOKUP($A75,'Over Under Bill 1 COPY 到CO欄位'!$1:$1048576,'Over Under Bill 1 COPY 到CO欄位'!S$1,0)</f>
        <v>0</v>
      </c>
      <c r="Y75" s="157">
        <f t="shared" si="84"/>
        <v>0</v>
      </c>
      <c r="Z75" s="157">
        <f>VLOOKUP($A75,'Over Under Bill 1 COPY 到CO欄位'!$1:$1048576,'Over Under Bill 1 COPY 到CO欄位'!Z$1,0)-VLOOKUP($A75,'Over Under Bill 1 COPY 到CO欄位'!$1:$1048576,'Over Under Bill 1 COPY 到CO欄位'!U$1,0)</f>
        <v>0</v>
      </c>
      <c r="AA75" s="157">
        <f t="shared" si="85"/>
        <v>0</v>
      </c>
      <c r="AB75" s="158">
        <f>VLOOKUP($A75,'Over Under Bill 1 COPY 到CO欄位'!$1:$1048576,'Over Under Bill 1 COPY 到CO欄位'!AB$1,0)-VLOOKUP($A75,'Over Under Bill 1 COPY 到CO欄位'!$1:$1048576,'Over Under Bill 1 COPY 到CO欄位'!W$1,0)</f>
        <v>0</v>
      </c>
      <c r="AC75" s="158">
        <f>VLOOKUP($A75,'Over Under Bill 1 COPY 到CO欄位'!$1:$1048576,'Over Under Bill 1 COPY 到CO欄位'!AC$1,0)-VLOOKUP($A75,'Over Under Bill 1 COPY 到CO欄位'!$1:$1048576,'Over Under Bill 1 COPY 到CO欄位'!X$1,0)</f>
        <v>0</v>
      </c>
      <c r="AD75" s="158">
        <f t="shared" si="86"/>
        <v>0</v>
      </c>
      <c r="AE75" s="158">
        <f>VLOOKUP($A75,'Over Under Bill 1 COPY 到CO欄位'!$1:$1048576,'Over Under Bill 1 COPY 到CO欄位'!AE$1,0)-VLOOKUP($A75,'Over Under Bill 1 COPY 到CO欄位'!$1:$1048576,'Over Under Bill 1 COPY 到CO欄位'!Z$1,0)</f>
        <v>0</v>
      </c>
      <c r="AF75" s="158">
        <f t="shared" si="87"/>
        <v>0</v>
      </c>
      <c r="AG75" s="157">
        <f>VLOOKUP($A75,'Over Under Bill 1 COPY 到CO欄位'!$1:$1048576,'Over Under Bill 1 COPY 到CO欄位'!AG$1,0)-VLOOKUP($A75,'Over Under Bill 1 COPY 到CO欄位'!$1:$1048576,'Over Under Bill 1 COPY 到CO欄位'!AB$1,0)</f>
        <v>0</v>
      </c>
      <c r="AH75" s="157">
        <f>VLOOKUP($A75,'Over Under Bill 1 COPY 到CO欄位'!$1:$1048576,'Over Under Bill 1 COPY 到CO欄位'!AH$1,0)-VLOOKUP($A75,'Over Under Bill 1 COPY 到CO欄位'!$1:$1048576,'Over Under Bill 1 COPY 到CO欄位'!AC$1,0)</f>
        <v>0</v>
      </c>
      <c r="AI75" s="157">
        <f t="shared" si="88"/>
        <v>0</v>
      </c>
      <c r="AJ75" s="157">
        <f>VLOOKUP($A75,'Over Under Bill 1 COPY 到CO欄位'!$1:$1048576,'Over Under Bill 1 COPY 到CO欄位'!AJ$1,0)-VLOOKUP($A75,'Over Under Bill 1 COPY 到CO欄位'!$1:$1048576,'Over Under Bill 1 COPY 到CO欄位'!AE$1,0)</f>
        <v>0</v>
      </c>
      <c r="AK75" s="157">
        <f t="shared" si="89"/>
        <v>0</v>
      </c>
      <c r="AL75" s="158">
        <f>VLOOKUP($A75,'Over Under Bill 1 COPY 到CO欄位'!$1:$1048576,'Over Under Bill 1 COPY 到CO欄位'!AL$1,0)-VLOOKUP($A75,'Over Under Bill 1 COPY 到CO欄位'!$1:$1048576,'Over Under Bill 1 COPY 到CO欄位'!AG$1,0)</f>
        <v>0</v>
      </c>
      <c r="AM75" s="158">
        <f>VLOOKUP($A75,'Over Under Bill 1 COPY 到CO欄位'!$1:$1048576,'Over Under Bill 1 COPY 到CO欄位'!AM$1,0)-VLOOKUP($A75,'Over Under Bill 1 COPY 到CO欄位'!$1:$1048576,'Over Under Bill 1 COPY 到CO欄位'!AH$1,0)</f>
        <v>0</v>
      </c>
      <c r="AN75" s="158">
        <f t="shared" si="90"/>
        <v>0</v>
      </c>
      <c r="AO75" s="158">
        <f>VLOOKUP($A75,'Over Under Bill 1 COPY 到CO欄位'!$1:$1048576,'Over Under Bill 1 COPY 到CO欄位'!AO$1,0)-VLOOKUP($A75,'Over Under Bill 1 COPY 到CO欄位'!$1:$1048576,'Over Under Bill 1 COPY 到CO欄位'!AJ$1,0)</f>
        <v>0</v>
      </c>
      <c r="AP75" s="158">
        <f t="shared" si="91"/>
        <v>0</v>
      </c>
      <c r="AQ75" s="157">
        <f>VLOOKUP($A75,'Over Under Bill 1 COPY 到CO欄位'!$1:$1048576,'Over Under Bill 1 COPY 到CO欄位'!AQ$1,0)-VLOOKUP($A75,'Over Under Bill 1 COPY 到CO欄位'!$1:$1048576,'Over Under Bill 1 COPY 到CO欄位'!AL$1,0)</f>
        <v>0</v>
      </c>
      <c r="AR75" s="157">
        <f>VLOOKUP($A75,'Over Under Bill 1 COPY 到CO欄位'!$1:$1048576,'Over Under Bill 1 COPY 到CO欄位'!AR$1,0)-VLOOKUP($A75,'Over Under Bill 1 COPY 到CO欄位'!$1:$1048576,'Over Under Bill 1 COPY 到CO欄位'!AM$1,0)</f>
        <v>0</v>
      </c>
      <c r="AS75" s="157">
        <f t="shared" si="92"/>
        <v>0</v>
      </c>
      <c r="AT75" s="157">
        <f>VLOOKUP($A75,'Over Under Bill 1 COPY 到CO欄位'!$1:$1048576,'Over Under Bill 1 COPY 到CO欄位'!AT$1,0)-VLOOKUP($A75,'Over Under Bill 1 COPY 到CO欄位'!$1:$1048576,'Over Under Bill 1 COPY 到CO欄位'!AO$1,0)</f>
        <v>0</v>
      </c>
      <c r="AU75" s="157">
        <f t="shared" si="93"/>
        <v>0</v>
      </c>
      <c r="AV75" s="158">
        <f>VLOOKUP($A75,'Over Under Bill 1 COPY 到CO欄位'!$1:$1048576,'Over Under Bill 1 COPY 到CO欄位'!AV$1,0)-VLOOKUP($A75,'Over Under Bill 1 COPY 到CO欄位'!$1:$1048576,'Over Under Bill 1 COPY 到CO欄位'!AQ$1,0)</f>
        <v>0</v>
      </c>
      <c r="AW75" s="158">
        <f>VLOOKUP($A75,'Over Under Bill 1 COPY 到CO欄位'!$1:$1048576,'Over Under Bill 1 COPY 到CO欄位'!AW$1,0)-VLOOKUP($A75,'Over Under Bill 1 COPY 到CO欄位'!$1:$1048576,'Over Under Bill 1 COPY 到CO欄位'!AR$1,0)</f>
        <v>0</v>
      </c>
      <c r="AX75" s="158">
        <f t="shared" si="94"/>
        <v>0</v>
      </c>
      <c r="AY75" s="158">
        <f>VLOOKUP($A75,'Over Under Bill 1 COPY 到CO欄位'!$1:$1048576,'Over Under Bill 1 COPY 到CO欄位'!AY$1,0)-VLOOKUP($A75,'Over Under Bill 1 COPY 到CO欄位'!$1:$1048576,'Over Under Bill 1 COPY 到CO欄位'!AT$1,0)</f>
        <v>0</v>
      </c>
      <c r="AZ75" s="158">
        <f t="shared" si="95"/>
        <v>0</v>
      </c>
      <c r="BA75" s="157">
        <f>VLOOKUP($A75,'Over Under Bill 1 COPY 到CO欄位'!$1:$1048576,'Over Under Bill 1 COPY 到CO欄位'!BA$1,0)-VLOOKUP($A75,'Over Under Bill 1 COPY 到CO欄位'!$1:$1048576,'Over Under Bill 1 COPY 到CO欄位'!AV$1,0)</f>
        <v>0</v>
      </c>
      <c r="BB75" s="157">
        <f>VLOOKUP($A75,'Over Under Bill 1 COPY 到CO欄位'!$1:$1048576,'Over Under Bill 1 COPY 到CO欄位'!BB$1,0)-VLOOKUP($A75,'Over Under Bill 1 COPY 到CO欄位'!$1:$1048576,'Over Under Bill 1 COPY 到CO欄位'!AW$1,0)</f>
        <v>0</v>
      </c>
      <c r="BC75" s="157">
        <f t="shared" si="96"/>
        <v>0</v>
      </c>
      <c r="BD75" s="157">
        <f>VLOOKUP($A75,'Over Under Bill 1 COPY 到CO欄位'!$1:$1048576,'Over Under Bill 1 COPY 到CO欄位'!BD$1,0)-VLOOKUP($A75,'Over Under Bill 1 COPY 到CO欄位'!$1:$1048576,'Over Under Bill 1 COPY 到CO欄位'!AY$1,0)</f>
        <v>0</v>
      </c>
      <c r="BE75" s="157">
        <f t="shared" si="97"/>
        <v>0</v>
      </c>
      <c r="BF75" s="158">
        <f>VLOOKUP($A75,'Over Under Bill 1 COPY 到CO欄位'!$1:$1048576,'Over Under Bill 1 COPY 到CO欄位'!BF$1,0)-VLOOKUP($A75,'Over Under Bill 1 COPY 到CO欄位'!$1:$1048576,'Over Under Bill 1 COPY 到CO欄位'!BA$1,0)</f>
        <v>0</v>
      </c>
      <c r="BG75" s="158">
        <f>VLOOKUP($A75,'Over Under Bill 1 COPY 到CO欄位'!$1:$1048576,'Over Under Bill 1 COPY 到CO欄位'!BG$1,0)-VLOOKUP($A75,'Over Under Bill 1 COPY 到CO欄位'!$1:$1048576,'Over Under Bill 1 COPY 到CO欄位'!BB$1,0)</f>
        <v>0</v>
      </c>
      <c r="BH75" s="158">
        <f t="shared" si="98"/>
        <v>0</v>
      </c>
      <c r="BI75" s="158">
        <f>VLOOKUP($A75,'Over Under Bill 1 COPY 到CO欄位'!$1:$1048576,'Over Under Bill 1 COPY 到CO欄位'!BI$1,0)-VLOOKUP($A75,'Over Under Bill 1 COPY 到CO欄位'!$1:$1048576,'Over Under Bill 1 COPY 到CO欄位'!BD$1,0)</f>
        <v>0</v>
      </c>
      <c r="BJ75" s="158">
        <f t="shared" si="99"/>
        <v>0</v>
      </c>
      <c r="BK75" s="157">
        <f>VLOOKUP($A75,'Over Under Bill 1 COPY 到CO欄位'!$1:$1048576,'Over Under Bill 1 COPY 到CO欄位'!BK$1,0)-VLOOKUP($A75,'Over Under Bill 1 COPY 到CO欄位'!$1:$1048576,'Over Under Bill 1 COPY 到CO欄位'!BF$1,0)</f>
        <v>0</v>
      </c>
      <c r="BL75" s="157">
        <f>VLOOKUP($A75,'Over Under Bill 1 COPY 到CO欄位'!$1:$1048576,'Over Under Bill 1 COPY 到CO欄位'!BL$1,0)-VLOOKUP($A75,'Over Under Bill 1 COPY 到CO欄位'!$1:$1048576,'Over Under Bill 1 COPY 到CO欄位'!BG$1,0)</f>
        <v>0</v>
      </c>
      <c r="BM75" s="157">
        <f t="shared" si="100"/>
        <v>0</v>
      </c>
      <c r="BN75" s="157">
        <f>VLOOKUP($A75,'Over Under Bill 1 COPY 到CO欄位'!$1:$1048576,'Over Under Bill 1 COPY 到CO欄位'!BN$1,0)-VLOOKUP($A75,'Over Under Bill 1 COPY 到CO欄位'!$1:$1048576,'Over Under Bill 1 COPY 到CO欄位'!BI$1,0)</f>
        <v>0</v>
      </c>
      <c r="BO75" s="157">
        <f t="shared" si="101"/>
        <v>0</v>
      </c>
      <c r="BP75" s="158">
        <f>VLOOKUP($A75,'Over Under Bill 1 COPY 到CO欄位'!$1:$1048576,'Over Under Bill 1 COPY 到CO欄位'!BP$1,0)-VLOOKUP($A75,'Over Under Bill 1 COPY 到CO欄位'!$1:$1048576,'Over Under Bill 1 COPY 到CO欄位'!BK$1,0)</f>
        <v>0</v>
      </c>
      <c r="BQ75" s="158">
        <f>VLOOKUP($A75,'Over Under Bill 1 COPY 到CO欄位'!$1:$1048576,'Over Under Bill 1 COPY 到CO欄位'!BQ$1,0)-VLOOKUP($A75,'Over Under Bill 1 COPY 到CO欄位'!$1:$1048576,'Over Under Bill 1 COPY 到CO欄位'!BL$1,0)</f>
        <v>0</v>
      </c>
      <c r="BR75" s="158">
        <f t="shared" si="102"/>
        <v>0</v>
      </c>
      <c r="BS75" s="158">
        <f>VLOOKUP($A75,'Over Under Bill 1 COPY 到CO欄位'!$1:$1048576,'Over Under Bill 1 COPY 到CO欄位'!BS$1,0)-VLOOKUP($A75,'Over Under Bill 1 COPY 到CO欄位'!$1:$1048576,'Over Under Bill 1 COPY 到CO欄位'!BN$1,0)</f>
        <v>0</v>
      </c>
      <c r="BT75" s="158">
        <f t="shared" si="103"/>
        <v>0</v>
      </c>
      <c r="BU75" s="157">
        <f>VLOOKUP($A75,'Over Under Bill 1 COPY 到CO欄位'!$1:$1048576,'Over Under Bill 1 COPY 到CO欄位'!BP$1,0)-VLOOKUP($A75,'Over Under Bill 1 COPY 到CO欄位'!$1:$1048576,'Over Under Bill 1 COPY 到CO欄位'!H$1,0)</f>
        <v>0</v>
      </c>
      <c r="BV75" s="157">
        <f>VLOOKUP($A75,'Over Under Bill 1 COPY 到CO欄位'!$1:$1048576,'Over Under Bill 1 COPY 到CO欄位'!BQ$1,0)-VLOOKUP($A75,'Over Under Bill 1 COPY 到CO欄位'!$1:$1048576,'Over Under Bill 1 COPY 到CO欄位'!I$1,0)</f>
        <v>0</v>
      </c>
      <c r="BW75" s="157">
        <f t="shared" si="104"/>
        <v>0</v>
      </c>
      <c r="BX75" s="157">
        <f>VLOOKUP($A75,'Over Under Bill 1 COPY 到CO欄位'!$1:$1048576,'Over Under Bill 1 COPY 到CO欄位'!BS$1,0)-VLOOKUP($A75,'Over Under Bill 1 COPY 到CO欄位'!$1:$1048576,'Over Under Bill 1 COPY 到CO欄位'!K$1,0)</f>
        <v>0</v>
      </c>
      <c r="BY75" s="157">
        <f t="shared" si="105"/>
        <v>0</v>
      </c>
      <c r="BZ75" s="158">
        <f>VLOOKUP($A75,'Over Under Bill 1 COPY 到CO欄位'!$1:$1048576,'Over Under Bill 1 COPY 到CO欄位'!BU$1,0)-VLOOKUP($A75,'Over Under Bill 1 COPY 到CO欄位'!$1:$1048576,'Over Under Bill 1 COPY 到CO欄位'!BP$1,0)</f>
        <v>0</v>
      </c>
      <c r="CA75" s="158">
        <f>VLOOKUP($A75,'Over Under Bill 1 COPY 到CO欄位'!$1:$1048576,'Over Under Bill 1 COPY 到CO欄位'!BV$1,0)-VLOOKUP($A75,'Over Under Bill 1 COPY 到CO欄位'!$1:$1048576,'Over Under Bill 1 COPY 到CO欄位'!BQ$1,0)</f>
        <v>0</v>
      </c>
      <c r="CB75" s="158">
        <f t="shared" si="106"/>
        <v>0</v>
      </c>
      <c r="CC75" s="158">
        <f>VLOOKUP($A75,'Over Under Bill 1 COPY 到CO欄位'!$1:$1048576,'Over Under Bill 1 COPY 到CO欄位'!BX$1,0)-VLOOKUP($A75,'Over Under Bill 1 COPY 到CO欄位'!$1:$1048576,'Over Under Bill 1 COPY 到CO欄位'!BS$1,0)</f>
        <v>0</v>
      </c>
      <c r="CD75" s="158">
        <f t="shared" si="107"/>
        <v>0</v>
      </c>
      <c r="CE75" s="157">
        <f>VLOOKUP($A75,'Over Under Bill 1 COPY 到CO欄位'!$1:$1048576,'Over Under Bill 1 COPY 到CO欄位'!BZ$1,0)-VLOOKUP($A75,'Over Under Bill 1 COPY 到CO欄位'!$1:$1048576,'Over Under Bill 1 COPY 到CO欄位'!BU$1,0)</f>
        <v>0</v>
      </c>
      <c r="CF75" s="157">
        <f>VLOOKUP($A75,'Over Under Bill 1 COPY 到CO欄位'!$1:$1048576,'Over Under Bill 1 COPY 到CO欄位'!CA$1,0)-VLOOKUP($A75,'Over Under Bill 1 COPY 到CO欄位'!$1:$1048576,'Over Under Bill 1 COPY 到CO欄位'!BV$1,0)</f>
        <v>0</v>
      </c>
      <c r="CG75" s="157">
        <f t="shared" si="108"/>
        <v>0</v>
      </c>
      <c r="CH75" s="157">
        <f>VLOOKUP($A75,'Over Under Bill 1 COPY 到CO欄位'!$1:$1048576,'Over Under Bill 1 COPY 到CO欄位'!CC$1,0)-VLOOKUP($A75,'Over Under Bill 1 COPY 到CO欄位'!$1:$1048576,'Over Under Bill 1 COPY 到CO欄位'!BX$1,0)</f>
        <v>0</v>
      </c>
      <c r="CI75" s="157">
        <f t="shared" si="109"/>
        <v>0</v>
      </c>
      <c r="CJ75" s="158">
        <f>VLOOKUP($A75,'Over Under Bill 1 COPY 到CO欄位'!$1:$1048576,'Over Under Bill 1 COPY 到CO欄位'!CE$1,0)-VLOOKUP($A75,'Over Under Bill 1 COPY 到CO欄位'!$1:$1048576,'Over Under Bill 1 COPY 到CO欄位'!BZ$1,0)</f>
        <v>0</v>
      </c>
      <c r="CK75" s="158">
        <f>VLOOKUP($A75,'Over Under Bill 1 COPY 到CO欄位'!$1:$1048576,'Over Under Bill 1 COPY 到CO欄位'!CF$1,0)-VLOOKUP($A75,'Over Under Bill 1 COPY 到CO欄位'!$1:$1048576,'Over Under Bill 1 COPY 到CO欄位'!CA$1,0)</f>
        <v>0</v>
      </c>
      <c r="CL75" s="158">
        <f t="shared" si="110"/>
        <v>0</v>
      </c>
      <c r="CM75" s="158">
        <f>VLOOKUP($A75,'Over Under Bill 1 COPY 到CO欄位'!$1:$1048576,'Over Under Bill 1 COPY 到CO欄位'!CH$1,0)-VLOOKUP($A75,'Over Under Bill 1 COPY 到CO欄位'!$1:$1048576,'Over Under Bill 1 COPY 到CO欄位'!CC$1,0)</f>
        <v>0</v>
      </c>
      <c r="CN75" s="158">
        <f t="shared" si="111"/>
        <v>0</v>
      </c>
      <c r="CO75" s="157">
        <f>VLOOKUP($A75,'Over Under Bill 1 COPY 到CO欄位'!$1:$1048576,'Over Under Bill 1 COPY 到CO欄位'!CJ$1,0)-VLOOKUP($A75,'Over Under Bill 1 COPY 到CO欄位'!$1:$1048576,'Over Under Bill 1 COPY 到CO欄位'!CE$1,0)</f>
        <v>0</v>
      </c>
      <c r="CP75" s="157">
        <f>VLOOKUP($A75,'Over Under Bill 1 COPY 到CO欄位'!$1:$1048576,'Over Under Bill 1 COPY 到CO欄位'!CK$1,0)-VLOOKUP($A75,'Over Under Bill 1 COPY 到CO欄位'!$1:$1048576,'Over Under Bill 1 COPY 到CO欄位'!CF$1,0)</f>
        <v>0</v>
      </c>
      <c r="CQ75" s="157">
        <f t="shared" si="112"/>
        <v>0</v>
      </c>
      <c r="CR75" s="157">
        <f>VLOOKUP($A75,'Over Under Bill 1 COPY 到CO欄位'!$1:$1048576,'Over Under Bill 1 COPY 到CO欄位'!CM$1,0)-VLOOKUP($A75,'Over Under Bill 1 COPY 到CO欄位'!$1:$1048576,'Over Under Bill 1 COPY 到CO欄位'!CH$1,0)</f>
        <v>0</v>
      </c>
      <c r="CS75" s="157">
        <f t="shared" si="113"/>
        <v>0</v>
      </c>
    </row>
    <row r="76" spans="1:97">
      <c r="A76" s="158" t="s">
        <v>447</v>
      </c>
      <c r="B76" s="172" t="s">
        <v>448</v>
      </c>
      <c r="C76" s="157">
        <f>IFERROR(VLOOKUP($A76,'A0 BS 1240在建'!$1:$1048576,5,0),0)</f>
        <v>0</v>
      </c>
      <c r="D76" s="157">
        <f>IFERROR(VLOOKUP($A76,'B0 2264預收'!$1:$1048576,5,0),0)</f>
        <v>0</v>
      </c>
      <c r="E76" s="157">
        <f t="shared" si="76"/>
        <v>0</v>
      </c>
      <c r="F76" s="157">
        <f>IFERROR(VLOOKUP($A76,'B0 2264預收'!$1:$1048576,6,0),0)</f>
        <v>0</v>
      </c>
      <c r="G76" s="157">
        <f t="shared" si="77"/>
        <v>0</v>
      </c>
      <c r="H76" s="158">
        <f>IFERROR(VLOOKUP($A76,'A0 BS 1240在建'!$1:$1048576,13,0),0)-C76</f>
        <v>0</v>
      </c>
      <c r="I76" s="158">
        <f>IFERROR(VLOOKUP($A76,'B0 2264預收'!$1:$1048576,13,0),0)-D76</f>
        <v>0</v>
      </c>
      <c r="J76" s="158">
        <f t="shared" si="78"/>
        <v>0</v>
      </c>
      <c r="K76" s="158">
        <f>IFERROR(VLOOKUP($A76,'B0 2264預收'!$1:$1048576,14,0),0)-F76</f>
        <v>0</v>
      </c>
      <c r="L76" s="158">
        <f t="shared" si="79"/>
        <v>0</v>
      </c>
      <c r="M76" s="157">
        <f>VLOOKUP($A76,'Over Under Bill 1 COPY 到CO欄位'!$1:$1048576,'Over Under Bill 1 COPY 到CO欄位'!M$1,0)-VLOOKUP($A76,'Over Under Bill 1 COPY 到CO欄位'!$1:$1048576,'Over Under Bill 1 COPY 到CO欄位'!H$1,0)</f>
        <v>0</v>
      </c>
      <c r="N76" s="157">
        <f>VLOOKUP($A76,'Over Under Bill 1 COPY 到CO欄位'!$1:$1048576,'Over Under Bill 1 COPY 到CO欄位'!N$1,0)-VLOOKUP($A76,'Over Under Bill 1 COPY 到CO欄位'!$1:$1048576,'Over Under Bill 1 COPY 到CO欄位'!I$1,0)</f>
        <v>0</v>
      </c>
      <c r="O76" s="157">
        <f t="shared" si="80"/>
        <v>0</v>
      </c>
      <c r="P76" s="157">
        <f>VLOOKUP($A76,'Over Under Bill 1 COPY 到CO欄位'!$1:$1048576,'Over Under Bill 1 COPY 到CO欄位'!P$1,0)-VLOOKUP($A76,'Over Under Bill 1 COPY 到CO欄位'!$1:$1048576,'Over Under Bill 1 COPY 到CO欄位'!K$1,0)</f>
        <v>0</v>
      </c>
      <c r="Q76" s="157">
        <f t="shared" si="81"/>
        <v>0</v>
      </c>
      <c r="R76" s="158">
        <f>VLOOKUP($A76,'Over Under Bill 1 COPY 到CO欄位'!$1:$1048576,'Over Under Bill 1 COPY 到CO欄位'!R$1,0)-VLOOKUP($A76,'Over Under Bill 1 COPY 到CO欄位'!$1:$1048576,'Over Under Bill 1 COPY 到CO欄位'!M$1,0)</f>
        <v>0</v>
      </c>
      <c r="S76" s="158">
        <f>VLOOKUP($A76,'Over Under Bill 1 COPY 到CO欄位'!$1:$1048576,'Over Under Bill 1 COPY 到CO欄位'!S$1,0)-VLOOKUP($A76,'Over Under Bill 1 COPY 到CO欄位'!$1:$1048576,'Over Under Bill 1 COPY 到CO欄位'!N$1,0)</f>
        <v>0</v>
      </c>
      <c r="T76" s="158">
        <f t="shared" si="82"/>
        <v>0</v>
      </c>
      <c r="U76" s="158">
        <f>VLOOKUP($A76,'Over Under Bill 1 COPY 到CO欄位'!$1:$1048576,'Over Under Bill 1 COPY 到CO欄位'!U$1,0)-VLOOKUP($A76,'Over Under Bill 1 COPY 到CO欄位'!$1:$1048576,'Over Under Bill 1 COPY 到CO欄位'!P$1,0)</f>
        <v>0</v>
      </c>
      <c r="V76" s="158">
        <f t="shared" si="83"/>
        <v>0</v>
      </c>
      <c r="W76" s="157">
        <f>VLOOKUP($A76,'Over Under Bill 1 COPY 到CO欄位'!$1:$1048576,'Over Under Bill 1 COPY 到CO欄位'!W$1,0)-VLOOKUP($A76,'Over Under Bill 1 COPY 到CO欄位'!$1:$1048576,'Over Under Bill 1 COPY 到CO欄位'!R$1,0)</f>
        <v>0</v>
      </c>
      <c r="X76" s="157">
        <f>VLOOKUP($A76,'Over Under Bill 1 COPY 到CO欄位'!$1:$1048576,'Over Under Bill 1 COPY 到CO欄位'!X$1,0)-VLOOKUP($A76,'Over Under Bill 1 COPY 到CO欄位'!$1:$1048576,'Over Under Bill 1 COPY 到CO欄位'!S$1,0)</f>
        <v>0</v>
      </c>
      <c r="Y76" s="157">
        <f t="shared" si="84"/>
        <v>0</v>
      </c>
      <c r="Z76" s="157">
        <f>VLOOKUP($A76,'Over Under Bill 1 COPY 到CO欄位'!$1:$1048576,'Over Under Bill 1 COPY 到CO欄位'!Z$1,0)-VLOOKUP($A76,'Over Under Bill 1 COPY 到CO欄位'!$1:$1048576,'Over Under Bill 1 COPY 到CO欄位'!U$1,0)</f>
        <v>0</v>
      </c>
      <c r="AA76" s="157">
        <f t="shared" si="85"/>
        <v>0</v>
      </c>
      <c r="AB76" s="158">
        <f>VLOOKUP($A76,'Over Under Bill 1 COPY 到CO欄位'!$1:$1048576,'Over Under Bill 1 COPY 到CO欄位'!AB$1,0)-VLOOKUP($A76,'Over Under Bill 1 COPY 到CO欄位'!$1:$1048576,'Over Under Bill 1 COPY 到CO欄位'!W$1,0)</f>
        <v>0</v>
      </c>
      <c r="AC76" s="158">
        <f>VLOOKUP($A76,'Over Under Bill 1 COPY 到CO欄位'!$1:$1048576,'Over Under Bill 1 COPY 到CO欄位'!AC$1,0)-VLOOKUP($A76,'Over Under Bill 1 COPY 到CO欄位'!$1:$1048576,'Over Under Bill 1 COPY 到CO欄位'!X$1,0)</f>
        <v>0</v>
      </c>
      <c r="AD76" s="158">
        <f t="shared" si="86"/>
        <v>0</v>
      </c>
      <c r="AE76" s="158">
        <f>VLOOKUP($A76,'Over Under Bill 1 COPY 到CO欄位'!$1:$1048576,'Over Under Bill 1 COPY 到CO欄位'!AE$1,0)-VLOOKUP($A76,'Over Under Bill 1 COPY 到CO欄位'!$1:$1048576,'Over Under Bill 1 COPY 到CO欄位'!Z$1,0)</f>
        <v>0</v>
      </c>
      <c r="AF76" s="158">
        <f t="shared" si="87"/>
        <v>0</v>
      </c>
      <c r="AG76" s="157">
        <f>VLOOKUP($A76,'Over Under Bill 1 COPY 到CO欄位'!$1:$1048576,'Over Under Bill 1 COPY 到CO欄位'!AG$1,0)-VLOOKUP($A76,'Over Under Bill 1 COPY 到CO欄位'!$1:$1048576,'Over Under Bill 1 COPY 到CO欄位'!AB$1,0)</f>
        <v>0</v>
      </c>
      <c r="AH76" s="157">
        <f>VLOOKUP($A76,'Over Under Bill 1 COPY 到CO欄位'!$1:$1048576,'Over Under Bill 1 COPY 到CO欄位'!AH$1,0)-VLOOKUP($A76,'Over Under Bill 1 COPY 到CO欄位'!$1:$1048576,'Over Under Bill 1 COPY 到CO欄位'!AC$1,0)</f>
        <v>0</v>
      </c>
      <c r="AI76" s="157">
        <f t="shared" si="88"/>
        <v>0</v>
      </c>
      <c r="AJ76" s="157">
        <f>VLOOKUP($A76,'Over Under Bill 1 COPY 到CO欄位'!$1:$1048576,'Over Under Bill 1 COPY 到CO欄位'!AJ$1,0)-VLOOKUP($A76,'Over Under Bill 1 COPY 到CO欄位'!$1:$1048576,'Over Under Bill 1 COPY 到CO欄位'!AE$1,0)</f>
        <v>0</v>
      </c>
      <c r="AK76" s="157">
        <f t="shared" si="89"/>
        <v>0</v>
      </c>
      <c r="AL76" s="158">
        <f>VLOOKUP($A76,'Over Under Bill 1 COPY 到CO欄位'!$1:$1048576,'Over Under Bill 1 COPY 到CO欄位'!AL$1,0)-VLOOKUP($A76,'Over Under Bill 1 COPY 到CO欄位'!$1:$1048576,'Over Under Bill 1 COPY 到CO欄位'!AG$1,0)</f>
        <v>0</v>
      </c>
      <c r="AM76" s="158">
        <f>VLOOKUP($A76,'Over Under Bill 1 COPY 到CO欄位'!$1:$1048576,'Over Under Bill 1 COPY 到CO欄位'!AM$1,0)-VLOOKUP($A76,'Over Under Bill 1 COPY 到CO欄位'!$1:$1048576,'Over Under Bill 1 COPY 到CO欄位'!AH$1,0)</f>
        <v>0</v>
      </c>
      <c r="AN76" s="158">
        <f t="shared" si="90"/>
        <v>0</v>
      </c>
      <c r="AO76" s="158">
        <f>VLOOKUP($A76,'Over Under Bill 1 COPY 到CO欄位'!$1:$1048576,'Over Under Bill 1 COPY 到CO欄位'!AO$1,0)-VLOOKUP($A76,'Over Under Bill 1 COPY 到CO欄位'!$1:$1048576,'Over Under Bill 1 COPY 到CO欄位'!AJ$1,0)</f>
        <v>0</v>
      </c>
      <c r="AP76" s="158">
        <f t="shared" si="91"/>
        <v>0</v>
      </c>
      <c r="AQ76" s="157">
        <f>VLOOKUP($A76,'Over Under Bill 1 COPY 到CO欄位'!$1:$1048576,'Over Under Bill 1 COPY 到CO欄位'!AQ$1,0)-VLOOKUP($A76,'Over Under Bill 1 COPY 到CO欄位'!$1:$1048576,'Over Under Bill 1 COPY 到CO欄位'!AL$1,0)</f>
        <v>0</v>
      </c>
      <c r="AR76" s="157">
        <f>VLOOKUP($A76,'Over Under Bill 1 COPY 到CO欄位'!$1:$1048576,'Over Under Bill 1 COPY 到CO欄位'!AR$1,0)-VLOOKUP($A76,'Over Under Bill 1 COPY 到CO欄位'!$1:$1048576,'Over Under Bill 1 COPY 到CO欄位'!AM$1,0)</f>
        <v>0</v>
      </c>
      <c r="AS76" s="157">
        <f t="shared" si="92"/>
        <v>0</v>
      </c>
      <c r="AT76" s="157">
        <f>VLOOKUP($A76,'Over Under Bill 1 COPY 到CO欄位'!$1:$1048576,'Over Under Bill 1 COPY 到CO欄位'!AT$1,0)-VLOOKUP($A76,'Over Under Bill 1 COPY 到CO欄位'!$1:$1048576,'Over Under Bill 1 COPY 到CO欄位'!AO$1,0)</f>
        <v>0</v>
      </c>
      <c r="AU76" s="157">
        <f t="shared" si="93"/>
        <v>0</v>
      </c>
      <c r="AV76" s="158">
        <f>VLOOKUP($A76,'Over Under Bill 1 COPY 到CO欄位'!$1:$1048576,'Over Under Bill 1 COPY 到CO欄位'!AV$1,0)-VLOOKUP($A76,'Over Under Bill 1 COPY 到CO欄位'!$1:$1048576,'Over Under Bill 1 COPY 到CO欄位'!AQ$1,0)</f>
        <v>0</v>
      </c>
      <c r="AW76" s="158">
        <f>VLOOKUP($A76,'Over Under Bill 1 COPY 到CO欄位'!$1:$1048576,'Over Under Bill 1 COPY 到CO欄位'!AW$1,0)-VLOOKUP($A76,'Over Under Bill 1 COPY 到CO欄位'!$1:$1048576,'Over Under Bill 1 COPY 到CO欄位'!AR$1,0)</f>
        <v>0</v>
      </c>
      <c r="AX76" s="158">
        <f t="shared" si="94"/>
        <v>0</v>
      </c>
      <c r="AY76" s="158">
        <f>VLOOKUP($A76,'Over Under Bill 1 COPY 到CO欄位'!$1:$1048576,'Over Under Bill 1 COPY 到CO欄位'!AY$1,0)-VLOOKUP($A76,'Over Under Bill 1 COPY 到CO欄位'!$1:$1048576,'Over Under Bill 1 COPY 到CO欄位'!AT$1,0)</f>
        <v>0</v>
      </c>
      <c r="AZ76" s="158">
        <f t="shared" si="95"/>
        <v>0</v>
      </c>
      <c r="BA76" s="157">
        <f>VLOOKUP($A76,'Over Under Bill 1 COPY 到CO欄位'!$1:$1048576,'Over Under Bill 1 COPY 到CO欄位'!BA$1,0)-VLOOKUP($A76,'Over Under Bill 1 COPY 到CO欄位'!$1:$1048576,'Over Under Bill 1 COPY 到CO欄位'!AV$1,0)</f>
        <v>0</v>
      </c>
      <c r="BB76" s="157">
        <f>VLOOKUP($A76,'Over Under Bill 1 COPY 到CO欄位'!$1:$1048576,'Over Under Bill 1 COPY 到CO欄位'!BB$1,0)-VLOOKUP($A76,'Over Under Bill 1 COPY 到CO欄位'!$1:$1048576,'Over Under Bill 1 COPY 到CO欄位'!AW$1,0)</f>
        <v>0</v>
      </c>
      <c r="BC76" s="157">
        <f t="shared" si="96"/>
        <v>0</v>
      </c>
      <c r="BD76" s="157">
        <f>VLOOKUP($A76,'Over Under Bill 1 COPY 到CO欄位'!$1:$1048576,'Over Under Bill 1 COPY 到CO欄位'!BD$1,0)-VLOOKUP($A76,'Over Under Bill 1 COPY 到CO欄位'!$1:$1048576,'Over Under Bill 1 COPY 到CO欄位'!AY$1,0)</f>
        <v>0</v>
      </c>
      <c r="BE76" s="157">
        <f t="shared" si="97"/>
        <v>0</v>
      </c>
      <c r="BF76" s="158">
        <f>VLOOKUP($A76,'Over Under Bill 1 COPY 到CO欄位'!$1:$1048576,'Over Under Bill 1 COPY 到CO欄位'!BF$1,0)-VLOOKUP($A76,'Over Under Bill 1 COPY 到CO欄位'!$1:$1048576,'Over Under Bill 1 COPY 到CO欄位'!BA$1,0)</f>
        <v>0</v>
      </c>
      <c r="BG76" s="158">
        <f>VLOOKUP($A76,'Over Under Bill 1 COPY 到CO欄位'!$1:$1048576,'Over Under Bill 1 COPY 到CO欄位'!BG$1,0)-VLOOKUP($A76,'Over Under Bill 1 COPY 到CO欄位'!$1:$1048576,'Over Under Bill 1 COPY 到CO欄位'!BB$1,0)</f>
        <v>0</v>
      </c>
      <c r="BH76" s="158">
        <f t="shared" si="98"/>
        <v>0</v>
      </c>
      <c r="BI76" s="158">
        <f>VLOOKUP($A76,'Over Under Bill 1 COPY 到CO欄位'!$1:$1048576,'Over Under Bill 1 COPY 到CO欄位'!BI$1,0)-VLOOKUP($A76,'Over Under Bill 1 COPY 到CO欄位'!$1:$1048576,'Over Under Bill 1 COPY 到CO欄位'!BD$1,0)</f>
        <v>0</v>
      </c>
      <c r="BJ76" s="158">
        <f t="shared" si="99"/>
        <v>0</v>
      </c>
      <c r="BK76" s="157">
        <f>VLOOKUP($A76,'Over Under Bill 1 COPY 到CO欄位'!$1:$1048576,'Over Under Bill 1 COPY 到CO欄位'!BK$1,0)-VLOOKUP($A76,'Over Under Bill 1 COPY 到CO欄位'!$1:$1048576,'Over Under Bill 1 COPY 到CO欄位'!BF$1,0)</f>
        <v>0</v>
      </c>
      <c r="BL76" s="157">
        <f>VLOOKUP($A76,'Over Under Bill 1 COPY 到CO欄位'!$1:$1048576,'Over Under Bill 1 COPY 到CO欄位'!BL$1,0)-VLOOKUP($A76,'Over Under Bill 1 COPY 到CO欄位'!$1:$1048576,'Over Under Bill 1 COPY 到CO欄位'!BG$1,0)</f>
        <v>0</v>
      </c>
      <c r="BM76" s="157">
        <f t="shared" si="100"/>
        <v>0</v>
      </c>
      <c r="BN76" s="157">
        <f>VLOOKUP($A76,'Over Under Bill 1 COPY 到CO欄位'!$1:$1048576,'Over Under Bill 1 COPY 到CO欄位'!BN$1,0)-VLOOKUP($A76,'Over Under Bill 1 COPY 到CO欄位'!$1:$1048576,'Over Under Bill 1 COPY 到CO欄位'!BI$1,0)</f>
        <v>0</v>
      </c>
      <c r="BO76" s="157">
        <f t="shared" si="101"/>
        <v>0</v>
      </c>
      <c r="BP76" s="158">
        <f>VLOOKUP($A76,'Over Under Bill 1 COPY 到CO欄位'!$1:$1048576,'Over Under Bill 1 COPY 到CO欄位'!BP$1,0)-VLOOKUP($A76,'Over Under Bill 1 COPY 到CO欄位'!$1:$1048576,'Over Under Bill 1 COPY 到CO欄位'!BK$1,0)</f>
        <v>0</v>
      </c>
      <c r="BQ76" s="158">
        <f>VLOOKUP($A76,'Over Under Bill 1 COPY 到CO欄位'!$1:$1048576,'Over Under Bill 1 COPY 到CO欄位'!BQ$1,0)-VLOOKUP($A76,'Over Under Bill 1 COPY 到CO欄位'!$1:$1048576,'Over Under Bill 1 COPY 到CO欄位'!BL$1,0)</f>
        <v>0</v>
      </c>
      <c r="BR76" s="158">
        <f t="shared" si="102"/>
        <v>0</v>
      </c>
      <c r="BS76" s="158">
        <f>VLOOKUP($A76,'Over Under Bill 1 COPY 到CO欄位'!$1:$1048576,'Over Under Bill 1 COPY 到CO欄位'!BS$1,0)-VLOOKUP($A76,'Over Under Bill 1 COPY 到CO欄位'!$1:$1048576,'Over Under Bill 1 COPY 到CO欄位'!BN$1,0)</f>
        <v>0</v>
      </c>
      <c r="BT76" s="158">
        <f t="shared" si="103"/>
        <v>0</v>
      </c>
      <c r="BU76" s="157">
        <f>VLOOKUP($A76,'Over Under Bill 1 COPY 到CO欄位'!$1:$1048576,'Over Under Bill 1 COPY 到CO欄位'!BP$1,0)-VLOOKUP($A76,'Over Under Bill 1 COPY 到CO欄位'!$1:$1048576,'Over Under Bill 1 COPY 到CO欄位'!H$1,0)</f>
        <v>0</v>
      </c>
      <c r="BV76" s="157">
        <f>VLOOKUP($A76,'Over Under Bill 1 COPY 到CO欄位'!$1:$1048576,'Over Under Bill 1 COPY 到CO欄位'!BQ$1,0)-VLOOKUP($A76,'Over Under Bill 1 COPY 到CO欄位'!$1:$1048576,'Over Under Bill 1 COPY 到CO欄位'!I$1,0)</f>
        <v>0</v>
      </c>
      <c r="BW76" s="157">
        <f t="shared" si="104"/>
        <v>0</v>
      </c>
      <c r="BX76" s="157">
        <f>VLOOKUP($A76,'Over Under Bill 1 COPY 到CO欄位'!$1:$1048576,'Over Under Bill 1 COPY 到CO欄位'!BS$1,0)-VLOOKUP($A76,'Over Under Bill 1 COPY 到CO欄位'!$1:$1048576,'Over Under Bill 1 COPY 到CO欄位'!K$1,0)</f>
        <v>0</v>
      </c>
      <c r="BY76" s="157">
        <f t="shared" si="105"/>
        <v>0</v>
      </c>
      <c r="BZ76" s="158">
        <f>VLOOKUP($A76,'Over Under Bill 1 COPY 到CO欄位'!$1:$1048576,'Over Under Bill 1 COPY 到CO欄位'!BU$1,0)-VLOOKUP($A76,'Over Under Bill 1 COPY 到CO欄位'!$1:$1048576,'Over Under Bill 1 COPY 到CO欄位'!BP$1,0)</f>
        <v>0</v>
      </c>
      <c r="CA76" s="158">
        <f>VLOOKUP($A76,'Over Under Bill 1 COPY 到CO欄位'!$1:$1048576,'Over Under Bill 1 COPY 到CO欄位'!BV$1,0)-VLOOKUP($A76,'Over Under Bill 1 COPY 到CO欄位'!$1:$1048576,'Over Under Bill 1 COPY 到CO欄位'!BQ$1,0)</f>
        <v>0</v>
      </c>
      <c r="CB76" s="158">
        <f t="shared" si="106"/>
        <v>0</v>
      </c>
      <c r="CC76" s="158">
        <f>VLOOKUP($A76,'Over Under Bill 1 COPY 到CO欄位'!$1:$1048576,'Over Under Bill 1 COPY 到CO欄位'!BX$1,0)-VLOOKUP($A76,'Over Under Bill 1 COPY 到CO欄位'!$1:$1048576,'Over Under Bill 1 COPY 到CO欄位'!BS$1,0)</f>
        <v>0</v>
      </c>
      <c r="CD76" s="158">
        <f t="shared" si="107"/>
        <v>0</v>
      </c>
      <c r="CE76" s="157">
        <f>VLOOKUP($A76,'Over Under Bill 1 COPY 到CO欄位'!$1:$1048576,'Over Under Bill 1 COPY 到CO欄位'!BZ$1,0)-VLOOKUP($A76,'Over Under Bill 1 COPY 到CO欄位'!$1:$1048576,'Over Under Bill 1 COPY 到CO欄位'!BU$1,0)</f>
        <v>0</v>
      </c>
      <c r="CF76" s="157">
        <f>VLOOKUP($A76,'Over Under Bill 1 COPY 到CO欄位'!$1:$1048576,'Over Under Bill 1 COPY 到CO欄位'!CA$1,0)-VLOOKUP($A76,'Over Under Bill 1 COPY 到CO欄位'!$1:$1048576,'Over Under Bill 1 COPY 到CO欄位'!BV$1,0)</f>
        <v>0</v>
      </c>
      <c r="CG76" s="157">
        <f t="shared" si="108"/>
        <v>0</v>
      </c>
      <c r="CH76" s="157">
        <f>VLOOKUP($A76,'Over Under Bill 1 COPY 到CO欄位'!$1:$1048576,'Over Under Bill 1 COPY 到CO欄位'!CC$1,0)-VLOOKUP($A76,'Over Under Bill 1 COPY 到CO欄位'!$1:$1048576,'Over Under Bill 1 COPY 到CO欄位'!BX$1,0)</f>
        <v>0</v>
      </c>
      <c r="CI76" s="157">
        <f t="shared" si="109"/>
        <v>0</v>
      </c>
      <c r="CJ76" s="158">
        <f>VLOOKUP($A76,'Over Under Bill 1 COPY 到CO欄位'!$1:$1048576,'Over Under Bill 1 COPY 到CO欄位'!CE$1,0)-VLOOKUP($A76,'Over Under Bill 1 COPY 到CO欄位'!$1:$1048576,'Over Under Bill 1 COPY 到CO欄位'!BZ$1,0)</f>
        <v>0</v>
      </c>
      <c r="CK76" s="158">
        <f>VLOOKUP($A76,'Over Under Bill 1 COPY 到CO欄位'!$1:$1048576,'Over Under Bill 1 COPY 到CO欄位'!CF$1,0)-VLOOKUP($A76,'Over Under Bill 1 COPY 到CO欄位'!$1:$1048576,'Over Under Bill 1 COPY 到CO欄位'!CA$1,0)</f>
        <v>0</v>
      </c>
      <c r="CL76" s="158">
        <f t="shared" si="110"/>
        <v>0</v>
      </c>
      <c r="CM76" s="158">
        <f>VLOOKUP($A76,'Over Under Bill 1 COPY 到CO欄位'!$1:$1048576,'Over Under Bill 1 COPY 到CO欄位'!CH$1,0)-VLOOKUP($A76,'Over Under Bill 1 COPY 到CO欄位'!$1:$1048576,'Over Under Bill 1 COPY 到CO欄位'!CC$1,0)</f>
        <v>0</v>
      </c>
      <c r="CN76" s="158">
        <f t="shared" si="111"/>
        <v>0</v>
      </c>
      <c r="CO76" s="157">
        <f>VLOOKUP($A76,'Over Under Bill 1 COPY 到CO欄位'!$1:$1048576,'Over Under Bill 1 COPY 到CO欄位'!CJ$1,0)-VLOOKUP($A76,'Over Under Bill 1 COPY 到CO欄位'!$1:$1048576,'Over Under Bill 1 COPY 到CO欄位'!CE$1,0)</f>
        <v>0</v>
      </c>
      <c r="CP76" s="157">
        <f>VLOOKUP($A76,'Over Under Bill 1 COPY 到CO欄位'!$1:$1048576,'Over Under Bill 1 COPY 到CO欄位'!CK$1,0)-VLOOKUP($A76,'Over Under Bill 1 COPY 到CO欄位'!$1:$1048576,'Over Under Bill 1 COPY 到CO欄位'!CF$1,0)</f>
        <v>0</v>
      </c>
      <c r="CQ76" s="157">
        <f t="shared" si="112"/>
        <v>0</v>
      </c>
      <c r="CR76" s="157">
        <f>VLOOKUP($A76,'Over Under Bill 1 COPY 到CO欄位'!$1:$1048576,'Over Under Bill 1 COPY 到CO欄位'!CM$1,0)-VLOOKUP($A76,'Over Under Bill 1 COPY 到CO欄位'!$1:$1048576,'Over Under Bill 1 COPY 到CO欄位'!CH$1,0)</f>
        <v>0</v>
      </c>
      <c r="CS76" s="157">
        <f t="shared" si="113"/>
        <v>0</v>
      </c>
    </row>
    <row r="77" spans="1:97">
      <c r="A77" s="171" t="s">
        <v>449</v>
      </c>
      <c r="B77" s="172" t="s">
        <v>450</v>
      </c>
      <c r="C77" s="157">
        <f>IFERROR(VLOOKUP($A77,'A0 BS 1240在建'!$1:$1048576,5,0),0)</f>
        <v>0</v>
      </c>
      <c r="D77" s="157">
        <f>IFERROR(VLOOKUP($A77,'B0 2264預收'!$1:$1048576,5,0),0)</f>
        <v>0</v>
      </c>
      <c r="E77" s="157">
        <f t="shared" si="76"/>
        <v>0</v>
      </c>
      <c r="F77" s="157">
        <f>IFERROR(VLOOKUP($A77,'B0 2264預收'!$1:$1048576,6,0),0)</f>
        <v>0</v>
      </c>
      <c r="G77" s="157">
        <f t="shared" si="77"/>
        <v>0</v>
      </c>
      <c r="H77" s="158">
        <f>IFERROR(VLOOKUP($A77,'A0 BS 1240在建'!$1:$1048576,13,0),0)-C77</f>
        <v>0</v>
      </c>
      <c r="I77" s="158">
        <f>IFERROR(VLOOKUP($A77,'B0 2264預收'!$1:$1048576,13,0),0)-D77</f>
        <v>0</v>
      </c>
      <c r="J77" s="158">
        <f t="shared" si="78"/>
        <v>0</v>
      </c>
      <c r="K77" s="158">
        <f>IFERROR(VLOOKUP($A77,'B0 2264預收'!$1:$1048576,14,0),0)-F77</f>
        <v>0</v>
      </c>
      <c r="L77" s="158">
        <f t="shared" si="79"/>
        <v>0</v>
      </c>
      <c r="M77" s="157">
        <f>VLOOKUP($A77,'Over Under Bill 1 COPY 到CO欄位'!$1:$1048576,'Over Under Bill 1 COPY 到CO欄位'!M$1,0)-VLOOKUP($A77,'Over Under Bill 1 COPY 到CO欄位'!$1:$1048576,'Over Under Bill 1 COPY 到CO欄位'!H$1,0)</f>
        <v>0</v>
      </c>
      <c r="N77" s="157">
        <f>VLOOKUP($A77,'Over Under Bill 1 COPY 到CO欄位'!$1:$1048576,'Over Under Bill 1 COPY 到CO欄位'!N$1,0)-VLOOKUP($A77,'Over Under Bill 1 COPY 到CO欄位'!$1:$1048576,'Over Under Bill 1 COPY 到CO欄位'!I$1,0)</f>
        <v>0</v>
      </c>
      <c r="O77" s="157">
        <f t="shared" si="80"/>
        <v>0</v>
      </c>
      <c r="P77" s="157">
        <f>VLOOKUP($A77,'Over Under Bill 1 COPY 到CO欄位'!$1:$1048576,'Over Under Bill 1 COPY 到CO欄位'!P$1,0)-VLOOKUP($A77,'Over Under Bill 1 COPY 到CO欄位'!$1:$1048576,'Over Under Bill 1 COPY 到CO欄位'!K$1,0)</f>
        <v>0</v>
      </c>
      <c r="Q77" s="157">
        <f t="shared" si="81"/>
        <v>0</v>
      </c>
      <c r="R77" s="158">
        <f>VLOOKUP($A77,'Over Under Bill 1 COPY 到CO欄位'!$1:$1048576,'Over Under Bill 1 COPY 到CO欄位'!R$1,0)-VLOOKUP($A77,'Over Under Bill 1 COPY 到CO欄位'!$1:$1048576,'Over Under Bill 1 COPY 到CO欄位'!M$1,0)</f>
        <v>0</v>
      </c>
      <c r="S77" s="158">
        <f>VLOOKUP($A77,'Over Under Bill 1 COPY 到CO欄位'!$1:$1048576,'Over Under Bill 1 COPY 到CO欄位'!S$1,0)-VLOOKUP($A77,'Over Under Bill 1 COPY 到CO欄位'!$1:$1048576,'Over Under Bill 1 COPY 到CO欄位'!N$1,0)</f>
        <v>0</v>
      </c>
      <c r="T77" s="158">
        <f t="shared" si="82"/>
        <v>0</v>
      </c>
      <c r="U77" s="158">
        <f>VLOOKUP($A77,'Over Under Bill 1 COPY 到CO欄位'!$1:$1048576,'Over Under Bill 1 COPY 到CO欄位'!U$1,0)-VLOOKUP($A77,'Over Under Bill 1 COPY 到CO欄位'!$1:$1048576,'Over Under Bill 1 COPY 到CO欄位'!P$1,0)</f>
        <v>0</v>
      </c>
      <c r="V77" s="158">
        <f t="shared" si="83"/>
        <v>0</v>
      </c>
      <c r="W77" s="157">
        <f>VLOOKUP($A77,'Over Under Bill 1 COPY 到CO欄位'!$1:$1048576,'Over Under Bill 1 COPY 到CO欄位'!W$1,0)-VLOOKUP($A77,'Over Under Bill 1 COPY 到CO欄位'!$1:$1048576,'Over Under Bill 1 COPY 到CO欄位'!R$1,0)</f>
        <v>0</v>
      </c>
      <c r="X77" s="157">
        <f>VLOOKUP($A77,'Over Under Bill 1 COPY 到CO欄位'!$1:$1048576,'Over Under Bill 1 COPY 到CO欄位'!X$1,0)-VLOOKUP($A77,'Over Under Bill 1 COPY 到CO欄位'!$1:$1048576,'Over Under Bill 1 COPY 到CO欄位'!S$1,0)</f>
        <v>0</v>
      </c>
      <c r="Y77" s="157">
        <f t="shared" si="84"/>
        <v>0</v>
      </c>
      <c r="Z77" s="157">
        <f>VLOOKUP($A77,'Over Under Bill 1 COPY 到CO欄位'!$1:$1048576,'Over Under Bill 1 COPY 到CO欄位'!Z$1,0)-VLOOKUP($A77,'Over Under Bill 1 COPY 到CO欄位'!$1:$1048576,'Over Under Bill 1 COPY 到CO欄位'!U$1,0)</f>
        <v>0</v>
      </c>
      <c r="AA77" s="157">
        <f t="shared" si="85"/>
        <v>0</v>
      </c>
      <c r="AB77" s="158">
        <f>VLOOKUP($A77,'Over Under Bill 1 COPY 到CO欄位'!$1:$1048576,'Over Under Bill 1 COPY 到CO欄位'!AB$1,0)-VLOOKUP($A77,'Over Under Bill 1 COPY 到CO欄位'!$1:$1048576,'Over Under Bill 1 COPY 到CO欄位'!W$1,0)</f>
        <v>0</v>
      </c>
      <c r="AC77" s="158">
        <f>VLOOKUP($A77,'Over Under Bill 1 COPY 到CO欄位'!$1:$1048576,'Over Under Bill 1 COPY 到CO欄位'!AC$1,0)-VLOOKUP($A77,'Over Under Bill 1 COPY 到CO欄位'!$1:$1048576,'Over Under Bill 1 COPY 到CO欄位'!X$1,0)</f>
        <v>0</v>
      </c>
      <c r="AD77" s="158">
        <f t="shared" si="86"/>
        <v>0</v>
      </c>
      <c r="AE77" s="158">
        <f>VLOOKUP($A77,'Over Under Bill 1 COPY 到CO欄位'!$1:$1048576,'Over Under Bill 1 COPY 到CO欄位'!AE$1,0)-VLOOKUP($A77,'Over Under Bill 1 COPY 到CO欄位'!$1:$1048576,'Over Under Bill 1 COPY 到CO欄位'!Z$1,0)</f>
        <v>0</v>
      </c>
      <c r="AF77" s="158">
        <f t="shared" si="87"/>
        <v>0</v>
      </c>
      <c r="AG77" s="157">
        <f>VLOOKUP($A77,'Over Under Bill 1 COPY 到CO欄位'!$1:$1048576,'Over Under Bill 1 COPY 到CO欄位'!AG$1,0)-VLOOKUP($A77,'Over Under Bill 1 COPY 到CO欄位'!$1:$1048576,'Over Under Bill 1 COPY 到CO欄位'!AB$1,0)</f>
        <v>0</v>
      </c>
      <c r="AH77" s="157">
        <f>VLOOKUP($A77,'Over Under Bill 1 COPY 到CO欄位'!$1:$1048576,'Over Under Bill 1 COPY 到CO欄位'!AH$1,0)-VLOOKUP($A77,'Over Under Bill 1 COPY 到CO欄位'!$1:$1048576,'Over Under Bill 1 COPY 到CO欄位'!AC$1,0)</f>
        <v>0</v>
      </c>
      <c r="AI77" s="157">
        <f t="shared" si="88"/>
        <v>0</v>
      </c>
      <c r="AJ77" s="157">
        <f>VLOOKUP($A77,'Over Under Bill 1 COPY 到CO欄位'!$1:$1048576,'Over Under Bill 1 COPY 到CO欄位'!AJ$1,0)-VLOOKUP($A77,'Over Under Bill 1 COPY 到CO欄位'!$1:$1048576,'Over Under Bill 1 COPY 到CO欄位'!AE$1,0)</f>
        <v>0</v>
      </c>
      <c r="AK77" s="157">
        <f t="shared" si="89"/>
        <v>0</v>
      </c>
      <c r="AL77" s="158">
        <f>VLOOKUP($A77,'Over Under Bill 1 COPY 到CO欄位'!$1:$1048576,'Over Under Bill 1 COPY 到CO欄位'!AL$1,0)-VLOOKUP($A77,'Over Under Bill 1 COPY 到CO欄位'!$1:$1048576,'Over Under Bill 1 COPY 到CO欄位'!AG$1,0)</f>
        <v>0</v>
      </c>
      <c r="AM77" s="158">
        <f>VLOOKUP($A77,'Over Under Bill 1 COPY 到CO欄位'!$1:$1048576,'Over Under Bill 1 COPY 到CO欄位'!AM$1,0)-VLOOKUP($A77,'Over Under Bill 1 COPY 到CO欄位'!$1:$1048576,'Over Under Bill 1 COPY 到CO欄位'!AH$1,0)</f>
        <v>0</v>
      </c>
      <c r="AN77" s="158">
        <f t="shared" si="90"/>
        <v>0</v>
      </c>
      <c r="AO77" s="158">
        <f>VLOOKUP($A77,'Over Under Bill 1 COPY 到CO欄位'!$1:$1048576,'Over Under Bill 1 COPY 到CO欄位'!AO$1,0)-VLOOKUP($A77,'Over Under Bill 1 COPY 到CO欄位'!$1:$1048576,'Over Under Bill 1 COPY 到CO欄位'!AJ$1,0)</f>
        <v>0</v>
      </c>
      <c r="AP77" s="158">
        <f t="shared" si="91"/>
        <v>0</v>
      </c>
      <c r="AQ77" s="157">
        <f>VLOOKUP($A77,'Over Under Bill 1 COPY 到CO欄位'!$1:$1048576,'Over Under Bill 1 COPY 到CO欄位'!AQ$1,0)-VLOOKUP($A77,'Over Under Bill 1 COPY 到CO欄位'!$1:$1048576,'Over Under Bill 1 COPY 到CO欄位'!AL$1,0)</f>
        <v>0</v>
      </c>
      <c r="AR77" s="157">
        <f>VLOOKUP($A77,'Over Under Bill 1 COPY 到CO欄位'!$1:$1048576,'Over Under Bill 1 COPY 到CO欄位'!AR$1,0)-VLOOKUP($A77,'Over Under Bill 1 COPY 到CO欄位'!$1:$1048576,'Over Under Bill 1 COPY 到CO欄位'!AM$1,0)</f>
        <v>0</v>
      </c>
      <c r="AS77" s="157">
        <f t="shared" si="92"/>
        <v>0</v>
      </c>
      <c r="AT77" s="157">
        <f>VLOOKUP($A77,'Over Under Bill 1 COPY 到CO欄位'!$1:$1048576,'Over Under Bill 1 COPY 到CO欄位'!AT$1,0)-VLOOKUP($A77,'Over Under Bill 1 COPY 到CO欄位'!$1:$1048576,'Over Under Bill 1 COPY 到CO欄位'!AO$1,0)</f>
        <v>0</v>
      </c>
      <c r="AU77" s="157">
        <f t="shared" si="93"/>
        <v>0</v>
      </c>
      <c r="AV77" s="158">
        <f>VLOOKUP($A77,'Over Under Bill 1 COPY 到CO欄位'!$1:$1048576,'Over Under Bill 1 COPY 到CO欄位'!AV$1,0)-VLOOKUP($A77,'Over Under Bill 1 COPY 到CO欄位'!$1:$1048576,'Over Under Bill 1 COPY 到CO欄位'!AQ$1,0)</f>
        <v>0</v>
      </c>
      <c r="AW77" s="158">
        <f>VLOOKUP($A77,'Over Under Bill 1 COPY 到CO欄位'!$1:$1048576,'Over Under Bill 1 COPY 到CO欄位'!AW$1,0)-VLOOKUP($A77,'Over Under Bill 1 COPY 到CO欄位'!$1:$1048576,'Over Under Bill 1 COPY 到CO欄位'!AR$1,0)</f>
        <v>0</v>
      </c>
      <c r="AX77" s="158">
        <f t="shared" si="94"/>
        <v>0</v>
      </c>
      <c r="AY77" s="158">
        <f>VLOOKUP($A77,'Over Under Bill 1 COPY 到CO欄位'!$1:$1048576,'Over Under Bill 1 COPY 到CO欄位'!AY$1,0)-VLOOKUP($A77,'Over Under Bill 1 COPY 到CO欄位'!$1:$1048576,'Over Under Bill 1 COPY 到CO欄位'!AT$1,0)</f>
        <v>0</v>
      </c>
      <c r="AZ77" s="158">
        <f t="shared" si="95"/>
        <v>0</v>
      </c>
      <c r="BA77" s="157">
        <f>VLOOKUP($A77,'Over Under Bill 1 COPY 到CO欄位'!$1:$1048576,'Over Under Bill 1 COPY 到CO欄位'!BA$1,0)-VLOOKUP($A77,'Over Under Bill 1 COPY 到CO欄位'!$1:$1048576,'Over Under Bill 1 COPY 到CO欄位'!AV$1,0)</f>
        <v>0</v>
      </c>
      <c r="BB77" s="157">
        <f>VLOOKUP($A77,'Over Under Bill 1 COPY 到CO欄位'!$1:$1048576,'Over Under Bill 1 COPY 到CO欄位'!BB$1,0)-VLOOKUP($A77,'Over Under Bill 1 COPY 到CO欄位'!$1:$1048576,'Over Under Bill 1 COPY 到CO欄位'!AW$1,0)</f>
        <v>0</v>
      </c>
      <c r="BC77" s="157">
        <f t="shared" si="96"/>
        <v>0</v>
      </c>
      <c r="BD77" s="157">
        <f>VLOOKUP($A77,'Over Under Bill 1 COPY 到CO欄位'!$1:$1048576,'Over Under Bill 1 COPY 到CO欄位'!BD$1,0)-VLOOKUP($A77,'Over Under Bill 1 COPY 到CO欄位'!$1:$1048576,'Over Under Bill 1 COPY 到CO欄位'!AY$1,0)</f>
        <v>0</v>
      </c>
      <c r="BE77" s="157">
        <f t="shared" si="97"/>
        <v>0</v>
      </c>
      <c r="BF77" s="158">
        <f>VLOOKUP($A77,'Over Under Bill 1 COPY 到CO欄位'!$1:$1048576,'Over Under Bill 1 COPY 到CO欄位'!BF$1,0)-VLOOKUP($A77,'Over Under Bill 1 COPY 到CO欄位'!$1:$1048576,'Over Under Bill 1 COPY 到CO欄位'!BA$1,0)</f>
        <v>0</v>
      </c>
      <c r="BG77" s="158">
        <f>VLOOKUP($A77,'Over Under Bill 1 COPY 到CO欄位'!$1:$1048576,'Over Under Bill 1 COPY 到CO欄位'!BG$1,0)-VLOOKUP($A77,'Over Under Bill 1 COPY 到CO欄位'!$1:$1048576,'Over Under Bill 1 COPY 到CO欄位'!BB$1,0)</f>
        <v>0</v>
      </c>
      <c r="BH77" s="158">
        <f t="shared" si="98"/>
        <v>0</v>
      </c>
      <c r="BI77" s="158">
        <f>VLOOKUP($A77,'Over Under Bill 1 COPY 到CO欄位'!$1:$1048576,'Over Under Bill 1 COPY 到CO欄位'!BI$1,0)-VLOOKUP($A77,'Over Under Bill 1 COPY 到CO欄位'!$1:$1048576,'Over Under Bill 1 COPY 到CO欄位'!BD$1,0)</f>
        <v>0</v>
      </c>
      <c r="BJ77" s="158">
        <f t="shared" si="99"/>
        <v>0</v>
      </c>
      <c r="BK77" s="157">
        <f>VLOOKUP($A77,'Over Under Bill 1 COPY 到CO欄位'!$1:$1048576,'Over Under Bill 1 COPY 到CO欄位'!BK$1,0)-VLOOKUP($A77,'Over Under Bill 1 COPY 到CO欄位'!$1:$1048576,'Over Under Bill 1 COPY 到CO欄位'!BF$1,0)</f>
        <v>0</v>
      </c>
      <c r="BL77" s="157">
        <f>VLOOKUP($A77,'Over Under Bill 1 COPY 到CO欄位'!$1:$1048576,'Over Under Bill 1 COPY 到CO欄位'!BL$1,0)-VLOOKUP($A77,'Over Under Bill 1 COPY 到CO欄位'!$1:$1048576,'Over Under Bill 1 COPY 到CO欄位'!BG$1,0)</f>
        <v>0</v>
      </c>
      <c r="BM77" s="157">
        <f t="shared" si="100"/>
        <v>0</v>
      </c>
      <c r="BN77" s="157">
        <f>VLOOKUP($A77,'Over Under Bill 1 COPY 到CO欄位'!$1:$1048576,'Over Under Bill 1 COPY 到CO欄位'!BN$1,0)-VLOOKUP($A77,'Over Under Bill 1 COPY 到CO欄位'!$1:$1048576,'Over Under Bill 1 COPY 到CO欄位'!BI$1,0)</f>
        <v>0</v>
      </c>
      <c r="BO77" s="157">
        <f t="shared" si="101"/>
        <v>0</v>
      </c>
      <c r="BP77" s="158">
        <f>VLOOKUP($A77,'Over Under Bill 1 COPY 到CO欄位'!$1:$1048576,'Over Under Bill 1 COPY 到CO欄位'!BP$1,0)-VLOOKUP($A77,'Over Under Bill 1 COPY 到CO欄位'!$1:$1048576,'Over Under Bill 1 COPY 到CO欄位'!BK$1,0)</f>
        <v>0</v>
      </c>
      <c r="BQ77" s="158">
        <f>VLOOKUP($A77,'Over Under Bill 1 COPY 到CO欄位'!$1:$1048576,'Over Under Bill 1 COPY 到CO欄位'!BQ$1,0)-VLOOKUP($A77,'Over Under Bill 1 COPY 到CO欄位'!$1:$1048576,'Over Under Bill 1 COPY 到CO欄位'!BL$1,0)</f>
        <v>0</v>
      </c>
      <c r="BR77" s="158">
        <f t="shared" si="102"/>
        <v>0</v>
      </c>
      <c r="BS77" s="158">
        <f>VLOOKUP($A77,'Over Under Bill 1 COPY 到CO欄位'!$1:$1048576,'Over Under Bill 1 COPY 到CO欄位'!BS$1,0)-VLOOKUP($A77,'Over Under Bill 1 COPY 到CO欄位'!$1:$1048576,'Over Under Bill 1 COPY 到CO欄位'!BN$1,0)</f>
        <v>0</v>
      </c>
      <c r="BT77" s="158">
        <f t="shared" si="103"/>
        <v>0</v>
      </c>
      <c r="BU77" s="157">
        <f>VLOOKUP($A77,'Over Under Bill 1 COPY 到CO欄位'!$1:$1048576,'Over Under Bill 1 COPY 到CO欄位'!BP$1,0)-VLOOKUP($A77,'Over Under Bill 1 COPY 到CO欄位'!$1:$1048576,'Over Under Bill 1 COPY 到CO欄位'!H$1,0)</f>
        <v>0</v>
      </c>
      <c r="BV77" s="157">
        <f>VLOOKUP($A77,'Over Under Bill 1 COPY 到CO欄位'!$1:$1048576,'Over Under Bill 1 COPY 到CO欄位'!BQ$1,0)-VLOOKUP($A77,'Over Under Bill 1 COPY 到CO欄位'!$1:$1048576,'Over Under Bill 1 COPY 到CO欄位'!I$1,0)</f>
        <v>0</v>
      </c>
      <c r="BW77" s="157">
        <f t="shared" si="104"/>
        <v>0</v>
      </c>
      <c r="BX77" s="157">
        <f>VLOOKUP($A77,'Over Under Bill 1 COPY 到CO欄位'!$1:$1048576,'Over Under Bill 1 COPY 到CO欄位'!BS$1,0)-VLOOKUP($A77,'Over Under Bill 1 COPY 到CO欄位'!$1:$1048576,'Over Under Bill 1 COPY 到CO欄位'!K$1,0)</f>
        <v>0</v>
      </c>
      <c r="BY77" s="157">
        <f t="shared" si="105"/>
        <v>0</v>
      </c>
      <c r="BZ77" s="158">
        <f>VLOOKUP($A77,'Over Under Bill 1 COPY 到CO欄位'!$1:$1048576,'Over Under Bill 1 COPY 到CO欄位'!BU$1,0)-VLOOKUP($A77,'Over Under Bill 1 COPY 到CO欄位'!$1:$1048576,'Over Under Bill 1 COPY 到CO欄位'!BP$1,0)</f>
        <v>0</v>
      </c>
      <c r="CA77" s="158">
        <f>VLOOKUP($A77,'Over Under Bill 1 COPY 到CO欄位'!$1:$1048576,'Over Under Bill 1 COPY 到CO欄位'!BV$1,0)-VLOOKUP($A77,'Over Under Bill 1 COPY 到CO欄位'!$1:$1048576,'Over Under Bill 1 COPY 到CO欄位'!BQ$1,0)</f>
        <v>0</v>
      </c>
      <c r="CB77" s="158">
        <f t="shared" si="106"/>
        <v>0</v>
      </c>
      <c r="CC77" s="158">
        <f>VLOOKUP($A77,'Over Under Bill 1 COPY 到CO欄位'!$1:$1048576,'Over Under Bill 1 COPY 到CO欄位'!BX$1,0)-VLOOKUP($A77,'Over Under Bill 1 COPY 到CO欄位'!$1:$1048576,'Over Under Bill 1 COPY 到CO欄位'!BS$1,0)</f>
        <v>0</v>
      </c>
      <c r="CD77" s="158">
        <f t="shared" si="107"/>
        <v>0</v>
      </c>
      <c r="CE77" s="157">
        <f>VLOOKUP($A77,'Over Under Bill 1 COPY 到CO欄位'!$1:$1048576,'Over Under Bill 1 COPY 到CO欄位'!BZ$1,0)-VLOOKUP($A77,'Over Under Bill 1 COPY 到CO欄位'!$1:$1048576,'Over Under Bill 1 COPY 到CO欄位'!BU$1,0)</f>
        <v>0</v>
      </c>
      <c r="CF77" s="157">
        <f>VLOOKUP($A77,'Over Under Bill 1 COPY 到CO欄位'!$1:$1048576,'Over Under Bill 1 COPY 到CO欄位'!CA$1,0)-VLOOKUP($A77,'Over Under Bill 1 COPY 到CO欄位'!$1:$1048576,'Over Under Bill 1 COPY 到CO欄位'!BV$1,0)</f>
        <v>0</v>
      </c>
      <c r="CG77" s="157">
        <f t="shared" si="108"/>
        <v>0</v>
      </c>
      <c r="CH77" s="157">
        <f>VLOOKUP($A77,'Over Under Bill 1 COPY 到CO欄位'!$1:$1048576,'Over Under Bill 1 COPY 到CO欄位'!CC$1,0)-VLOOKUP($A77,'Over Under Bill 1 COPY 到CO欄位'!$1:$1048576,'Over Under Bill 1 COPY 到CO欄位'!BX$1,0)</f>
        <v>0</v>
      </c>
      <c r="CI77" s="157">
        <f t="shared" si="109"/>
        <v>0</v>
      </c>
      <c r="CJ77" s="158">
        <f>VLOOKUP($A77,'Over Under Bill 1 COPY 到CO欄位'!$1:$1048576,'Over Under Bill 1 COPY 到CO欄位'!CE$1,0)-VLOOKUP($A77,'Over Under Bill 1 COPY 到CO欄位'!$1:$1048576,'Over Under Bill 1 COPY 到CO欄位'!BZ$1,0)</f>
        <v>0</v>
      </c>
      <c r="CK77" s="158">
        <f>VLOOKUP($A77,'Over Under Bill 1 COPY 到CO欄位'!$1:$1048576,'Over Under Bill 1 COPY 到CO欄位'!CF$1,0)-VLOOKUP($A77,'Over Under Bill 1 COPY 到CO欄位'!$1:$1048576,'Over Under Bill 1 COPY 到CO欄位'!CA$1,0)</f>
        <v>0</v>
      </c>
      <c r="CL77" s="158">
        <f t="shared" si="110"/>
        <v>0</v>
      </c>
      <c r="CM77" s="158">
        <f>VLOOKUP($A77,'Over Under Bill 1 COPY 到CO欄位'!$1:$1048576,'Over Under Bill 1 COPY 到CO欄位'!CH$1,0)-VLOOKUP($A77,'Over Under Bill 1 COPY 到CO欄位'!$1:$1048576,'Over Under Bill 1 COPY 到CO欄位'!CC$1,0)</f>
        <v>0</v>
      </c>
      <c r="CN77" s="158">
        <f t="shared" si="111"/>
        <v>0</v>
      </c>
      <c r="CO77" s="157">
        <f>VLOOKUP($A77,'Over Under Bill 1 COPY 到CO欄位'!$1:$1048576,'Over Under Bill 1 COPY 到CO欄位'!CJ$1,0)-VLOOKUP($A77,'Over Under Bill 1 COPY 到CO欄位'!$1:$1048576,'Over Under Bill 1 COPY 到CO欄位'!CE$1,0)</f>
        <v>0</v>
      </c>
      <c r="CP77" s="157">
        <f>VLOOKUP($A77,'Over Under Bill 1 COPY 到CO欄位'!$1:$1048576,'Over Under Bill 1 COPY 到CO欄位'!CK$1,0)-VLOOKUP($A77,'Over Under Bill 1 COPY 到CO欄位'!$1:$1048576,'Over Under Bill 1 COPY 到CO欄位'!CF$1,0)</f>
        <v>0</v>
      </c>
      <c r="CQ77" s="157">
        <f t="shared" si="112"/>
        <v>0</v>
      </c>
      <c r="CR77" s="157">
        <f>VLOOKUP($A77,'Over Under Bill 1 COPY 到CO欄位'!$1:$1048576,'Over Under Bill 1 COPY 到CO欄位'!CM$1,0)-VLOOKUP($A77,'Over Under Bill 1 COPY 到CO欄位'!$1:$1048576,'Over Under Bill 1 COPY 到CO欄位'!CH$1,0)</f>
        <v>0</v>
      </c>
      <c r="CS77" s="157">
        <f t="shared" si="113"/>
        <v>0</v>
      </c>
    </row>
    <row r="78" spans="1:97">
      <c r="A78" s="171" t="s">
        <v>451</v>
      </c>
      <c r="B78" s="172" t="s">
        <v>452</v>
      </c>
      <c r="C78" s="157">
        <f>IFERROR(VLOOKUP($A78,'A0 BS 1240在建'!$1:$1048576,5,0),0)</f>
        <v>0</v>
      </c>
      <c r="D78" s="157">
        <f>IFERROR(VLOOKUP($A78,'B0 2264預收'!$1:$1048576,5,0),0)</f>
        <v>0</v>
      </c>
      <c r="E78" s="157">
        <f t="shared" si="76"/>
        <v>0</v>
      </c>
      <c r="F78" s="157">
        <f>IFERROR(VLOOKUP($A78,'B0 2264預收'!$1:$1048576,6,0),0)</f>
        <v>0</v>
      </c>
      <c r="G78" s="157">
        <f t="shared" si="77"/>
        <v>0</v>
      </c>
      <c r="H78" s="158">
        <f>IFERROR(VLOOKUP($A78,'A0 BS 1240在建'!$1:$1048576,13,0),0)-C78</f>
        <v>0</v>
      </c>
      <c r="I78" s="158">
        <f>IFERROR(VLOOKUP($A78,'B0 2264預收'!$1:$1048576,13,0),0)-D78</f>
        <v>0</v>
      </c>
      <c r="J78" s="158">
        <f t="shared" si="78"/>
        <v>0</v>
      </c>
      <c r="K78" s="158">
        <f>IFERROR(VLOOKUP($A78,'B0 2264預收'!$1:$1048576,14,0),0)-F78</f>
        <v>0</v>
      </c>
      <c r="L78" s="158">
        <f t="shared" si="79"/>
        <v>0</v>
      </c>
      <c r="M78" s="157">
        <f>VLOOKUP($A78,'Over Under Bill 1 COPY 到CO欄位'!$1:$1048576,'Over Under Bill 1 COPY 到CO欄位'!M$1,0)-VLOOKUP($A78,'Over Under Bill 1 COPY 到CO欄位'!$1:$1048576,'Over Under Bill 1 COPY 到CO欄位'!H$1,0)</f>
        <v>0</v>
      </c>
      <c r="N78" s="157">
        <f>VLOOKUP($A78,'Over Under Bill 1 COPY 到CO欄位'!$1:$1048576,'Over Under Bill 1 COPY 到CO欄位'!N$1,0)-VLOOKUP($A78,'Over Under Bill 1 COPY 到CO欄位'!$1:$1048576,'Over Under Bill 1 COPY 到CO欄位'!I$1,0)</f>
        <v>0</v>
      </c>
      <c r="O78" s="157">
        <f t="shared" si="80"/>
        <v>0</v>
      </c>
      <c r="P78" s="157">
        <f>VLOOKUP($A78,'Over Under Bill 1 COPY 到CO欄位'!$1:$1048576,'Over Under Bill 1 COPY 到CO欄位'!P$1,0)-VLOOKUP($A78,'Over Under Bill 1 COPY 到CO欄位'!$1:$1048576,'Over Under Bill 1 COPY 到CO欄位'!K$1,0)</f>
        <v>0</v>
      </c>
      <c r="Q78" s="157">
        <f t="shared" si="81"/>
        <v>0</v>
      </c>
      <c r="R78" s="158">
        <f>VLOOKUP($A78,'Over Under Bill 1 COPY 到CO欄位'!$1:$1048576,'Over Under Bill 1 COPY 到CO欄位'!R$1,0)-VLOOKUP($A78,'Over Under Bill 1 COPY 到CO欄位'!$1:$1048576,'Over Under Bill 1 COPY 到CO欄位'!M$1,0)</f>
        <v>0</v>
      </c>
      <c r="S78" s="158">
        <f>VLOOKUP($A78,'Over Under Bill 1 COPY 到CO欄位'!$1:$1048576,'Over Under Bill 1 COPY 到CO欄位'!S$1,0)-VLOOKUP($A78,'Over Under Bill 1 COPY 到CO欄位'!$1:$1048576,'Over Under Bill 1 COPY 到CO欄位'!N$1,0)</f>
        <v>0</v>
      </c>
      <c r="T78" s="158">
        <f t="shared" si="82"/>
        <v>0</v>
      </c>
      <c r="U78" s="158">
        <f>VLOOKUP($A78,'Over Under Bill 1 COPY 到CO欄位'!$1:$1048576,'Over Under Bill 1 COPY 到CO欄位'!U$1,0)-VLOOKUP($A78,'Over Under Bill 1 COPY 到CO欄位'!$1:$1048576,'Over Under Bill 1 COPY 到CO欄位'!P$1,0)</f>
        <v>0</v>
      </c>
      <c r="V78" s="158">
        <f t="shared" si="83"/>
        <v>0</v>
      </c>
      <c r="W78" s="157">
        <f>VLOOKUP($A78,'Over Under Bill 1 COPY 到CO欄位'!$1:$1048576,'Over Under Bill 1 COPY 到CO欄位'!W$1,0)-VLOOKUP($A78,'Over Under Bill 1 COPY 到CO欄位'!$1:$1048576,'Over Under Bill 1 COPY 到CO欄位'!R$1,0)</f>
        <v>0</v>
      </c>
      <c r="X78" s="157">
        <f>VLOOKUP($A78,'Over Under Bill 1 COPY 到CO欄位'!$1:$1048576,'Over Under Bill 1 COPY 到CO欄位'!X$1,0)-VLOOKUP($A78,'Over Under Bill 1 COPY 到CO欄位'!$1:$1048576,'Over Under Bill 1 COPY 到CO欄位'!S$1,0)</f>
        <v>0</v>
      </c>
      <c r="Y78" s="157">
        <f t="shared" si="84"/>
        <v>0</v>
      </c>
      <c r="Z78" s="157">
        <f>VLOOKUP($A78,'Over Under Bill 1 COPY 到CO欄位'!$1:$1048576,'Over Under Bill 1 COPY 到CO欄位'!Z$1,0)-VLOOKUP($A78,'Over Under Bill 1 COPY 到CO欄位'!$1:$1048576,'Over Under Bill 1 COPY 到CO欄位'!U$1,0)</f>
        <v>0</v>
      </c>
      <c r="AA78" s="157">
        <f t="shared" si="85"/>
        <v>0</v>
      </c>
      <c r="AB78" s="158">
        <f>VLOOKUP($A78,'Over Under Bill 1 COPY 到CO欄位'!$1:$1048576,'Over Under Bill 1 COPY 到CO欄位'!AB$1,0)-VLOOKUP($A78,'Over Under Bill 1 COPY 到CO欄位'!$1:$1048576,'Over Under Bill 1 COPY 到CO欄位'!W$1,0)</f>
        <v>0</v>
      </c>
      <c r="AC78" s="158">
        <f>VLOOKUP($A78,'Over Under Bill 1 COPY 到CO欄位'!$1:$1048576,'Over Under Bill 1 COPY 到CO欄位'!AC$1,0)-VLOOKUP($A78,'Over Under Bill 1 COPY 到CO欄位'!$1:$1048576,'Over Under Bill 1 COPY 到CO欄位'!X$1,0)</f>
        <v>0</v>
      </c>
      <c r="AD78" s="158">
        <f t="shared" si="86"/>
        <v>0</v>
      </c>
      <c r="AE78" s="158">
        <f>VLOOKUP($A78,'Over Under Bill 1 COPY 到CO欄位'!$1:$1048576,'Over Under Bill 1 COPY 到CO欄位'!AE$1,0)-VLOOKUP($A78,'Over Under Bill 1 COPY 到CO欄位'!$1:$1048576,'Over Under Bill 1 COPY 到CO欄位'!Z$1,0)</f>
        <v>0</v>
      </c>
      <c r="AF78" s="158">
        <f t="shared" si="87"/>
        <v>0</v>
      </c>
      <c r="AG78" s="157">
        <f>VLOOKUP($A78,'Over Under Bill 1 COPY 到CO欄位'!$1:$1048576,'Over Under Bill 1 COPY 到CO欄位'!AG$1,0)-VLOOKUP($A78,'Over Under Bill 1 COPY 到CO欄位'!$1:$1048576,'Over Under Bill 1 COPY 到CO欄位'!AB$1,0)</f>
        <v>0</v>
      </c>
      <c r="AH78" s="157">
        <f>VLOOKUP($A78,'Over Under Bill 1 COPY 到CO欄位'!$1:$1048576,'Over Under Bill 1 COPY 到CO欄位'!AH$1,0)-VLOOKUP($A78,'Over Under Bill 1 COPY 到CO欄位'!$1:$1048576,'Over Under Bill 1 COPY 到CO欄位'!AC$1,0)</f>
        <v>0</v>
      </c>
      <c r="AI78" s="157">
        <f t="shared" si="88"/>
        <v>0</v>
      </c>
      <c r="AJ78" s="157">
        <f>VLOOKUP($A78,'Over Under Bill 1 COPY 到CO欄位'!$1:$1048576,'Over Under Bill 1 COPY 到CO欄位'!AJ$1,0)-VLOOKUP($A78,'Over Under Bill 1 COPY 到CO欄位'!$1:$1048576,'Over Under Bill 1 COPY 到CO欄位'!AE$1,0)</f>
        <v>0</v>
      </c>
      <c r="AK78" s="157">
        <f t="shared" si="89"/>
        <v>0</v>
      </c>
      <c r="AL78" s="158">
        <f>VLOOKUP($A78,'Over Under Bill 1 COPY 到CO欄位'!$1:$1048576,'Over Under Bill 1 COPY 到CO欄位'!AL$1,0)-VLOOKUP($A78,'Over Under Bill 1 COPY 到CO欄位'!$1:$1048576,'Over Under Bill 1 COPY 到CO欄位'!AG$1,0)</f>
        <v>0</v>
      </c>
      <c r="AM78" s="158">
        <f>VLOOKUP($A78,'Over Under Bill 1 COPY 到CO欄位'!$1:$1048576,'Over Under Bill 1 COPY 到CO欄位'!AM$1,0)-VLOOKUP($A78,'Over Under Bill 1 COPY 到CO欄位'!$1:$1048576,'Over Under Bill 1 COPY 到CO欄位'!AH$1,0)</f>
        <v>0</v>
      </c>
      <c r="AN78" s="158">
        <f t="shared" si="90"/>
        <v>0</v>
      </c>
      <c r="AO78" s="158">
        <f>VLOOKUP($A78,'Over Under Bill 1 COPY 到CO欄位'!$1:$1048576,'Over Under Bill 1 COPY 到CO欄位'!AO$1,0)-VLOOKUP($A78,'Over Under Bill 1 COPY 到CO欄位'!$1:$1048576,'Over Under Bill 1 COPY 到CO欄位'!AJ$1,0)</f>
        <v>0</v>
      </c>
      <c r="AP78" s="158">
        <f t="shared" si="91"/>
        <v>0</v>
      </c>
      <c r="AQ78" s="157">
        <f>VLOOKUP($A78,'Over Under Bill 1 COPY 到CO欄位'!$1:$1048576,'Over Under Bill 1 COPY 到CO欄位'!AQ$1,0)-VLOOKUP($A78,'Over Under Bill 1 COPY 到CO欄位'!$1:$1048576,'Over Under Bill 1 COPY 到CO欄位'!AL$1,0)</f>
        <v>0</v>
      </c>
      <c r="AR78" s="157">
        <f>VLOOKUP($A78,'Over Under Bill 1 COPY 到CO欄位'!$1:$1048576,'Over Under Bill 1 COPY 到CO欄位'!AR$1,0)-VLOOKUP($A78,'Over Under Bill 1 COPY 到CO欄位'!$1:$1048576,'Over Under Bill 1 COPY 到CO欄位'!AM$1,0)</f>
        <v>0</v>
      </c>
      <c r="AS78" s="157">
        <f t="shared" si="92"/>
        <v>0</v>
      </c>
      <c r="AT78" s="157">
        <f>VLOOKUP($A78,'Over Under Bill 1 COPY 到CO欄位'!$1:$1048576,'Over Under Bill 1 COPY 到CO欄位'!AT$1,0)-VLOOKUP($A78,'Over Under Bill 1 COPY 到CO欄位'!$1:$1048576,'Over Under Bill 1 COPY 到CO欄位'!AO$1,0)</f>
        <v>0</v>
      </c>
      <c r="AU78" s="157">
        <f t="shared" si="93"/>
        <v>0</v>
      </c>
      <c r="AV78" s="158">
        <f>VLOOKUP($A78,'Over Under Bill 1 COPY 到CO欄位'!$1:$1048576,'Over Under Bill 1 COPY 到CO欄位'!AV$1,0)-VLOOKUP($A78,'Over Under Bill 1 COPY 到CO欄位'!$1:$1048576,'Over Under Bill 1 COPY 到CO欄位'!AQ$1,0)</f>
        <v>0</v>
      </c>
      <c r="AW78" s="158">
        <f>VLOOKUP($A78,'Over Under Bill 1 COPY 到CO欄位'!$1:$1048576,'Over Under Bill 1 COPY 到CO欄位'!AW$1,0)-VLOOKUP($A78,'Over Under Bill 1 COPY 到CO欄位'!$1:$1048576,'Over Under Bill 1 COPY 到CO欄位'!AR$1,0)</f>
        <v>0</v>
      </c>
      <c r="AX78" s="158">
        <f t="shared" si="94"/>
        <v>0</v>
      </c>
      <c r="AY78" s="158">
        <f>VLOOKUP($A78,'Over Under Bill 1 COPY 到CO欄位'!$1:$1048576,'Over Under Bill 1 COPY 到CO欄位'!AY$1,0)-VLOOKUP($A78,'Over Under Bill 1 COPY 到CO欄位'!$1:$1048576,'Over Under Bill 1 COPY 到CO欄位'!AT$1,0)</f>
        <v>0</v>
      </c>
      <c r="AZ78" s="158">
        <f t="shared" si="95"/>
        <v>0</v>
      </c>
      <c r="BA78" s="157">
        <f>VLOOKUP($A78,'Over Under Bill 1 COPY 到CO欄位'!$1:$1048576,'Over Under Bill 1 COPY 到CO欄位'!BA$1,0)-VLOOKUP($A78,'Over Under Bill 1 COPY 到CO欄位'!$1:$1048576,'Over Under Bill 1 COPY 到CO欄位'!AV$1,0)</f>
        <v>0</v>
      </c>
      <c r="BB78" s="157">
        <f>VLOOKUP($A78,'Over Under Bill 1 COPY 到CO欄位'!$1:$1048576,'Over Under Bill 1 COPY 到CO欄位'!BB$1,0)-VLOOKUP($A78,'Over Under Bill 1 COPY 到CO欄位'!$1:$1048576,'Over Under Bill 1 COPY 到CO欄位'!AW$1,0)</f>
        <v>0</v>
      </c>
      <c r="BC78" s="157">
        <f t="shared" si="96"/>
        <v>0</v>
      </c>
      <c r="BD78" s="157">
        <f>VLOOKUP($A78,'Over Under Bill 1 COPY 到CO欄位'!$1:$1048576,'Over Under Bill 1 COPY 到CO欄位'!BD$1,0)-VLOOKUP($A78,'Over Under Bill 1 COPY 到CO欄位'!$1:$1048576,'Over Under Bill 1 COPY 到CO欄位'!AY$1,0)</f>
        <v>0</v>
      </c>
      <c r="BE78" s="157">
        <f t="shared" si="97"/>
        <v>0</v>
      </c>
      <c r="BF78" s="158">
        <f>VLOOKUP($A78,'Over Under Bill 1 COPY 到CO欄位'!$1:$1048576,'Over Under Bill 1 COPY 到CO欄位'!BF$1,0)-VLOOKUP($A78,'Over Under Bill 1 COPY 到CO欄位'!$1:$1048576,'Over Under Bill 1 COPY 到CO欄位'!BA$1,0)</f>
        <v>0</v>
      </c>
      <c r="BG78" s="158">
        <f>VLOOKUP($A78,'Over Under Bill 1 COPY 到CO欄位'!$1:$1048576,'Over Under Bill 1 COPY 到CO欄位'!BG$1,0)-VLOOKUP($A78,'Over Under Bill 1 COPY 到CO欄位'!$1:$1048576,'Over Under Bill 1 COPY 到CO欄位'!BB$1,0)</f>
        <v>0</v>
      </c>
      <c r="BH78" s="158">
        <f t="shared" si="98"/>
        <v>0</v>
      </c>
      <c r="BI78" s="158">
        <f>VLOOKUP($A78,'Over Under Bill 1 COPY 到CO欄位'!$1:$1048576,'Over Under Bill 1 COPY 到CO欄位'!BI$1,0)-VLOOKUP($A78,'Over Under Bill 1 COPY 到CO欄位'!$1:$1048576,'Over Under Bill 1 COPY 到CO欄位'!BD$1,0)</f>
        <v>0</v>
      </c>
      <c r="BJ78" s="158">
        <f t="shared" si="99"/>
        <v>0</v>
      </c>
      <c r="BK78" s="157">
        <f>VLOOKUP($A78,'Over Under Bill 1 COPY 到CO欄位'!$1:$1048576,'Over Under Bill 1 COPY 到CO欄位'!BK$1,0)-VLOOKUP($A78,'Over Under Bill 1 COPY 到CO欄位'!$1:$1048576,'Over Under Bill 1 COPY 到CO欄位'!BF$1,0)</f>
        <v>0</v>
      </c>
      <c r="BL78" s="157">
        <f>VLOOKUP($A78,'Over Under Bill 1 COPY 到CO欄位'!$1:$1048576,'Over Under Bill 1 COPY 到CO欄位'!BL$1,0)-VLOOKUP($A78,'Over Under Bill 1 COPY 到CO欄位'!$1:$1048576,'Over Under Bill 1 COPY 到CO欄位'!BG$1,0)</f>
        <v>0</v>
      </c>
      <c r="BM78" s="157">
        <f t="shared" si="100"/>
        <v>0</v>
      </c>
      <c r="BN78" s="157">
        <f>VLOOKUP($A78,'Over Under Bill 1 COPY 到CO欄位'!$1:$1048576,'Over Under Bill 1 COPY 到CO欄位'!BN$1,0)-VLOOKUP($A78,'Over Under Bill 1 COPY 到CO欄位'!$1:$1048576,'Over Under Bill 1 COPY 到CO欄位'!BI$1,0)</f>
        <v>0</v>
      </c>
      <c r="BO78" s="157">
        <f t="shared" si="101"/>
        <v>0</v>
      </c>
      <c r="BP78" s="158">
        <f>VLOOKUP($A78,'Over Under Bill 1 COPY 到CO欄位'!$1:$1048576,'Over Under Bill 1 COPY 到CO欄位'!BP$1,0)-VLOOKUP($A78,'Over Under Bill 1 COPY 到CO欄位'!$1:$1048576,'Over Under Bill 1 COPY 到CO欄位'!BK$1,0)</f>
        <v>0</v>
      </c>
      <c r="BQ78" s="158">
        <f>VLOOKUP($A78,'Over Under Bill 1 COPY 到CO欄位'!$1:$1048576,'Over Under Bill 1 COPY 到CO欄位'!BQ$1,0)-VLOOKUP($A78,'Over Under Bill 1 COPY 到CO欄位'!$1:$1048576,'Over Under Bill 1 COPY 到CO欄位'!BL$1,0)</f>
        <v>0</v>
      </c>
      <c r="BR78" s="158">
        <f t="shared" si="102"/>
        <v>0</v>
      </c>
      <c r="BS78" s="158">
        <f>VLOOKUP($A78,'Over Under Bill 1 COPY 到CO欄位'!$1:$1048576,'Over Under Bill 1 COPY 到CO欄位'!BS$1,0)-VLOOKUP($A78,'Over Under Bill 1 COPY 到CO欄位'!$1:$1048576,'Over Under Bill 1 COPY 到CO欄位'!BN$1,0)</f>
        <v>0</v>
      </c>
      <c r="BT78" s="158">
        <f t="shared" si="103"/>
        <v>0</v>
      </c>
      <c r="BU78" s="157">
        <f>VLOOKUP($A78,'Over Under Bill 1 COPY 到CO欄位'!$1:$1048576,'Over Under Bill 1 COPY 到CO欄位'!BP$1,0)-VLOOKUP($A78,'Over Under Bill 1 COPY 到CO欄位'!$1:$1048576,'Over Under Bill 1 COPY 到CO欄位'!H$1,0)</f>
        <v>0</v>
      </c>
      <c r="BV78" s="157">
        <f>VLOOKUP($A78,'Over Under Bill 1 COPY 到CO欄位'!$1:$1048576,'Over Under Bill 1 COPY 到CO欄位'!BQ$1,0)-VLOOKUP($A78,'Over Under Bill 1 COPY 到CO欄位'!$1:$1048576,'Over Under Bill 1 COPY 到CO欄位'!I$1,0)</f>
        <v>0</v>
      </c>
      <c r="BW78" s="157">
        <f t="shared" si="104"/>
        <v>0</v>
      </c>
      <c r="BX78" s="157">
        <f>VLOOKUP($A78,'Over Under Bill 1 COPY 到CO欄位'!$1:$1048576,'Over Under Bill 1 COPY 到CO欄位'!BS$1,0)-VLOOKUP($A78,'Over Under Bill 1 COPY 到CO欄位'!$1:$1048576,'Over Under Bill 1 COPY 到CO欄位'!K$1,0)</f>
        <v>0</v>
      </c>
      <c r="BY78" s="157">
        <f t="shared" si="105"/>
        <v>0</v>
      </c>
      <c r="BZ78" s="158">
        <f>VLOOKUP($A78,'Over Under Bill 1 COPY 到CO欄位'!$1:$1048576,'Over Under Bill 1 COPY 到CO欄位'!BU$1,0)-VLOOKUP($A78,'Over Under Bill 1 COPY 到CO欄位'!$1:$1048576,'Over Under Bill 1 COPY 到CO欄位'!BP$1,0)</f>
        <v>0</v>
      </c>
      <c r="CA78" s="158">
        <f>VLOOKUP($A78,'Over Under Bill 1 COPY 到CO欄位'!$1:$1048576,'Over Under Bill 1 COPY 到CO欄位'!BV$1,0)-VLOOKUP($A78,'Over Under Bill 1 COPY 到CO欄位'!$1:$1048576,'Over Under Bill 1 COPY 到CO欄位'!BQ$1,0)</f>
        <v>0</v>
      </c>
      <c r="CB78" s="158">
        <f t="shared" si="106"/>
        <v>0</v>
      </c>
      <c r="CC78" s="158">
        <f>VLOOKUP($A78,'Over Under Bill 1 COPY 到CO欄位'!$1:$1048576,'Over Under Bill 1 COPY 到CO欄位'!BX$1,0)-VLOOKUP($A78,'Over Under Bill 1 COPY 到CO欄位'!$1:$1048576,'Over Under Bill 1 COPY 到CO欄位'!BS$1,0)</f>
        <v>0</v>
      </c>
      <c r="CD78" s="158">
        <f t="shared" si="107"/>
        <v>0</v>
      </c>
      <c r="CE78" s="157">
        <f>VLOOKUP($A78,'Over Under Bill 1 COPY 到CO欄位'!$1:$1048576,'Over Under Bill 1 COPY 到CO欄位'!BZ$1,0)-VLOOKUP($A78,'Over Under Bill 1 COPY 到CO欄位'!$1:$1048576,'Over Under Bill 1 COPY 到CO欄位'!BU$1,0)</f>
        <v>0</v>
      </c>
      <c r="CF78" s="157">
        <f>VLOOKUP($A78,'Over Under Bill 1 COPY 到CO欄位'!$1:$1048576,'Over Under Bill 1 COPY 到CO欄位'!CA$1,0)-VLOOKUP($A78,'Over Under Bill 1 COPY 到CO欄位'!$1:$1048576,'Over Under Bill 1 COPY 到CO欄位'!BV$1,0)</f>
        <v>0</v>
      </c>
      <c r="CG78" s="157">
        <f t="shared" si="108"/>
        <v>0</v>
      </c>
      <c r="CH78" s="157">
        <f>VLOOKUP($A78,'Over Under Bill 1 COPY 到CO欄位'!$1:$1048576,'Over Under Bill 1 COPY 到CO欄位'!CC$1,0)-VLOOKUP($A78,'Over Under Bill 1 COPY 到CO欄位'!$1:$1048576,'Over Under Bill 1 COPY 到CO欄位'!BX$1,0)</f>
        <v>0</v>
      </c>
      <c r="CI78" s="157">
        <f t="shared" si="109"/>
        <v>0</v>
      </c>
      <c r="CJ78" s="158">
        <f>VLOOKUP($A78,'Over Under Bill 1 COPY 到CO欄位'!$1:$1048576,'Over Under Bill 1 COPY 到CO欄位'!CE$1,0)-VLOOKUP($A78,'Over Under Bill 1 COPY 到CO欄位'!$1:$1048576,'Over Under Bill 1 COPY 到CO欄位'!BZ$1,0)</f>
        <v>0</v>
      </c>
      <c r="CK78" s="158">
        <f>VLOOKUP($A78,'Over Under Bill 1 COPY 到CO欄位'!$1:$1048576,'Over Under Bill 1 COPY 到CO欄位'!CF$1,0)-VLOOKUP($A78,'Over Under Bill 1 COPY 到CO欄位'!$1:$1048576,'Over Under Bill 1 COPY 到CO欄位'!CA$1,0)</f>
        <v>0</v>
      </c>
      <c r="CL78" s="158">
        <f t="shared" si="110"/>
        <v>0</v>
      </c>
      <c r="CM78" s="158">
        <f>VLOOKUP($A78,'Over Under Bill 1 COPY 到CO欄位'!$1:$1048576,'Over Under Bill 1 COPY 到CO欄位'!CH$1,0)-VLOOKUP($A78,'Over Under Bill 1 COPY 到CO欄位'!$1:$1048576,'Over Under Bill 1 COPY 到CO欄位'!CC$1,0)</f>
        <v>0</v>
      </c>
      <c r="CN78" s="158">
        <f t="shared" si="111"/>
        <v>0</v>
      </c>
      <c r="CO78" s="157">
        <f>VLOOKUP($A78,'Over Under Bill 1 COPY 到CO欄位'!$1:$1048576,'Over Under Bill 1 COPY 到CO欄位'!CJ$1,0)-VLOOKUP($A78,'Over Under Bill 1 COPY 到CO欄位'!$1:$1048576,'Over Under Bill 1 COPY 到CO欄位'!CE$1,0)</f>
        <v>0</v>
      </c>
      <c r="CP78" s="157">
        <f>VLOOKUP($A78,'Over Under Bill 1 COPY 到CO欄位'!$1:$1048576,'Over Under Bill 1 COPY 到CO欄位'!CK$1,0)-VLOOKUP($A78,'Over Under Bill 1 COPY 到CO欄位'!$1:$1048576,'Over Under Bill 1 COPY 到CO欄位'!CF$1,0)</f>
        <v>0</v>
      </c>
      <c r="CQ78" s="157">
        <f t="shared" si="112"/>
        <v>0</v>
      </c>
      <c r="CR78" s="157">
        <f>VLOOKUP($A78,'Over Under Bill 1 COPY 到CO欄位'!$1:$1048576,'Over Under Bill 1 COPY 到CO欄位'!CM$1,0)-VLOOKUP($A78,'Over Under Bill 1 COPY 到CO欄位'!$1:$1048576,'Over Under Bill 1 COPY 到CO欄位'!CH$1,0)</f>
        <v>0</v>
      </c>
      <c r="CS78" s="157">
        <f t="shared" si="113"/>
        <v>0</v>
      </c>
    </row>
    <row r="79" spans="1:97">
      <c r="A79" s="171" t="s">
        <v>453</v>
      </c>
      <c r="B79" s="172" t="s">
        <v>454</v>
      </c>
      <c r="C79" s="157">
        <f>IFERROR(VLOOKUP($A79,'A0 BS 1240在建'!$1:$1048576,5,0),0)</f>
        <v>0</v>
      </c>
      <c r="D79" s="157">
        <f>IFERROR(VLOOKUP($A79,'B0 2264預收'!$1:$1048576,5,0),0)</f>
        <v>0</v>
      </c>
      <c r="E79" s="157">
        <f t="shared" si="76"/>
        <v>0</v>
      </c>
      <c r="F79" s="157">
        <f>IFERROR(VLOOKUP($A79,'B0 2264預收'!$1:$1048576,6,0),0)</f>
        <v>0</v>
      </c>
      <c r="G79" s="157">
        <f t="shared" si="77"/>
        <v>0</v>
      </c>
      <c r="H79" s="158">
        <f>IFERROR(VLOOKUP($A79,'A0 BS 1240在建'!$1:$1048576,13,0),0)-C79</f>
        <v>0</v>
      </c>
      <c r="I79" s="158">
        <f>IFERROR(VLOOKUP($A79,'B0 2264預收'!$1:$1048576,13,0),0)-D79</f>
        <v>0</v>
      </c>
      <c r="J79" s="158">
        <f t="shared" si="78"/>
        <v>0</v>
      </c>
      <c r="K79" s="158">
        <f>IFERROR(VLOOKUP($A79,'B0 2264預收'!$1:$1048576,14,0),0)-F79</f>
        <v>0</v>
      </c>
      <c r="L79" s="158">
        <f t="shared" si="79"/>
        <v>0</v>
      </c>
      <c r="M79" s="157">
        <f>VLOOKUP($A79,'Over Under Bill 1 COPY 到CO欄位'!$1:$1048576,'Over Under Bill 1 COPY 到CO欄位'!M$1,0)-VLOOKUP($A79,'Over Under Bill 1 COPY 到CO欄位'!$1:$1048576,'Over Under Bill 1 COPY 到CO欄位'!H$1,0)</f>
        <v>0</v>
      </c>
      <c r="N79" s="157">
        <f>VLOOKUP($A79,'Over Under Bill 1 COPY 到CO欄位'!$1:$1048576,'Over Under Bill 1 COPY 到CO欄位'!N$1,0)-VLOOKUP($A79,'Over Under Bill 1 COPY 到CO欄位'!$1:$1048576,'Over Under Bill 1 COPY 到CO欄位'!I$1,0)</f>
        <v>0</v>
      </c>
      <c r="O79" s="157">
        <f t="shared" si="80"/>
        <v>0</v>
      </c>
      <c r="P79" s="157">
        <f>VLOOKUP($A79,'Over Under Bill 1 COPY 到CO欄位'!$1:$1048576,'Over Under Bill 1 COPY 到CO欄位'!P$1,0)-VLOOKUP($A79,'Over Under Bill 1 COPY 到CO欄位'!$1:$1048576,'Over Under Bill 1 COPY 到CO欄位'!K$1,0)</f>
        <v>0</v>
      </c>
      <c r="Q79" s="157">
        <f t="shared" si="81"/>
        <v>0</v>
      </c>
      <c r="R79" s="158">
        <f>VLOOKUP($A79,'Over Under Bill 1 COPY 到CO欄位'!$1:$1048576,'Over Under Bill 1 COPY 到CO欄位'!R$1,0)-VLOOKUP($A79,'Over Under Bill 1 COPY 到CO欄位'!$1:$1048576,'Over Under Bill 1 COPY 到CO欄位'!M$1,0)</f>
        <v>0</v>
      </c>
      <c r="S79" s="158">
        <f>VLOOKUP($A79,'Over Under Bill 1 COPY 到CO欄位'!$1:$1048576,'Over Under Bill 1 COPY 到CO欄位'!S$1,0)-VLOOKUP($A79,'Over Under Bill 1 COPY 到CO欄位'!$1:$1048576,'Over Under Bill 1 COPY 到CO欄位'!N$1,0)</f>
        <v>0</v>
      </c>
      <c r="T79" s="158">
        <f t="shared" si="82"/>
        <v>0</v>
      </c>
      <c r="U79" s="158">
        <f>VLOOKUP($A79,'Over Under Bill 1 COPY 到CO欄位'!$1:$1048576,'Over Under Bill 1 COPY 到CO欄位'!U$1,0)-VLOOKUP($A79,'Over Under Bill 1 COPY 到CO欄位'!$1:$1048576,'Over Under Bill 1 COPY 到CO欄位'!P$1,0)</f>
        <v>0</v>
      </c>
      <c r="V79" s="158">
        <f t="shared" si="83"/>
        <v>0</v>
      </c>
      <c r="W79" s="157">
        <f>VLOOKUP($A79,'Over Under Bill 1 COPY 到CO欄位'!$1:$1048576,'Over Under Bill 1 COPY 到CO欄位'!W$1,0)-VLOOKUP($A79,'Over Under Bill 1 COPY 到CO欄位'!$1:$1048576,'Over Under Bill 1 COPY 到CO欄位'!R$1,0)</f>
        <v>0</v>
      </c>
      <c r="X79" s="157">
        <f>VLOOKUP($A79,'Over Under Bill 1 COPY 到CO欄位'!$1:$1048576,'Over Under Bill 1 COPY 到CO欄位'!X$1,0)-VLOOKUP($A79,'Over Under Bill 1 COPY 到CO欄位'!$1:$1048576,'Over Under Bill 1 COPY 到CO欄位'!S$1,0)</f>
        <v>0</v>
      </c>
      <c r="Y79" s="157">
        <f t="shared" si="84"/>
        <v>0</v>
      </c>
      <c r="Z79" s="157">
        <f>VLOOKUP($A79,'Over Under Bill 1 COPY 到CO欄位'!$1:$1048576,'Over Under Bill 1 COPY 到CO欄位'!Z$1,0)-VLOOKUP($A79,'Over Under Bill 1 COPY 到CO欄位'!$1:$1048576,'Over Under Bill 1 COPY 到CO欄位'!U$1,0)</f>
        <v>0</v>
      </c>
      <c r="AA79" s="157">
        <f t="shared" si="85"/>
        <v>0</v>
      </c>
      <c r="AB79" s="158">
        <f>VLOOKUP($A79,'Over Under Bill 1 COPY 到CO欄位'!$1:$1048576,'Over Under Bill 1 COPY 到CO欄位'!AB$1,0)-VLOOKUP($A79,'Over Under Bill 1 COPY 到CO欄位'!$1:$1048576,'Over Under Bill 1 COPY 到CO欄位'!W$1,0)</f>
        <v>0</v>
      </c>
      <c r="AC79" s="158">
        <f>VLOOKUP($A79,'Over Under Bill 1 COPY 到CO欄位'!$1:$1048576,'Over Under Bill 1 COPY 到CO欄位'!AC$1,0)-VLOOKUP($A79,'Over Under Bill 1 COPY 到CO欄位'!$1:$1048576,'Over Under Bill 1 COPY 到CO欄位'!X$1,0)</f>
        <v>0</v>
      </c>
      <c r="AD79" s="158">
        <f t="shared" si="86"/>
        <v>0</v>
      </c>
      <c r="AE79" s="158">
        <f>VLOOKUP($A79,'Over Under Bill 1 COPY 到CO欄位'!$1:$1048576,'Over Under Bill 1 COPY 到CO欄位'!AE$1,0)-VLOOKUP($A79,'Over Under Bill 1 COPY 到CO欄位'!$1:$1048576,'Over Under Bill 1 COPY 到CO欄位'!Z$1,0)</f>
        <v>0</v>
      </c>
      <c r="AF79" s="158">
        <f t="shared" si="87"/>
        <v>0</v>
      </c>
      <c r="AG79" s="157">
        <f>VLOOKUP($A79,'Over Under Bill 1 COPY 到CO欄位'!$1:$1048576,'Over Under Bill 1 COPY 到CO欄位'!AG$1,0)-VLOOKUP($A79,'Over Under Bill 1 COPY 到CO欄位'!$1:$1048576,'Over Under Bill 1 COPY 到CO欄位'!AB$1,0)</f>
        <v>0</v>
      </c>
      <c r="AH79" s="157">
        <f>VLOOKUP($A79,'Over Under Bill 1 COPY 到CO欄位'!$1:$1048576,'Over Under Bill 1 COPY 到CO欄位'!AH$1,0)-VLOOKUP($A79,'Over Under Bill 1 COPY 到CO欄位'!$1:$1048576,'Over Under Bill 1 COPY 到CO欄位'!AC$1,0)</f>
        <v>0</v>
      </c>
      <c r="AI79" s="157">
        <f t="shared" si="88"/>
        <v>0</v>
      </c>
      <c r="AJ79" s="157">
        <f>VLOOKUP($A79,'Over Under Bill 1 COPY 到CO欄位'!$1:$1048576,'Over Under Bill 1 COPY 到CO欄位'!AJ$1,0)-VLOOKUP($A79,'Over Under Bill 1 COPY 到CO欄位'!$1:$1048576,'Over Under Bill 1 COPY 到CO欄位'!AE$1,0)</f>
        <v>0</v>
      </c>
      <c r="AK79" s="157">
        <f t="shared" si="89"/>
        <v>0</v>
      </c>
      <c r="AL79" s="158">
        <f>VLOOKUP($A79,'Over Under Bill 1 COPY 到CO欄位'!$1:$1048576,'Over Under Bill 1 COPY 到CO欄位'!AL$1,0)-VLOOKUP($A79,'Over Under Bill 1 COPY 到CO欄位'!$1:$1048576,'Over Under Bill 1 COPY 到CO欄位'!AG$1,0)</f>
        <v>0</v>
      </c>
      <c r="AM79" s="158">
        <f>VLOOKUP($A79,'Over Under Bill 1 COPY 到CO欄位'!$1:$1048576,'Over Under Bill 1 COPY 到CO欄位'!AM$1,0)-VLOOKUP($A79,'Over Under Bill 1 COPY 到CO欄位'!$1:$1048576,'Over Under Bill 1 COPY 到CO欄位'!AH$1,0)</f>
        <v>0</v>
      </c>
      <c r="AN79" s="158">
        <f t="shared" si="90"/>
        <v>0</v>
      </c>
      <c r="AO79" s="158">
        <f>VLOOKUP($A79,'Over Under Bill 1 COPY 到CO欄位'!$1:$1048576,'Over Under Bill 1 COPY 到CO欄位'!AO$1,0)-VLOOKUP($A79,'Over Under Bill 1 COPY 到CO欄位'!$1:$1048576,'Over Under Bill 1 COPY 到CO欄位'!AJ$1,0)</f>
        <v>0</v>
      </c>
      <c r="AP79" s="158">
        <f t="shared" si="91"/>
        <v>0</v>
      </c>
      <c r="AQ79" s="157">
        <f>VLOOKUP($A79,'Over Under Bill 1 COPY 到CO欄位'!$1:$1048576,'Over Under Bill 1 COPY 到CO欄位'!AQ$1,0)-VLOOKUP($A79,'Over Under Bill 1 COPY 到CO欄位'!$1:$1048576,'Over Under Bill 1 COPY 到CO欄位'!AL$1,0)</f>
        <v>0</v>
      </c>
      <c r="AR79" s="157">
        <f>VLOOKUP($A79,'Over Under Bill 1 COPY 到CO欄位'!$1:$1048576,'Over Under Bill 1 COPY 到CO欄位'!AR$1,0)-VLOOKUP($A79,'Over Under Bill 1 COPY 到CO欄位'!$1:$1048576,'Over Under Bill 1 COPY 到CO欄位'!AM$1,0)</f>
        <v>0</v>
      </c>
      <c r="AS79" s="157">
        <f t="shared" si="92"/>
        <v>0</v>
      </c>
      <c r="AT79" s="157">
        <f>VLOOKUP($A79,'Over Under Bill 1 COPY 到CO欄位'!$1:$1048576,'Over Under Bill 1 COPY 到CO欄位'!AT$1,0)-VLOOKUP($A79,'Over Under Bill 1 COPY 到CO欄位'!$1:$1048576,'Over Under Bill 1 COPY 到CO欄位'!AO$1,0)</f>
        <v>0</v>
      </c>
      <c r="AU79" s="157">
        <f t="shared" si="93"/>
        <v>0</v>
      </c>
      <c r="AV79" s="158">
        <f>VLOOKUP($A79,'Over Under Bill 1 COPY 到CO欄位'!$1:$1048576,'Over Under Bill 1 COPY 到CO欄位'!AV$1,0)-VLOOKUP($A79,'Over Under Bill 1 COPY 到CO欄位'!$1:$1048576,'Over Under Bill 1 COPY 到CO欄位'!AQ$1,0)</f>
        <v>0</v>
      </c>
      <c r="AW79" s="158">
        <f>VLOOKUP($A79,'Over Under Bill 1 COPY 到CO欄位'!$1:$1048576,'Over Under Bill 1 COPY 到CO欄位'!AW$1,0)-VLOOKUP($A79,'Over Under Bill 1 COPY 到CO欄位'!$1:$1048576,'Over Under Bill 1 COPY 到CO欄位'!AR$1,0)</f>
        <v>0</v>
      </c>
      <c r="AX79" s="158">
        <f t="shared" si="94"/>
        <v>0</v>
      </c>
      <c r="AY79" s="158">
        <f>VLOOKUP($A79,'Over Under Bill 1 COPY 到CO欄位'!$1:$1048576,'Over Under Bill 1 COPY 到CO欄位'!AY$1,0)-VLOOKUP($A79,'Over Under Bill 1 COPY 到CO欄位'!$1:$1048576,'Over Under Bill 1 COPY 到CO欄位'!AT$1,0)</f>
        <v>0</v>
      </c>
      <c r="AZ79" s="158">
        <f t="shared" si="95"/>
        <v>0</v>
      </c>
      <c r="BA79" s="157">
        <f>VLOOKUP($A79,'Over Under Bill 1 COPY 到CO欄位'!$1:$1048576,'Over Under Bill 1 COPY 到CO欄位'!BA$1,0)-VLOOKUP($A79,'Over Under Bill 1 COPY 到CO欄位'!$1:$1048576,'Over Under Bill 1 COPY 到CO欄位'!AV$1,0)</f>
        <v>0</v>
      </c>
      <c r="BB79" s="157">
        <f>VLOOKUP($A79,'Over Under Bill 1 COPY 到CO欄位'!$1:$1048576,'Over Under Bill 1 COPY 到CO欄位'!BB$1,0)-VLOOKUP($A79,'Over Under Bill 1 COPY 到CO欄位'!$1:$1048576,'Over Under Bill 1 COPY 到CO欄位'!AW$1,0)</f>
        <v>0</v>
      </c>
      <c r="BC79" s="157">
        <f t="shared" si="96"/>
        <v>0</v>
      </c>
      <c r="BD79" s="157">
        <f>VLOOKUP($A79,'Over Under Bill 1 COPY 到CO欄位'!$1:$1048576,'Over Under Bill 1 COPY 到CO欄位'!BD$1,0)-VLOOKUP($A79,'Over Under Bill 1 COPY 到CO欄位'!$1:$1048576,'Over Under Bill 1 COPY 到CO欄位'!AY$1,0)</f>
        <v>0</v>
      </c>
      <c r="BE79" s="157">
        <f t="shared" si="97"/>
        <v>0</v>
      </c>
      <c r="BF79" s="158">
        <f>VLOOKUP($A79,'Over Under Bill 1 COPY 到CO欄位'!$1:$1048576,'Over Under Bill 1 COPY 到CO欄位'!BF$1,0)-VLOOKUP($A79,'Over Under Bill 1 COPY 到CO欄位'!$1:$1048576,'Over Under Bill 1 COPY 到CO欄位'!BA$1,0)</f>
        <v>0</v>
      </c>
      <c r="BG79" s="158">
        <f>VLOOKUP($A79,'Over Under Bill 1 COPY 到CO欄位'!$1:$1048576,'Over Under Bill 1 COPY 到CO欄位'!BG$1,0)-VLOOKUP($A79,'Over Under Bill 1 COPY 到CO欄位'!$1:$1048576,'Over Under Bill 1 COPY 到CO欄位'!BB$1,0)</f>
        <v>0</v>
      </c>
      <c r="BH79" s="158">
        <f t="shared" si="98"/>
        <v>0</v>
      </c>
      <c r="BI79" s="158">
        <f>VLOOKUP($A79,'Over Under Bill 1 COPY 到CO欄位'!$1:$1048576,'Over Under Bill 1 COPY 到CO欄位'!BI$1,0)-VLOOKUP($A79,'Over Under Bill 1 COPY 到CO欄位'!$1:$1048576,'Over Under Bill 1 COPY 到CO欄位'!BD$1,0)</f>
        <v>0</v>
      </c>
      <c r="BJ79" s="158">
        <f t="shared" si="99"/>
        <v>0</v>
      </c>
      <c r="BK79" s="157">
        <f>VLOOKUP($A79,'Over Under Bill 1 COPY 到CO欄位'!$1:$1048576,'Over Under Bill 1 COPY 到CO欄位'!BK$1,0)-VLOOKUP($A79,'Over Under Bill 1 COPY 到CO欄位'!$1:$1048576,'Over Under Bill 1 COPY 到CO欄位'!BF$1,0)</f>
        <v>0</v>
      </c>
      <c r="BL79" s="157">
        <f>VLOOKUP($A79,'Over Under Bill 1 COPY 到CO欄位'!$1:$1048576,'Over Under Bill 1 COPY 到CO欄位'!BL$1,0)-VLOOKUP($A79,'Over Under Bill 1 COPY 到CO欄位'!$1:$1048576,'Over Under Bill 1 COPY 到CO欄位'!BG$1,0)</f>
        <v>0</v>
      </c>
      <c r="BM79" s="157">
        <f t="shared" si="100"/>
        <v>0</v>
      </c>
      <c r="BN79" s="157">
        <f>VLOOKUP($A79,'Over Under Bill 1 COPY 到CO欄位'!$1:$1048576,'Over Under Bill 1 COPY 到CO欄位'!BN$1,0)-VLOOKUP($A79,'Over Under Bill 1 COPY 到CO欄位'!$1:$1048576,'Over Under Bill 1 COPY 到CO欄位'!BI$1,0)</f>
        <v>0</v>
      </c>
      <c r="BO79" s="157">
        <f t="shared" si="101"/>
        <v>0</v>
      </c>
      <c r="BP79" s="158">
        <f>VLOOKUP($A79,'Over Under Bill 1 COPY 到CO欄位'!$1:$1048576,'Over Under Bill 1 COPY 到CO欄位'!BP$1,0)-VLOOKUP($A79,'Over Under Bill 1 COPY 到CO欄位'!$1:$1048576,'Over Under Bill 1 COPY 到CO欄位'!BK$1,0)</f>
        <v>0</v>
      </c>
      <c r="BQ79" s="158">
        <f>VLOOKUP($A79,'Over Under Bill 1 COPY 到CO欄位'!$1:$1048576,'Over Under Bill 1 COPY 到CO欄位'!BQ$1,0)-VLOOKUP($A79,'Over Under Bill 1 COPY 到CO欄位'!$1:$1048576,'Over Under Bill 1 COPY 到CO欄位'!BL$1,0)</f>
        <v>0</v>
      </c>
      <c r="BR79" s="158">
        <f t="shared" si="102"/>
        <v>0</v>
      </c>
      <c r="BS79" s="158">
        <f>VLOOKUP($A79,'Over Under Bill 1 COPY 到CO欄位'!$1:$1048576,'Over Under Bill 1 COPY 到CO欄位'!BS$1,0)-VLOOKUP($A79,'Over Under Bill 1 COPY 到CO欄位'!$1:$1048576,'Over Under Bill 1 COPY 到CO欄位'!BN$1,0)</f>
        <v>0</v>
      </c>
      <c r="BT79" s="158">
        <f t="shared" si="103"/>
        <v>0</v>
      </c>
      <c r="BU79" s="157">
        <f>VLOOKUP($A79,'Over Under Bill 1 COPY 到CO欄位'!$1:$1048576,'Over Under Bill 1 COPY 到CO欄位'!BP$1,0)-VLOOKUP($A79,'Over Under Bill 1 COPY 到CO欄位'!$1:$1048576,'Over Under Bill 1 COPY 到CO欄位'!H$1,0)</f>
        <v>0</v>
      </c>
      <c r="BV79" s="157">
        <f>VLOOKUP($A79,'Over Under Bill 1 COPY 到CO欄位'!$1:$1048576,'Over Under Bill 1 COPY 到CO欄位'!BQ$1,0)-VLOOKUP($A79,'Over Under Bill 1 COPY 到CO欄位'!$1:$1048576,'Over Under Bill 1 COPY 到CO欄位'!I$1,0)</f>
        <v>0</v>
      </c>
      <c r="BW79" s="157">
        <f t="shared" si="104"/>
        <v>0</v>
      </c>
      <c r="BX79" s="157">
        <f>VLOOKUP($A79,'Over Under Bill 1 COPY 到CO欄位'!$1:$1048576,'Over Under Bill 1 COPY 到CO欄位'!BS$1,0)-VLOOKUP($A79,'Over Under Bill 1 COPY 到CO欄位'!$1:$1048576,'Over Under Bill 1 COPY 到CO欄位'!K$1,0)</f>
        <v>0</v>
      </c>
      <c r="BY79" s="157">
        <f t="shared" si="105"/>
        <v>0</v>
      </c>
      <c r="BZ79" s="158">
        <f>VLOOKUP($A79,'Over Under Bill 1 COPY 到CO欄位'!$1:$1048576,'Over Under Bill 1 COPY 到CO欄位'!BU$1,0)-VLOOKUP($A79,'Over Under Bill 1 COPY 到CO欄位'!$1:$1048576,'Over Under Bill 1 COPY 到CO欄位'!BP$1,0)</f>
        <v>0</v>
      </c>
      <c r="CA79" s="158">
        <f>VLOOKUP($A79,'Over Under Bill 1 COPY 到CO欄位'!$1:$1048576,'Over Under Bill 1 COPY 到CO欄位'!BV$1,0)-VLOOKUP($A79,'Over Under Bill 1 COPY 到CO欄位'!$1:$1048576,'Over Under Bill 1 COPY 到CO欄位'!BQ$1,0)</f>
        <v>0</v>
      </c>
      <c r="CB79" s="158">
        <f t="shared" si="106"/>
        <v>0</v>
      </c>
      <c r="CC79" s="158">
        <f>VLOOKUP($A79,'Over Under Bill 1 COPY 到CO欄位'!$1:$1048576,'Over Under Bill 1 COPY 到CO欄位'!BX$1,0)-VLOOKUP($A79,'Over Under Bill 1 COPY 到CO欄位'!$1:$1048576,'Over Under Bill 1 COPY 到CO欄位'!BS$1,0)</f>
        <v>0</v>
      </c>
      <c r="CD79" s="158">
        <f t="shared" si="107"/>
        <v>0</v>
      </c>
      <c r="CE79" s="157">
        <f>VLOOKUP($A79,'Over Under Bill 1 COPY 到CO欄位'!$1:$1048576,'Over Under Bill 1 COPY 到CO欄位'!BZ$1,0)-VLOOKUP($A79,'Over Under Bill 1 COPY 到CO欄位'!$1:$1048576,'Over Under Bill 1 COPY 到CO欄位'!BU$1,0)</f>
        <v>0</v>
      </c>
      <c r="CF79" s="157">
        <f>VLOOKUP($A79,'Over Under Bill 1 COPY 到CO欄位'!$1:$1048576,'Over Under Bill 1 COPY 到CO欄位'!CA$1,0)-VLOOKUP($A79,'Over Under Bill 1 COPY 到CO欄位'!$1:$1048576,'Over Under Bill 1 COPY 到CO欄位'!BV$1,0)</f>
        <v>0</v>
      </c>
      <c r="CG79" s="157">
        <f t="shared" si="108"/>
        <v>0</v>
      </c>
      <c r="CH79" s="157">
        <f>VLOOKUP($A79,'Over Under Bill 1 COPY 到CO欄位'!$1:$1048576,'Over Under Bill 1 COPY 到CO欄位'!CC$1,0)-VLOOKUP($A79,'Over Under Bill 1 COPY 到CO欄位'!$1:$1048576,'Over Under Bill 1 COPY 到CO欄位'!BX$1,0)</f>
        <v>0</v>
      </c>
      <c r="CI79" s="157">
        <f t="shared" si="109"/>
        <v>0</v>
      </c>
      <c r="CJ79" s="158">
        <f>VLOOKUP($A79,'Over Under Bill 1 COPY 到CO欄位'!$1:$1048576,'Over Under Bill 1 COPY 到CO欄位'!CE$1,0)-VLOOKUP($A79,'Over Under Bill 1 COPY 到CO欄位'!$1:$1048576,'Over Under Bill 1 COPY 到CO欄位'!BZ$1,0)</f>
        <v>0</v>
      </c>
      <c r="CK79" s="158">
        <f>VLOOKUP($A79,'Over Under Bill 1 COPY 到CO欄位'!$1:$1048576,'Over Under Bill 1 COPY 到CO欄位'!CF$1,0)-VLOOKUP($A79,'Over Under Bill 1 COPY 到CO欄位'!$1:$1048576,'Over Under Bill 1 COPY 到CO欄位'!CA$1,0)</f>
        <v>0</v>
      </c>
      <c r="CL79" s="158">
        <f t="shared" si="110"/>
        <v>0</v>
      </c>
      <c r="CM79" s="158">
        <f>VLOOKUP($A79,'Over Under Bill 1 COPY 到CO欄位'!$1:$1048576,'Over Under Bill 1 COPY 到CO欄位'!CH$1,0)-VLOOKUP($A79,'Over Under Bill 1 COPY 到CO欄位'!$1:$1048576,'Over Under Bill 1 COPY 到CO欄位'!CC$1,0)</f>
        <v>0</v>
      </c>
      <c r="CN79" s="158">
        <f t="shared" si="111"/>
        <v>0</v>
      </c>
      <c r="CO79" s="157">
        <f>VLOOKUP($A79,'Over Under Bill 1 COPY 到CO欄位'!$1:$1048576,'Over Under Bill 1 COPY 到CO欄位'!CJ$1,0)-VLOOKUP($A79,'Over Under Bill 1 COPY 到CO欄位'!$1:$1048576,'Over Under Bill 1 COPY 到CO欄位'!CE$1,0)</f>
        <v>0</v>
      </c>
      <c r="CP79" s="157">
        <f>VLOOKUP($A79,'Over Under Bill 1 COPY 到CO欄位'!$1:$1048576,'Over Under Bill 1 COPY 到CO欄位'!CK$1,0)-VLOOKUP($A79,'Over Under Bill 1 COPY 到CO欄位'!$1:$1048576,'Over Under Bill 1 COPY 到CO欄位'!CF$1,0)</f>
        <v>0</v>
      </c>
      <c r="CQ79" s="157">
        <f t="shared" si="112"/>
        <v>0</v>
      </c>
      <c r="CR79" s="157">
        <f>VLOOKUP($A79,'Over Under Bill 1 COPY 到CO欄位'!$1:$1048576,'Over Under Bill 1 COPY 到CO欄位'!CM$1,0)-VLOOKUP($A79,'Over Under Bill 1 COPY 到CO欄位'!$1:$1048576,'Over Under Bill 1 COPY 到CO欄位'!CH$1,0)</f>
        <v>0</v>
      </c>
      <c r="CS79" s="157">
        <f t="shared" si="113"/>
        <v>0</v>
      </c>
    </row>
    <row r="80" spans="1:97">
      <c r="A80" s="171" t="s">
        <v>455</v>
      </c>
      <c r="B80" s="172" t="s">
        <v>543</v>
      </c>
      <c r="C80" s="157">
        <f>IFERROR(VLOOKUP($A80,'A0 BS 1240在建'!$1:$1048576,5,0),0)</f>
        <v>0</v>
      </c>
      <c r="D80" s="157">
        <f>IFERROR(VLOOKUP($A80,'B0 2264預收'!$1:$1048576,5,0),0)</f>
        <v>0</v>
      </c>
      <c r="E80" s="157">
        <f t="shared" si="76"/>
        <v>0</v>
      </c>
      <c r="F80" s="157">
        <f>IFERROR(VLOOKUP($A80,'B0 2264預收'!$1:$1048576,6,0),0)</f>
        <v>0</v>
      </c>
      <c r="G80" s="157">
        <f t="shared" si="77"/>
        <v>0</v>
      </c>
      <c r="H80" s="158">
        <f>IFERROR(VLOOKUP($A80,'A0 BS 1240在建'!$1:$1048576,13,0),0)-C80</f>
        <v>0</v>
      </c>
      <c r="I80" s="158">
        <f>IFERROR(VLOOKUP($A80,'B0 2264預收'!$1:$1048576,13,0),0)-D80</f>
        <v>0</v>
      </c>
      <c r="J80" s="158">
        <f t="shared" si="78"/>
        <v>0</v>
      </c>
      <c r="K80" s="158">
        <f>IFERROR(VLOOKUP($A80,'B0 2264預收'!$1:$1048576,14,0),0)-F80</f>
        <v>0</v>
      </c>
      <c r="L80" s="158">
        <f t="shared" si="79"/>
        <v>0</v>
      </c>
      <c r="M80" s="157">
        <f>VLOOKUP($A80,'Over Under Bill 1 COPY 到CO欄位'!$1:$1048576,'Over Under Bill 1 COPY 到CO欄位'!M$1,0)-VLOOKUP($A80,'Over Under Bill 1 COPY 到CO欄位'!$1:$1048576,'Over Under Bill 1 COPY 到CO欄位'!H$1,0)</f>
        <v>0</v>
      </c>
      <c r="N80" s="157">
        <f>VLOOKUP($A80,'Over Under Bill 1 COPY 到CO欄位'!$1:$1048576,'Over Under Bill 1 COPY 到CO欄位'!N$1,0)-VLOOKUP($A80,'Over Under Bill 1 COPY 到CO欄位'!$1:$1048576,'Over Under Bill 1 COPY 到CO欄位'!I$1,0)</f>
        <v>0</v>
      </c>
      <c r="O80" s="157">
        <f t="shared" si="80"/>
        <v>0</v>
      </c>
      <c r="P80" s="157">
        <f>VLOOKUP($A80,'Over Under Bill 1 COPY 到CO欄位'!$1:$1048576,'Over Under Bill 1 COPY 到CO欄位'!P$1,0)-VLOOKUP($A80,'Over Under Bill 1 COPY 到CO欄位'!$1:$1048576,'Over Under Bill 1 COPY 到CO欄位'!K$1,0)</f>
        <v>0</v>
      </c>
      <c r="Q80" s="157">
        <f t="shared" si="81"/>
        <v>0</v>
      </c>
      <c r="R80" s="158">
        <f>VLOOKUP($A80,'Over Under Bill 1 COPY 到CO欄位'!$1:$1048576,'Over Under Bill 1 COPY 到CO欄位'!R$1,0)-VLOOKUP($A80,'Over Under Bill 1 COPY 到CO欄位'!$1:$1048576,'Over Under Bill 1 COPY 到CO欄位'!M$1,0)</f>
        <v>0</v>
      </c>
      <c r="S80" s="158">
        <f>VLOOKUP($A80,'Over Under Bill 1 COPY 到CO欄位'!$1:$1048576,'Over Under Bill 1 COPY 到CO欄位'!S$1,0)-VLOOKUP($A80,'Over Under Bill 1 COPY 到CO欄位'!$1:$1048576,'Over Under Bill 1 COPY 到CO欄位'!N$1,0)</f>
        <v>0</v>
      </c>
      <c r="T80" s="158">
        <f t="shared" si="82"/>
        <v>0</v>
      </c>
      <c r="U80" s="158">
        <f>VLOOKUP($A80,'Over Under Bill 1 COPY 到CO欄位'!$1:$1048576,'Over Under Bill 1 COPY 到CO欄位'!U$1,0)-VLOOKUP($A80,'Over Under Bill 1 COPY 到CO欄位'!$1:$1048576,'Over Under Bill 1 COPY 到CO欄位'!P$1,0)</f>
        <v>0</v>
      </c>
      <c r="V80" s="158">
        <f t="shared" si="83"/>
        <v>0</v>
      </c>
      <c r="W80" s="157">
        <f>VLOOKUP($A80,'Over Under Bill 1 COPY 到CO欄位'!$1:$1048576,'Over Under Bill 1 COPY 到CO欄位'!W$1,0)-VLOOKUP($A80,'Over Under Bill 1 COPY 到CO欄位'!$1:$1048576,'Over Under Bill 1 COPY 到CO欄位'!R$1,0)</f>
        <v>0</v>
      </c>
      <c r="X80" s="157">
        <f>VLOOKUP($A80,'Over Under Bill 1 COPY 到CO欄位'!$1:$1048576,'Over Under Bill 1 COPY 到CO欄位'!X$1,0)-VLOOKUP($A80,'Over Under Bill 1 COPY 到CO欄位'!$1:$1048576,'Over Under Bill 1 COPY 到CO欄位'!S$1,0)</f>
        <v>0</v>
      </c>
      <c r="Y80" s="157">
        <f t="shared" si="84"/>
        <v>0</v>
      </c>
      <c r="Z80" s="157">
        <f>VLOOKUP($A80,'Over Under Bill 1 COPY 到CO欄位'!$1:$1048576,'Over Under Bill 1 COPY 到CO欄位'!Z$1,0)-VLOOKUP($A80,'Over Under Bill 1 COPY 到CO欄位'!$1:$1048576,'Over Under Bill 1 COPY 到CO欄位'!U$1,0)</f>
        <v>0</v>
      </c>
      <c r="AA80" s="157">
        <f t="shared" si="85"/>
        <v>0</v>
      </c>
      <c r="AB80" s="158">
        <f>VLOOKUP($A80,'Over Under Bill 1 COPY 到CO欄位'!$1:$1048576,'Over Under Bill 1 COPY 到CO欄位'!AB$1,0)-VLOOKUP($A80,'Over Under Bill 1 COPY 到CO欄位'!$1:$1048576,'Over Under Bill 1 COPY 到CO欄位'!W$1,0)</f>
        <v>0</v>
      </c>
      <c r="AC80" s="158">
        <f>VLOOKUP($A80,'Over Under Bill 1 COPY 到CO欄位'!$1:$1048576,'Over Under Bill 1 COPY 到CO欄位'!AC$1,0)-VLOOKUP($A80,'Over Under Bill 1 COPY 到CO欄位'!$1:$1048576,'Over Under Bill 1 COPY 到CO欄位'!X$1,0)</f>
        <v>0</v>
      </c>
      <c r="AD80" s="158">
        <f t="shared" si="86"/>
        <v>0</v>
      </c>
      <c r="AE80" s="158">
        <f>VLOOKUP($A80,'Over Under Bill 1 COPY 到CO欄位'!$1:$1048576,'Over Under Bill 1 COPY 到CO欄位'!AE$1,0)-VLOOKUP($A80,'Over Under Bill 1 COPY 到CO欄位'!$1:$1048576,'Over Under Bill 1 COPY 到CO欄位'!Z$1,0)</f>
        <v>0</v>
      </c>
      <c r="AF80" s="158">
        <f t="shared" si="87"/>
        <v>0</v>
      </c>
      <c r="AG80" s="157">
        <f>VLOOKUP($A80,'Over Under Bill 1 COPY 到CO欄位'!$1:$1048576,'Over Under Bill 1 COPY 到CO欄位'!AG$1,0)-VLOOKUP($A80,'Over Under Bill 1 COPY 到CO欄位'!$1:$1048576,'Over Under Bill 1 COPY 到CO欄位'!AB$1,0)</f>
        <v>0</v>
      </c>
      <c r="AH80" s="157">
        <f>VLOOKUP($A80,'Over Under Bill 1 COPY 到CO欄位'!$1:$1048576,'Over Under Bill 1 COPY 到CO欄位'!AH$1,0)-VLOOKUP($A80,'Over Under Bill 1 COPY 到CO欄位'!$1:$1048576,'Over Under Bill 1 COPY 到CO欄位'!AC$1,0)</f>
        <v>0</v>
      </c>
      <c r="AI80" s="157">
        <f t="shared" si="88"/>
        <v>0</v>
      </c>
      <c r="AJ80" s="157">
        <f>VLOOKUP($A80,'Over Under Bill 1 COPY 到CO欄位'!$1:$1048576,'Over Under Bill 1 COPY 到CO欄位'!AJ$1,0)-VLOOKUP($A80,'Over Under Bill 1 COPY 到CO欄位'!$1:$1048576,'Over Under Bill 1 COPY 到CO欄位'!AE$1,0)</f>
        <v>0</v>
      </c>
      <c r="AK80" s="157">
        <f t="shared" si="89"/>
        <v>0</v>
      </c>
      <c r="AL80" s="158">
        <f>VLOOKUP($A80,'Over Under Bill 1 COPY 到CO欄位'!$1:$1048576,'Over Under Bill 1 COPY 到CO欄位'!AL$1,0)-VLOOKUP($A80,'Over Under Bill 1 COPY 到CO欄位'!$1:$1048576,'Over Under Bill 1 COPY 到CO欄位'!AG$1,0)</f>
        <v>0</v>
      </c>
      <c r="AM80" s="158">
        <f>VLOOKUP($A80,'Over Under Bill 1 COPY 到CO欄位'!$1:$1048576,'Over Under Bill 1 COPY 到CO欄位'!AM$1,0)-VLOOKUP($A80,'Over Under Bill 1 COPY 到CO欄位'!$1:$1048576,'Over Under Bill 1 COPY 到CO欄位'!AH$1,0)</f>
        <v>0</v>
      </c>
      <c r="AN80" s="158">
        <f t="shared" si="90"/>
        <v>0</v>
      </c>
      <c r="AO80" s="158">
        <f>VLOOKUP($A80,'Over Under Bill 1 COPY 到CO欄位'!$1:$1048576,'Over Under Bill 1 COPY 到CO欄位'!AO$1,0)-VLOOKUP($A80,'Over Under Bill 1 COPY 到CO欄位'!$1:$1048576,'Over Under Bill 1 COPY 到CO欄位'!AJ$1,0)</f>
        <v>0</v>
      </c>
      <c r="AP80" s="158">
        <f t="shared" si="91"/>
        <v>0</v>
      </c>
      <c r="AQ80" s="157">
        <f>VLOOKUP($A80,'Over Under Bill 1 COPY 到CO欄位'!$1:$1048576,'Over Under Bill 1 COPY 到CO欄位'!AQ$1,0)-VLOOKUP($A80,'Over Under Bill 1 COPY 到CO欄位'!$1:$1048576,'Over Under Bill 1 COPY 到CO欄位'!AL$1,0)</f>
        <v>0</v>
      </c>
      <c r="AR80" s="157">
        <f>VLOOKUP($A80,'Over Under Bill 1 COPY 到CO欄位'!$1:$1048576,'Over Under Bill 1 COPY 到CO欄位'!AR$1,0)-VLOOKUP($A80,'Over Under Bill 1 COPY 到CO欄位'!$1:$1048576,'Over Under Bill 1 COPY 到CO欄位'!AM$1,0)</f>
        <v>0</v>
      </c>
      <c r="AS80" s="157">
        <f t="shared" si="92"/>
        <v>0</v>
      </c>
      <c r="AT80" s="157">
        <f>VLOOKUP($A80,'Over Under Bill 1 COPY 到CO欄位'!$1:$1048576,'Over Under Bill 1 COPY 到CO欄位'!AT$1,0)-VLOOKUP($A80,'Over Under Bill 1 COPY 到CO欄位'!$1:$1048576,'Over Under Bill 1 COPY 到CO欄位'!AO$1,0)</f>
        <v>0</v>
      </c>
      <c r="AU80" s="157">
        <f t="shared" si="93"/>
        <v>0</v>
      </c>
      <c r="AV80" s="158">
        <f>VLOOKUP($A80,'Over Under Bill 1 COPY 到CO欄位'!$1:$1048576,'Over Under Bill 1 COPY 到CO欄位'!AV$1,0)-VLOOKUP($A80,'Over Under Bill 1 COPY 到CO欄位'!$1:$1048576,'Over Under Bill 1 COPY 到CO欄位'!AQ$1,0)</f>
        <v>0</v>
      </c>
      <c r="AW80" s="158">
        <f>VLOOKUP($A80,'Over Under Bill 1 COPY 到CO欄位'!$1:$1048576,'Over Under Bill 1 COPY 到CO欄位'!AW$1,0)-VLOOKUP($A80,'Over Under Bill 1 COPY 到CO欄位'!$1:$1048576,'Over Under Bill 1 COPY 到CO欄位'!AR$1,0)</f>
        <v>0</v>
      </c>
      <c r="AX80" s="158">
        <f t="shared" si="94"/>
        <v>0</v>
      </c>
      <c r="AY80" s="158">
        <f>VLOOKUP($A80,'Over Under Bill 1 COPY 到CO欄位'!$1:$1048576,'Over Under Bill 1 COPY 到CO欄位'!AY$1,0)-VLOOKUP($A80,'Over Under Bill 1 COPY 到CO欄位'!$1:$1048576,'Over Under Bill 1 COPY 到CO欄位'!AT$1,0)</f>
        <v>0</v>
      </c>
      <c r="AZ80" s="158">
        <f t="shared" si="95"/>
        <v>0</v>
      </c>
      <c r="BA80" s="157">
        <f>VLOOKUP($A80,'Over Under Bill 1 COPY 到CO欄位'!$1:$1048576,'Over Under Bill 1 COPY 到CO欄位'!BA$1,0)-VLOOKUP($A80,'Over Under Bill 1 COPY 到CO欄位'!$1:$1048576,'Over Under Bill 1 COPY 到CO欄位'!AV$1,0)</f>
        <v>0</v>
      </c>
      <c r="BB80" s="157">
        <f>VLOOKUP($A80,'Over Under Bill 1 COPY 到CO欄位'!$1:$1048576,'Over Under Bill 1 COPY 到CO欄位'!BB$1,0)-VLOOKUP($A80,'Over Under Bill 1 COPY 到CO欄位'!$1:$1048576,'Over Under Bill 1 COPY 到CO欄位'!AW$1,0)</f>
        <v>0</v>
      </c>
      <c r="BC80" s="157">
        <f t="shared" si="96"/>
        <v>0</v>
      </c>
      <c r="BD80" s="157">
        <f>VLOOKUP($A80,'Over Under Bill 1 COPY 到CO欄位'!$1:$1048576,'Over Under Bill 1 COPY 到CO欄位'!BD$1,0)-VLOOKUP($A80,'Over Under Bill 1 COPY 到CO欄位'!$1:$1048576,'Over Under Bill 1 COPY 到CO欄位'!AY$1,0)</f>
        <v>0</v>
      </c>
      <c r="BE80" s="157">
        <f t="shared" si="97"/>
        <v>0</v>
      </c>
      <c r="BF80" s="158">
        <f>VLOOKUP($A80,'Over Under Bill 1 COPY 到CO欄位'!$1:$1048576,'Over Under Bill 1 COPY 到CO欄位'!BF$1,0)-VLOOKUP($A80,'Over Under Bill 1 COPY 到CO欄位'!$1:$1048576,'Over Under Bill 1 COPY 到CO欄位'!BA$1,0)</f>
        <v>0</v>
      </c>
      <c r="BG80" s="158">
        <f>VLOOKUP($A80,'Over Under Bill 1 COPY 到CO欄位'!$1:$1048576,'Over Under Bill 1 COPY 到CO欄位'!BG$1,0)-VLOOKUP($A80,'Over Under Bill 1 COPY 到CO欄位'!$1:$1048576,'Over Under Bill 1 COPY 到CO欄位'!BB$1,0)</f>
        <v>0</v>
      </c>
      <c r="BH80" s="158">
        <f t="shared" si="98"/>
        <v>0</v>
      </c>
      <c r="BI80" s="158">
        <f>VLOOKUP($A80,'Over Under Bill 1 COPY 到CO欄位'!$1:$1048576,'Over Under Bill 1 COPY 到CO欄位'!BI$1,0)-VLOOKUP($A80,'Over Under Bill 1 COPY 到CO欄位'!$1:$1048576,'Over Under Bill 1 COPY 到CO欄位'!BD$1,0)</f>
        <v>0</v>
      </c>
      <c r="BJ80" s="158">
        <f t="shared" si="99"/>
        <v>0</v>
      </c>
      <c r="BK80" s="157">
        <f>VLOOKUP($A80,'Over Under Bill 1 COPY 到CO欄位'!$1:$1048576,'Over Under Bill 1 COPY 到CO欄位'!BK$1,0)-VLOOKUP($A80,'Over Under Bill 1 COPY 到CO欄位'!$1:$1048576,'Over Under Bill 1 COPY 到CO欄位'!BF$1,0)</f>
        <v>0</v>
      </c>
      <c r="BL80" s="157">
        <f>VLOOKUP($A80,'Over Under Bill 1 COPY 到CO欄位'!$1:$1048576,'Over Under Bill 1 COPY 到CO欄位'!BL$1,0)-VLOOKUP($A80,'Over Under Bill 1 COPY 到CO欄位'!$1:$1048576,'Over Under Bill 1 COPY 到CO欄位'!BG$1,0)</f>
        <v>0</v>
      </c>
      <c r="BM80" s="157">
        <f t="shared" si="100"/>
        <v>0</v>
      </c>
      <c r="BN80" s="157">
        <f>VLOOKUP($A80,'Over Under Bill 1 COPY 到CO欄位'!$1:$1048576,'Over Under Bill 1 COPY 到CO欄位'!BN$1,0)-VLOOKUP($A80,'Over Under Bill 1 COPY 到CO欄位'!$1:$1048576,'Over Under Bill 1 COPY 到CO欄位'!BI$1,0)</f>
        <v>0</v>
      </c>
      <c r="BO80" s="157">
        <f t="shared" si="101"/>
        <v>0</v>
      </c>
      <c r="BP80" s="158">
        <f>VLOOKUP($A80,'Over Under Bill 1 COPY 到CO欄位'!$1:$1048576,'Over Under Bill 1 COPY 到CO欄位'!BP$1,0)-VLOOKUP($A80,'Over Under Bill 1 COPY 到CO欄位'!$1:$1048576,'Over Under Bill 1 COPY 到CO欄位'!BK$1,0)</f>
        <v>0</v>
      </c>
      <c r="BQ80" s="158">
        <f>VLOOKUP($A80,'Over Under Bill 1 COPY 到CO欄位'!$1:$1048576,'Over Under Bill 1 COPY 到CO欄位'!BQ$1,0)-VLOOKUP($A80,'Over Under Bill 1 COPY 到CO欄位'!$1:$1048576,'Over Under Bill 1 COPY 到CO欄位'!BL$1,0)</f>
        <v>0</v>
      </c>
      <c r="BR80" s="158">
        <f t="shared" si="102"/>
        <v>0</v>
      </c>
      <c r="BS80" s="158">
        <f>VLOOKUP($A80,'Over Under Bill 1 COPY 到CO欄位'!$1:$1048576,'Over Under Bill 1 COPY 到CO欄位'!BS$1,0)-VLOOKUP($A80,'Over Under Bill 1 COPY 到CO欄位'!$1:$1048576,'Over Under Bill 1 COPY 到CO欄位'!BN$1,0)</f>
        <v>0</v>
      </c>
      <c r="BT80" s="158">
        <f t="shared" si="103"/>
        <v>0</v>
      </c>
      <c r="BU80" s="157">
        <f>VLOOKUP($A80,'Over Under Bill 1 COPY 到CO欄位'!$1:$1048576,'Over Under Bill 1 COPY 到CO欄位'!BP$1,0)-VLOOKUP($A80,'Over Under Bill 1 COPY 到CO欄位'!$1:$1048576,'Over Under Bill 1 COPY 到CO欄位'!H$1,0)</f>
        <v>0</v>
      </c>
      <c r="BV80" s="157">
        <f>VLOOKUP($A80,'Over Under Bill 1 COPY 到CO欄位'!$1:$1048576,'Over Under Bill 1 COPY 到CO欄位'!BQ$1,0)-VLOOKUP($A80,'Over Under Bill 1 COPY 到CO欄位'!$1:$1048576,'Over Under Bill 1 COPY 到CO欄位'!I$1,0)</f>
        <v>0</v>
      </c>
      <c r="BW80" s="157">
        <f t="shared" si="104"/>
        <v>0</v>
      </c>
      <c r="BX80" s="157">
        <f>VLOOKUP($A80,'Over Under Bill 1 COPY 到CO欄位'!$1:$1048576,'Over Under Bill 1 COPY 到CO欄位'!BS$1,0)-VLOOKUP($A80,'Over Under Bill 1 COPY 到CO欄位'!$1:$1048576,'Over Under Bill 1 COPY 到CO欄位'!K$1,0)</f>
        <v>0</v>
      </c>
      <c r="BY80" s="157">
        <f t="shared" si="105"/>
        <v>0</v>
      </c>
      <c r="BZ80" s="158">
        <f>VLOOKUP($A80,'Over Under Bill 1 COPY 到CO欄位'!$1:$1048576,'Over Under Bill 1 COPY 到CO欄位'!BU$1,0)-VLOOKUP($A80,'Over Under Bill 1 COPY 到CO欄位'!$1:$1048576,'Over Under Bill 1 COPY 到CO欄位'!BP$1,0)</f>
        <v>0</v>
      </c>
      <c r="CA80" s="158">
        <f>VLOOKUP($A80,'Over Under Bill 1 COPY 到CO欄位'!$1:$1048576,'Over Under Bill 1 COPY 到CO欄位'!BV$1,0)-VLOOKUP($A80,'Over Under Bill 1 COPY 到CO欄位'!$1:$1048576,'Over Under Bill 1 COPY 到CO欄位'!BQ$1,0)</f>
        <v>0</v>
      </c>
      <c r="CB80" s="158">
        <f t="shared" si="106"/>
        <v>0</v>
      </c>
      <c r="CC80" s="158">
        <f>VLOOKUP($A80,'Over Under Bill 1 COPY 到CO欄位'!$1:$1048576,'Over Under Bill 1 COPY 到CO欄位'!BX$1,0)-VLOOKUP($A80,'Over Under Bill 1 COPY 到CO欄位'!$1:$1048576,'Over Under Bill 1 COPY 到CO欄位'!BS$1,0)</f>
        <v>0</v>
      </c>
      <c r="CD80" s="158">
        <f t="shared" si="107"/>
        <v>0</v>
      </c>
      <c r="CE80" s="157">
        <f>VLOOKUP($A80,'Over Under Bill 1 COPY 到CO欄位'!$1:$1048576,'Over Under Bill 1 COPY 到CO欄位'!BZ$1,0)-VLOOKUP($A80,'Over Under Bill 1 COPY 到CO欄位'!$1:$1048576,'Over Under Bill 1 COPY 到CO欄位'!BU$1,0)</f>
        <v>0</v>
      </c>
      <c r="CF80" s="157">
        <f>VLOOKUP($A80,'Over Under Bill 1 COPY 到CO欄位'!$1:$1048576,'Over Under Bill 1 COPY 到CO欄位'!CA$1,0)-VLOOKUP($A80,'Over Under Bill 1 COPY 到CO欄位'!$1:$1048576,'Over Under Bill 1 COPY 到CO欄位'!BV$1,0)</f>
        <v>0</v>
      </c>
      <c r="CG80" s="157">
        <f t="shared" si="108"/>
        <v>0</v>
      </c>
      <c r="CH80" s="157">
        <f>VLOOKUP($A80,'Over Under Bill 1 COPY 到CO欄位'!$1:$1048576,'Over Under Bill 1 COPY 到CO欄位'!CC$1,0)-VLOOKUP($A80,'Over Under Bill 1 COPY 到CO欄位'!$1:$1048576,'Over Under Bill 1 COPY 到CO欄位'!BX$1,0)</f>
        <v>0</v>
      </c>
      <c r="CI80" s="157">
        <f t="shared" si="109"/>
        <v>0</v>
      </c>
      <c r="CJ80" s="158">
        <f>VLOOKUP($A80,'Over Under Bill 1 COPY 到CO欄位'!$1:$1048576,'Over Under Bill 1 COPY 到CO欄位'!CE$1,0)-VLOOKUP($A80,'Over Under Bill 1 COPY 到CO欄位'!$1:$1048576,'Over Under Bill 1 COPY 到CO欄位'!BZ$1,0)</f>
        <v>0</v>
      </c>
      <c r="CK80" s="158">
        <f>VLOOKUP($A80,'Over Under Bill 1 COPY 到CO欄位'!$1:$1048576,'Over Under Bill 1 COPY 到CO欄位'!CF$1,0)-VLOOKUP($A80,'Over Under Bill 1 COPY 到CO欄位'!$1:$1048576,'Over Under Bill 1 COPY 到CO欄位'!CA$1,0)</f>
        <v>0</v>
      </c>
      <c r="CL80" s="158">
        <f t="shared" si="110"/>
        <v>0</v>
      </c>
      <c r="CM80" s="158">
        <f>VLOOKUP($A80,'Over Under Bill 1 COPY 到CO欄位'!$1:$1048576,'Over Under Bill 1 COPY 到CO欄位'!CH$1,0)-VLOOKUP($A80,'Over Under Bill 1 COPY 到CO欄位'!$1:$1048576,'Over Under Bill 1 COPY 到CO欄位'!CC$1,0)</f>
        <v>0</v>
      </c>
      <c r="CN80" s="158">
        <f t="shared" si="111"/>
        <v>0</v>
      </c>
      <c r="CO80" s="157">
        <f>VLOOKUP($A80,'Over Under Bill 1 COPY 到CO欄位'!$1:$1048576,'Over Under Bill 1 COPY 到CO欄位'!CJ$1,0)-VLOOKUP($A80,'Over Under Bill 1 COPY 到CO欄位'!$1:$1048576,'Over Under Bill 1 COPY 到CO欄位'!CE$1,0)</f>
        <v>0</v>
      </c>
      <c r="CP80" s="157">
        <f>VLOOKUP($A80,'Over Under Bill 1 COPY 到CO欄位'!$1:$1048576,'Over Under Bill 1 COPY 到CO欄位'!CK$1,0)-VLOOKUP($A80,'Over Under Bill 1 COPY 到CO欄位'!$1:$1048576,'Over Under Bill 1 COPY 到CO欄位'!CF$1,0)</f>
        <v>0</v>
      </c>
      <c r="CQ80" s="157">
        <f t="shared" si="112"/>
        <v>0</v>
      </c>
      <c r="CR80" s="157">
        <f>VLOOKUP($A80,'Over Under Bill 1 COPY 到CO欄位'!$1:$1048576,'Over Under Bill 1 COPY 到CO欄位'!CM$1,0)-VLOOKUP($A80,'Over Under Bill 1 COPY 到CO欄位'!$1:$1048576,'Over Under Bill 1 COPY 到CO欄位'!CH$1,0)</f>
        <v>0</v>
      </c>
      <c r="CS80" s="157">
        <f t="shared" si="113"/>
        <v>0</v>
      </c>
    </row>
    <row r="81" spans="1:97">
      <c r="A81" s="171" t="s">
        <v>457</v>
      </c>
      <c r="B81" s="172" t="s">
        <v>544</v>
      </c>
      <c r="C81" s="157">
        <f>IFERROR(VLOOKUP($A81,'A0 BS 1240在建'!$1:$1048576,5,0),0)</f>
        <v>0</v>
      </c>
      <c r="D81" s="157">
        <f>IFERROR(VLOOKUP($A81,'B0 2264預收'!$1:$1048576,5,0),0)</f>
        <v>0</v>
      </c>
      <c r="E81" s="157">
        <f t="shared" si="76"/>
        <v>0</v>
      </c>
      <c r="F81" s="157">
        <f>IFERROR(VLOOKUP($A81,'B0 2264預收'!$1:$1048576,6,0),0)</f>
        <v>0</v>
      </c>
      <c r="G81" s="157">
        <f t="shared" si="77"/>
        <v>0</v>
      </c>
      <c r="H81" s="158">
        <f>IFERROR(VLOOKUP($A81,'A0 BS 1240在建'!$1:$1048576,13,0),0)-C81</f>
        <v>0</v>
      </c>
      <c r="I81" s="158">
        <f>IFERROR(VLOOKUP($A81,'B0 2264預收'!$1:$1048576,13,0),0)-D81</f>
        <v>0</v>
      </c>
      <c r="J81" s="158">
        <f t="shared" si="78"/>
        <v>0</v>
      </c>
      <c r="K81" s="158">
        <f>IFERROR(VLOOKUP($A81,'B0 2264預收'!$1:$1048576,14,0),0)-F81</f>
        <v>0</v>
      </c>
      <c r="L81" s="158">
        <f t="shared" si="79"/>
        <v>0</v>
      </c>
      <c r="M81" s="157">
        <f>VLOOKUP($A81,'Over Under Bill 1 COPY 到CO欄位'!$1:$1048576,'Over Under Bill 1 COPY 到CO欄位'!M$1,0)-VLOOKUP($A81,'Over Under Bill 1 COPY 到CO欄位'!$1:$1048576,'Over Under Bill 1 COPY 到CO欄位'!H$1,0)</f>
        <v>0</v>
      </c>
      <c r="N81" s="157">
        <f>VLOOKUP($A81,'Over Under Bill 1 COPY 到CO欄位'!$1:$1048576,'Over Under Bill 1 COPY 到CO欄位'!N$1,0)-VLOOKUP($A81,'Over Under Bill 1 COPY 到CO欄位'!$1:$1048576,'Over Under Bill 1 COPY 到CO欄位'!I$1,0)</f>
        <v>0</v>
      </c>
      <c r="O81" s="157">
        <f t="shared" si="80"/>
        <v>0</v>
      </c>
      <c r="P81" s="157">
        <f>VLOOKUP($A81,'Over Under Bill 1 COPY 到CO欄位'!$1:$1048576,'Over Under Bill 1 COPY 到CO欄位'!P$1,0)-VLOOKUP($A81,'Over Under Bill 1 COPY 到CO欄位'!$1:$1048576,'Over Under Bill 1 COPY 到CO欄位'!K$1,0)</f>
        <v>0</v>
      </c>
      <c r="Q81" s="157">
        <f t="shared" si="81"/>
        <v>0</v>
      </c>
      <c r="R81" s="158">
        <f>VLOOKUP($A81,'Over Under Bill 1 COPY 到CO欄位'!$1:$1048576,'Over Under Bill 1 COPY 到CO欄位'!R$1,0)-VLOOKUP($A81,'Over Under Bill 1 COPY 到CO欄位'!$1:$1048576,'Over Under Bill 1 COPY 到CO欄位'!M$1,0)</f>
        <v>0</v>
      </c>
      <c r="S81" s="158">
        <f>VLOOKUP($A81,'Over Under Bill 1 COPY 到CO欄位'!$1:$1048576,'Over Under Bill 1 COPY 到CO欄位'!S$1,0)-VLOOKUP($A81,'Over Under Bill 1 COPY 到CO欄位'!$1:$1048576,'Over Under Bill 1 COPY 到CO欄位'!N$1,0)</f>
        <v>0</v>
      </c>
      <c r="T81" s="158">
        <f t="shared" si="82"/>
        <v>0</v>
      </c>
      <c r="U81" s="158">
        <f>VLOOKUP($A81,'Over Under Bill 1 COPY 到CO欄位'!$1:$1048576,'Over Under Bill 1 COPY 到CO欄位'!U$1,0)-VLOOKUP($A81,'Over Under Bill 1 COPY 到CO欄位'!$1:$1048576,'Over Under Bill 1 COPY 到CO欄位'!P$1,0)</f>
        <v>0</v>
      </c>
      <c r="V81" s="158">
        <f t="shared" si="83"/>
        <v>0</v>
      </c>
      <c r="W81" s="157">
        <f>VLOOKUP($A81,'Over Under Bill 1 COPY 到CO欄位'!$1:$1048576,'Over Under Bill 1 COPY 到CO欄位'!W$1,0)-VLOOKUP($A81,'Over Under Bill 1 COPY 到CO欄位'!$1:$1048576,'Over Under Bill 1 COPY 到CO欄位'!R$1,0)</f>
        <v>0</v>
      </c>
      <c r="X81" s="157">
        <f>VLOOKUP($A81,'Over Under Bill 1 COPY 到CO欄位'!$1:$1048576,'Over Under Bill 1 COPY 到CO欄位'!X$1,0)-VLOOKUP($A81,'Over Under Bill 1 COPY 到CO欄位'!$1:$1048576,'Over Under Bill 1 COPY 到CO欄位'!S$1,0)</f>
        <v>0</v>
      </c>
      <c r="Y81" s="157">
        <f t="shared" si="84"/>
        <v>0</v>
      </c>
      <c r="Z81" s="157">
        <f>VLOOKUP($A81,'Over Under Bill 1 COPY 到CO欄位'!$1:$1048576,'Over Under Bill 1 COPY 到CO欄位'!Z$1,0)-VLOOKUP($A81,'Over Under Bill 1 COPY 到CO欄位'!$1:$1048576,'Over Under Bill 1 COPY 到CO欄位'!U$1,0)</f>
        <v>0</v>
      </c>
      <c r="AA81" s="157">
        <f t="shared" si="85"/>
        <v>0</v>
      </c>
      <c r="AB81" s="158">
        <f>VLOOKUP($A81,'Over Under Bill 1 COPY 到CO欄位'!$1:$1048576,'Over Under Bill 1 COPY 到CO欄位'!AB$1,0)-VLOOKUP($A81,'Over Under Bill 1 COPY 到CO欄位'!$1:$1048576,'Over Under Bill 1 COPY 到CO欄位'!W$1,0)</f>
        <v>0</v>
      </c>
      <c r="AC81" s="158">
        <f>VLOOKUP($A81,'Over Under Bill 1 COPY 到CO欄位'!$1:$1048576,'Over Under Bill 1 COPY 到CO欄位'!AC$1,0)-VLOOKUP($A81,'Over Under Bill 1 COPY 到CO欄位'!$1:$1048576,'Over Under Bill 1 COPY 到CO欄位'!X$1,0)</f>
        <v>0</v>
      </c>
      <c r="AD81" s="158">
        <f t="shared" si="86"/>
        <v>0</v>
      </c>
      <c r="AE81" s="158">
        <f>VLOOKUP($A81,'Over Under Bill 1 COPY 到CO欄位'!$1:$1048576,'Over Under Bill 1 COPY 到CO欄位'!AE$1,0)-VLOOKUP($A81,'Over Under Bill 1 COPY 到CO欄位'!$1:$1048576,'Over Under Bill 1 COPY 到CO欄位'!Z$1,0)</f>
        <v>0</v>
      </c>
      <c r="AF81" s="158">
        <f t="shared" si="87"/>
        <v>0</v>
      </c>
      <c r="AG81" s="157">
        <f>VLOOKUP($A81,'Over Under Bill 1 COPY 到CO欄位'!$1:$1048576,'Over Under Bill 1 COPY 到CO欄位'!AG$1,0)-VLOOKUP($A81,'Over Under Bill 1 COPY 到CO欄位'!$1:$1048576,'Over Under Bill 1 COPY 到CO欄位'!AB$1,0)</f>
        <v>0</v>
      </c>
      <c r="AH81" s="157">
        <f>VLOOKUP($A81,'Over Under Bill 1 COPY 到CO欄位'!$1:$1048576,'Over Under Bill 1 COPY 到CO欄位'!AH$1,0)-VLOOKUP($A81,'Over Under Bill 1 COPY 到CO欄位'!$1:$1048576,'Over Under Bill 1 COPY 到CO欄位'!AC$1,0)</f>
        <v>0</v>
      </c>
      <c r="AI81" s="157">
        <f t="shared" si="88"/>
        <v>0</v>
      </c>
      <c r="AJ81" s="157">
        <f>VLOOKUP($A81,'Over Under Bill 1 COPY 到CO欄位'!$1:$1048576,'Over Under Bill 1 COPY 到CO欄位'!AJ$1,0)-VLOOKUP($A81,'Over Under Bill 1 COPY 到CO欄位'!$1:$1048576,'Over Under Bill 1 COPY 到CO欄位'!AE$1,0)</f>
        <v>0</v>
      </c>
      <c r="AK81" s="157">
        <f t="shared" si="89"/>
        <v>0</v>
      </c>
      <c r="AL81" s="158">
        <f>VLOOKUP($A81,'Over Under Bill 1 COPY 到CO欄位'!$1:$1048576,'Over Under Bill 1 COPY 到CO欄位'!AL$1,0)-VLOOKUP($A81,'Over Under Bill 1 COPY 到CO欄位'!$1:$1048576,'Over Under Bill 1 COPY 到CO欄位'!AG$1,0)</f>
        <v>0</v>
      </c>
      <c r="AM81" s="158">
        <f>VLOOKUP($A81,'Over Under Bill 1 COPY 到CO欄位'!$1:$1048576,'Over Under Bill 1 COPY 到CO欄位'!AM$1,0)-VLOOKUP($A81,'Over Under Bill 1 COPY 到CO欄位'!$1:$1048576,'Over Under Bill 1 COPY 到CO欄位'!AH$1,0)</f>
        <v>0</v>
      </c>
      <c r="AN81" s="158">
        <f t="shared" si="90"/>
        <v>0</v>
      </c>
      <c r="AO81" s="158">
        <f>VLOOKUP($A81,'Over Under Bill 1 COPY 到CO欄位'!$1:$1048576,'Over Under Bill 1 COPY 到CO欄位'!AO$1,0)-VLOOKUP($A81,'Over Under Bill 1 COPY 到CO欄位'!$1:$1048576,'Over Under Bill 1 COPY 到CO欄位'!AJ$1,0)</f>
        <v>0</v>
      </c>
      <c r="AP81" s="158">
        <f t="shared" si="91"/>
        <v>0</v>
      </c>
      <c r="AQ81" s="157">
        <f>VLOOKUP($A81,'Over Under Bill 1 COPY 到CO欄位'!$1:$1048576,'Over Under Bill 1 COPY 到CO欄位'!AQ$1,0)-VLOOKUP($A81,'Over Under Bill 1 COPY 到CO欄位'!$1:$1048576,'Over Under Bill 1 COPY 到CO欄位'!AL$1,0)</f>
        <v>0</v>
      </c>
      <c r="AR81" s="157">
        <f>VLOOKUP($A81,'Over Under Bill 1 COPY 到CO欄位'!$1:$1048576,'Over Under Bill 1 COPY 到CO欄位'!AR$1,0)-VLOOKUP($A81,'Over Under Bill 1 COPY 到CO欄位'!$1:$1048576,'Over Under Bill 1 COPY 到CO欄位'!AM$1,0)</f>
        <v>0</v>
      </c>
      <c r="AS81" s="157">
        <f t="shared" si="92"/>
        <v>0</v>
      </c>
      <c r="AT81" s="157">
        <f>VLOOKUP($A81,'Over Under Bill 1 COPY 到CO欄位'!$1:$1048576,'Over Under Bill 1 COPY 到CO欄位'!AT$1,0)-VLOOKUP($A81,'Over Under Bill 1 COPY 到CO欄位'!$1:$1048576,'Over Under Bill 1 COPY 到CO欄位'!AO$1,0)</f>
        <v>0</v>
      </c>
      <c r="AU81" s="157">
        <f t="shared" si="93"/>
        <v>0</v>
      </c>
      <c r="AV81" s="158">
        <f>VLOOKUP($A81,'Over Under Bill 1 COPY 到CO欄位'!$1:$1048576,'Over Under Bill 1 COPY 到CO欄位'!AV$1,0)-VLOOKUP($A81,'Over Under Bill 1 COPY 到CO欄位'!$1:$1048576,'Over Under Bill 1 COPY 到CO欄位'!AQ$1,0)</f>
        <v>0</v>
      </c>
      <c r="AW81" s="158">
        <f>VLOOKUP($A81,'Over Under Bill 1 COPY 到CO欄位'!$1:$1048576,'Over Under Bill 1 COPY 到CO欄位'!AW$1,0)-VLOOKUP($A81,'Over Under Bill 1 COPY 到CO欄位'!$1:$1048576,'Over Under Bill 1 COPY 到CO欄位'!AR$1,0)</f>
        <v>0</v>
      </c>
      <c r="AX81" s="158">
        <f t="shared" si="94"/>
        <v>0</v>
      </c>
      <c r="AY81" s="158">
        <f>VLOOKUP($A81,'Over Under Bill 1 COPY 到CO欄位'!$1:$1048576,'Over Under Bill 1 COPY 到CO欄位'!AY$1,0)-VLOOKUP($A81,'Over Under Bill 1 COPY 到CO欄位'!$1:$1048576,'Over Under Bill 1 COPY 到CO欄位'!AT$1,0)</f>
        <v>0</v>
      </c>
      <c r="AZ81" s="158">
        <f t="shared" si="95"/>
        <v>0</v>
      </c>
      <c r="BA81" s="157">
        <f>VLOOKUP($A81,'Over Under Bill 1 COPY 到CO欄位'!$1:$1048576,'Over Under Bill 1 COPY 到CO欄位'!BA$1,0)-VLOOKUP($A81,'Over Under Bill 1 COPY 到CO欄位'!$1:$1048576,'Over Under Bill 1 COPY 到CO欄位'!AV$1,0)</f>
        <v>0</v>
      </c>
      <c r="BB81" s="157">
        <f>VLOOKUP($A81,'Over Under Bill 1 COPY 到CO欄位'!$1:$1048576,'Over Under Bill 1 COPY 到CO欄位'!BB$1,0)-VLOOKUP($A81,'Over Under Bill 1 COPY 到CO欄位'!$1:$1048576,'Over Under Bill 1 COPY 到CO欄位'!AW$1,0)</f>
        <v>0</v>
      </c>
      <c r="BC81" s="157">
        <f t="shared" si="96"/>
        <v>0</v>
      </c>
      <c r="BD81" s="157">
        <f>VLOOKUP($A81,'Over Under Bill 1 COPY 到CO欄位'!$1:$1048576,'Over Under Bill 1 COPY 到CO欄位'!BD$1,0)-VLOOKUP($A81,'Over Under Bill 1 COPY 到CO欄位'!$1:$1048576,'Over Under Bill 1 COPY 到CO欄位'!AY$1,0)</f>
        <v>0</v>
      </c>
      <c r="BE81" s="157">
        <f t="shared" si="97"/>
        <v>0</v>
      </c>
      <c r="BF81" s="158">
        <f>VLOOKUP($A81,'Over Under Bill 1 COPY 到CO欄位'!$1:$1048576,'Over Under Bill 1 COPY 到CO欄位'!BF$1,0)-VLOOKUP($A81,'Over Under Bill 1 COPY 到CO欄位'!$1:$1048576,'Over Under Bill 1 COPY 到CO欄位'!BA$1,0)</f>
        <v>0</v>
      </c>
      <c r="BG81" s="158">
        <f>VLOOKUP($A81,'Over Under Bill 1 COPY 到CO欄位'!$1:$1048576,'Over Under Bill 1 COPY 到CO欄位'!BG$1,0)-VLOOKUP($A81,'Over Under Bill 1 COPY 到CO欄位'!$1:$1048576,'Over Under Bill 1 COPY 到CO欄位'!BB$1,0)</f>
        <v>0</v>
      </c>
      <c r="BH81" s="158">
        <f t="shared" si="98"/>
        <v>0</v>
      </c>
      <c r="BI81" s="158">
        <f>VLOOKUP($A81,'Over Under Bill 1 COPY 到CO欄位'!$1:$1048576,'Over Under Bill 1 COPY 到CO欄位'!BI$1,0)-VLOOKUP($A81,'Over Under Bill 1 COPY 到CO欄位'!$1:$1048576,'Over Under Bill 1 COPY 到CO欄位'!BD$1,0)</f>
        <v>0</v>
      </c>
      <c r="BJ81" s="158">
        <f t="shared" si="99"/>
        <v>0</v>
      </c>
      <c r="BK81" s="157">
        <f>VLOOKUP($A81,'Over Under Bill 1 COPY 到CO欄位'!$1:$1048576,'Over Under Bill 1 COPY 到CO欄位'!BK$1,0)-VLOOKUP($A81,'Over Under Bill 1 COPY 到CO欄位'!$1:$1048576,'Over Under Bill 1 COPY 到CO欄位'!BF$1,0)</f>
        <v>0</v>
      </c>
      <c r="BL81" s="157">
        <f>VLOOKUP($A81,'Over Under Bill 1 COPY 到CO欄位'!$1:$1048576,'Over Under Bill 1 COPY 到CO欄位'!BL$1,0)-VLOOKUP($A81,'Over Under Bill 1 COPY 到CO欄位'!$1:$1048576,'Over Under Bill 1 COPY 到CO欄位'!BG$1,0)</f>
        <v>0</v>
      </c>
      <c r="BM81" s="157">
        <f t="shared" si="100"/>
        <v>0</v>
      </c>
      <c r="BN81" s="157">
        <f>VLOOKUP($A81,'Over Under Bill 1 COPY 到CO欄位'!$1:$1048576,'Over Under Bill 1 COPY 到CO欄位'!BN$1,0)-VLOOKUP($A81,'Over Under Bill 1 COPY 到CO欄位'!$1:$1048576,'Over Under Bill 1 COPY 到CO欄位'!BI$1,0)</f>
        <v>0</v>
      </c>
      <c r="BO81" s="157">
        <f t="shared" si="101"/>
        <v>0</v>
      </c>
      <c r="BP81" s="158">
        <f>VLOOKUP($A81,'Over Under Bill 1 COPY 到CO欄位'!$1:$1048576,'Over Under Bill 1 COPY 到CO欄位'!BP$1,0)-VLOOKUP($A81,'Over Under Bill 1 COPY 到CO欄位'!$1:$1048576,'Over Under Bill 1 COPY 到CO欄位'!BK$1,0)</f>
        <v>0</v>
      </c>
      <c r="BQ81" s="158">
        <f>VLOOKUP($A81,'Over Under Bill 1 COPY 到CO欄位'!$1:$1048576,'Over Under Bill 1 COPY 到CO欄位'!BQ$1,0)-VLOOKUP($A81,'Over Under Bill 1 COPY 到CO欄位'!$1:$1048576,'Over Under Bill 1 COPY 到CO欄位'!BL$1,0)</f>
        <v>0</v>
      </c>
      <c r="BR81" s="158">
        <f t="shared" si="102"/>
        <v>0</v>
      </c>
      <c r="BS81" s="158">
        <f>VLOOKUP($A81,'Over Under Bill 1 COPY 到CO欄位'!$1:$1048576,'Over Under Bill 1 COPY 到CO欄位'!BS$1,0)-VLOOKUP($A81,'Over Under Bill 1 COPY 到CO欄位'!$1:$1048576,'Over Under Bill 1 COPY 到CO欄位'!BN$1,0)</f>
        <v>0</v>
      </c>
      <c r="BT81" s="158">
        <f t="shared" si="103"/>
        <v>0</v>
      </c>
      <c r="BU81" s="157">
        <f>VLOOKUP($A81,'Over Under Bill 1 COPY 到CO欄位'!$1:$1048576,'Over Under Bill 1 COPY 到CO欄位'!BP$1,0)-VLOOKUP($A81,'Over Under Bill 1 COPY 到CO欄位'!$1:$1048576,'Over Under Bill 1 COPY 到CO欄位'!H$1,0)</f>
        <v>0</v>
      </c>
      <c r="BV81" s="157">
        <f>VLOOKUP($A81,'Over Under Bill 1 COPY 到CO欄位'!$1:$1048576,'Over Under Bill 1 COPY 到CO欄位'!BQ$1,0)-VLOOKUP($A81,'Over Under Bill 1 COPY 到CO欄位'!$1:$1048576,'Over Under Bill 1 COPY 到CO欄位'!I$1,0)</f>
        <v>0</v>
      </c>
      <c r="BW81" s="157">
        <f t="shared" si="104"/>
        <v>0</v>
      </c>
      <c r="BX81" s="157">
        <f>VLOOKUP($A81,'Over Under Bill 1 COPY 到CO欄位'!$1:$1048576,'Over Under Bill 1 COPY 到CO欄位'!BS$1,0)-VLOOKUP($A81,'Over Under Bill 1 COPY 到CO欄位'!$1:$1048576,'Over Under Bill 1 COPY 到CO欄位'!K$1,0)</f>
        <v>0</v>
      </c>
      <c r="BY81" s="157">
        <f t="shared" si="105"/>
        <v>0</v>
      </c>
      <c r="BZ81" s="158">
        <f>VLOOKUP($A81,'Over Under Bill 1 COPY 到CO欄位'!$1:$1048576,'Over Under Bill 1 COPY 到CO欄位'!BU$1,0)-VLOOKUP($A81,'Over Under Bill 1 COPY 到CO欄位'!$1:$1048576,'Over Under Bill 1 COPY 到CO欄位'!BP$1,0)</f>
        <v>0</v>
      </c>
      <c r="CA81" s="158">
        <f>VLOOKUP($A81,'Over Under Bill 1 COPY 到CO欄位'!$1:$1048576,'Over Under Bill 1 COPY 到CO欄位'!BV$1,0)-VLOOKUP($A81,'Over Under Bill 1 COPY 到CO欄位'!$1:$1048576,'Over Under Bill 1 COPY 到CO欄位'!BQ$1,0)</f>
        <v>0</v>
      </c>
      <c r="CB81" s="158">
        <f t="shared" si="106"/>
        <v>0</v>
      </c>
      <c r="CC81" s="158">
        <f>VLOOKUP($A81,'Over Under Bill 1 COPY 到CO欄位'!$1:$1048576,'Over Under Bill 1 COPY 到CO欄位'!BX$1,0)-VLOOKUP($A81,'Over Under Bill 1 COPY 到CO欄位'!$1:$1048576,'Over Under Bill 1 COPY 到CO欄位'!BS$1,0)</f>
        <v>0</v>
      </c>
      <c r="CD81" s="158">
        <f t="shared" si="107"/>
        <v>0</v>
      </c>
      <c r="CE81" s="157">
        <f>VLOOKUP($A81,'Over Under Bill 1 COPY 到CO欄位'!$1:$1048576,'Over Under Bill 1 COPY 到CO欄位'!BZ$1,0)-VLOOKUP($A81,'Over Under Bill 1 COPY 到CO欄位'!$1:$1048576,'Over Under Bill 1 COPY 到CO欄位'!BU$1,0)</f>
        <v>0</v>
      </c>
      <c r="CF81" s="157">
        <f>VLOOKUP($A81,'Over Under Bill 1 COPY 到CO欄位'!$1:$1048576,'Over Under Bill 1 COPY 到CO欄位'!CA$1,0)-VLOOKUP($A81,'Over Under Bill 1 COPY 到CO欄位'!$1:$1048576,'Over Under Bill 1 COPY 到CO欄位'!BV$1,0)</f>
        <v>0</v>
      </c>
      <c r="CG81" s="157">
        <f t="shared" si="108"/>
        <v>0</v>
      </c>
      <c r="CH81" s="157">
        <f>VLOOKUP($A81,'Over Under Bill 1 COPY 到CO欄位'!$1:$1048576,'Over Under Bill 1 COPY 到CO欄位'!CC$1,0)-VLOOKUP($A81,'Over Under Bill 1 COPY 到CO欄位'!$1:$1048576,'Over Under Bill 1 COPY 到CO欄位'!BX$1,0)</f>
        <v>0</v>
      </c>
      <c r="CI81" s="157">
        <f t="shared" si="109"/>
        <v>0</v>
      </c>
      <c r="CJ81" s="158">
        <f>VLOOKUP($A81,'Over Under Bill 1 COPY 到CO欄位'!$1:$1048576,'Over Under Bill 1 COPY 到CO欄位'!CE$1,0)-VLOOKUP($A81,'Over Under Bill 1 COPY 到CO欄位'!$1:$1048576,'Over Under Bill 1 COPY 到CO欄位'!BZ$1,0)</f>
        <v>0</v>
      </c>
      <c r="CK81" s="158">
        <f>VLOOKUP($A81,'Over Under Bill 1 COPY 到CO欄位'!$1:$1048576,'Over Under Bill 1 COPY 到CO欄位'!CF$1,0)-VLOOKUP($A81,'Over Under Bill 1 COPY 到CO欄位'!$1:$1048576,'Over Under Bill 1 COPY 到CO欄位'!CA$1,0)</f>
        <v>0</v>
      </c>
      <c r="CL81" s="158">
        <f t="shared" si="110"/>
        <v>0</v>
      </c>
      <c r="CM81" s="158">
        <f>VLOOKUP($A81,'Over Under Bill 1 COPY 到CO欄位'!$1:$1048576,'Over Under Bill 1 COPY 到CO欄位'!CH$1,0)-VLOOKUP($A81,'Over Under Bill 1 COPY 到CO欄位'!$1:$1048576,'Over Under Bill 1 COPY 到CO欄位'!CC$1,0)</f>
        <v>0</v>
      </c>
      <c r="CN81" s="158">
        <f t="shared" si="111"/>
        <v>0</v>
      </c>
      <c r="CO81" s="157">
        <f>VLOOKUP($A81,'Over Under Bill 1 COPY 到CO欄位'!$1:$1048576,'Over Under Bill 1 COPY 到CO欄位'!CJ$1,0)-VLOOKUP($A81,'Over Under Bill 1 COPY 到CO欄位'!$1:$1048576,'Over Under Bill 1 COPY 到CO欄位'!CE$1,0)</f>
        <v>0</v>
      </c>
      <c r="CP81" s="157">
        <f>VLOOKUP($A81,'Over Under Bill 1 COPY 到CO欄位'!$1:$1048576,'Over Under Bill 1 COPY 到CO欄位'!CK$1,0)-VLOOKUP($A81,'Over Under Bill 1 COPY 到CO欄位'!$1:$1048576,'Over Under Bill 1 COPY 到CO欄位'!CF$1,0)</f>
        <v>0</v>
      </c>
      <c r="CQ81" s="157">
        <f t="shared" si="112"/>
        <v>0</v>
      </c>
      <c r="CR81" s="157">
        <f>VLOOKUP($A81,'Over Under Bill 1 COPY 到CO欄位'!$1:$1048576,'Over Under Bill 1 COPY 到CO欄位'!CM$1,0)-VLOOKUP($A81,'Over Under Bill 1 COPY 到CO欄位'!$1:$1048576,'Over Under Bill 1 COPY 到CO欄位'!CH$1,0)</f>
        <v>0</v>
      </c>
      <c r="CS81" s="157">
        <f t="shared" si="113"/>
        <v>0</v>
      </c>
    </row>
    <row r="82" spans="1:97">
      <c r="A82" s="171" t="s">
        <v>459</v>
      </c>
      <c r="B82" s="172" t="s">
        <v>342</v>
      </c>
      <c r="C82" s="157">
        <f>IFERROR(VLOOKUP($A82,'A0 BS 1240在建'!$1:$1048576,5,0),0)</f>
        <v>0</v>
      </c>
      <c r="D82" s="157">
        <f>IFERROR(VLOOKUP($A82,'B0 2264預收'!$1:$1048576,5,0),0)</f>
        <v>0</v>
      </c>
      <c r="E82" s="157">
        <f t="shared" si="76"/>
        <v>0</v>
      </c>
      <c r="F82" s="157">
        <f>IFERROR(VLOOKUP($A82,'B0 2264預收'!$1:$1048576,6,0),0)</f>
        <v>0</v>
      </c>
      <c r="G82" s="157">
        <f t="shared" si="77"/>
        <v>0</v>
      </c>
      <c r="H82" s="158">
        <f>IFERROR(VLOOKUP($A82,'A0 BS 1240在建'!$1:$1048576,13,0),0)-C82</f>
        <v>0</v>
      </c>
      <c r="I82" s="158">
        <f>IFERROR(VLOOKUP($A82,'B0 2264預收'!$1:$1048576,13,0),0)-D82</f>
        <v>0</v>
      </c>
      <c r="J82" s="158">
        <f t="shared" si="78"/>
        <v>0</v>
      </c>
      <c r="K82" s="158">
        <f>IFERROR(VLOOKUP($A82,'B0 2264預收'!$1:$1048576,14,0),0)-F82</f>
        <v>0</v>
      </c>
      <c r="L82" s="158">
        <f t="shared" si="79"/>
        <v>0</v>
      </c>
      <c r="M82" s="157">
        <f>VLOOKUP($A82,'Over Under Bill 1 COPY 到CO欄位'!$1:$1048576,'Over Under Bill 1 COPY 到CO欄位'!M$1,0)-VLOOKUP($A82,'Over Under Bill 1 COPY 到CO欄位'!$1:$1048576,'Over Under Bill 1 COPY 到CO欄位'!H$1,0)</f>
        <v>0</v>
      </c>
      <c r="N82" s="157">
        <f>VLOOKUP($A82,'Over Under Bill 1 COPY 到CO欄位'!$1:$1048576,'Over Under Bill 1 COPY 到CO欄位'!N$1,0)-VLOOKUP($A82,'Over Under Bill 1 COPY 到CO欄位'!$1:$1048576,'Over Under Bill 1 COPY 到CO欄位'!I$1,0)</f>
        <v>0</v>
      </c>
      <c r="O82" s="157">
        <f t="shared" si="80"/>
        <v>0</v>
      </c>
      <c r="P82" s="157">
        <f>VLOOKUP($A82,'Over Under Bill 1 COPY 到CO欄位'!$1:$1048576,'Over Under Bill 1 COPY 到CO欄位'!P$1,0)-VLOOKUP($A82,'Over Under Bill 1 COPY 到CO欄位'!$1:$1048576,'Over Under Bill 1 COPY 到CO欄位'!K$1,0)</f>
        <v>0</v>
      </c>
      <c r="Q82" s="157">
        <f t="shared" si="81"/>
        <v>0</v>
      </c>
      <c r="R82" s="158">
        <f>VLOOKUP($A82,'Over Under Bill 1 COPY 到CO欄位'!$1:$1048576,'Over Under Bill 1 COPY 到CO欄位'!R$1,0)-VLOOKUP($A82,'Over Under Bill 1 COPY 到CO欄位'!$1:$1048576,'Over Under Bill 1 COPY 到CO欄位'!M$1,0)</f>
        <v>0</v>
      </c>
      <c r="S82" s="158">
        <f>VLOOKUP($A82,'Over Under Bill 1 COPY 到CO欄位'!$1:$1048576,'Over Under Bill 1 COPY 到CO欄位'!S$1,0)-VLOOKUP($A82,'Over Under Bill 1 COPY 到CO欄位'!$1:$1048576,'Over Under Bill 1 COPY 到CO欄位'!N$1,0)</f>
        <v>0</v>
      </c>
      <c r="T82" s="158">
        <f t="shared" si="82"/>
        <v>0</v>
      </c>
      <c r="U82" s="158">
        <f>VLOOKUP($A82,'Over Under Bill 1 COPY 到CO欄位'!$1:$1048576,'Over Under Bill 1 COPY 到CO欄位'!U$1,0)-VLOOKUP($A82,'Over Under Bill 1 COPY 到CO欄位'!$1:$1048576,'Over Under Bill 1 COPY 到CO欄位'!P$1,0)</f>
        <v>0</v>
      </c>
      <c r="V82" s="158">
        <f t="shared" si="83"/>
        <v>0</v>
      </c>
      <c r="W82" s="157">
        <f>VLOOKUP($A82,'Over Under Bill 1 COPY 到CO欄位'!$1:$1048576,'Over Under Bill 1 COPY 到CO欄位'!W$1,0)-VLOOKUP($A82,'Over Under Bill 1 COPY 到CO欄位'!$1:$1048576,'Over Under Bill 1 COPY 到CO欄位'!R$1,0)</f>
        <v>0</v>
      </c>
      <c r="X82" s="157">
        <f>VLOOKUP($A82,'Over Under Bill 1 COPY 到CO欄位'!$1:$1048576,'Over Under Bill 1 COPY 到CO欄位'!X$1,0)-VLOOKUP($A82,'Over Under Bill 1 COPY 到CO欄位'!$1:$1048576,'Over Under Bill 1 COPY 到CO欄位'!S$1,0)</f>
        <v>0</v>
      </c>
      <c r="Y82" s="157">
        <f t="shared" si="84"/>
        <v>0</v>
      </c>
      <c r="Z82" s="157">
        <f>VLOOKUP($A82,'Over Under Bill 1 COPY 到CO欄位'!$1:$1048576,'Over Under Bill 1 COPY 到CO欄位'!Z$1,0)-VLOOKUP($A82,'Over Under Bill 1 COPY 到CO欄位'!$1:$1048576,'Over Under Bill 1 COPY 到CO欄位'!U$1,0)</f>
        <v>0</v>
      </c>
      <c r="AA82" s="157">
        <f t="shared" si="85"/>
        <v>0</v>
      </c>
      <c r="AB82" s="158">
        <f>VLOOKUP($A82,'Over Under Bill 1 COPY 到CO欄位'!$1:$1048576,'Over Under Bill 1 COPY 到CO欄位'!AB$1,0)-VLOOKUP($A82,'Over Under Bill 1 COPY 到CO欄位'!$1:$1048576,'Over Under Bill 1 COPY 到CO欄位'!W$1,0)</f>
        <v>0</v>
      </c>
      <c r="AC82" s="158">
        <f>VLOOKUP($A82,'Over Under Bill 1 COPY 到CO欄位'!$1:$1048576,'Over Under Bill 1 COPY 到CO欄位'!AC$1,0)-VLOOKUP($A82,'Over Under Bill 1 COPY 到CO欄位'!$1:$1048576,'Over Under Bill 1 COPY 到CO欄位'!X$1,0)</f>
        <v>0</v>
      </c>
      <c r="AD82" s="158">
        <f t="shared" si="86"/>
        <v>0</v>
      </c>
      <c r="AE82" s="158">
        <f>VLOOKUP($A82,'Over Under Bill 1 COPY 到CO欄位'!$1:$1048576,'Over Under Bill 1 COPY 到CO欄位'!AE$1,0)-VLOOKUP($A82,'Over Under Bill 1 COPY 到CO欄位'!$1:$1048576,'Over Under Bill 1 COPY 到CO欄位'!Z$1,0)</f>
        <v>0</v>
      </c>
      <c r="AF82" s="158">
        <f t="shared" si="87"/>
        <v>0</v>
      </c>
      <c r="AG82" s="157">
        <f>VLOOKUP($A82,'Over Under Bill 1 COPY 到CO欄位'!$1:$1048576,'Over Under Bill 1 COPY 到CO欄位'!AG$1,0)-VLOOKUP($A82,'Over Under Bill 1 COPY 到CO欄位'!$1:$1048576,'Over Under Bill 1 COPY 到CO欄位'!AB$1,0)</f>
        <v>0</v>
      </c>
      <c r="AH82" s="157">
        <f>VLOOKUP($A82,'Over Under Bill 1 COPY 到CO欄位'!$1:$1048576,'Over Under Bill 1 COPY 到CO欄位'!AH$1,0)-VLOOKUP($A82,'Over Under Bill 1 COPY 到CO欄位'!$1:$1048576,'Over Under Bill 1 COPY 到CO欄位'!AC$1,0)</f>
        <v>0</v>
      </c>
      <c r="AI82" s="157">
        <f t="shared" si="88"/>
        <v>0</v>
      </c>
      <c r="AJ82" s="157">
        <f>VLOOKUP($A82,'Over Under Bill 1 COPY 到CO欄位'!$1:$1048576,'Over Under Bill 1 COPY 到CO欄位'!AJ$1,0)-VLOOKUP($A82,'Over Under Bill 1 COPY 到CO欄位'!$1:$1048576,'Over Under Bill 1 COPY 到CO欄位'!AE$1,0)</f>
        <v>0</v>
      </c>
      <c r="AK82" s="157">
        <f t="shared" si="89"/>
        <v>0</v>
      </c>
      <c r="AL82" s="158">
        <f>VLOOKUP($A82,'Over Under Bill 1 COPY 到CO欄位'!$1:$1048576,'Over Under Bill 1 COPY 到CO欄位'!AL$1,0)-VLOOKUP($A82,'Over Under Bill 1 COPY 到CO欄位'!$1:$1048576,'Over Under Bill 1 COPY 到CO欄位'!AG$1,0)</f>
        <v>0</v>
      </c>
      <c r="AM82" s="158">
        <f>VLOOKUP($A82,'Over Under Bill 1 COPY 到CO欄位'!$1:$1048576,'Over Under Bill 1 COPY 到CO欄位'!AM$1,0)-VLOOKUP($A82,'Over Under Bill 1 COPY 到CO欄位'!$1:$1048576,'Over Under Bill 1 COPY 到CO欄位'!AH$1,0)</f>
        <v>0</v>
      </c>
      <c r="AN82" s="158">
        <f t="shared" si="90"/>
        <v>0</v>
      </c>
      <c r="AO82" s="158">
        <f>VLOOKUP($A82,'Over Under Bill 1 COPY 到CO欄位'!$1:$1048576,'Over Under Bill 1 COPY 到CO欄位'!AO$1,0)-VLOOKUP($A82,'Over Under Bill 1 COPY 到CO欄位'!$1:$1048576,'Over Under Bill 1 COPY 到CO欄位'!AJ$1,0)</f>
        <v>0</v>
      </c>
      <c r="AP82" s="158">
        <f t="shared" si="91"/>
        <v>0</v>
      </c>
      <c r="AQ82" s="157">
        <f>VLOOKUP($A82,'Over Under Bill 1 COPY 到CO欄位'!$1:$1048576,'Over Under Bill 1 COPY 到CO欄位'!AQ$1,0)-VLOOKUP($A82,'Over Under Bill 1 COPY 到CO欄位'!$1:$1048576,'Over Under Bill 1 COPY 到CO欄位'!AL$1,0)</f>
        <v>0</v>
      </c>
      <c r="AR82" s="157">
        <f>VLOOKUP($A82,'Over Under Bill 1 COPY 到CO欄位'!$1:$1048576,'Over Under Bill 1 COPY 到CO欄位'!AR$1,0)-VLOOKUP($A82,'Over Under Bill 1 COPY 到CO欄位'!$1:$1048576,'Over Under Bill 1 COPY 到CO欄位'!AM$1,0)</f>
        <v>0</v>
      </c>
      <c r="AS82" s="157">
        <f t="shared" si="92"/>
        <v>0</v>
      </c>
      <c r="AT82" s="157">
        <f>VLOOKUP($A82,'Over Under Bill 1 COPY 到CO欄位'!$1:$1048576,'Over Under Bill 1 COPY 到CO欄位'!AT$1,0)-VLOOKUP($A82,'Over Under Bill 1 COPY 到CO欄位'!$1:$1048576,'Over Under Bill 1 COPY 到CO欄位'!AO$1,0)</f>
        <v>0</v>
      </c>
      <c r="AU82" s="157">
        <f t="shared" si="93"/>
        <v>0</v>
      </c>
      <c r="AV82" s="158">
        <f>VLOOKUP($A82,'Over Under Bill 1 COPY 到CO欄位'!$1:$1048576,'Over Under Bill 1 COPY 到CO欄位'!AV$1,0)-VLOOKUP($A82,'Over Under Bill 1 COPY 到CO欄位'!$1:$1048576,'Over Under Bill 1 COPY 到CO欄位'!AQ$1,0)</f>
        <v>0</v>
      </c>
      <c r="AW82" s="158">
        <f>VLOOKUP($A82,'Over Under Bill 1 COPY 到CO欄位'!$1:$1048576,'Over Under Bill 1 COPY 到CO欄位'!AW$1,0)-VLOOKUP($A82,'Over Under Bill 1 COPY 到CO欄位'!$1:$1048576,'Over Under Bill 1 COPY 到CO欄位'!AR$1,0)</f>
        <v>0</v>
      </c>
      <c r="AX82" s="158">
        <f t="shared" si="94"/>
        <v>0</v>
      </c>
      <c r="AY82" s="158">
        <f>VLOOKUP($A82,'Over Under Bill 1 COPY 到CO欄位'!$1:$1048576,'Over Under Bill 1 COPY 到CO欄位'!AY$1,0)-VLOOKUP($A82,'Over Under Bill 1 COPY 到CO欄位'!$1:$1048576,'Over Under Bill 1 COPY 到CO欄位'!AT$1,0)</f>
        <v>0</v>
      </c>
      <c r="AZ82" s="158">
        <f t="shared" si="95"/>
        <v>0</v>
      </c>
      <c r="BA82" s="157">
        <f>VLOOKUP($A82,'Over Under Bill 1 COPY 到CO欄位'!$1:$1048576,'Over Under Bill 1 COPY 到CO欄位'!BA$1,0)-VLOOKUP($A82,'Over Under Bill 1 COPY 到CO欄位'!$1:$1048576,'Over Under Bill 1 COPY 到CO欄位'!AV$1,0)</f>
        <v>0</v>
      </c>
      <c r="BB82" s="157">
        <f>VLOOKUP($A82,'Over Under Bill 1 COPY 到CO欄位'!$1:$1048576,'Over Under Bill 1 COPY 到CO欄位'!BB$1,0)-VLOOKUP($A82,'Over Under Bill 1 COPY 到CO欄位'!$1:$1048576,'Over Under Bill 1 COPY 到CO欄位'!AW$1,0)</f>
        <v>0</v>
      </c>
      <c r="BC82" s="157">
        <f t="shared" si="96"/>
        <v>0</v>
      </c>
      <c r="BD82" s="157">
        <f>VLOOKUP($A82,'Over Under Bill 1 COPY 到CO欄位'!$1:$1048576,'Over Under Bill 1 COPY 到CO欄位'!BD$1,0)-VLOOKUP($A82,'Over Under Bill 1 COPY 到CO欄位'!$1:$1048576,'Over Under Bill 1 COPY 到CO欄位'!AY$1,0)</f>
        <v>0</v>
      </c>
      <c r="BE82" s="157">
        <f t="shared" si="97"/>
        <v>0</v>
      </c>
      <c r="BF82" s="158">
        <f>VLOOKUP($A82,'Over Under Bill 1 COPY 到CO欄位'!$1:$1048576,'Over Under Bill 1 COPY 到CO欄位'!BF$1,0)-VLOOKUP($A82,'Over Under Bill 1 COPY 到CO欄位'!$1:$1048576,'Over Under Bill 1 COPY 到CO欄位'!BA$1,0)</f>
        <v>0</v>
      </c>
      <c r="BG82" s="158">
        <f>VLOOKUP($A82,'Over Under Bill 1 COPY 到CO欄位'!$1:$1048576,'Over Under Bill 1 COPY 到CO欄位'!BG$1,0)-VLOOKUP($A82,'Over Under Bill 1 COPY 到CO欄位'!$1:$1048576,'Over Under Bill 1 COPY 到CO欄位'!BB$1,0)</f>
        <v>0</v>
      </c>
      <c r="BH82" s="158">
        <f t="shared" si="98"/>
        <v>0</v>
      </c>
      <c r="BI82" s="158">
        <f>VLOOKUP($A82,'Over Under Bill 1 COPY 到CO欄位'!$1:$1048576,'Over Under Bill 1 COPY 到CO欄位'!BI$1,0)-VLOOKUP($A82,'Over Under Bill 1 COPY 到CO欄位'!$1:$1048576,'Over Under Bill 1 COPY 到CO欄位'!BD$1,0)</f>
        <v>0</v>
      </c>
      <c r="BJ82" s="158">
        <f t="shared" si="99"/>
        <v>0</v>
      </c>
      <c r="BK82" s="157">
        <f>VLOOKUP($A82,'Over Under Bill 1 COPY 到CO欄位'!$1:$1048576,'Over Under Bill 1 COPY 到CO欄位'!BK$1,0)-VLOOKUP($A82,'Over Under Bill 1 COPY 到CO欄位'!$1:$1048576,'Over Under Bill 1 COPY 到CO欄位'!BF$1,0)</f>
        <v>0</v>
      </c>
      <c r="BL82" s="157">
        <f>VLOOKUP($A82,'Over Under Bill 1 COPY 到CO欄位'!$1:$1048576,'Over Under Bill 1 COPY 到CO欄位'!BL$1,0)-VLOOKUP($A82,'Over Under Bill 1 COPY 到CO欄位'!$1:$1048576,'Over Under Bill 1 COPY 到CO欄位'!BG$1,0)</f>
        <v>0</v>
      </c>
      <c r="BM82" s="157">
        <f t="shared" si="100"/>
        <v>0</v>
      </c>
      <c r="BN82" s="157">
        <f>VLOOKUP($A82,'Over Under Bill 1 COPY 到CO欄位'!$1:$1048576,'Over Under Bill 1 COPY 到CO欄位'!BN$1,0)-VLOOKUP($A82,'Over Under Bill 1 COPY 到CO欄位'!$1:$1048576,'Over Under Bill 1 COPY 到CO欄位'!BI$1,0)</f>
        <v>0</v>
      </c>
      <c r="BO82" s="157">
        <f t="shared" si="101"/>
        <v>0</v>
      </c>
      <c r="BP82" s="158">
        <f>VLOOKUP($A82,'Over Under Bill 1 COPY 到CO欄位'!$1:$1048576,'Over Under Bill 1 COPY 到CO欄位'!BP$1,0)-VLOOKUP($A82,'Over Under Bill 1 COPY 到CO欄位'!$1:$1048576,'Over Under Bill 1 COPY 到CO欄位'!BK$1,0)</f>
        <v>0</v>
      </c>
      <c r="BQ82" s="158">
        <f>VLOOKUP($A82,'Over Under Bill 1 COPY 到CO欄位'!$1:$1048576,'Over Under Bill 1 COPY 到CO欄位'!BQ$1,0)-VLOOKUP($A82,'Over Under Bill 1 COPY 到CO欄位'!$1:$1048576,'Over Under Bill 1 COPY 到CO欄位'!BL$1,0)</f>
        <v>0</v>
      </c>
      <c r="BR82" s="158">
        <f t="shared" si="102"/>
        <v>0</v>
      </c>
      <c r="BS82" s="158">
        <f>VLOOKUP($A82,'Over Under Bill 1 COPY 到CO欄位'!$1:$1048576,'Over Under Bill 1 COPY 到CO欄位'!BS$1,0)-VLOOKUP($A82,'Over Under Bill 1 COPY 到CO欄位'!$1:$1048576,'Over Under Bill 1 COPY 到CO欄位'!BN$1,0)</f>
        <v>0</v>
      </c>
      <c r="BT82" s="158">
        <f t="shared" si="103"/>
        <v>0</v>
      </c>
      <c r="BU82" s="157">
        <f>VLOOKUP($A82,'Over Under Bill 1 COPY 到CO欄位'!$1:$1048576,'Over Under Bill 1 COPY 到CO欄位'!BP$1,0)-VLOOKUP($A82,'Over Under Bill 1 COPY 到CO欄位'!$1:$1048576,'Over Under Bill 1 COPY 到CO欄位'!H$1,0)</f>
        <v>0</v>
      </c>
      <c r="BV82" s="157">
        <f>VLOOKUP($A82,'Over Under Bill 1 COPY 到CO欄位'!$1:$1048576,'Over Under Bill 1 COPY 到CO欄位'!BQ$1,0)-VLOOKUP($A82,'Over Under Bill 1 COPY 到CO欄位'!$1:$1048576,'Over Under Bill 1 COPY 到CO欄位'!I$1,0)</f>
        <v>0</v>
      </c>
      <c r="BW82" s="157">
        <f t="shared" si="104"/>
        <v>0</v>
      </c>
      <c r="BX82" s="157">
        <f>VLOOKUP($A82,'Over Under Bill 1 COPY 到CO欄位'!$1:$1048576,'Over Under Bill 1 COPY 到CO欄位'!BS$1,0)-VLOOKUP($A82,'Over Under Bill 1 COPY 到CO欄位'!$1:$1048576,'Over Under Bill 1 COPY 到CO欄位'!K$1,0)</f>
        <v>0</v>
      </c>
      <c r="BY82" s="157">
        <f t="shared" si="105"/>
        <v>0</v>
      </c>
      <c r="BZ82" s="158">
        <f>VLOOKUP($A82,'Over Under Bill 1 COPY 到CO欄位'!$1:$1048576,'Over Under Bill 1 COPY 到CO欄位'!BU$1,0)-VLOOKUP($A82,'Over Under Bill 1 COPY 到CO欄位'!$1:$1048576,'Over Under Bill 1 COPY 到CO欄位'!BP$1,0)</f>
        <v>0</v>
      </c>
      <c r="CA82" s="158">
        <f>VLOOKUP($A82,'Over Under Bill 1 COPY 到CO欄位'!$1:$1048576,'Over Under Bill 1 COPY 到CO欄位'!BV$1,0)-VLOOKUP($A82,'Over Under Bill 1 COPY 到CO欄位'!$1:$1048576,'Over Under Bill 1 COPY 到CO欄位'!BQ$1,0)</f>
        <v>0</v>
      </c>
      <c r="CB82" s="158">
        <f t="shared" si="106"/>
        <v>0</v>
      </c>
      <c r="CC82" s="158">
        <f>VLOOKUP($A82,'Over Under Bill 1 COPY 到CO欄位'!$1:$1048576,'Over Under Bill 1 COPY 到CO欄位'!BX$1,0)-VLOOKUP($A82,'Over Under Bill 1 COPY 到CO欄位'!$1:$1048576,'Over Under Bill 1 COPY 到CO欄位'!BS$1,0)</f>
        <v>0</v>
      </c>
      <c r="CD82" s="158">
        <f t="shared" si="107"/>
        <v>0</v>
      </c>
      <c r="CE82" s="157">
        <f>VLOOKUP($A82,'Over Under Bill 1 COPY 到CO欄位'!$1:$1048576,'Over Under Bill 1 COPY 到CO欄位'!BZ$1,0)-VLOOKUP($A82,'Over Under Bill 1 COPY 到CO欄位'!$1:$1048576,'Over Under Bill 1 COPY 到CO欄位'!BU$1,0)</f>
        <v>0</v>
      </c>
      <c r="CF82" s="157">
        <f>VLOOKUP($A82,'Over Under Bill 1 COPY 到CO欄位'!$1:$1048576,'Over Under Bill 1 COPY 到CO欄位'!CA$1,0)-VLOOKUP($A82,'Over Under Bill 1 COPY 到CO欄位'!$1:$1048576,'Over Under Bill 1 COPY 到CO欄位'!BV$1,0)</f>
        <v>0</v>
      </c>
      <c r="CG82" s="157">
        <f t="shared" si="108"/>
        <v>0</v>
      </c>
      <c r="CH82" s="157">
        <f>VLOOKUP($A82,'Over Under Bill 1 COPY 到CO欄位'!$1:$1048576,'Over Under Bill 1 COPY 到CO欄位'!CC$1,0)-VLOOKUP($A82,'Over Under Bill 1 COPY 到CO欄位'!$1:$1048576,'Over Under Bill 1 COPY 到CO欄位'!BX$1,0)</f>
        <v>0</v>
      </c>
      <c r="CI82" s="157">
        <f t="shared" si="109"/>
        <v>0</v>
      </c>
      <c r="CJ82" s="158">
        <f>VLOOKUP($A82,'Over Under Bill 1 COPY 到CO欄位'!$1:$1048576,'Over Under Bill 1 COPY 到CO欄位'!CE$1,0)-VLOOKUP($A82,'Over Under Bill 1 COPY 到CO欄位'!$1:$1048576,'Over Under Bill 1 COPY 到CO欄位'!BZ$1,0)</f>
        <v>0</v>
      </c>
      <c r="CK82" s="158">
        <f>VLOOKUP($A82,'Over Under Bill 1 COPY 到CO欄位'!$1:$1048576,'Over Under Bill 1 COPY 到CO欄位'!CF$1,0)-VLOOKUP($A82,'Over Under Bill 1 COPY 到CO欄位'!$1:$1048576,'Over Under Bill 1 COPY 到CO欄位'!CA$1,0)</f>
        <v>0</v>
      </c>
      <c r="CL82" s="158">
        <f t="shared" si="110"/>
        <v>0</v>
      </c>
      <c r="CM82" s="158">
        <f>VLOOKUP($A82,'Over Under Bill 1 COPY 到CO欄位'!$1:$1048576,'Over Under Bill 1 COPY 到CO欄位'!CH$1,0)-VLOOKUP($A82,'Over Under Bill 1 COPY 到CO欄位'!$1:$1048576,'Over Under Bill 1 COPY 到CO欄位'!CC$1,0)</f>
        <v>0</v>
      </c>
      <c r="CN82" s="158">
        <f t="shared" si="111"/>
        <v>0</v>
      </c>
      <c r="CO82" s="157">
        <f>VLOOKUP($A82,'Over Under Bill 1 COPY 到CO欄位'!$1:$1048576,'Over Under Bill 1 COPY 到CO欄位'!CJ$1,0)-VLOOKUP($A82,'Over Under Bill 1 COPY 到CO欄位'!$1:$1048576,'Over Under Bill 1 COPY 到CO欄位'!CE$1,0)</f>
        <v>0</v>
      </c>
      <c r="CP82" s="157">
        <f>VLOOKUP($A82,'Over Under Bill 1 COPY 到CO欄位'!$1:$1048576,'Over Under Bill 1 COPY 到CO欄位'!CK$1,0)-VLOOKUP($A82,'Over Under Bill 1 COPY 到CO欄位'!$1:$1048576,'Over Under Bill 1 COPY 到CO欄位'!CF$1,0)</f>
        <v>0</v>
      </c>
      <c r="CQ82" s="157">
        <f t="shared" si="112"/>
        <v>0</v>
      </c>
      <c r="CR82" s="157">
        <f>VLOOKUP($A82,'Over Under Bill 1 COPY 到CO欄位'!$1:$1048576,'Over Under Bill 1 COPY 到CO欄位'!CM$1,0)-VLOOKUP($A82,'Over Under Bill 1 COPY 到CO欄位'!$1:$1048576,'Over Under Bill 1 COPY 到CO欄位'!CH$1,0)</f>
        <v>0</v>
      </c>
      <c r="CS82" s="157">
        <f t="shared" si="113"/>
        <v>0</v>
      </c>
    </row>
    <row r="83" spans="1:97">
      <c r="A83" s="171" t="s">
        <v>460</v>
      </c>
      <c r="B83" s="172" t="s">
        <v>344</v>
      </c>
      <c r="C83" s="157">
        <f>IFERROR(VLOOKUP($A83,'A0 BS 1240在建'!$1:$1048576,5,0),0)</f>
        <v>0</v>
      </c>
      <c r="D83" s="157">
        <f>IFERROR(VLOOKUP($A83,'B0 2264預收'!$1:$1048576,5,0),0)</f>
        <v>0</v>
      </c>
      <c r="E83" s="157">
        <f t="shared" si="76"/>
        <v>0</v>
      </c>
      <c r="F83" s="157">
        <f>IFERROR(VLOOKUP($A83,'B0 2264預收'!$1:$1048576,6,0),0)</f>
        <v>0</v>
      </c>
      <c r="G83" s="157">
        <f t="shared" si="77"/>
        <v>0</v>
      </c>
      <c r="H83" s="158">
        <f>IFERROR(VLOOKUP($A83,'A0 BS 1240在建'!$1:$1048576,13,0),0)-C83</f>
        <v>0</v>
      </c>
      <c r="I83" s="158">
        <f>IFERROR(VLOOKUP($A83,'B0 2264預收'!$1:$1048576,13,0),0)-D83</f>
        <v>0</v>
      </c>
      <c r="J83" s="158">
        <f t="shared" si="78"/>
        <v>0</v>
      </c>
      <c r="K83" s="158">
        <f>IFERROR(VLOOKUP($A83,'B0 2264預收'!$1:$1048576,14,0),0)-F83</f>
        <v>0</v>
      </c>
      <c r="L83" s="158">
        <f t="shared" si="79"/>
        <v>0</v>
      </c>
      <c r="M83" s="157">
        <f>VLOOKUP($A83,'Over Under Bill 1 COPY 到CO欄位'!$1:$1048576,'Over Under Bill 1 COPY 到CO欄位'!M$1,0)-VLOOKUP($A83,'Over Under Bill 1 COPY 到CO欄位'!$1:$1048576,'Over Under Bill 1 COPY 到CO欄位'!H$1,0)</f>
        <v>0</v>
      </c>
      <c r="N83" s="157">
        <f>VLOOKUP($A83,'Over Under Bill 1 COPY 到CO欄位'!$1:$1048576,'Over Under Bill 1 COPY 到CO欄位'!N$1,0)-VLOOKUP($A83,'Over Under Bill 1 COPY 到CO欄位'!$1:$1048576,'Over Under Bill 1 COPY 到CO欄位'!I$1,0)</f>
        <v>0</v>
      </c>
      <c r="O83" s="157">
        <f t="shared" si="80"/>
        <v>0</v>
      </c>
      <c r="P83" s="157">
        <f>VLOOKUP($A83,'Over Under Bill 1 COPY 到CO欄位'!$1:$1048576,'Over Under Bill 1 COPY 到CO欄位'!P$1,0)-VLOOKUP($A83,'Over Under Bill 1 COPY 到CO欄位'!$1:$1048576,'Over Under Bill 1 COPY 到CO欄位'!K$1,0)</f>
        <v>0</v>
      </c>
      <c r="Q83" s="157">
        <f t="shared" si="81"/>
        <v>0</v>
      </c>
      <c r="R83" s="158">
        <f>VLOOKUP($A83,'Over Under Bill 1 COPY 到CO欄位'!$1:$1048576,'Over Under Bill 1 COPY 到CO欄位'!R$1,0)-VLOOKUP($A83,'Over Under Bill 1 COPY 到CO欄位'!$1:$1048576,'Over Under Bill 1 COPY 到CO欄位'!M$1,0)</f>
        <v>0</v>
      </c>
      <c r="S83" s="158">
        <f>VLOOKUP($A83,'Over Under Bill 1 COPY 到CO欄位'!$1:$1048576,'Over Under Bill 1 COPY 到CO欄位'!S$1,0)-VLOOKUP($A83,'Over Under Bill 1 COPY 到CO欄位'!$1:$1048576,'Over Under Bill 1 COPY 到CO欄位'!N$1,0)</f>
        <v>0</v>
      </c>
      <c r="T83" s="158">
        <f t="shared" si="82"/>
        <v>0</v>
      </c>
      <c r="U83" s="158">
        <f>VLOOKUP($A83,'Over Under Bill 1 COPY 到CO欄位'!$1:$1048576,'Over Under Bill 1 COPY 到CO欄位'!U$1,0)-VLOOKUP($A83,'Over Under Bill 1 COPY 到CO欄位'!$1:$1048576,'Over Under Bill 1 COPY 到CO欄位'!P$1,0)</f>
        <v>0</v>
      </c>
      <c r="V83" s="158">
        <f t="shared" si="83"/>
        <v>0</v>
      </c>
      <c r="W83" s="157">
        <f>VLOOKUP($A83,'Over Under Bill 1 COPY 到CO欄位'!$1:$1048576,'Over Under Bill 1 COPY 到CO欄位'!W$1,0)-VLOOKUP($A83,'Over Under Bill 1 COPY 到CO欄位'!$1:$1048576,'Over Under Bill 1 COPY 到CO欄位'!R$1,0)</f>
        <v>0</v>
      </c>
      <c r="X83" s="157">
        <f>VLOOKUP($A83,'Over Under Bill 1 COPY 到CO欄位'!$1:$1048576,'Over Under Bill 1 COPY 到CO欄位'!X$1,0)-VLOOKUP($A83,'Over Under Bill 1 COPY 到CO欄位'!$1:$1048576,'Over Under Bill 1 COPY 到CO欄位'!S$1,0)</f>
        <v>0</v>
      </c>
      <c r="Y83" s="157">
        <f t="shared" si="84"/>
        <v>0</v>
      </c>
      <c r="Z83" s="157">
        <f>VLOOKUP($A83,'Over Under Bill 1 COPY 到CO欄位'!$1:$1048576,'Over Under Bill 1 COPY 到CO欄位'!Z$1,0)-VLOOKUP($A83,'Over Under Bill 1 COPY 到CO欄位'!$1:$1048576,'Over Under Bill 1 COPY 到CO欄位'!U$1,0)</f>
        <v>0</v>
      </c>
      <c r="AA83" s="157">
        <f t="shared" si="85"/>
        <v>0</v>
      </c>
      <c r="AB83" s="158">
        <f>VLOOKUP($A83,'Over Under Bill 1 COPY 到CO欄位'!$1:$1048576,'Over Under Bill 1 COPY 到CO欄位'!AB$1,0)-VLOOKUP($A83,'Over Under Bill 1 COPY 到CO欄位'!$1:$1048576,'Over Under Bill 1 COPY 到CO欄位'!W$1,0)</f>
        <v>0</v>
      </c>
      <c r="AC83" s="158">
        <f>VLOOKUP($A83,'Over Under Bill 1 COPY 到CO欄位'!$1:$1048576,'Over Under Bill 1 COPY 到CO欄位'!AC$1,0)-VLOOKUP($A83,'Over Under Bill 1 COPY 到CO欄位'!$1:$1048576,'Over Under Bill 1 COPY 到CO欄位'!X$1,0)</f>
        <v>0</v>
      </c>
      <c r="AD83" s="158">
        <f t="shared" si="86"/>
        <v>0</v>
      </c>
      <c r="AE83" s="158">
        <f>VLOOKUP($A83,'Over Under Bill 1 COPY 到CO欄位'!$1:$1048576,'Over Under Bill 1 COPY 到CO欄位'!AE$1,0)-VLOOKUP($A83,'Over Under Bill 1 COPY 到CO欄位'!$1:$1048576,'Over Under Bill 1 COPY 到CO欄位'!Z$1,0)</f>
        <v>0</v>
      </c>
      <c r="AF83" s="158">
        <f t="shared" si="87"/>
        <v>0</v>
      </c>
      <c r="AG83" s="157">
        <f>VLOOKUP($A83,'Over Under Bill 1 COPY 到CO欄位'!$1:$1048576,'Over Under Bill 1 COPY 到CO欄位'!AG$1,0)-VLOOKUP($A83,'Over Under Bill 1 COPY 到CO欄位'!$1:$1048576,'Over Under Bill 1 COPY 到CO欄位'!AB$1,0)</f>
        <v>0</v>
      </c>
      <c r="AH83" s="157">
        <f>VLOOKUP($A83,'Over Under Bill 1 COPY 到CO欄位'!$1:$1048576,'Over Under Bill 1 COPY 到CO欄位'!AH$1,0)-VLOOKUP($A83,'Over Under Bill 1 COPY 到CO欄位'!$1:$1048576,'Over Under Bill 1 COPY 到CO欄位'!AC$1,0)</f>
        <v>0</v>
      </c>
      <c r="AI83" s="157">
        <f t="shared" si="88"/>
        <v>0</v>
      </c>
      <c r="AJ83" s="157">
        <f>VLOOKUP($A83,'Over Under Bill 1 COPY 到CO欄位'!$1:$1048576,'Over Under Bill 1 COPY 到CO欄位'!AJ$1,0)-VLOOKUP($A83,'Over Under Bill 1 COPY 到CO欄位'!$1:$1048576,'Over Under Bill 1 COPY 到CO欄位'!AE$1,0)</f>
        <v>0</v>
      </c>
      <c r="AK83" s="157">
        <f t="shared" si="89"/>
        <v>0</v>
      </c>
      <c r="AL83" s="158">
        <f>VLOOKUP($A83,'Over Under Bill 1 COPY 到CO欄位'!$1:$1048576,'Over Under Bill 1 COPY 到CO欄位'!AL$1,0)-VLOOKUP($A83,'Over Under Bill 1 COPY 到CO欄位'!$1:$1048576,'Over Under Bill 1 COPY 到CO欄位'!AG$1,0)</f>
        <v>0</v>
      </c>
      <c r="AM83" s="158">
        <f>VLOOKUP($A83,'Over Under Bill 1 COPY 到CO欄位'!$1:$1048576,'Over Under Bill 1 COPY 到CO欄位'!AM$1,0)-VLOOKUP($A83,'Over Under Bill 1 COPY 到CO欄位'!$1:$1048576,'Over Under Bill 1 COPY 到CO欄位'!AH$1,0)</f>
        <v>0</v>
      </c>
      <c r="AN83" s="158">
        <f t="shared" si="90"/>
        <v>0</v>
      </c>
      <c r="AO83" s="158">
        <f>VLOOKUP($A83,'Over Under Bill 1 COPY 到CO欄位'!$1:$1048576,'Over Under Bill 1 COPY 到CO欄位'!AO$1,0)-VLOOKUP($A83,'Over Under Bill 1 COPY 到CO欄位'!$1:$1048576,'Over Under Bill 1 COPY 到CO欄位'!AJ$1,0)</f>
        <v>0</v>
      </c>
      <c r="AP83" s="158">
        <f t="shared" si="91"/>
        <v>0</v>
      </c>
      <c r="AQ83" s="157">
        <f>VLOOKUP($A83,'Over Under Bill 1 COPY 到CO欄位'!$1:$1048576,'Over Under Bill 1 COPY 到CO欄位'!AQ$1,0)-VLOOKUP($A83,'Over Under Bill 1 COPY 到CO欄位'!$1:$1048576,'Over Under Bill 1 COPY 到CO欄位'!AL$1,0)</f>
        <v>0</v>
      </c>
      <c r="AR83" s="157">
        <f>VLOOKUP($A83,'Over Under Bill 1 COPY 到CO欄位'!$1:$1048576,'Over Under Bill 1 COPY 到CO欄位'!AR$1,0)-VLOOKUP($A83,'Over Under Bill 1 COPY 到CO欄位'!$1:$1048576,'Over Under Bill 1 COPY 到CO欄位'!AM$1,0)</f>
        <v>0</v>
      </c>
      <c r="AS83" s="157">
        <f t="shared" si="92"/>
        <v>0</v>
      </c>
      <c r="AT83" s="157">
        <f>VLOOKUP($A83,'Over Under Bill 1 COPY 到CO欄位'!$1:$1048576,'Over Under Bill 1 COPY 到CO欄位'!AT$1,0)-VLOOKUP($A83,'Over Under Bill 1 COPY 到CO欄位'!$1:$1048576,'Over Under Bill 1 COPY 到CO欄位'!AO$1,0)</f>
        <v>0</v>
      </c>
      <c r="AU83" s="157">
        <f t="shared" si="93"/>
        <v>0</v>
      </c>
      <c r="AV83" s="158">
        <f>VLOOKUP($A83,'Over Under Bill 1 COPY 到CO欄位'!$1:$1048576,'Over Under Bill 1 COPY 到CO欄位'!AV$1,0)-VLOOKUP($A83,'Over Under Bill 1 COPY 到CO欄位'!$1:$1048576,'Over Under Bill 1 COPY 到CO欄位'!AQ$1,0)</f>
        <v>0</v>
      </c>
      <c r="AW83" s="158">
        <f>VLOOKUP($A83,'Over Under Bill 1 COPY 到CO欄位'!$1:$1048576,'Over Under Bill 1 COPY 到CO欄位'!AW$1,0)-VLOOKUP($A83,'Over Under Bill 1 COPY 到CO欄位'!$1:$1048576,'Over Under Bill 1 COPY 到CO欄位'!AR$1,0)</f>
        <v>0</v>
      </c>
      <c r="AX83" s="158">
        <f t="shared" si="94"/>
        <v>0</v>
      </c>
      <c r="AY83" s="158">
        <f>VLOOKUP($A83,'Over Under Bill 1 COPY 到CO欄位'!$1:$1048576,'Over Under Bill 1 COPY 到CO欄位'!AY$1,0)-VLOOKUP($A83,'Over Under Bill 1 COPY 到CO欄位'!$1:$1048576,'Over Under Bill 1 COPY 到CO欄位'!AT$1,0)</f>
        <v>0</v>
      </c>
      <c r="AZ83" s="158">
        <f t="shared" si="95"/>
        <v>0</v>
      </c>
      <c r="BA83" s="157">
        <f>VLOOKUP($A83,'Over Under Bill 1 COPY 到CO欄位'!$1:$1048576,'Over Under Bill 1 COPY 到CO欄位'!BA$1,0)-VLOOKUP($A83,'Over Under Bill 1 COPY 到CO欄位'!$1:$1048576,'Over Under Bill 1 COPY 到CO欄位'!AV$1,0)</f>
        <v>0</v>
      </c>
      <c r="BB83" s="157">
        <f>VLOOKUP($A83,'Over Under Bill 1 COPY 到CO欄位'!$1:$1048576,'Over Under Bill 1 COPY 到CO欄位'!BB$1,0)-VLOOKUP($A83,'Over Under Bill 1 COPY 到CO欄位'!$1:$1048576,'Over Under Bill 1 COPY 到CO欄位'!AW$1,0)</f>
        <v>0</v>
      </c>
      <c r="BC83" s="157">
        <f t="shared" si="96"/>
        <v>0</v>
      </c>
      <c r="BD83" s="157">
        <f>VLOOKUP($A83,'Over Under Bill 1 COPY 到CO欄位'!$1:$1048576,'Over Under Bill 1 COPY 到CO欄位'!BD$1,0)-VLOOKUP($A83,'Over Under Bill 1 COPY 到CO欄位'!$1:$1048576,'Over Under Bill 1 COPY 到CO欄位'!AY$1,0)</f>
        <v>0</v>
      </c>
      <c r="BE83" s="157">
        <f t="shared" si="97"/>
        <v>0</v>
      </c>
      <c r="BF83" s="158">
        <f>VLOOKUP($A83,'Over Under Bill 1 COPY 到CO欄位'!$1:$1048576,'Over Under Bill 1 COPY 到CO欄位'!BF$1,0)-VLOOKUP($A83,'Over Under Bill 1 COPY 到CO欄位'!$1:$1048576,'Over Under Bill 1 COPY 到CO欄位'!BA$1,0)</f>
        <v>0</v>
      </c>
      <c r="BG83" s="158">
        <f>VLOOKUP($A83,'Over Under Bill 1 COPY 到CO欄位'!$1:$1048576,'Over Under Bill 1 COPY 到CO欄位'!BG$1,0)-VLOOKUP($A83,'Over Under Bill 1 COPY 到CO欄位'!$1:$1048576,'Over Under Bill 1 COPY 到CO欄位'!BB$1,0)</f>
        <v>0</v>
      </c>
      <c r="BH83" s="158">
        <f t="shared" si="98"/>
        <v>0</v>
      </c>
      <c r="BI83" s="158">
        <f>VLOOKUP($A83,'Over Under Bill 1 COPY 到CO欄位'!$1:$1048576,'Over Under Bill 1 COPY 到CO欄位'!BI$1,0)-VLOOKUP($A83,'Over Under Bill 1 COPY 到CO欄位'!$1:$1048576,'Over Under Bill 1 COPY 到CO欄位'!BD$1,0)</f>
        <v>0</v>
      </c>
      <c r="BJ83" s="158">
        <f t="shared" si="99"/>
        <v>0</v>
      </c>
      <c r="BK83" s="157">
        <f>VLOOKUP($A83,'Over Under Bill 1 COPY 到CO欄位'!$1:$1048576,'Over Under Bill 1 COPY 到CO欄位'!BK$1,0)-VLOOKUP($A83,'Over Under Bill 1 COPY 到CO欄位'!$1:$1048576,'Over Under Bill 1 COPY 到CO欄位'!BF$1,0)</f>
        <v>0</v>
      </c>
      <c r="BL83" s="157">
        <f>VLOOKUP($A83,'Over Under Bill 1 COPY 到CO欄位'!$1:$1048576,'Over Under Bill 1 COPY 到CO欄位'!BL$1,0)-VLOOKUP($A83,'Over Under Bill 1 COPY 到CO欄位'!$1:$1048576,'Over Under Bill 1 COPY 到CO欄位'!BG$1,0)</f>
        <v>0</v>
      </c>
      <c r="BM83" s="157">
        <f t="shared" si="100"/>
        <v>0</v>
      </c>
      <c r="BN83" s="157">
        <f>VLOOKUP($A83,'Over Under Bill 1 COPY 到CO欄位'!$1:$1048576,'Over Under Bill 1 COPY 到CO欄位'!BN$1,0)-VLOOKUP($A83,'Over Under Bill 1 COPY 到CO欄位'!$1:$1048576,'Over Under Bill 1 COPY 到CO欄位'!BI$1,0)</f>
        <v>0</v>
      </c>
      <c r="BO83" s="157">
        <f t="shared" si="101"/>
        <v>0</v>
      </c>
      <c r="BP83" s="158">
        <f>VLOOKUP($A83,'Over Under Bill 1 COPY 到CO欄位'!$1:$1048576,'Over Under Bill 1 COPY 到CO欄位'!BP$1,0)-VLOOKUP($A83,'Over Under Bill 1 COPY 到CO欄位'!$1:$1048576,'Over Under Bill 1 COPY 到CO欄位'!BK$1,0)</f>
        <v>0</v>
      </c>
      <c r="BQ83" s="158">
        <f>VLOOKUP($A83,'Over Under Bill 1 COPY 到CO欄位'!$1:$1048576,'Over Under Bill 1 COPY 到CO欄位'!BQ$1,0)-VLOOKUP($A83,'Over Under Bill 1 COPY 到CO欄位'!$1:$1048576,'Over Under Bill 1 COPY 到CO欄位'!BL$1,0)</f>
        <v>0</v>
      </c>
      <c r="BR83" s="158">
        <f t="shared" si="102"/>
        <v>0</v>
      </c>
      <c r="BS83" s="158">
        <f>VLOOKUP($A83,'Over Under Bill 1 COPY 到CO欄位'!$1:$1048576,'Over Under Bill 1 COPY 到CO欄位'!BS$1,0)-VLOOKUP($A83,'Over Under Bill 1 COPY 到CO欄位'!$1:$1048576,'Over Under Bill 1 COPY 到CO欄位'!BN$1,0)</f>
        <v>0</v>
      </c>
      <c r="BT83" s="158">
        <f t="shared" si="103"/>
        <v>0</v>
      </c>
      <c r="BU83" s="157">
        <f>VLOOKUP($A83,'Over Under Bill 1 COPY 到CO欄位'!$1:$1048576,'Over Under Bill 1 COPY 到CO欄位'!BP$1,0)-VLOOKUP($A83,'Over Under Bill 1 COPY 到CO欄位'!$1:$1048576,'Over Under Bill 1 COPY 到CO欄位'!H$1,0)</f>
        <v>0</v>
      </c>
      <c r="BV83" s="157">
        <f>VLOOKUP($A83,'Over Under Bill 1 COPY 到CO欄位'!$1:$1048576,'Over Under Bill 1 COPY 到CO欄位'!BQ$1,0)-VLOOKUP($A83,'Over Under Bill 1 COPY 到CO欄位'!$1:$1048576,'Over Under Bill 1 COPY 到CO欄位'!I$1,0)</f>
        <v>0</v>
      </c>
      <c r="BW83" s="157">
        <f t="shared" si="104"/>
        <v>0</v>
      </c>
      <c r="BX83" s="157">
        <f>VLOOKUP($A83,'Over Under Bill 1 COPY 到CO欄位'!$1:$1048576,'Over Under Bill 1 COPY 到CO欄位'!BS$1,0)-VLOOKUP($A83,'Over Under Bill 1 COPY 到CO欄位'!$1:$1048576,'Over Under Bill 1 COPY 到CO欄位'!K$1,0)</f>
        <v>0</v>
      </c>
      <c r="BY83" s="157">
        <f t="shared" si="105"/>
        <v>0</v>
      </c>
      <c r="BZ83" s="158">
        <f>VLOOKUP($A83,'Over Under Bill 1 COPY 到CO欄位'!$1:$1048576,'Over Under Bill 1 COPY 到CO欄位'!BU$1,0)-VLOOKUP($A83,'Over Under Bill 1 COPY 到CO欄位'!$1:$1048576,'Over Under Bill 1 COPY 到CO欄位'!BP$1,0)</f>
        <v>0</v>
      </c>
      <c r="CA83" s="158">
        <f>VLOOKUP($A83,'Over Under Bill 1 COPY 到CO欄位'!$1:$1048576,'Over Under Bill 1 COPY 到CO欄位'!BV$1,0)-VLOOKUP($A83,'Over Under Bill 1 COPY 到CO欄位'!$1:$1048576,'Over Under Bill 1 COPY 到CO欄位'!BQ$1,0)</f>
        <v>0</v>
      </c>
      <c r="CB83" s="158">
        <f t="shared" si="106"/>
        <v>0</v>
      </c>
      <c r="CC83" s="158">
        <f>VLOOKUP($A83,'Over Under Bill 1 COPY 到CO欄位'!$1:$1048576,'Over Under Bill 1 COPY 到CO欄位'!BX$1,0)-VLOOKUP($A83,'Over Under Bill 1 COPY 到CO欄位'!$1:$1048576,'Over Under Bill 1 COPY 到CO欄位'!BS$1,0)</f>
        <v>0</v>
      </c>
      <c r="CD83" s="158">
        <f t="shared" si="107"/>
        <v>0</v>
      </c>
      <c r="CE83" s="157">
        <f>VLOOKUP($A83,'Over Under Bill 1 COPY 到CO欄位'!$1:$1048576,'Over Under Bill 1 COPY 到CO欄位'!BZ$1,0)-VLOOKUP($A83,'Over Under Bill 1 COPY 到CO欄位'!$1:$1048576,'Over Under Bill 1 COPY 到CO欄位'!BU$1,0)</f>
        <v>0</v>
      </c>
      <c r="CF83" s="157">
        <f>VLOOKUP($A83,'Over Under Bill 1 COPY 到CO欄位'!$1:$1048576,'Over Under Bill 1 COPY 到CO欄位'!CA$1,0)-VLOOKUP($A83,'Over Under Bill 1 COPY 到CO欄位'!$1:$1048576,'Over Under Bill 1 COPY 到CO欄位'!BV$1,0)</f>
        <v>0</v>
      </c>
      <c r="CG83" s="157">
        <f t="shared" si="108"/>
        <v>0</v>
      </c>
      <c r="CH83" s="157">
        <f>VLOOKUP($A83,'Over Under Bill 1 COPY 到CO欄位'!$1:$1048576,'Over Under Bill 1 COPY 到CO欄位'!CC$1,0)-VLOOKUP($A83,'Over Under Bill 1 COPY 到CO欄位'!$1:$1048576,'Over Under Bill 1 COPY 到CO欄位'!BX$1,0)</f>
        <v>0</v>
      </c>
      <c r="CI83" s="157">
        <f t="shared" si="109"/>
        <v>0</v>
      </c>
      <c r="CJ83" s="158">
        <f>VLOOKUP($A83,'Over Under Bill 1 COPY 到CO欄位'!$1:$1048576,'Over Under Bill 1 COPY 到CO欄位'!CE$1,0)-VLOOKUP($A83,'Over Under Bill 1 COPY 到CO欄位'!$1:$1048576,'Over Under Bill 1 COPY 到CO欄位'!BZ$1,0)</f>
        <v>0</v>
      </c>
      <c r="CK83" s="158">
        <f>VLOOKUP($A83,'Over Under Bill 1 COPY 到CO欄位'!$1:$1048576,'Over Under Bill 1 COPY 到CO欄位'!CF$1,0)-VLOOKUP($A83,'Over Under Bill 1 COPY 到CO欄位'!$1:$1048576,'Over Under Bill 1 COPY 到CO欄位'!CA$1,0)</f>
        <v>0</v>
      </c>
      <c r="CL83" s="158">
        <f t="shared" si="110"/>
        <v>0</v>
      </c>
      <c r="CM83" s="158">
        <f>VLOOKUP($A83,'Over Under Bill 1 COPY 到CO欄位'!$1:$1048576,'Over Under Bill 1 COPY 到CO欄位'!CH$1,0)-VLOOKUP($A83,'Over Under Bill 1 COPY 到CO欄位'!$1:$1048576,'Over Under Bill 1 COPY 到CO欄位'!CC$1,0)</f>
        <v>0</v>
      </c>
      <c r="CN83" s="158">
        <f t="shared" si="111"/>
        <v>0</v>
      </c>
      <c r="CO83" s="157">
        <f>VLOOKUP($A83,'Over Under Bill 1 COPY 到CO欄位'!$1:$1048576,'Over Under Bill 1 COPY 到CO欄位'!CJ$1,0)-VLOOKUP($A83,'Over Under Bill 1 COPY 到CO欄位'!$1:$1048576,'Over Under Bill 1 COPY 到CO欄位'!CE$1,0)</f>
        <v>0</v>
      </c>
      <c r="CP83" s="157">
        <f>VLOOKUP($A83,'Over Under Bill 1 COPY 到CO欄位'!$1:$1048576,'Over Under Bill 1 COPY 到CO欄位'!CK$1,0)-VLOOKUP($A83,'Over Under Bill 1 COPY 到CO欄位'!$1:$1048576,'Over Under Bill 1 COPY 到CO欄位'!CF$1,0)</f>
        <v>0</v>
      </c>
      <c r="CQ83" s="157">
        <f t="shared" si="112"/>
        <v>0</v>
      </c>
      <c r="CR83" s="157">
        <f>VLOOKUP($A83,'Over Under Bill 1 COPY 到CO欄位'!$1:$1048576,'Over Under Bill 1 COPY 到CO欄位'!CM$1,0)-VLOOKUP($A83,'Over Under Bill 1 COPY 到CO欄位'!$1:$1048576,'Over Under Bill 1 COPY 到CO欄位'!CH$1,0)</f>
        <v>0</v>
      </c>
      <c r="CS83" s="157">
        <f t="shared" si="113"/>
        <v>0</v>
      </c>
    </row>
    <row r="84" spans="1:97">
      <c r="A84" s="171" t="s">
        <v>461</v>
      </c>
      <c r="B84" s="172" t="s">
        <v>346</v>
      </c>
      <c r="C84" s="157">
        <f>IFERROR(VLOOKUP($A84,'A0 BS 1240在建'!$1:$1048576,5,0),0)</f>
        <v>0</v>
      </c>
      <c r="D84" s="157">
        <f>IFERROR(VLOOKUP($A84,'B0 2264預收'!$1:$1048576,5,0),0)</f>
        <v>0</v>
      </c>
      <c r="E84" s="157">
        <f t="shared" si="76"/>
        <v>0</v>
      </c>
      <c r="F84" s="157">
        <f>IFERROR(VLOOKUP($A84,'B0 2264預收'!$1:$1048576,6,0),0)</f>
        <v>0</v>
      </c>
      <c r="G84" s="157">
        <f t="shared" si="77"/>
        <v>0</v>
      </c>
      <c r="H84" s="158">
        <f>IFERROR(VLOOKUP($A84,'A0 BS 1240在建'!$1:$1048576,13,0),0)-C84</f>
        <v>0</v>
      </c>
      <c r="I84" s="158">
        <f>IFERROR(VLOOKUP($A84,'B0 2264預收'!$1:$1048576,13,0),0)-D84</f>
        <v>0</v>
      </c>
      <c r="J84" s="158">
        <f t="shared" si="78"/>
        <v>0</v>
      </c>
      <c r="K84" s="158">
        <f>IFERROR(VLOOKUP($A84,'B0 2264預收'!$1:$1048576,14,0),0)-F84</f>
        <v>0</v>
      </c>
      <c r="L84" s="158">
        <f t="shared" si="79"/>
        <v>0</v>
      </c>
      <c r="M84" s="157">
        <f>VLOOKUP($A84,'Over Under Bill 1 COPY 到CO欄位'!$1:$1048576,'Over Under Bill 1 COPY 到CO欄位'!M$1,0)-VLOOKUP($A84,'Over Under Bill 1 COPY 到CO欄位'!$1:$1048576,'Over Under Bill 1 COPY 到CO欄位'!H$1,0)</f>
        <v>0</v>
      </c>
      <c r="N84" s="157">
        <f>VLOOKUP($A84,'Over Under Bill 1 COPY 到CO欄位'!$1:$1048576,'Over Under Bill 1 COPY 到CO欄位'!N$1,0)-VLOOKUP($A84,'Over Under Bill 1 COPY 到CO欄位'!$1:$1048576,'Over Under Bill 1 COPY 到CO欄位'!I$1,0)</f>
        <v>0</v>
      </c>
      <c r="O84" s="157">
        <f t="shared" si="80"/>
        <v>0</v>
      </c>
      <c r="P84" s="157">
        <f>VLOOKUP($A84,'Over Under Bill 1 COPY 到CO欄位'!$1:$1048576,'Over Under Bill 1 COPY 到CO欄位'!P$1,0)-VLOOKUP($A84,'Over Under Bill 1 COPY 到CO欄位'!$1:$1048576,'Over Under Bill 1 COPY 到CO欄位'!K$1,0)</f>
        <v>0</v>
      </c>
      <c r="Q84" s="157">
        <f t="shared" si="81"/>
        <v>0</v>
      </c>
      <c r="R84" s="158">
        <f>VLOOKUP($A84,'Over Under Bill 1 COPY 到CO欄位'!$1:$1048576,'Over Under Bill 1 COPY 到CO欄位'!R$1,0)-VLOOKUP($A84,'Over Under Bill 1 COPY 到CO欄位'!$1:$1048576,'Over Under Bill 1 COPY 到CO欄位'!M$1,0)</f>
        <v>0</v>
      </c>
      <c r="S84" s="158">
        <f>VLOOKUP($A84,'Over Under Bill 1 COPY 到CO欄位'!$1:$1048576,'Over Under Bill 1 COPY 到CO欄位'!S$1,0)-VLOOKUP($A84,'Over Under Bill 1 COPY 到CO欄位'!$1:$1048576,'Over Under Bill 1 COPY 到CO欄位'!N$1,0)</f>
        <v>0</v>
      </c>
      <c r="T84" s="158">
        <f t="shared" si="82"/>
        <v>0</v>
      </c>
      <c r="U84" s="158">
        <f>VLOOKUP($A84,'Over Under Bill 1 COPY 到CO欄位'!$1:$1048576,'Over Under Bill 1 COPY 到CO欄位'!U$1,0)-VLOOKUP($A84,'Over Under Bill 1 COPY 到CO欄位'!$1:$1048576,'Over Under Bill 1 COPY 到CO欄位'!P$1,0)</f>
        <v>0</v>
      </c>
      <c r="V84" s="158">
        <f t="shared" si="83"/>
        <v>0</v>
      </c>
      <c r="W84" s="157">
        <f>VLOOKUP($A84,'Over Under Bill 1 COPY 到CO欄位'!$1:$1048576,'Over Under Bill 1 COPY 到CO欄位'!W$1,0)-VLOOKUP($A84,'Over Under Bill 1 COPY 到CO欄位'!$1:$1048576,'Over Under Bill 1 COPY 到CO欄位'!R$1,0)</f>
        <v>0</v>
      </c>
      <c r="X84" s="157">
        <f>VLOOKUP($A84,'Over Under Bill 1 COPY 到CO欄位'!$1:$1048576,'Over Under Bill 1 COPY 到CO欄位'!X$1,0)-VLOOKUP($A84,'Over Under Bill 1 COPY 到CO欄位'!$1:$1048576,'Over Under Bill 1 COPY 到CO欄位'!S$1,0)</f>
        <v>0</v>
      </c>
      <c r="Y84" s="157">
        <f t="shared" si="84"/>
        <v>0</v>
      </c>
      <c r="Z84" s="157">
        <f>VLOOKUP($A84,'Over Under Bill 1 COPY 到CO欄位'!$1:$1048576,'Over Under Bill 1 COPY 到CO欄位'!Z$1,0)-VLOOKUP($A84,'Over Under Bill 1 COPY 到CO欄位'!$1:$1048576,'Over Under Bill 1 COPY 到CO欄位'!U$1,0)</f>
        <v>0</v>
      </c>
      <c r="AA84" s="157">
        <f t="shared" si="85"/>
        <v>0</v>
      </c>
      <c r="AB84" s="158">
        <f>VLOOKUP($A84,'Over Under Bill 1 COPY 到CO欄位'!$1:$1048576,'Over Under Bill 1 COPY 到CO欄位'!AB$1,0)-VLOOKUP($A84,'Over Under Bill 1 COPY 到CO欄位'!$1:$1048576,'Over Under Bill 1 COPY 到CO欄位'!W$1,0)</f>
        <v>0</v>
      </c>
      <c r="AC84" s="158">
        <f>VLOOKUP($A84,'Over Under Bill 1 COPY 到CO欄位'!$1:$1048576,'Over Under Bill 1 COPY 到CO欄位'!AC$1,0)-VLOOKUP($A84,'Over Under Bill 1 COPY 到CO欄位'!$1:$1048576,'Over Under Bill 1 COPY 到CO欄位'!X$1,0)</f>
        <v>0</v>
      </c>
      <c r="AD84" s="158">
        <f t="shared" si="86"/>
        <v>0</v>
      </c>
      <c r="AE84" s="158">
        <f>VLOOKUP($A84,'Over Under Bill 1 COPY 到CO欄位'!$1:$1048576,'Over Under Bill 1 COPY 到CO欄位'!AE$1,0)-VLOOKUP($A84,'Over Under Bill 1 COPY 到CO欄位'!$1:$1048576,'Over Under Bill 1 COPY 到CO欄位'!Z$1,0)</f>
        <v>0</v>
      </c>
      <c r="AF84" s="158">
        <f t="shared" si="87"/>
        <v>0</v>
      </c>
      <c r="AG84" s="157">
        <f>VLOOKUP($A84,'Over Under Bill 1 COPY 到CO欄位'!$1:$1048576,'Over Under Bill 1 COPY 到CO欄位'!AG$1,0)-VLOOKUP($A84,'Over Under Bill 1 COPY 到CO欄位'!$1:$1048576,'Over Under Bill 1 COPY 到CO欄位'!AB$1,0)</f>
        <v>0</v>
      </c>
      <c r="AH84" s="157">
        <f>VLOOKUP($A84,'Over Under Bill 1 COPY 到CO欄位'!$1:$1048576,'Over Under Bill 1 COPY 到CO欄位'!AH$1,0)-VLOOKUP($A84,'Over Under Bill 1 COPY 到CO欄位'!$1:$1048576,'Over Under Bill 1 COPY 到CO欄位'!AC$1,0)</f>
        <v>0</v>
      </c>
      <c r="AI84" s="157">
        <f t="shared" si="88"/>
        <v>0</v>
      </c>
      <c r="AJ84" s="157">
        <f>VLOOKUP($A84,'Over Under Bill 1 COPY 到CO欄位'!$1:$1048576,'Over Under Bill 1 COPY 到CO欄位'!AJ$1,0)-VLOOKUP($A84,'Over Under Bill 1 COPY 到CO欄位'!$1:$1048576,'Over Under Bill 1 COPY 到CO欄位'!AE$1,0)</f>
        <v>0</v>
      </c>
      <c r="AK84" s="157">
        <f t="shared" si="89"/>
        <v>0</v>
      </c>
      <c r="AL84" s="158">
        <f>VLOOKUP($A84,'Over Under Bill 1 COPY 到CO欄位'!$1:$1048576,'Over Under Bill 1 COPY 到CO欄位'!AL$1,0)-VLOOKUP($A84,'Over Under Bill 1 COPY 到CO欄位'!$1:$1048576,'Over Under Bill 1 COPY 到CO欄位'!AG$1,0)</f>
        <v>0</v>
      </c>
      <c r="AM84" s="158">
        <f>VLOOKUP($A84,'Over Under Bill 1 COPY 到CO欄位'!$1:$1048576,'Over Under Bill 1 COPY 到CO欄位'!AM$1,0)-VLOOKUP($A84,'Over Under Bill 1 COPY 到CO欄位'!$1:$1048576,'Over Under Bill 1 COPY 到CO欄位'!AH$1,0)</f>
        <v>0</v>
      </c>
      <c r="AN84" s="158">
        <f t="shared" si="90"/>
        <v>0</v>
      </c>
      <c r="AO84" s="158">
        <f>VLOOKUP($A84,'Over Under Bill 1 COPY 到CO欄位'!$1:$1048576,'Over Under Bill 1 COPY 到CO欄位'!AO$1,0)-VLOOKUP($A84,'Over Under Bill 1 COPY 到CO欄位'!$1:$1048576,'Over Under Bill 1 COPY 到CO欄位'!AJ$1,0)</f>
        <v>0</v>
      </c>
      <c r="AP84" s="158">
        <f t="shared" si="91"/>
        <v>0</v>
      </c>
      <c r="AQ84" s="157">
        <f>VLOOKUP($A84,'Over Under Bill 1 COPY 到CO欄位'!$1:$1048576,'Over Under Bill 1 COPY 到CO欄位'!AQ$1,0)-VLOOKUP($A84,'Over Under Bill 1 COPY 到CO欄位'!$1:$1048576,'Over Under Bill 1 COPY 到CO欄位'!AL$1,0)</f>
        <v>0</v>
      </c>
      <c r="AR84" s="157">
        <f>VLOOKUP($A84,'Over Under Bill 1 COPY 到CO欄位'!$1:$1048576,'Over Under Bill 1 COPY 到CO欄位'!AR$1,0)-VLOOKUP($A84,'Over Under Bill 1 COPY 到CO欄位'!$1:$1048576,'Over Under Bill 1 COPY 到CO欄位'!AM$1,0)</f>
        <v>0</v>
      </c>
      <c r="AS84" s="157">
        <f t="shared" si="92"/>
        <v>0</v>
      </c>
      <c r="AT84" s="157">
        <f>VLOOKUP($A84,'Over Under Bill 1 COPY 到CO欄位'!$1:$1048576,'Over Under Bill 1 COPY 到CO欄位'!AT$1,0)-VLOOKUP($A84,'Over Under Bill 1 COPY 到CO欄位'!$1:$1048576,'Over Under Bill 1 COPY 到CO欄位'!AO$1,0)</f>
        <v>0</v>
      </c>
      <c r="AU84" s="157">
        <f t="shared" si="93"/>
        <v>0</v>
      </c>
      <c r="AV84" s="158">
        <f>VLOOKUP($A84,'Over Under Bill 1 COPY 到CO欄位'!$1:$1048576,'Over Under Bill 1 COPY 到CO欄位'!AV$1,0)-VLOOKUP($A84,'Over Under Bill 1 COPY 到CO欄位'!$1:$1048576,'Over Under Bill 1 COPY 到CO欄位'!AQ$1,0)</f>
        <v>0</v>
      </c>
      <c r="AW84" s="158">
        <f>VLOOKUP($A84,'Over Under Bill 1 COPY 到CO欄位'!$1:$1048576,'Over Under Bill 1 COPY 到CO欄位'!AW$1,0)-VLOOKUP($A84,'Over Under Bill 1 COPY 到CO欄位'!$1:$1048576,'Over Under Bill 1 COPY 到CO欄位'!AR$1,0)</f>
        <v>0</v>
      </c>
      <c r="AX84" s="158">
        <f t="shared" si="94"/>
        <v>0</v>
      </c>
      <c r="AY84" s="158">
        <f>VLOOKUP($A84,'Over Under Bill 1 COPY 到CO欄位'!$1:$1048576,'Over Under Bill 1 COPY 到CO欄位'!AY$1,0)-VLOOKUP($A84,'Over Under Bill 1 COPY 到CO欄位'!$1:$1048576,'Over Under Bill 1 COPY 到CO欄位'!AT$1,0)</f>
        <v>0</v>
      </c>
      <c r="AZ84" s="158">
        <f t="shared" si="95"/>
        <v>0</v>
      </c>
      <c r="BA84" s="157">
        <f>VLOOKUP($A84,'Over Under Bill 1 COPY 到CO欄位'!$1:$1048576,'Over Under Bill 1 COPY 到CO欄位'!BA$1,0)-VLOOKUP($A84,'Over Under Bill 1 COPY 到CO欄位'!$1:$1048576,'Over Under Bill 1 COPY 到CO欄位'!AV$1,0)</f>
        <v>0</v>
      </c>
      <c r="BB84" s="157">
        <f>VLOOKUP($A84,'Over Under Bill 1 COPY 到CO欄位'!$1:$1048576,'Over Under Bill 1 COPY 到CO欄位'!BB$1,0)-VLOOKUP($A84,'Over Under Bill 1 COPY 到CO欄位'!$1:$1048576,'Over Under Bill 1 COPY 到CO欄位'!AW$1,0)</f>
        <v>0</v>
      </c>
      <c r="BC84" s="157">
        <f t="shared" si="96"/>
        <v>0</v>
      </c>
      <c r="BD84" s="157">
        <f>VLOOKUP($A84,'Over Under Bill 1 COPY 到CO欄位'!$1:$1048576,'Over Under Bill 1 COPY 到CO欄位'!BD$1,0)-VLOOKUP($A84,'Over Under Bill 1 COPY 到CO欄位'!$1:$1048576,'Over Under Bill 1 COPY 到CO欄位'!AY$1,0)</f>
        <v>0</v>
      </c>
      <c r="BE84" s="157">
        <f t="shared" si="97"/>
        <v>0</v>
      </c>
      <c r="BF84" s="158">
        <f>VLOOKUP($A84,'Over Under Bill 1 COPY 到CO欄位'!$1:$1048576,'Over Under Bill 1 COPY 到CO欄位'!BF$1,0)-VLOOKUP($A84,'Over Under Bill 1 COPY 到CO欄位'!$1:$1048576,'Over Under Bill 1 COPY 到CO欄位'!BA$1,0)</f>
        <v>0</v>
      </c>
      <c r="BG84" s="158">
        <f>VLOOKUP($A84,'Over Under Bill 1 COPY 到CO欄位'!$1:$1048576,'Over Under Bill 1 COPY 到CO欄位'!BG$1,0)-VLOOKUP($A84,'Over Under Bill 1 COPY 到CO欄位'!$1:$1048576,'Over Under Bill 1 COPY 到CO欄位'!BB$1,0)</f>
        <v>0</v>
      </c>
      <c r="BH84" s="158">
        <f t="shared" si="98"/>
        <v>0</v>
      </c>
      <c r="BI84" s="158">
        <f>VLOOKUP($A84,'Over Under Bill 1 COPY 到CO欄位'!$1:$1048576,'Over Under Bill 1 COPY 到CO欄位'!BI$1,0)-VLOOKUP($A84,'Over Under Bill 1 COPY 到CO欄位'!$1:$1048576,'Over Under Bill 1 COPY 到CO欄位'!BD$1,0)</f>
        <v>0</v>
      </c>
      <c r="BJ84" s="158">
        <f t="shared" si="99"/>
        <v>0</v>
      </c>
      <c r="BK84" s="157">
        <f>VLOOKUP($A84,'Over Under Bill 1 COPY 到CO欄位'!$1:$1048576,'Over Under Bill 1 COPY 到CO欄位'!BK$1,0)-VLOOKUP($A84,'Over Under Bill 1 COPY 到CO欄位'!$1:$1048576,'Over Under Bill 1 COPY 到CO欄位'!BF$1,0)</f>
        <v>0</v>
      </c>
      <c r="BL84" s="157">
        <f>VLOOKUP($A84,'Over Under Bill 1 COPY 到CO欄位'!$1:$1048576,'Over Under Bill 1 COPY 到CO欄位'!BL$1,0)-VLOOKUP($A84,'Over Under Bill 1 COPY 到CO欄位'!$1:$1048576,'Over Under Bill 1 COPY 到CO欄位'!BG$1,0)</f>
        <v>0</v>
      </c>
      <c r="BM84" s="157">
        <f t="shared" si="100"/>
        <v>0</v>
      </c>
      <c r="BN84" s="157">
        <f>VLOOKUP($A84,'Over Under Bill 1 COPY 到CO欄位'!$1:$1048576,'Over Under Bill 1 COPY 到CO欄位'!BN$1,0)-VLOOKUP($A84,'Over Under Bill 1 COPY 到CO欄位'!$1:$1048576,'Over Under Bill 1 COPY 到CO欄位'!BI$1,0)</f>
        <v>0</v>
      </c>
      <c r="BO84" s="157">
        <f t="shared" si="101"/>
        <v>0</v>
      </c>
      <c r="BP84" s="158">
        <f>VLOOKUP($A84,'Over Under Bill 1 COPY 到CO欄位'!$1:$1048576,'Over Under Bill 1 COPY 到CO欄位'!BP$1,0)-VLOOKUP($A84,'Over Under Bill 1 COPY 到CO欄位'!$1:$1048576,'Over Under Bill 1 COPY 到CO欄位'!BK$1,0)</f>
        <v>0</v>
      </c>
      <c r="BQ84" s="158">
        <f>VLOOKUP($A84,'Over Under Bill 1 COPY 到CO欄位'!$1:$1048576,'Over Under Bill 1 COPY 到CO欄位'!BQ$1,0)-VLOOKUP($A84,'Over Under Bill 1 COPY 到CO欄位'!$1:$1048576,'Over Under Bill 1 COPY 到CO欄位'!BL$1,0)</f>
        <v>0</v>
      </c>
      <c r="BR84" s="158">
        <f t="shared" si="102"/>
        <v>0</v>
      </c>
      <c r="BS84" s="158">
        <f>VLOOKUP($A84,'Over Under Bill 1 COPY 到CO欄位'!$1:$1048576,'Over Under Bill 1 COPY 到CO欄位'!BS$1,0)-VLOOKUP($A84,'Over Under Bill 1 COPY 到CO欄位'!$1:$1048576,'Over Under Bill 1 COPY 到CO欄位'!BN$1,0)</f>
        <v>0</v>
      </c>
      <c r="BT84" s="158">
        <f t="shared" si="103"/>
        <v>0</v>
      </c>
      <c r="BU84" s="157">
        <f>VLOOKUP($A84,'Over Under Bill 1 COPY 到CO欄位'!$1:$1048576,'Over Under Bill 1 COPY 到CO欄位'!BP$1,0)-VLOOKUP($A84,'Over Under Bill 1 COPY 到CO欄位'!$1:$1048576,'Over Under Bill 1 COPY 到CO欄位'!H$1,0)</f>
        <v>0</v>
      </c>
      <c r="BV84" s="157">
        <f>VLOOKUP($A84,'Over Under Bill 1 COPY 到CO欄位'!$1:$1048576,'Over Under Bill 1 COPY 到CO欄位'!BQ$1,0)-VLOOKUP($A84,'Over Under Bill 1 COPY 到CO欄位'!$1:$1048576,'Over Under Bill 1 COPY 到CO欄位'!I$1,0)</f>
        <v>0</v>
      </c>
      <c r="BW84" s="157">
        <f t="shared" si="104"/>
        <v>0</v>
      </c>
      <c r="BX84" s="157">
        <f>VLOOKUP($A84,'Over Under Bill 1 COPY 到CO欄位'!$1:$1048576,'Over Under Bill 1 COPY 到CO欄位'!BS$1,0)-VLOOKUP($A84,'Over Under Bill 1 COPY 到CO欄位'!$1:$1048576,'Over Under Bill 1 COPY 到CO欄位'!K$1,0)</f>
        <v>0</v>
      </c>
      <c r="BY84" s="157">
        <f t="shared" si="105"/>
        <v>0</v>
      </c>
      <c r="BZ84" s="158">
        <f>VLOOKUP($A84,'Over Under Bill 1 COPY 到CO欄位'!$1:$1048576,'Over Under Bill 1 COPY 到CO欄位'!BU$1,0)-VLOOKUP($A84,'Over Under Bill 1 COPY 到CO欄位'!$1:$1048576,'Over Under Bill 1 COPY 到CO欄位'!BP$1,0)</f>
        <v>0</v>
      </c>
      <c r="CA84" s="158">
        <f>VLOOKUP($A84,'Over Under Bill 1 COPY 到CO欄位'!$1:$1048576,'Over Under Bill 1 COPY 到CO欄位'!BV$1,0)-VLOOKUP($A84,'Over Under Bill 1 COPY 到CO欄位'!$1:$1048576,'Over Under Bill 1 COPY 到CO欄位'!BQ$1,0)</f>
        <v>0</v>
      </c>
      <c r="CB84" s="158">
        <f t="shared" si="106"/>
        <v>0</v>
      </c>
      <c r="CC84" s="158">
        <f>VLOOKUP($A84,'Over Under Bill 1 COPY 到CO欄位'!$1:$1048576,'Over Under Bill 1 COPY 到CO欄位'!BX$1,0)-VLOOKUP($A84,'Over Under Bill 1 COPY 到CO欄位'!$1:$1048576,'Over Under Bill 1 COPY 到CO欄位'!BS$1,0)</f>
        <v>0</v>
      </c>
      <c r="CD84" s="158">
        <f t="shared" si="107"/>
        <v>0</v>
      </c>
      <c r="CE84" s="157">
        <f>VLOOKUP($A84,'Over Under Bill 1 COPY 到CO欄位'!$1:$1048576,'Over Under Bill 1 COPY 到CO欄位'!BZ$1,0)-VLOOKUP($A84,'Over Under Bill 1 COPY 到CO欄位'!$1:$1048576,'Over Under Bill 1 COPY 到CO欄位'!BU$1,0)</f>
        <v>0</v>
      </c>
      <c r="CF84" s="157">
        <f>VLOOKUP($A84,'Over Under Bill 1 COPY 到CO欄位'!$1:$1048576,'Over Under Bill 1 COPY 到CO欄位'!CA$1,0)-VLOOKUP($A84,'Over Under Bill 1 COPY 到CO欄位'!$1:$1048576,'Over Under Bill 1 COPY 到CO欄位'!BV$1,0)</f>
        <v>0</v>
      </c>
      <c r="CG84" s="157">
        <f t="shared" si="108"/>
        <v>0</v>
      </c>
      <c r="CH84" s="157">
        <f>VLOOKUP($A84,'Over Under Bill 1 COPY 到CO欄位'!$1:$1048576,'Over Under Bill 1 COPY 到CO欄位'!CC$1,0)-VLOOKUP($A84,'Over Under Bill 1 COPY 到CO欄位'!$1:$1048576,'Over Under Bill 1 COPY 到CO欄位'!BX$1,0)</f>
        <v>0</v>
      </c>
      <c r="CI84" s="157">
        <f t="shared" si="109"/>
        <v>0</v>
      </c>
      <c r="CJ84" s="158">
        <f>VLOOKUP($A84,'Over Under Bill 1 COPY 到CO欄位'!$1:$1048576,'Over Under Bill 1 COPY 到CO欄位'!CE$1,0)-VLOOKUP($A84,'Over Under Bill 1 COPY 到CO欄位'!$1:$1048576,'Over Under Bill 1 COPY 到CO欄位'!BZ$1,0)</f>
        <v>0</v>
      </c>
      <c r="CK84" s="158">
        <f>VLOOKUP($A84,'Over Under Bill 1 COPY 到CO欄位'!$1:$1048576,'Over Under Bill 1 COPY 到CO欄位'!CF$1,0)-VLOOKUP($A84,'Over Under Bill 1 COPY 到CO欄位'!$1:$1048576,'Over Under Bill 1 COPY 到CO欄位'!CA$1,0)</f>
        <v>0</v>
      </c>
      <c r="CL84" s="158">
        <f t="shared" si="110"/>
        <v>0</v>
      </c>
      <c r="CM84" s="158">
        <f>VLOOKUP($A84,'Over Under Bill 1 COPY 到CO欄位'!$1:$1048576,'Over Under Bill 1 COPY 到CO欄位'!CH$1,0)-VLOOKUP($A84,'Over Under Bill 1 COPY 到CO欄位'!$1:$1048576,'Over Under Bill 1 COPY 到CO欄位'!CC$1,0)</f>
        <v>0</v>
      </c>
      <c r="CN84" s="158">
        <f t="shared" si="111"/>
        <v>0</v>
      </c>
      <c r="CO84" s="157">
        <f>VLOOKUP($A84,'Over Under Bill 1 COPY 到CO欄位'!$1:$1048576,'Over Under Bill 1 COPY 到CO欄位'!CJ$1,0)-VLOOKUP($A84,'Over Under Bill 1 COPY 到CO欄位'!$1:$1048576,'Over Under Bill 1 COPY 到CO欄位'!CE$1,0)</f>
        <v>0</v>
      </c>
      <c r="CP84" s="157">
        <f>VLOOKUP($A84,'Over Under Bill 1 COPY 到CO欄位'!$1:$1048576,'Over Under Bill 1 COPY 到CO欄位'!CK$1,0)-VLOOKUP($A84,'Over Under Bill 1 COPY 到CO欄位'!$1:$1048576,'Over Under Bill 1 COPY 到CO欄位'!CF$1,0)</f>
        <v>0</v>
      </c>
      <c r="CQ84" s="157">
        <f t="shared" si="112"/>
        <v>0</v>
      </c>
      <c r="CR84" s="157">
        <f>VLOOKUP($A84,'Over Under Bill 1 COPY 到CO欄位'!$1:$1048576,'Over Under Bill 1 COPY 到CO欄位'!CM$1,0)-VLOOKUP($A84,'Over Under Bill 1 COPY 到CO欄位'!$1:$1048576,'Over Under Bill 1 COPY 到CO欄位'!CH$1,0)</f>
        <v>0</v>
      </c>
      <c r="CS84" s="157">
        <f t="shared" si="113"/>
        <v>0</v>
      </c>
    </row>
    <row r="85" spans="1:97">
      <c r="A85" s="171" t="s">
        <v>462</v>
      </c>
      <c r="B85" s="172" t="s">
        <v>348</v>
      </c>
      <c r="C85" s="157">
        <f>IFERROR(VLOOKUP($A85,'A0 BS 1240在建'!$1:$1048576,5,0),0)</f>
        <v>0</v>
      </c>
      <c r="D85" s="157">
        <f>IFERROR(VLOOKUP($A85,'B0 2264預收'!$1:$1048576,5,0),0)</f>
        <v>0</v>
      </c>
      <c r="E85" s="157">
        <f t="shared" si="76"/>
        <v>0</v>
      </c>
      <c r="F85" s="157">
        <f>IFERROR(VLOOKUP($A85,'B0 2264預收'!$1:$1048576,6,0),0)</f>
        <v>0</v>
      </c>
      <c r="G85" s="157">
        <f t="shared" si="77"/>
        <v>0</v>
      </c>
      <c r="H85" s="158">
        <f>IFERROR(VLOOKUP($A85,'A0 BS 1240在建'!$1:$1048576,13,0),0)-C85</f>
        <v>0</v>
      </c>
      <c r="I85" s="158">
        <f>IFERROR(VLOOKUP($A85,'B0 2264預收'!$1:$1048576,13,0),0)-D85</f>
        <v>0</v>
      </c>
      <c r="J85" s="158">
        <f t="shared" si="78"/>
        <v>0</v>
      </c>
      <c r="K85" s="158">
        <f>IFERROR(VLOOKUP($A85,'B0 2264預收'!$1:$1048576,14,0),0)-F85</f>
        <v>0</v>
      </c>
      <c r="L85" s="158">
        <f t="shared" si="79"/>
        <v>0</v>
      </c>
      <c r="M85" s="157">
        <f>VLOOKUP($A85,'Over Under Bill 1 COPY 到CO欄位'!$1:$1048576,'Over Under Bill 1 COPY 到CO欄位'!M$1,0)-VLOOKUP($A85,'Over Under Bill 1 COPY 到CO欄位'!$1:$1048576,'Over Under Bill 1 COPY 到CO欄位'!H$1,0)</f>
        <v>0</v>
      </c>
      <c r="N85" s="157">
        <f>VLOOKUP($A85,'Over Under Bill 1 COPY 到CO欄位'!$1:$1048576,'Over Under Bill 1 COPY 到CO欄位'!N$1,0)-VLOOKUP($A85,'Over Under Bill 1 COPY 到CO欄位'!$1:$1048576,'Over Under Bill 1 COPY 到CO欄位'!I$1,0)</f>
        <v>0</v>
      </c>
      <c r="O85" s="157">
        <f t="shared" si="80"/>
        <v>0</v>
      </c>
      <c r="P85" s="157">
        <f>VLOOKUP($A85,'Over Under Bill 1 COPY 到CO欄位'!$1:$1048576,'Over Under Bill 1 COPY 到CO欄位'!P$1,0)-VLOOKUP($A85,'Over Under Bill 1 COPY 到CO欄位'!$1:$1048576,'Over Under Bill 1 COPY 到CO欄位'!K$1,0)</f>
        <v>0</v>
      </c>
      <c r="Q85" s="157">
        <f t="shared" si="81"/>
        <v>0</v>
      </c>
      <c r="R85" s="158">
        <f>VLOOKUP($A85,'Over Under Bill 1 COPY 到CO欄位'!$1:$1048576,'Over Under Bill 1 COPY 到CO欄位'!R$1,0)-VLOOKUP($A85,'Over Under Bill 1 COPY 到CO欄位'!$1:$1048576,'Over Under Bill 1 COPY 到CO欄位'!M$1,0)</f>
        <v>0</v>
      </c>
      <c r="S85" s="158">
        <f>VLOOKUP($A85,'Over Under Bill 1 COPY 到CO欄位'!$1:$1048576,'Over Under Bill 1 COPY 到CO欄位'!S$1,0)-VLOOKUP($A85,'Over Under Bill 1 COPY 到CO欄位'!$1:$1048576,'Over Under Bill 1 COPY 到CO欄位'!N$1,0)</f>
        <v>0</v>
      </c>
      <c r="T85" s="158">
        <f t="shared" si="82"/>
        <v>0</v>
      </c>
      <c r="U85" s="158">
        <f>VLOOKUP($A85,'Over Under Bill 1 COPY 到CO欄位'!$1:$1048576,'Over Under Bill 1 COPY 到CO欄位'!U$1,0)-VLOOKUP($A85,'Over Under Bill 1 COPY 到CO欄位'!$1:$1048576,'Over Under Bill 1 COPY 到CO欄位'!P$1,0)</f>
        <v>0</v>
      </c>
      <c r="V85" s="158">
        <f t="shared" si="83"/>
        <v>0</v>
      </c>
      <c r="W85" s="157">
        <f>VLOOKUP($A85,'Over Under Bill 1 COPY 到CO欄位'!$1:$1048576,'Over Under Bill 1 COPY 到CO欄位'!W$1,0)-VLOOKUP($A85,'Over Under Bill 1 COPY 到CO欄位'!$1:$1048576,'Over Under Bill 1 COPY 到CO欄位'!R$1,0)</f>
        <v>0</v>
      </c>
      <c r="X85" s="157">
        <f>VLOOKUP($A85,'Over Under Bill 1 COPY 到CO欄位'!$1:$1048576,'Over Under Bill 1 COPY 到CO欄位'!X$1,0)-VLOOKUP($A85,'Over Under Bill 1 COPY 到CO欄位'!$1:$1048576,'Over Under Bill 1 COPY 到CO欄位'!S$1,0)</f>
        <v>0</v>
      </c>
      <c r="Y85" s="157">
        <f t="shared" si="84"/>
        <v>0</v>
      </c>
      <c r="Z85" s="157">
        <f>VLOOKUP($A85,'Over Under Bill 1 COPY 到CO欄位'!$1:$1048576,'Over Under Bill 1 COPY 到CO欄位'!Z$1,0)-VLOOKUP($A85,'Over Under Bill 1 COPY 到CO欄位'!$1:$1048576,'Over Under Bill 1 COPY 到CO欄位'!U$1,0)</f>
        <v>0</v>
      </c>
      <c r="AA85" s="157">
        <f t="shared" si="85"/>
        <v>0</v>
      </c>
      <c r="AB85" s="158">
        <f>VLOOKUP($A85,'Over Under Bill 1 COPY 到CO欄位'!$1:$1048576,'Over Under Bill 1 COPY 到CO欄位'!AB$1,0)-VLOOKUP($A85,'Over Under Bill 1 COPY 到CO欄位'!$1:$1048576,'Over Under Bill 1 COPY 到CO欄位'!W$1,0)</f>
        <v>0</v>
      </c>
      <c r="AC85" s="158">
        <f>VLOOKUP($A85,'Over Under Bill 1 COPY 到CO欄位'!$1:$1048576,'Over Under Bill 1 COPY 到CO欄位'!AC$1,0)-VLOOKUP($A85,'Over Under Bill 1 COPY 到CO欄位'!$1:$1048576,'Over Under Bill 1 COPY 到CO欄位'!X$1,0)</f>
        <v>0</v>
      </c>
      <c r="AD85" s="158">
        <f t="shared" si="86"/>
        <v>0</v>
      </c>
      <c r="AE85" s="158">
        <f>VLOOKUP($A85,'Over Under Bill 1 COPY 到CO欄位'!$1:$1048576,'Over Under Bill 1 COPY 到CO欄位'!AE$1,0)-VLOOKUP($A85,'Over Under Bill 1 COPY 到CO欄位'!$1:$1048576,'Over Under Bill 1 COPY 到CO欄位'!Z$1,0)</f>
        <v>0</v>
      </c>
      <c r="AF85" s="158">
        <f t="shared" si="87"/>
        <v>0</v>
      </c>
      <c r="AG85" s="157">
        <f>VLOOKUP($A85,'Over Under Bill 1 COPY 到CO欄位'!$1:$1048576,'Over Under Bill 1 COPY 到CO欄位'!AG$1,0)-VLOOKUP($A85,'Over Under Bill 1 COPY 到CO欄位'!$1:$1048576,'Over Under Bill 1 COPY 到CO欄位'!AB$1,0)</f>
        <v>0</v>
      </c>
      <c r="AH85" s="157">
        <f>VLOOKUP($A85,'Over Under Bill 1 COPY 到CO欄位'!$1:$1048576,'Over Under Bill 1 COPY 到CO欄位'!AH$1,0)-VLOOKUP($A85,'Over Under Bill 1 COPY 到CO欄位'!$1:$1048576,'Over Under Bill 1 COPY 到CO欄位'!AC$1,0)</f>
        <v>0</v>
      </c>
      <c r="AI85" s="157">
        <f t="shared" si="88"/>
        <v>0</v>
      </c>
      <c r="AJ85" s="157">
        <f>VLOOKUP($A85,'Over Under Bill 1 COPY 到CO欄位'!$1:$1048576,'Over Under Bill 1 COPY 到CO欄位'!AJ$1,0)-VLOOKUP($A85,'Over Under Bill 1 COPY 到CO欄位'!$1:$1048576,'Over Under Bill 1 COPY 到CO欄位'!AE$1,0)</f>
        <v>0</v>
      </c>
      <c r="AK85" s="157">
        <f t="shared" si="89"/>
        <v>0</v>
      </c>
      <c r="AL85" s="158">
        <f>VLOOKUP($A85,'Over Under Bill 1 COPY 到CO欄位'!$1:$1048576,'Over Under Bill 1 COPY 到CO欄位'!AL$1,0)-VLOOKUP($A85,'Over Under Bill 1 COPY 到CO欄位'!$1:$1048576,'Over Under Bill 1 COPY 到CO欄位'!AG$1,0)</f>
        <v>0</v>
      </c>
      <c r="AM85" s="158">
        <f>VLOOKUP($A85,'Over Under Bill 1 COPY 到CO欄位'!$1:$1048576,'Over Under Bill 1 COPY 到CO欄位'!AM$1,0)-VLOOKUP($A85,'Over Under Bill 1 COPY 到CO欄位'!$1:$1048576,'Over Under Bill 1 COPY 到CO欄位'!AH$1,0)</f>
        <v>0</v>
      </c>
      <c r="AN85" s="158">
        <f t="shared" si="90"/>
        <v>0</v>
      </c>
      <c r="AO85" s="158">
        <f>VLOOKUP($A85,'Over Under Bill 1 COPY 到CO欄位'!$1:$1048576,'Over Under Bill 1 COPY 到CO欄位'!AO$1,0)-VLOOKUP($A85,'Over Under Bill 1 COPY 到CO欄位'!$1:$1048576,'Over Under Bill 1 COPY 到CO欄位'!AJ$1,0)</f>
        <v>0</v>
      </c>
      <c r="AP85" s="158">
        <f t="shared" si="91"/>
        <v>0</v>
      </c>
      <c r="AQ85" s="157">
        <f>VLOOKUP($A85,'Over Under Bill 1 COPY 到CO欄位'!$1:$1048576,'Over Under Bill 1 COPY 到CO欄位'!AQ$1,0)-VLOOKUP($A85,'Over Under Bill 1 COPY 到CO欄位'!$1:$1048576,'Over Under Bill 1 COPY 到CO欄位'!AL$1,0)</f>
        <v>0</v>
      </c>
      <c r="AR85" s="157">
        <f>VLOOKUP($A85,'Over Under Bill 1 COPY 到CO欄位'!$1:$1048576,'Over Under Bill 1 COPY 到CO欄位'!AR$1,0)-VLOOKUP($A85,'Over Under Bill 1 COPY 到CO欄位'!$1:$1048576,'Over Under Bill 1 COPY 到CO欄位'!AM$1,0)</f>
        <v>0</v>
      </c>
      <c r="AS85" s="157">
        <f t="shared" si="92"/>
        <v>0</v>
      </c>
      <c r="AT85" s="157">
        <f>VLOOKUP($A85,'Over Under Bill 1 COPY 到CO欄位'!$1:$1048576,'Over Under Bill 1 COPY 到CO欄位'!AT$1,0)-VLOOKUP($A85,'Over Under Bill 1 COPY 到CO欄位'!$1:$1048576,'Over Under Bill 1 COPY 到CO欄位'!AO$1,0)</f>
        <v>0</v>
      </c>
      <c r="AU85" s="157">
        <f t="shared" si="93"/>
        <v>0</v>
      </c>
      <c r="AV85" s="158">
        <f>VLOOKUP($A85,'Over Under Bill 1 COPY 到CO欄位'!$1:$1048576,'Over Under Bill 1 COPY 到CO欄位'!AV$1,0)-VLOOKUP($A85,'Over Under Bill 1 COPY 到CO欄位'!$1:$1048576,'Over Under Bill 1 COPY 到CO欄位'!AQ$1,0)</f>
        <v>0</v>
      </c>
      <c r="AW85" s="158">
        <f>VLOOKUP($A85,'Over Under Bill 1 COPY 到CO欄位'!$1:$1048576,'Over Under Bill 1 COPY 到CO欄位'!AW$1,0)-VLOOKUP($A85,'Over Under Bill 1 COPY 到CO欄位'!$1:$1048576,'Over Under Bill 1 COPY 到CO欄位'!AR$1,0)</f>
        <v>0</v>
      </c>
      <c r="AX85" s="158">
        <f t="shared" si="94"/>
        <v>0</v>
      </c>
      <c r="AY85" s="158">
        <f>VLOOKUP($A85,'Over Under Bill 1 COPY 到CO欄位'!$1:$1048576,'Over Under Bill 1 COPY 到CO欄位'!AY$1,0)-VLOOKUP($A85,'Over Under Bill 1 COPY 到CO欄位'!$1:$1048576,'Over Under Bill 1 COPY 到CO欄位'!AT$1,0)</f>
        <v>0</v>
      </c>
      <c r="AZ85" s="158">
        <f t="shared" si="95"/>
        <v>0</v>
      </c>
      <c r="BA85" s="157">
        <f>VLOOKUP($A85,'Over Under Bill 1 COPY 到CO欄位'!$1:$1048576,'Over Under Bill 1 COPY 到CO欄位'!BA$1,0)-VLOOKUP($A85,'Over Under Bill 1 COPY 到CO欄位'!$1:$1048576,'Over Under Bill 1 COPY 到CO欄位'!AV$1,0)</f>
        <v>0</v>
      </c>
      <c r="BB85" s="157">
        <f>VLOOKUP($A85,'Over Under Bill 1 COPY 到CO欄位'!$1:$1048576,'Over Under Bill 1 COPY 到CO欄位'!BB$1,0)-VLOOKUP($A85,'Over Under Bill 1 COPY 到CO欄位'!$1:$1048576,'Over Under Bill 1 COPY 到CO欄位'!AW$1,0)</f>
        <v>0</v>
      </c>
      <c r="BC85" s="157">
        <f t="shared" si="96"/>
        <v>0</v>
      </c>
      <c r="BD85" s="157">
        <f>VLOOKUP($A85,'Over Under Bill 1 COPY 到CO欄位'!$1:$1048576,'Over Under Bill 1 COPY 到CO欄位'!BD$1,0)-VLOOKUP($A85,'Over Under Bill 1 COPY 到CO欄位'!$1:$1048576,'Over Under Bill 1 COPY 到CO欄位'!AY$1,0)</f>
        <v>0</v>
      </c>
      <c r="BE85" s="157">
        <f t="shared" si="97"/>
        <v>0</v>
      </c>
      <c r="BF85" s="158">
        <f>VLOOKUP($A85,'Over Under Bill 1 COPY 到CO欄位'!$1:$1048576,'Over Under Bill 1 COPY 到CO欄位'!BF$1,0)-VLOOKUP($A85,'Over Under Bill 1 COPY 到CO欄位'!$1:$1048576,'Over Under Bill 1 COPY 到CO欄位'!BA$1,0)</f>
        <v>0</v>
      </c>
      <c r="BG85" s="158">
        <f>VLOOKUP($A85,'Over Under Bill 1 COPY 到CO欄位'!$1:$1048576,'Over Under Bill 1 COPY 到CO欄位'!BG$1,0)-VLOOKUP($A85,'Over Under Bill 1 COPY 到CO欄位'!$1:$1048576,'Over Under Bill 1 COPY 到CO欄位'!BB$1,0)</f>
        <v>0</v>
      </c>
      <c r="BH85" s="158">
        <f t="shared" si="98"/>
        <v>0</v>
      </c>
      <c r="BI85" s="158">
        <f>VLOOKUP($A85,'Over Under Bill 1 COPY 到CO欄位'!$1:$1048576,'Over Under Bill 1 COPY 到CO欄位'!BI$1,0)-VLOOKUP($A85,'Over Under Bill 1 COPY 到CO欄位'!$1:$1048576,'Over Under Bill 1 COPY 到CO欄位'!BD$1,0)</f>
        <v>0</v>
      </c>
      <c r="BJ85" s="158">
        <f t="shared" si="99"/>
        <v>0</v>
      </c>
      <c r="BK85" s="157">
        <f>VLOOKUP($A85,'Over Under Bill 1 COPY 到CO欄位'!$1:$1048576,'Over Under Bill 1 COPY 到CO欄位'!BK$1,0)-VLOOKUP($A85,'Over Under Bill 1 COPY 到CO欄位'!$1:$1048576,'Over Under Bill 1 COPY 到CO欄位'!BF$1,0)</f>
        <v>0</v>
      </c>
      <c r="BL85" s="157">
        <f>VLOOKUP($A85,'Over Under Bill 1 COPY 到CO欄位'!$1:$1048576,'Over Under Bill 1 COPY 到CO欄位'!BL$1,0)-VLOOKUP($A85,'Over Under Bill 1 COPY 到CO欄位'!$1:$1048576,'Over Under Bill 1 COPY 到CO欄位'!BG$1,0)</f>
        <v>0</v>
      </c>
      <c r="BM85" s="157">
        <f t="shared" si="100"/>
        <v>0</v>
      </c>
      <c r="BN85" s="157">
        <f>VLOOKUP($A85,'Over Under Bill 1 COPY 到CO欄位'!$1:$1048576,'Over Under Bill 1 COPY 到CO欄位'!BN$1,0)-VLOOKUP($A85,'Over Under Bill 1 COPY 到CO欄位'!$1:$1048576,'Over Under Bill 1 COPY 到CO欄位'!BI$1,0)</f>
        <v>0</v>
      </c>
      <c r="BO85" s="157">
        <f t="shared" si="101"/>
        <v>0</v>
      </c>
      <c r="BP85" s="158">
        <f>VLOOKUP($A85,'Over Under Bill 1 COPY 到CO欄位'!$1:$1048576,'Over Under Bill 1 COPY 到CO欄位'!BP$1,0)-VLOOKUP($A85,'Over Under Bill 1 COPY 到CO欄位'!$1:$1048576,'Over Under Bill 1 COPY 到CO欄位'!BK$1,0)</f>
        <v>0</v>
      </c>
      <c r="BQ85" s="158">
        <f>VLOOKUP($A85,'Over Under Bill 1 COPY 到CO欄位'!$1:$1048576,'Over Under Bill 1 COPY 到CO欄位'!BQ$1,0)-VLOOKUP($A85,'Over Under Bill 1 COPY 到CO欄位'!$1:$1048576,'Over Under Bill 1 COPY 到CO欄位'!BL$1,0)</f>
        <v>0</v>
      </c>
      <c r="BR85" s="158">
        <f t="shared" si="102"/>
        <v>0</v>
      </c>
      <c r="BS85" s="158">
        <f>VLOOKUP($A85,'Over Under Bill 1 COPY 到CO欄位'!$1:$1048576,'Over Under Bill 1 COPY 到CO欄位'!BS$1,0)-VLOOKUP($A85,'Over Under Bill 1 COPY 到CO欄位'!$1:$1048576,'Over Under Bill 1 COPY 到CO欄位'!BN$1,0)</f>
        <v>0</v>
      </c>
      <c r="BT85" s="158">
        <f t="shared" si="103"/>
        <v>0</v>
      </c>
      <c r="BU85" s="157">
        <f>VLOOKUP($A85,'Over Under Bill 1 COPY 到CO欄位'!$1:$1048576,'Over Under Bill 1 COPY 到CO欄位'!BP$1,0)-VLOOKUP($A85,'Over Under Bill 1 COPY 到CO欄位'!$1:$1048576,'Over Under Bill 1 COPY 到CO欄位'!H$1,0)</f>
        <v>0</v>
      </c>
      <c r="BV85" s="157">
        <f>VLOOKUP($A85,'Over Under Bill 1 COPY 到CO欄位'!$1:$1048576,'Over Under Bill 1 COPY 到CO欄位'!BQ$1,0)-VLOOKUP($A85,'Over Under Bill 1 COPY 到CO欄位'!$1:$1048576,'Over Under Bill 1 COPY 到CO欄位'!I$1,0)</f>
        <v>0</v>
      </c>
      <c r="BW85" s="157">
        <f t="shared" si="104"/>
        <v>0</v>
      </c>
      <c r="BX85" s="157">
        <f>VLOOKUP($A85,'Over Under Bill 1 COPY 到CO欄位'!$1:$1048576,'Over Under Bill 1 COPY 到CO欄位'!BS$1,0)-VLOOKUP($A85,'Over Under Bill 1 COPY 到CO欄位'!$1:$1048576,'Over Under Bill 1 COPY 到CO欄位'!K$1,0)</f>
        <v>0</v>
      </c>
      <c r="BY85" s="157">
        <f t="shared" si="105"/>
        <v>0</v>
      </c>
      <c r="BZ85" s="158">
        <f>VLOOKUP($A85,'Over Under Bill 1 COPY 到CO欄位'!$1:$1048576,'Over Under Bill 1 COPY 到CO欄位'!BU$1,0)-VLOOKUP($A85,'Over Under Bill 1 COPY 到CO欄位'!$1:$1048576,'Over Under Bill 1 COPY 到CO欄位'!BP$1,0)</f>
        <v>0</v>
      </c>
      <c r="CA85" s="158">
        <f>VLOOKUP($A85,'Over Under Bill 1 COPY 到CO欄位'!$1:$1048576,'Over Under Bill 1 COPY 到CO欄位'!BV$1,0)-VLOOKUP($A85,'Over Under Bill 1 COPY 到CO欄位'!$1:$1048576,'Over Under Bill 1 COPY 到CO欄位'!BQ$1,0)</f>
        <v>0</v>
      </c>
      <c r="CB85" s="158">
        <f t="shared" si="106"/>
        <v>0</v>
      </c>
      <c r="CC85" s="158">
        <f>VLOOKUP($A85,'Over Under Bill 1 COPY 到CO欄位'!$1:$1048576,'Over Under Bill 1 COPY 到CO欄位'!BX$1,0)-VLOOKUP($A85,'Over Under Bill 1 COPY 到CO欄位'!$1:$1048576,'Over Under Bill 1 COPY 到CO欄位'!BS$1,0)</f>
        <v>0</v>
      </c>
      <c r="CD85" s="158">
        <f t="shared" si="107"/>
        <v>0</v>
      </c>
      <c r="CE85" s="157">
        <f>VLOOKUP($A85,'Over Under Bill 1 COPY 到CO欄位'!$1:$1048576,'Over Under Bill 1 COPY 到CO欄位'!BZ$1,0)-VLOOKUP($A85,'Over Under Bill 1 COPY 到CO欄位'!$1:$1048576,'Over Under Bill 1 COPY 到CO欄位'!BU$1,0)</f>
        <v>0</v>
      </c>
      <c r="CF85" s="157">
        <f>VLOOKUP($A85,'Over Under Bill 1 COPY 到CO欄位'!$1:$1048576,'Over Under Bill 1 COPY 到CO欄位'!CA$1,0)-VLOOKUP($A85,'Over Under Bill 1 COPY 到CO欄位'!$1:$1048576,'Over Under Bill 1 COPY 到CO欄位'!BV$1,0)</f>
        <v>0</v>
      </c>
      <c r="CG85" s="157">
        <f t="shared" si="108"/>
        <v>0</v>
      </c>
      <c r="CH85" s="157">
        <f>VLOOKUP($A85,'Over Under Bill 1 COPY 到CO欄位'!$1:$1048576,'Over Under Bill 1 COPY 到CO欄位'!CC$1,0)-VLOOKUP($A85,'Over Under Bill 1 COPY 到CO欄位'!$1:$1048576,'Over Under Bill 1 COPY 到CO欄位'!BX$1,0)</f>
        <v>0</v>
      </c>
      <c r="CI85" s="157">
        <f t="shared" si="109"/>
        <v>0</v>
      </c>
      <c r="CJ85" s="158">
        <f>VLOOKUP($A85,'Over Under Bill 1 COPY 到CO欄位'!$1:$1048576,'Over Under Bill 1 COPY 到CO欄位'!CE$1,0)-VLOOKUP($A85,'Over Under Bill 1 COPY 到CO欄位'!$1:$1048576,'Over Under Bill 1 COPY 到CO欄位'!BZ$1,0)</f>
        <v>0</v>
      </c>
      <c r="CK85" s="158">
        <f>VLOOKUP($A85,'Over Under Bill 1 COPY 到CO欄位'!$1:$1048576,'Over Under Bill 1 COPY 到CO欄位'!CF$1,0)-VLOOKUP($A85,'Over Under Bill 1 COPY 到CO欄位'!$1:$1048576,'Over Under Bill 1 COPY 到CO欄位'!CA$1,0)</f>
        <v>0</v>
      </c>
      <c r="CL85" s="158">
        <f t="shared" si="110"/>
        <v>0</v>
      </c>
      <c r="CM85" s="158">
        <f>VLOOKUP($A85,'Over Under Bill 1 COPY 到CO欄位'!$1:$1048576,'Over Under Bill 1 COPY 到CO欄位'!CH$1,0)-VLOOKUP($A85,'Over Under Bill 1 COPY 到CO欄位'!$1:$1048576,'Over Under Bill 1 COPY 到CO欄位'!CC$1,0)</f>
        <v>0</v>
      </c>
      <c r="CN85" s="158">
        <f t="shared" si="111"/>
        <v>0</v>
      </c>
      <c r="CO85" s="157">
        <f>VLOOKUP($A85,'Over Under Bill 1 COPY 到CO欄位'!$1:$1048576,'Over Under Bill 1 COPY 到CO欄位'!CJ$1,0)-VLOOKUP($A85,'Over Under Bill 1 COPY 到CO欄位'!$1:$1048576,'Over Under Bill 1 COPY 到CO欄位'!CE$1,0)</f>
        <v>0</v>
      </c>
      <c r="CP85" s="157">
        <f>VLOOKUP($A85,'Over Under Bill 1 COPY 到CO欄位'!$1:$1048576,'Over Under Bill 1 COPY 到CO欄位'!CK$1,0)-VLOOKUP($A85,'Over Under Bill 1 COPY 到CO欄位'!$1:$1048576,'Over Under Bill 1 COPY 到CO欄位'!CF$1,0)</f>
        <v>0</v>
      </c>
      <c r="CQ85" s="157">
        <f t="shared" si="112"/>
        <v>0</v>
      </c>
      <c r="CR85" s="157">
        <f>VLOOKUP($A85,'Over Under Bill 1 COPY 到CO欄位'!$1:$1048576,'Over Under Bill 1 COPY 到CO欄位'!CM$1,0)-VLOOKUP($A85,'Over Under Bill 1 COPY 到CO欄位'!$1:$1048576,'Over Under Bill 1 COPY 到CO欄位'!CH$1,0)</f>
        <v>0</v>
      </c>
      <c r="CS85" s="157">
        <f t="shared" si="113"/>
        <v>0</v>
      </c>
    </row>
    <row r="86" spans="1:97">
      <c r="A86" s="171" t="s">
        <v>463</v>
      </c>
      <c r="B86" s="172" t="s">
        <v>350</v>
      </c>
      <c r="C86" s="157">
        <f>IFERROR(VLOOKUP($A86,'A0 BS 1240在建'!$1:$1048576,5,0),0)</f>
        <v>0</v>
      </c>
      <c r="D86" s="157">
        <f>IFERROR(VLOOKUP($A86,'B0 2264預收'!$1:$1048576,5,0),0)</f>
        <v>0</v>
      </c>
      <c r="E86" s="157">
        <f t="shared" si="76"/>
        <v>0</v>
      </c>
      <c r="F86" s="157">
        <f>IFERROR(VLOOKUP($A86,'B0 2264預收'!$1:$1048576,6,0),0)</f>
        <v>0</v>
      </c>
      <c r="G86" s="157">
        <f t="shared" si="77"/>
        <v>0</v>
      </c>
      <c r="H86" s="158">
        <f>IFERROR(VLOOKUP($A86,'A0 BS 1240在建'!$1:$1048576,13,0),0)-C86</f>
        <v>0</v>
      </c>
      <c r="I86" s="158">
        <f>IFERROR(VLOOKUP($A86,'B0 2264預收'!$1:$1048576,13,0),0)-D86</f>
        <v>0</v>
      </c>
      <c r="J86" s="158">
        <f t="shared" si="78"/>
        <v>0</v>
      </c>
      <c r="K86" s="158">
        <f>IFERROR(VLOOKUP($A86,'B0 2264預收'!$1:$1048576,14,0),0)-F86</f>
        <v>0</v>
      </c>
      <c r="L86" s="158">
        <f t="shared" si="79"/>
        <v>0</v>
      </c>
      <c r="M86" s="157">
        <f>VLOOKUP($A86,'Over Under Bill 1 COPY 到CO欄位'!$1:$1048576,'Over Under Bill 1 COPY 到CO欄位'!M$1,0)-VLOOKUP($A86,'Over Under Bill 1 COPY 到CO欄位'!$1:$1048576,'Over Under Bill 1 COPY 到CO欄位'!H$1,0)</f>
        <v>0</v>
      </c>
      <c r="N86" s="157">
        <f>VLOOKUP($A86,'Over Under Bill 1 COPY 到CO欄位'!$1:$1048576,'Over Under Bill 1 COPY 到CO欄位'!N$1,0)-VLOOKUP($A86,'Over Under Bill 1 COPY 到CO欄位'!$1:$1048576,'Over Under Bill 1 COPY 到CO欄位'!I$1,0)</f>
        <v>0</v>
      </c>
      <c r="O86" s="157">
        <f t="shared" si="80"/>
        <v>0</v>
      </c>
      <c r="P86" s="157">
        <f>VLOOKUP($A86,'Over Under Bill 1 COPY 到CO欄位'!$1:$1048576,'Over Under Bill 1 COPY 到CO欄位'!P$1,0)-VLOOKUP($A86,'Over Under Bill 1 COPY 到CO欄位'!$1:$1048576,'Over Under Bill 1 COPY 到CO欄位'!K$1,0)</f>
        <v>0</v>
      </c>
      <c r="Q86" s="157">
        <f t="shared" si="81"/>
        <v>0</v>
      </c>
      <c r="R86" s="158">
        <f>VLOOKUP($A86,'Over Under Bill 1 COPY 到CO欄位'!$1:$1048576,'Over Under Bill 1 COPY 到CO欄位'!R$1,0)-VLOOKUP($A86,'Over Under Bill 1 COPY 到CO欄位'!$1:$1048576,'Over Under Bill 1 COPY 到CO欄位'!M$1,0)</f>
        <v>0</v>
      </c>
      <c r="S86" s="158">
        <f>VLOOKUP($A86,'Over Under Bill 1 COPY 到CO欄位'!$1:$1048576,'Over Under Bill 1 COPY 到CO欄位'!S$1,0)-VLOOKUP($A86,'Over Under Bill 1 COPY 到CO欄位'!$1:$1048576,'Over Under Bill 1 COPY 到CO欄位'!N$1,0)</f>
        <v>0</v>
      </c>
      <c r="T86" s="158">
        <f t="shared" si="82"/>
        <v>0</v>
      </c>
      <c r="U86" s="158">
        <f>VLOOKUP($A86,'Over Under Bill 1 COPY 到CO欄位'!$1:$1048576,'Over Under Bill 1 COPY 到CO欄位'!U$1,0)-VLOOKUP($A86,'Over Under Bill 1 COPY 到CO欄位'!$1:$1048576,'Over Under Bill 1 COPY 到CO欄位'!P$1,0)</f>
        <v>0</v>
      </c>
      <c r="V86" s="158">
        <f t="shared" si="83"/>
        <v>0</v>
      </c>
      <c r="W86" s="157">
        <f>VLOOKUP($A86,'Over Under Bill 1 COPY 到CO欄位'!$1:$1048576,'Over Under Bill 1 COPY 到CO欄位'!W$1,0)-VLOOKUP($A86,'Over Under Bill 1 COPY 到CO欄位'!$1:$1048576,'Over Under Bill 1 COPY 到CO欄位'!R$1,0)</f>
        <v>0</v>
      </c>
      <c r="X86" s="157">
        <f>VLOOKUP($A86,'Over Under Bill 1 COPY 到CO欄位'!$1:$1048576,'Over Under Bill 1 COPY 到CO欄位'!X$1,0)-VLOOKUP($A86,'Over Under Bill 1 COPY 到CO欄位'!$1:$1048576,'Over Under Bill 1 COPY 到CO欄位'!S$1,0)</f>
        <v>0</v>
      </c>
      <c r="Y86" s="157">
        <f t="shared" si="84"/>
        <v>0</v>
      </c>
      <c r="Z86" s="157">
        <f>VLOOKUP($A86,'Over Under Bill 1 COPY 到CO欄位'!$1:$1048576,'Over Under Bill 1 COPY 到CO欄位'!Z$1,0)-VLOOKUP($A86,'Over Under Bill 1 COPY 到CO欄位'!$1:$1048576,'Over Under Bill 1 COPY 到CO欄位'!U$1,0)</f>
        <v>0</v>
      </c>
      <c r="AA86" s="157">
        <f t="shared" si="85"/>
        <v>0</v>
      </c>
      <c r="AB86" s="158">
        <f>VLOOKUP($A86,'Over Under Bill 1 COPY 到CO欄位'!$1:$1048576,'Over Under Bill 1 COPY 到CO欄位'!AB$1,0)-VLOOKUP($A86,'Over Under Bill 1 COPY 到CO欄位'!$1:$1048576,'Over Under Bill 1 COPY 到CO欄位'!W$1,0)</f>
        <v>0</v>
      </c>
      <c r="AC86" s="158">
        <f>VLOOKUP($A86,'Over Under Bill 1 COPY 到CO欄位'!$1:$1048576,'Over Under Bill 1 COPY 到CO欄位'!AC$1,0)-VLOOKUP($A86,'Over Under Bill 1 COPY 到CO欄位'!$1:$1048576,'Over Under Bill 1 COPY 到CO欄位'!X$1,0)</f>
        <v>0</v>
      </c>
      <c r="AD86" s="158">
        <f t="shared" si="86"/>
        <v>0</v>
      </c>
      <c r="AE86" s="158">
        <f>VLOOKUP($A86,'Over Under Bill 1 COPY 到CO欄位'!$1:$1048576,'Over Under Bill 1 COPY 到CO欄位'!AE$1,0)-VLOOKUP($A86,'Over Under Bill 1 COPY 到CO欄位'!$1:$1048576,'Over Under Bill 1 COPY 到CO欄位'!Z$1,0)</f>
        <v>0</v>
      </c>
      <c r="AF86" s="158">
        <f t="shared" si="87"/>
        <v>0</v>
      </c>
      <c r="AG86" s="157">
        <f>VLOOKUP($A86,'Over Under Bill 1 COPY 到CO欄位'!$1:$1048576,'Over Under Bill 1 COPY 到CO欄位'!AG$1,0)-VLOOKUP($A86,'Over Under Bill 1 COPY 到CO欄位'!$1:$1048576,'Over Under Bill 1 COPY 到CO欄位'!AB$1,0)</f>
        <v>0</v>
      </c>
      <c r="AH86" s="157">
        <f>VLOOKUP($A86,'Over Under Bill 1 COPY 到CO欄位'!$1:$1048576,'Over Under Bill 1 COPY 到CO欄位'!AH$1,0)-VLOOKUP($A86,'Over Under Bill 1 COPY 到CO欄位'!$1:$1048576,'Over Under Bill 1 COPY 到CO欄位'!AC$1,0)</f>
        <v>0</v>
      </c>
      <c r="AI86" s="157">
        <f t="shared" si="88"/>
        <v>0</v>
      </c>
      <c r="AJ86" s="157">
        <f>VLOOKUP($A86,'Over Under Bill 1 COPY 到CO欄位'!$1:$1048576,'Over Under Bill 1 COPY 到CO欄位'!AJ$1,0)-VLOOKUP($A86,'Over Under Bill 1 COPY 到CO欄位'!$1:$1048576,'Over Under Bill 1 COPY 到CO欄位'!AE$1,0)</f>
        <v>0</v>
      </c>
      <c r="AK86" s="157">
        <f t="shared" si="89"/>
        <v>0</v>
      </c>
      <c r="AL86" s="158">
        <f>VLOOKUP($A86,'Over Under Bill 1 COPY 到CO欄位'!$1:$1048576,'Over Under Bill 1 COPY 到CO欄位'!AL$1,0)-VLOOKUP($A86,'Over Under Bill 1 COPY 到CO欄位'!$1:$1048576,'Over Under Bill 1 COPY 到CO欄位'!AG$1,0)</f>
        <v>0</v>
      </c>
      <c r="AM86" s="158">
        <f>VLOOKUP($A86,'Over Under Bill 1 COPY 到CO欄位'!$1:$1048576,'Over Under Bill 1 COPY 到CO欄位'!AM$1,0)-VLOOKUP($A86,'Over Under Bill 1 COPY 到CO欄位'!$1:$1048576,'Over Under Bill 1 COPY 到CO欄位'!AH$1,0)</f>
        <v>0</v>
      </c>
      <c r="AN86" s="158">
        <f t="shared" si="90"/>
        <v>0</v>
      </c>
      <c r="AO86" s="158">
        <f>VLOOKUP($A86,'Over Under Bill 1 COPY 到CO欄位'!$1:$1048576,'Over Under Bill 1 COPY 到CO欄位'!AO$1,0)-VLOOKUP($A86,'Over Under Bill 1 COPY 到CO欄位'!$1:$1048576,'Over Under Bill 1 COPY 到CO欄位'!AJ$1,0)</f>
        <v>0</v>
      </c>
      <c r="AP86" s="158">
        <f t="shared" si="91"/>
        <v>0</v>
      </c>
      <c r="AQ86" s="157">
        <f>VLOOKUP($A86,'Over Under Bill 1 COPY 到CO欄位'!$1:$1048576,'Over Under Bill 1 COPY 到CO欄位'!AQ$1,0)-VLOOKUP($A86,'Over Under Bill 1 COPY 到CO欄位'!$1:$1048576,'Over Under Bill 1 COPY 到CO欄位'!AL$1,0)</f>
        <v>0</v>
      </c>
      <c r="AR86" s="157">
        <f>VLOOKUP($A86,'Over Under Bill 1 COPY 到CO欄位'!$1:$1048576,'Over Under Bill 1 COPY 到CO欄位'!AR$1,0)-VLOOKUP($A86,'Over Under Bill 1 COPY 到CO欄位'!$1:$1048576,'Over Under Bill 1 COPY 到CO欄位'!AM$1,0)</f>
        <v>0</v>
      </c>
      <c r="AS86" s="157">
        <f t="shared" si="92"/>
        <v>0</v>
      </c>
      <c r="AT86" s="157">
        <f>VLOOKUP($A86,'Over Under Bill 1 COPY 到CO欄位'!$1:$1048576,'Over Under Bill 1 COPY 到CO欄位'!AT$1,0)-VLOOKUP($A86,'Over Under Bill 1 COPY 到CO欄位'!$1:$1048576,'Over Under Bill 1 COPY 到CO欄位'!AO$1,0)</f>
        <v>0</v>
      </c>
      <c r="AU86" s="157">
        <f t="shared" si="93"/>
        <v>0</v>
      </c>
      <c r="AV86" s="158">
        <f>VLOOKUP($A86,'Over Under Bill 1 COPY 到CO欄位'!$1:$1048576,'Over Under Bill 1 COPY 到CO欄位'!AV$1,0)-VLOOKUP($A86,'Over Under Bill 1 COPY 到CO欄位'!$1:$1048576,'Over Under Bill 1 COPY 到CO欄位'!AQ$1,0)</f>
        <v>0</v>
      </c>
      <c r="AW86" s="158">
        <f>VLOOKUP($A86,'Over Under Bill 1 COPY 到CO欄位'!$1:$1048576,'Over Under Bill 1 COPY 到CO欄位'!AW$1,0)-VLOOKUP($A86,'Over Under Bill 1 COPY 到CO欄位'!$1:$1048576,'Over Under Bill 1 COPY 到CO欄位'!AR$1,0)</f>
        <v>0</v>
      </c>
      <c r="AX86" s="158">
        <f t="shared" si="94"/>
        <v>0</v>
      </c>
      <c r="AY86" s="158">
        <f>VLOOKUP($A86,'Over Under Bill 1 COPY 到CO欄位'!$1:$1048576,'Over Under Bill 1 COPY 到CO欄位'!AY$1,0)-VLOOKUP($A86,'Over Under Bill 1 COPY 到CO欄位'!$1:$1048576,'Over Under Bill 1 COPY 到CO欄位'!AT$1,0)</f>
        <v>0</v>
      </c>
      <c r="AZ86" s="158">
        <f t="shared" si="95"/>
        <v>0</v>
      </c>
      <c r="BA86" s="157">
        <f>VLOOKUP($A86,'Over Under Bill 1 COPY 到CO欄位'!$1:$1048576,'Over Under Bill 1 COPY 到CO欄位'!BA$1,0)-VLOOKUP($A86,'Over Under Bill 1 COPY 到CO欄位'!$1:$1048576,'Over Under Bill 1 COPY 到CO欄位'!AV$1,0)</f>
        <v>0</v>
      </c>
      <c r="BB86" s="157">
        <f>VLOOKUP($A86,'Over Under Bill 1 COPY 到CO欄位'!$1:$1048576,'Over Under Bill 1 COPY 到CO欄位'!BB$1,0)-VLOOKUP($A86,'Over Under Bill 1 COPY 到CO欄位'!$1:$1048576,'Over Under Bill 1 COPY 到CO欄位'!AW$1,0)</f>
        <v>0</v>
      </c>
      <c r="BC86" s="157">
        <f t="shared" si="96"/>
        <v>0</v>
      </c>
      <c r="BD86" s="157">
        <f>VLOOKUP($A86,'Over Under Bill 1 COPY 到CO欄位'!$1:$1048576,'Over Under Bill 1 COPY 到CO欄位'!BD$1,0)-VLOOKUP($A86,'Over Under Bill 1 COPY 到CO欄位'!$1:$1048576,'Over Under Bill 1 COPY 到CO欄位'!AY$1,0)</f>
        <v>0</v>
      </c>
      <c r="BE86" s="157">
        <f t="shared" si="97"/>
        <v>0</v>
      </c>
      <c r="BF86" s="158">
        <f>VLOOKUP($A86,'Over Under Bill 1 COPY 到CO欄位'!$1:$1048576,'Over Under Bill 1 COPY 到CO欄位'!BF$1,0)-VLOOKUP($A86,'Over Under Bill 1 COPY 到CO欄位'!$1:$1048576,'Over Under Bill 1 COPY 到CO欄位'!BA$1,0)</f>
        <v>0</v>
      </c>
      <c r="BG86" s="158">
        <f>VLOOKUP($A86,'Over Under Bill 1 COPY 到CO欄位'!$1:$1048576,'Over Under Bill 1 COPY 到CO欄位'!BG$1,0)-VLOOKUP($A86,'Over Under Bill 1 COPY 到CO欄位'!$1:$1048576,'Over Under Bill 1 COPY 到CO欄位'!BB$1,0)</f>
        <v>0</v>
      </c>
      <c r="BH86" s="158">
        <f t="shared" si="98"/>
        <v>0</v>
      </c>
      <c r="BI86" s="158">
        <f>VLOOKUP($A86,'Over Under Bill 1 COPY 到CO欄位'!$1:$1048576,'Over Under Bill 1 COPY 到CO欄位'!BI$1,0)-VLOOKUP($A86,'Over Under Bill 1 COPY 到CO欄位'!$1:$1048576,'Over Under Bill 1 COPY 到CO欄位'!BD$1,0)</f>
        <v>0</v>
      </c>
      <c r="BJ86" s="158">
        <f t="shared" si="99"/>
        <v>0</v>
      </c>
      <c r="BK86" s="157">
        <f>VLOOKUP($A86,'Over Under Bill 1 COPY 到CO欄位'!$1:$1048576,'Over Under Bill 1 COPY 到CO欄位'!BK$1,0)-VLOOKUP($A86,'Over Under Bill 1 COPY 到CO欄位'!$1:$1048576,'Over Under Bill 1 COPY 到CO欄位'!BF$1,0)</f>
        <v>0</v>
      </c>
      <c r="BL86" s="157">
        <f>VLOOKUP($A86,'Over Under Bill 1 COPY 到CO欄位'!$1:$1048576,'Over Under Bill 1 COPY 到CO欄位'!BL$1,0)-VLOOKUP($A86,'Over Under Bill 1 COPY 到CO欄位'!$1:$1048576,'Over Under Bill 1 COPY 到CO欄位'!BG$1,0)</f>
        <v>0</v>
      </c>
      <c r="BM86" s="157">
        <f t="shared" si="100"/>
        <v>0</v>
      </c>
      <c r="BN86" s="157">
        <f>VLOOKUP($A86,'Over Under Bill 1 COPY 到CO欄位'!$1:$1048576,'Over Under Bill 1 COPY 到CO欄位'!BN$1,0)-VLOOKUP($A86,'Over Under Bill 1 COPY 到CO欄位'!$1:$1048576,'Over Under Bill 1 COPY 到CO欄位'!BI$1,0)</f>
        <v>0</v>
      </c>
      <c r="BO86" s="157">
        <f t="shared" si="101"/>
        <v>0</v>
      </c>
      <c r="BP86" s="158">
        <f>VLOOKUP($A86,'Over Under Bill 1 COPY 到CO欄位'!$1:$1048576,'Over Under Bill 1 COPY 到CO欄位'!BP$1,0)-VLOOKUP($A86,'Over Under Bill 1 COPY 到CO欄位'!$1:$1048576,'Over Under Bill 1 COPY 到CO欄位'!BK$1,0)</f>
        <v>0</v>
      </c>
      <c r="BQ86" s="158">
        <f>VLOOKUP($A86,'Over Under Bill 1 COPY 到CO欄位'!$1:$1048576,'Over Under Bill 1 COPY 到CO欄位'!BQ$1,0)-VLOOKUP($A86,'Over Under Bill 1 COPY 到CO欄位'!$1:$1048576,'Over Under Bill 1 COPY 到CO欄位'!BL$1,0)</f>
        <v>0</v>
      </c>
      <c r="BR86" s="158">
        <f t="shared" si="102"/>
        <v>0</v>
      </c>
      <c r="BS86" s="158">
        <f>VLOOKUP($A86,'Over Under Bill 1 COPY 到CO欄位'!$1:$1048576,'Over Under Bill 1 COPY 到CO欄位'!BS$1,0)-VLOOKUP($A86,'Over Under Bill 1 COPY 到CO欄位'!$1:$1048576,'Over Under Bill 1 COPY 到CO欄位'!BN$1,0)</f>
        <v>0</v>
      </c>
      <c r="BT86" s="158">
        <f t="shared" si="103"/>
        <v>0</v>
      </c>
      <c r="BU86" s="157">
        <f>VLOOKUP($A86,'Over Under Bill 1 COPY 到CO欄位'!$1:$1048576,'Over Under Bill 1 COPY 到CO欄位'!BP$1,0)-VLOOKUP($A86,'Over Under Bill 1 COPY 到CO欄位'!$1:$1048576,'Over Under Bill 1 COPY 到CO欄位'!H$1,0)</f>
        <v>0</v>
      </c>
      <c r="BV86" s="157">
        <f>VLOOKUP($A86,'Over Under Bill 1 COPY 到CO欄位'!$1:$1048576,'Over Under Bill 1 COPY 到CO欄位'!BQ$1,0)-VLOOKUP($A86,'Over Under Bill 1 COPY 到CO欄位'!$1:$1048576,'Over Under Bill 1 COPY 到CO欄位'!I$1,0)</f>
        <v>0</v>
      </c>
      <c r="BW86" s="157">
        <f t="shared" si="104"/>
        <v>0</v>
      </c>
      <c r="BX86" s="157">
        <f>VLOOKUP($A86,'Over Under Bill 1 COPY 到CO欄位'!$1:$1048576,'Over Under Bill 1 COPY 到CO欄位'!BS$1,0)-VLOOKUP($A86,'Over Under Bill 1 COPY 到CO欄位'!$1:$1048576,'Over Under Bill 1 COPY 到CO欄位'!K$1,0)</f>
        <v>0</v>
      </c>
      <c r="BY86" s="157">
        <f t="shared" si="105"/>
        <v>0</v>
      </c>
      <c r="BZ86" s="158">
        <f>VLOOKUP($A86,'Over Under Bill 1 COPY 到CO欄位'!$1:$1048576,'Over Under Bill 1 COPY 到CO欄位'!BU$1,0)-VLOOKUP($A86,'Over Under Bill 1 COPY 到CO欄位'!$1:$1048576,'Over Under Bill 1 COPY 到CO欄位'!BP$1,0)</f>
        <v>0</v>
      </c>
      <c r="CA86" s="158">
        <f>VLOOKUP($A86,'Over Under Bill 1 COPY 到CO欄位'!$1:$1048576,'Over Under Bill 1 COPY 到CO欄位'!BV$1,0)-VLOOKUP($A86,'Over Under Bill 1 COPY 到CO欄位'!$1:$1048576,'Over Under Bill 1 COPY 到CO欄位'!BQ$1,0)</f>
        <v>0</v>
      </c>
      <c r="CB86" s="158">
        <f t="shared" si="106"/>
        <v>0</v>
      </c>
      <c r="CC86" s="158">
        <f>VLOOKUP($A86,'Over Under Bill 1 COPY 到CO欄位'!$1:$1048576,'Over Under Bill 1 COPY 到CO欄位'!BX$1,0)-VLOOKUP($A86,'Over Under Bill 1 COPY 到CO欄位'!$1:$1048576,'Over Under Bill 1 COPY 到CO欄位'!BS$1,0)</f>
        <v>0</v>
      </c>
      <c r="CD86" s="158">
        <f t="shared" si="107"/>
        <v>0</v>
      </c>
      <c r="CE86" s="157">
        <f>VLOOKUP($A86,'Over Under Bill 1 COPY 到CO欄位'!$1:$1048576,'Over Under Bill 1 COPY 到CO欄位'!BZ$1,0)-VLOOKUP($A86,'Over Under Bill 1 COPY 到CO欄位'!$1:$1048576,'Over Under Bill 1 COPY 到CO欄位'!BU$1,0)</f>
        <v>0</v>
      </c>
      <c r="CF86" s="157">
        <f>VLOOKUP($A86,'Over Under Bill 1 COPY 到CO欄位'!$1:$1048576,'Over Under Bill 1 COPY 到CO欄位'!CA$1,0)-VLOOKUP($A86,'Over Under Bill 1 COPY 到CO欄位'!$1:$1048576,'Over Under Bill 1 COPY 到CO欄位'!BV$1,0)</f>
        <v>0</v>
      </c>
      <c r="CG86" s="157">
        <f t="shared" si="108"/>
        <v>0</v>
      </c>
      <c r="CH86" s="157">
        <f>VLOOKUP($A86,'Over Under Bill 1 COPY 到CO欄位'!$1:$1048576,'Over Under Bill 1 COPY 到CO欄位'!CC$1,0)-VLOOKUP($A86,'Over Under Bill 1 COPY 到CO欄位'!$1:$1048576,'Over Under Bill 1 COPY 到CO欄位'!BX$1,0)</f>
        <v>0</v>
      </c>
      <c r="CI86" s="157">
        <f t="shared" si="109"/>
        <v>0</v>
      </c>
      <c r="CJ86" s="158">
        <f>VLOOKUP($A86,'Over Under Bill 1 COPY 到CO欄位'!$1:$1048576,'Over Under Bill 1 COPY 到CO欄位'!CE$1,0)-VLOOKUP($A86,'Over Under Bill 1 COPY 到CO欄位'!$1:$1048576,'Over Under Bill 1 COPY 到CO欄位'!BZ$1,0)</f>
        <v>0</v>
      </c>
      <c r="CK86" s="158">
        <f>VLOOKUP($A86,'Over Under Bill 1 COPY 到CO欄位'!$1:$1048576,'Over Under Bill 1 COPY 到CO欄位'!CF$1,0)-VLOOKUP($A86,'Over Under Bill 1 COPY 到CO欄位'!$1:$1048576,'Over Under Bill 1 COPY 到CO欄位'!CA$1,0)</f>
        <v>0</v>
      </c>
      <c r="CL86" s="158">
        <f t="shared" si="110"/>
        <v>0</v>
      </c>
      <c r="CM86" s="158">
        <f>VLOOKUP($A86,'Over Under Bill 1 COPY 到CO欄位'!$1:$1048576,'Over Under Bill 1 COPY 到CO欄位'!CH$1,0)-VLOOKUP($A86,'Over Under Bill 1 COPY 到CO欄位'!$1:$1048576,'Over Under Bill 1 COPY 到CO欄位'!CC$1,0)</f>
        <v>0</v>
      </c>
      <c r="CN86" s="158">
        <f t="shared" si="111"/>
        <v>0</v>
      </c>
      <c r="CO86" s="157">
        <f>VLOOKUP($A86,'Over Under Bill 1 COPY 到CO欄位'!$1:$1048576,'Over Under Bill 1 COPY 到CO欄位'!CJ$1,0)-VLOOKUP($A86,'Over Under Bill 1 COPY 到CO欄位'!$1:$1048576,'Over Under Bill 1 COPY 到CO欄位'!CE$1,0)</f>
        <v>0</v>
      </c>
      <c r="CP86" s="157">
        <f>VLOOKUP($A86,'Over Under Bill 1 COPY 到CO欄位'!$1:$1048576,'Over Under Bill 1 COPY 到CO欄位'!CK$1,0)-VLOOKUP($A86,'Over Under Bill 1 COPY 到CO欄位'!$1:$1048576,'Over Under Bill 1 COPY 到CO欄位'!CF$1,0)</f>
        <v>0</v>
      </c>
      <c r="CQ86" s="157">
        <f t="shared" si="112"/>
        <v>0</v>
      </c>
      <c r="CR86" s="157">
        <f>VLOOKUP($A86,'Over Under Bill 1 COPY 到CO欄位'!$1:$1048576,'Over Under Bill 1 COPY 到CO欄位'!CM$1,0)-VLOOKUP($A86,'Over Under Bill 1 COPY 到CO欄位'!$1:$1048576,'Over Under Bill 1 COPY 到CO欄位'!CH$1,0)</f>
        <v>0</v>
      </c>
      <c r="CS86" s="157">
        <f t="shared" si="113"/>
        <v>0</v>
      </c>
    </row>
    <row r="87" spans="1:97">
      <c r="A87" s="171" t="s">
        <v>464</v>
      </c>
      <c r="B87" s="172" t="s">
        <v>352</v>
      </c>
      <c r="C87" s="157">
        <f>IFERROR(VLOOKUP($A87,'A0 BS 1240在建'!$1:$1048576,5,0),0)</f>
        <v>0</v>
      </c>
      <c r="D87" s="157">
        <f>IFERROR(VLOOKUP($A87,'B0 2264預收'!$1:$1048576,5,0),0)</f>
        <v>0</v>
      </c>
      <c r="E87" s="157">
        <f t="shared" si="76"/>
        <v>0</v>
      </c>
      <c r="F87" s="157">
        <f>IFERROR(VLOOKUP($A87,'B0 2264預收'!$1:$1048576,6,0),0)</f>
        <v>0</v>
      </c>
      <c r="G87" s="157">
        <f t="shared" si="77"/>
        <v>0</v>
      </c>
      <c r="H87" s="158">
        <f>IFERROR(VLOOKUP($A87,'A0 BS 1240在建'!$1:$1048576,13,0),0)-C87</f>
        <v>0</v>
      </c>
      <c r="I87" s="158">
        <f>IFERROR(VLOOKUP($A87,'B0 2264預收'!$1:$1048576,13,0),0)-D87</f>
        <v>0</v>
      </c>
      <c r="J87" s="158">
        <f t="shared" si="78"/>
        <v>0</v>
      </c>
      <c r="K87" s="158">
        <f>IFERROR(VLOOKUP($A87,'B0 2264預收'!$1:$1048576,14,0),0)-F87</f>
        <v>0</v>
      </c>
      <c r="L87" s="158">
        <f t="shared" si="79"/>
        <v>0</v>
      </c>
      <c r="M87" s="157">
        <f>VLOOKUP($A87,'Over Under Bill 1 COPY 到CO欄位'!$1:$1048576,'Over Under Bill 1 COPY 到CO欄位'!M$1,0)-VLOOKUP($A87,'Over Under Bill 1 COPY 到CO欄位'!$1:$1048576,'Over Under Bill 1 COPY 到CO欄位'!H$1,0)</f>
        <v>0</v>
      </c>
      <c r="N87" s="157">
        <f>VLOOKUP($A87,'Over Under Bill 1 COPY 到CO欄位'!$1:$1048576,'Over Under Bill 1 COPY 到CO欄位'!N$1,0)-VLOOKUP($A87,'Over Under Bill 1 COPY 到CO欄位'!$1:$1048576,'Over Under Bill 1 COPY 到CO欄位'!I$1,0)</f>
        <v>0</v>
      </c>
      <c r="O87" s="157">
        <f t="shared" si="80"/>
        <v>0</v>
      </c>
      <c r="P87" s="157">
        <f>VLOOKUP($A87,'Over Under Bill 1 COPY 到CO欄位'!$1:$1048576,'Over Under Bill 1 COPY 到CO欄位'!P$1,0)-VLOOKUP($A87,'Over Under Bill 1 COPY 到CO欄位'!$1:$1048576,'Over Under Bill 1 COPY 到CO欄位'!K$1,0)</f>
        <v>0</v>
      </c>
      <c r="Q87" s="157">
        <f t="shared" si="81"/>
        <v>0</v>
      </c>
      <c r="R87" s="158">
        <f>VLOOKUP($A87,'Over Under Bill 1 COPY 到CO欄位'!$1:$1048576,'Over Under Bill 1 COPY 到CO欄位'!R$1,0)-VLOOKUP($A87,'Over Under Bill 1 COPY 到CO欄位'!$1:$1048576,'Over Under Bill 1 COPY 到CO欄位'!M$1,0)</f>
        <v>0</v>
      </c>
      <c r="S87" s="158">
        <f>VLOOKUP($A87,'Over Under Bill 1 COPY 到CO欄位'!$1:$1048576,'Over Under Bill 1 COPY 到CO欄位'!S$1,0)-VLOOKUP($A87,'Over Under Bill 1 COPY 到CO欄位'!$1:$1048576,'Over Under Bill 1 COPY 到CO欄位'!N$1,0)</f>
        <v>0</v>
      </c>
      <c r="T87" s="158">
        <f t="shared" si="82"/>
        <v>0</v>
      </c>
      <c r="U87" s="158">
        <f>VLOOKUP($A87,'Over Under Bill 1 COPY 到CO欄位'!$1:$1048576,'Over Under Bill 1 COPY 到CO欄位'!U$1,0)-VLOOKUP($A87,'Over Under Bill 1 COPY 到CO欄位'!$1:$1048576,'Over Under Bill 1 COPY 到CO欄位'!P$1,0)</f>
        <v>0</v>
      </c>
      <c r="V87" s="158">
        <f t="shared" si="83"/>
        <v>0</v>
      </c>
      <c r="W87" s="157">
        <f>VLOOKUP($A87,'Over Under Bill 1 COPY 到CO欄位'!$1:$1048576,'Over Under Bill 1 COPY 到CO欄位'!W$1,0)-VLOOKUP($A87,'Over Under Bill 1 COPY 到CO欄位'!$1:$1048576,'Over Under Bill 1 COPY 到CO欄位'!R$1,0)</f>
        <v>0</v>
      </c>
      <c r="X87" s="157">
        <f>VLOOKUP($A87,'Over Under Bill 1 COPY 到CO欄位'!$1:$1048576,'Over Under Bill 1 COPY 到CO欄位'!X$1,0)-VLOOKUP($A87,'Over Under Bill 1 COPY 到CO欄位'!$1:$1048576,'Over Under Bill 1 COPY 到CO欄位'!S$1,0)</f>
        <v>0</v>
      </c>
      <c r="Y87" s="157">
        <f t="shared" si="84"/>
        <v>0</v>
      </c>
      <c r="Z87" s="157">
        <f>VLOOKUP($A87,'Over Under Bill 1 COPY 到CO欄位'!$1:$1048576,'Over Under Bill 1 COPY 到CO欄位'!Z$1,0)-VLOOKUP($A87,'Over Under Bill 1 COPY 到CO欄位'!$1:$1048576,'Over Under Bill 1 COPY 到CO欄位'!U$1,0)</f>
        <v>0</v>
      </c>
      <c r="AA87" s="157">
        <f t="shared" si="85"/>
        <v>0</v>
      </c>
      <c r="AB87" s="158">
        <f>VLOOKUP($A87,'Over Under Bill 1 COPY 到CO欄位'!$1:$1048576,'Over Under Bill 1 COPY 到CO欄位'!AB$1,0)-VLOOKUP($A87,'Over Under Bill 1 COPY 到CO欄位'!$1:$1048576,'Over Under Bill 1 COPY 到CO欄位'!W$1,0)</f>
        <v>0</v>
      </c>
      <c r="AC87" s="158">
        <f>VLOOKUP($A87,'Over Under Bill 1 COPY 到CO欄位'!$1:$1048576,'Over Under Bill 1 COPY 到CO欄位'!AC$1,0)-VLOOKUP($A87,'Over Under Bill 1 COPY 到CO欄位'!$1:$1048576,'Over Under Bill 1 COPY 到CO欄位'!X$1,0)</f>
        <v>0</v>
      </c>
      <c r="AD87" s="158">
        <f t="shared" si="86"/>
        <v>0</v>
      </c>
      <c r="AE87" s="158">
        <f>VLOOKUP($A87,'Over Under Bill 1 COPY 到CO欄位'!$1:$1048576,'Over Under Bill 1 COPY 到CO欄位'!AE$1,0)-VLOOKUP($A87,'Over Under Bill 1 COPY 到CO欄位'!$1:$1048576,'Over Under Bill 1 COPY 到CO欄位'!Z$1,0)</f>
        <v>0</v>
      </c>
      <c r="AF87" s="158">
        <f t="shared" si="87"/>
        <v>0</v>
      </c>
      <c r="AG87" s="157">
        <f>VLOOKUP($A87,'Over Under Bill 1 COPY 到CO欄位'!$1:$1048576,'Over Under Bill 1 COPY 到CO欄位'!AG$1,0)-VLOOKUP($A87,'Over Under Bill 1 COPY 到CO欄位'!$1:$1048576,'Over Under Bill 1 COPY 到CO欄位'!AB$1,0)</f>
        <v>0</v>
      </c>
      <c r="AH87" s="157">
        <f>VLOOKUP($A87,'Over Under Bill 1 COPY 到CO欄位'!$1:$1048576,'Over Under Bill 1 COPY 到CO欄位'!AH$1,0)-VLOOKUP($A87,'Over Under Bill 1 COPY 到CO欄位'!$1:$1048576,'Over Under Bill 1 COPY 到CO欄位'!AC$1,0)</f>
        <v>0</v>
      </c>
      <c r="AI87" s="157">
        <f t="shared" si="88"/>
        <v>0</v>
      </c>
      <c r="AJ87" s="157">
        <f>VLOOKUP($A87,'Over Under Bill 1 COPY 到CO欄位'!$1:$1048576,'Over Under Bill 1 COPY 到CO欄位'!AJ$1,0)-VLOOKUP($A87,'Over Under Bill 1 COPY 到CO欄位'!$1:$1048576,'Over Under Bill 1 COPY 到CO欄位'!AE$1,0)</f>
        <v>0</v>
      </c>
      <c r="AK87" s="157">
        <f t="shared" si="89"/>
        <v>0</v>
      </c>
      <c r="AL87" s="158">
        <f>VLOOKUP($A87,'Over Under Bill 1 COPY 到CO欄位'!$1:$1048576,'Over Under Bill 1 COPY 到CO欄位'!AL$1,0)-VLOOKUP($A87,'Over Under Bill 1 COPY 到CO欄位'!$1:$1048576,'Over Under Bill 1 COPY 到CO欄位'!AG$1,0)</f>
        <v>0</v>
      </c>
      <c r="AM87" s="158">
        <f>VLOOKUP($A87,'Over Under Bill 1 COPY 到CO欄位'!$1:$1048576,'Over Under Bill 1 COPY 到CO欄位'!AM$1,0)-VLOOKUP($A87,'Over Under Bill 1 COPY 到CO欄位'!$1:$1048576,'Over Under Bill 1 COPY 到CO欄位'!AH$1,0)</f>
        <v>0</v>
      </c>
      <c r="AN87" s="158">
        <f t="shared" si="90"/>
        <v>0</v>
      </c>
      <c r="AO87" s="158">
        <f>VLOOKUP($A87,'Over Under Bill 1 COPY 到CO欄位'!$1:$1048576,'Over Under Bill 1 COPY 到CO欄位'!AO$1,0)-VLOOKUP($A87,'Over Under Bill 1 COPY 到CO欄位'!$1:$1048576,'Over Under Bill 1 COPY 到CO欄位'!AJ$1,0)</f>
        <v>0</v>
      </c>
      <c r="AP87" s="158">
        <f t="shared" si="91"/>
        <v>0</v>
      </c>
      <c r="AQ87" s="157">
        <f>VLOOKUP($A87,'Over Under Bill 1 COPY 到CO欄位'!$1:$1048576,'Over Under Bill 1 COPY 到CO欄位'!AQ$1,0)-VLOOKUP($A87,'Over Under Bill 1 COPY 到CO欄位'!$1:$1048576,'Over Under Bill 1 COPY 到CO欄位'!AL$1,0)</f>
        <v>0</v>
      </c>
      <c r="AR87" s="157">
        <f>VLOOKUP($A87,'Over Under Bill 1 COPY 到CO欄位'!$1:$1048576,'Over Under Bill 1 COPY 到CO欄位'!AR$1,0)-VLOOKUP($A87,'Over Under Bill 1 COPY 到CO欄位'!$1:$1048576,'Over Under Bill 1 COPY 到CO欄位'!AM$1,0)</f>
        <v>0</v>
      </c>
      <c r="AS87" s="157">
        <f t="shared" si="92"/>
        <v>0</v>
      </c>
      <c r="AT87" s="157">
        <f>VLOOKUP($A87,'Over Under Bill 1 COPY 到CO欄位'!$1:$1048576,'Over Under Bill 1 COPY 到CO欄位'!AT$1,0)-VLOOKUP($A87,'Over Under Bill 1 COPY 到CO欄位'!$1:$1048576,'Over Under Bill 1 COPY 到CO欄位'!AO$1,0)</f>
        <v>0</v>
      </c>
      <c r="AU87" s="157">
        <f t="shared" si="93"/>
        <v>0</v>
      </c>
      <c r="AV87" s="158">
        <f>VLOOKUP($A87,'Over Under Bill 1 COPY 到CO欄位'!$1:$1048576,'Over Under Bill 1 COPY 到CO欄位'!AV$1,0)-VLOOKUP($A87,'Over Under Bill 1 COPY 到CO欄位'!$1:$1048576,'Over Under Bill 1 COPY 到CO欄位'!AQ$1,0)</f>
        <v>0</v>
      </c>
      <c r="AW87" s="158">
        <f>VLOOKUP($A87,'Over Under Bill 1 COPY 到CO欄位'!$1:$1048576,'Over Under Bill 1 COPY 到CO欄位'!AW$1,0)-VLOOKUP($A87,'Over Under Bill 1 COPY 到CO欄位'!$1:$1048576,'Over Under Bill 1 COPY 到CO欄位'!AR$1,0)</f>
        <v>0</v>
      </c>
      <c r="AX87" s="158">
        <f t="shared" si="94"/>
        <v>0</v>
      </c>
      <c r="AY87" s="158">
        <f>VLOOKUP($A87,'Over Under Bill 1 COPY 到CO欄位'!$1:$1048576,'Over Under Bill 1 COPY 到CO欄位'!AY$1,0)-VLOOKUP($A87,'Over Under Bill 1 COPY 到CO欄位'!$1:$1048576,'Over Under Bill 1 COPY 到CO欄位'!AT$1,0)</f>
        <v>0</v>
      </c>
      <c r="AZ87" s="158">
        <f t="shared" si="95"/>
        <v>0</v>
      </c>
      <c r="BA87" s="157">
        <f>VLOOKUP($A87,'Over Under Bill 1 COPY 到CO欄位'!$1:$1048576,'Over Under Bill 1 COPY 到CO欄位'!BA$1,0)-VLOOKUP($A87,'Over Under Bill 1 COPY 到CO欄位'!$1:$1048576,'Over Under Bill 1 COPY 到CO欄位'!AV$1,0)</f>
        <v>0</v>
      </c>
      <c r="BB87" s="157">
        <f>VLOOKUP($A87,'Over Under Bill 1 COPY 到CO欄位'!$1:$1048576,'Over Under Bill 1 COPY 到CO欄位'!BB$1,0)-VLOOKUP($A87,'Over Under Bill 1 COPY 到CO欄位'!$1:$1048576,'Over Under Bill 1 COPY 到CO欄位'!AW$1,0)</f>
        <v>0</v>
      </c>
      <c r="BC87" s="157">
        <f t="shared" si="96"/>
        <v>0</v>
      </c>
      <c r="BD87" s="157">
        <f>VLOOKUP($A87,'Over Under Bill 1 COPY 到CO欄位'!$1:$1048576,'Over Under Bill 1 COPY 到CO欄位'!BD$1,0)-VLOOKUP($A87,'Over Under Bill 1 COPY 到CO欄位'!$1:$1048576,'Over Under Bill 1 COPY 到CO欄位'!AY$1,0)</f>
        <v>0</v>
      </c>
      <c r="BE87" s="157">
        <f t="shared" si="97"/>
        <v>0</v>
      </c>
      <c r="BF87" s="158">
        <f>VLOOKUP($A87,'Over Under Bill 1 COPY 到CO欄位'!$1:$1048576,'Over Under Bill 1 COPY 到CO欄位'!BF$1,0)-VLOOKUP($A87,'Over Under Bill 1 COPY 到CO欄位'!$1:$1048576,'Over Under Bill 1 COPY 到CO欄位'!BA$1,0)</f>
        <v>0</v>
      </c>
      <c r="BG87" s="158">
        <f>VLOOKUP($A87,'Over Under Bill 1 COPY 到CO欄位'!$1:$1048576,'Over Under Bill 1 COPY 到CO欄位'!BG$1,0)-VLOOKUP($A87,'Over Under Bill 1 COPY 到CO欄位'!$1:$1048576,'Over Under Bill 1 COPY 到CO欄位'!BB$1,0)</f>
        <v>0</v>
      </c>
      <c r="BH87" s="158">
        <f t="shared" si="98"/>
        <v>0</v>
      </c>
      <c r="BI87" s="158">
        <f>VLOOKUP($A87,'Over Under Bill 1 COPY 到CO欄位'!$1:$1048576,'Over Under Bill 1 COPY 到CO欄位'!BI$1,0)-VLOOKUP($A87,'Over Under Bill 1 COPY 到CO欄位'!$1:$1048576,'Over Under Bill 1 COPY 到CO欄位'!BD$1,0)</f>
        <v>0</v>
      </c>
      <c r="BJ87" s="158">
        <f t="shared" si="99"/>
        <v>0</v>
      </c>
      <c r="BK87" s="157">
        <f>VLOOKUP($A87,'Over Under Bill 1 COPY 到CO欄位'!$1:$1048576,'Over Under Bill 1 COPY 到CO欄位'!BK$1,0)-VLOOKUP($A87,'Over Under Bill 1 COPY 到CO欄位'!$1:$1048576,'Over Under Bill 1 COPY 到CO欄位'!BF$1,0)</f>
        <v>0</v>
      </c>
      <c r="BL87" s="157">
        <f>VLOOKUP($A87,'Over Under Bill 1 COPY 到CO欄位'!$1:$1048576,'Over Under Bill 1 COPY 到CO欄位'!BL$1,0)-VLOOKUP($A87,'Over Under Bill 1 COPY 到CO欄位'!$1:$1048576,'Over Under Bill 1 COPY 到CO欄位'!BG$1,0)</f>
        <v>0</v>
      </c>
      <c r="BM87" s="157">
        <f t="shared" si="100"/>
        <v>0</v>
      </c>
      <c r="BN87" s="157">
        <f>VLOOKUP($A87,'Over Under Bill 1 COPY 到CO欄位'!$1:$1048576,'Over Under Bill 1 COPY 到CO欄位'!BN$1,0)-VLOOKUP($A87,'Over Under Bill 1 COPY 到CO欄位'!$1:$1048576,'Over Under Bill 1 COPY 到CO欄位'!BI$1,0)</f>
        <v>0</v>
      </c>
      <c r="BO87" s="157">
        <f t="shared" si="101"/>
        <v>0</v>
      </c>
      <c r="BP87" s="158">
        <f>VLOOKUP($A87,'Over Under Bill 1 COPY 到CO欄位'!$1:$1048576,'Over Under Bill 1 COPY 到CO欄位'!BP$1,0)-VLOOKUP($A87,'Over Under Bill 1 COPY 到CO欄位'!$1:$1048576,'Over Under Bill 1 COPY 到CO欄位'!BK$1,0)</f>
        <v>0</v>
      </c>
      <c r="BQ87" s="158">
        <f>VLOOKUP($A87,'Over Under Bill 1 COPY 到CO欄位'!$1:$1048576,'Over Under Bill 1 COPY 到CO欄位'!BQ$1,0)-VLOOKUP($A87,'Over Under Bill 1 COPY 到CO欄位'!$1:$1048576,'Over Under Bill 1 COPY 到CO欄位'!BL$1,0)</f>
        <v>0</v>
      </c>
      <c r="BR87" s="158">
        <f t="shared" si="102"/>
        <v>0</v>
      </c>
      <c r="BS87" s="158">
        <f>VLOOKUP($A87,'Over Under Bill 1 COPY 到CO欄位'!$1:$1048576,'Over Under Bill 1 COPY 到CO欄位'!BS$1,0)-VLOOKUP($A87,'Over Under Bill 1 COPY 到CO欄位'!$1:$1048576,'Over Under Bill 1 COPY 到CO欄位'!BN$1,0)</f>
        <v>0</v>
      </c>
      <c r="BT87" s="158">
        <f t="shared" si="103"/>
        <v>0</v>
      </c>
      <c r="BU87" s="157">
        <f>VLOOKUP($A87,'Over Under Bill 1 COPY 到CO欄位'!$1:$1048576,'Over Under Bill 1 COPY 到CO欄位'!BP$1,0)-VLOOKUP($A87,'Over Under Bill 1 COPY 到CO欄位'!$1:$1048576,'Over Under Bill 1 COPY 到CO欄位'!H$1,0)</f>
        <v>0</v>
      </c>
      <c r="BV87" s="157">
        <f>VLOOKUP($A87,'Over Under Bill 1 COPY 到CO欄位'!$1:$1048576,'Over Under Bill 1 COPY 到CO欄位'!BQ$1,0)-VLOOKUP($A87,'Over Under Bill 1 COPY 到CO欄位'!$1:$1048576,'Over Under Bill 1 COPY 到CO欄位'!I$1,0)</f>
        <v>0</v>
      </c>
      <c r="BW87" s="157">
        <f t="shared" si="104"/>
        <v>0</v>
      </c>
      <c r="BX87" s="157">
        <f>VLOOKUP($A87,'Over Under Bill 1 COPY 到CO欄位'!$1:$1048576,'Over Under Bill 1 COPY 到CO欄位'!BS$1,0)-VLOOKUP($A87,'Over Under Bill 1 COPY 到CO欄位'!$1:$1048576,'Over Under Bill 1 COPY 到CO欄位'!K$1,0)</f>
        <v>0</v>
      </c>
      <c r="BY87" s="157">
        <f t="shared" si="105"/>
        <v>0</v>
      </c>
      <c r="BZ87" s="158">
        <f>VLOOKUP($A87,'Over Under Bill 1 COPY 到CO欄位'!$1:$1048576,'Over Under Bill 1 COPY 到CO欄位'!BU$1,0)-VLOOKUP($A87,'Over Under Bill 1 COPY 到CO欄位'!$1:$1048576,'Over Under Bill 1 COPY 到CO欄位'!BP$1,0)</f>
        <v>0</v>
      </c>
      <c r="CA87" s="158">
        <f>VLOOKUP($A87,'Over Under Bill 1 COPY 到CO欄位'!$1:$1048576,'Over Under Bill 1 COPY 到CO欄位'!BV$1,0)-VLOOKUP($A87,'Over Under Bill 1 COPY 到CO欄位'!$1:$1048576,'Over Under Bill 1 COPY 到CO欄位'!BQ$1,0)</f>
        <v>0</v>
      </c>
      <c r="CB87" s="158">
        <f t="shared" si="106"/>
        <v>0</v>
      </c>
      <c r="CC87" s="158">
        <f>VLOOKUP($A87,'Over Under Bill 1 COPY 到CO欄位'!$1:$1048576,'Over Under Bill 1 COPY 到CO欄位'!BX$1,0)-VLOOKUP($A87,'Over Under Bill 1 COPY 到CO欄位'!$1:$1048576,'Over Under Bill 1 COPY 到CO欄位'!BS$1,0)</f>
        <v>0</v>
      </c>
      <c r="CD87" s="158">
        <f t="shared" si="107"/>
        <v>0</v>
      </c>
      <c r="CE87" s="157">
        <f>VLOOKUP($A87,'Over Under Bill 1 COPY 到CO欄位'!$1:$1048576,'Over Under Bill 1 COPY 到CO欄位'!BZ$1,0)-VLOOKUP($A87,'Over Under Bill 1 COPY 到CO欄位'!$1:$1048576,'Over Under Bill 1 COPY 到CO欄位'!BU$1,0)</f>
        <v>0</v>
      </c>
      <c r="CF87" s="157">
        <f>VLOOKUP($A87,'Over Under Bill 1 COPY 到CO欄位'!$1:$1048576,'Over Under Bill 1 COPY 到CO欄位'!CA$1,0)-VLOOKUP($A87,'Over Under Bill 1 COPY 到CO欄位'!$1:$1048576,'Over Under Bill 1 COPY 到CO欄位'!BV$1,0)</f>
        <v>0</v>
      </c>
      <c r="CG87" s="157">
        <f t="shared" si="108"/>
        <v>0</v>
      </c>
      <c r="CH87" s="157">
        <f>VLOOKUP($A87,'Over Under Bill 1 COPY 到CO欄位'!$1:$1048576,'Over Under Bill 1 COPY 到CO欄位'!CC$1,0)-VLOOKUP($A87,'Over Under Bill 1 COPY 到CO欄位'!$1:$1048576,'Over Under Bill 1 COPY 到CO欄位'!BX$1,0)</f>
        <v>0</v>
      </c>
      <c r="CI87" s="157">
        <f t="shared" si="109"/>
        <v>0</v>
      </c>
      <c r="CJ87" s="158">
        <f>VLOOKUP($A87,'Over Under Bill 1 COPY 到CO欄位'!$1:$1048576,'Over Under Bill 1 COPY 到CO欄位'!CE$1,0)-VLOOKUP($A87,'Over Under Bill 1 COPY 到CO欄位'!$1:$1048576,'Over Under Bill 1 COPY 到CO欄位'!BZ$1,0)</f>
        <v>0</v>
      </c>
      <c r="CK87" s="158">
        <f>VLOOKUP($A87,'Over Under Bill 1 COPY 到CO欄位'!$1:$1048576,'Over Under Bill 1 COPY 到CO欄位'!CF$1,0)-VLOOKUP($A87,'Over Under Bill 1 COPY 到CO欄位'!$1:$1048576,'Over Under Bill 1 COPY 到CO欄位'!CA$1,0)</f>
        <v>0</v>
      </c>
      <c r="CL87" s="158">
        <f t="shared" si="110"/>
        <v>0</v>
      </c>
      <c r="CM87" s="158">
        <f>VLOOKUP($A87,'Over Under Bill 1 COPY 到CO欄位'!$1:$1048576,'Over Under Bill 1 COPY 到CO欄位'!CH$1,0)-VLOOKUP($A87,'Over Under Bill 1 COPY 到CO欄位'!$1:$1048576,'Over Under Bill 1 COPY 到CO欄位'!CC$1,0)</f>
        <v>0</v>
      </c>
      <c r="CN87" s="158">
        <f t="shared" si="111"/>
        <v>0</v>
      </c>
      <c r="CO87" s="157">
        <f>VLOOKUP($A87,'Over Under Bill 1 COPY 到CO欄位'!$1:$1048576,'Over Under Bill 1 COPY 到CO欄位'!CJ$1,0)-VLOOKUP($A87,'Over Under Bill 1 COPY 到CO欄位'!$1:$1048576,'Over Under Bill 1 COPY 到CO欄位'!CE$1,0)</f>
        <v>0</v>
      </c>
      <c r="CP87" s="157">
        <f>VLOOKUP($A87,'Over Under Bill 1 COPY 到CO欄位'!$1:$1048576,'Over Under Bill 1 COPY 到CO欄位'!CK$1,0)-VLOOKUP($A87,'Over Under Bill 1 COPY 到CO欄位'!$1:$1048576,'Over Under Bill 1 COPY 到CO欄位'!CF$1,0)</f>
        <v>0</v>
      </c>
      <c r="CQ87" s="157">
        <f t="shared" si="112"/>
        <v>0</v>
      </c>
      <c r="CR87" s="157">
        <f>VLOOKUP($A87,'Over Under Bill 1 COPY 到CO欄位'!$1:$1048576,'Over Under Bill 1 COPY 到CO欄位'!CM$1,0)-VLOOKUP($A87,'Over Under Bill 1 COPY 到CO欄位'!$1:$1048576,'Over Under Bill 1 COPY 到CO欄位'!CH$1,0)</f>
        <v>0</v>
      </c>
      <c r="CS87" s="157">
        <f t="shared" si="113"/>
        <v>0</v>
      </c>
    </row>
    <row r="88" spans="1:97">
      <c r="A88" s="179" t="s">
        <v>465</v>
      </c>
      <c r="B88" s="172" t="s">
        <v>466</v>
      </c>
      <c r="C88" s="157">
        <f>IFERROR(VLOOKUP($A88,'A0 BS 1240在建'!$1:$1048576,5,0),0)</f>
        <v>0</v>
      </c>
      <c r="D88" s="157">
        <f>IFERROR(VLOOKUP($A88,'B0 2264預收'!$1:$1048576,5,0),0)</f>
        <v>0</v>
      </c>
      <c r="E88" s="157">
        <f t="shared" si="76"/>
        <v>0</v>
      </c>
      <c r="F88" s="157">
        <f>IFERROR(VLOOKUP($A88,'B0 2264預收'!$1:$1048576,6,0),0)</f>
        <v>0</v>
      </c>
      <c r="G88" s="157">
        <f t="shared" si="77"/>
        <v>0</v>
      </c>
      <c r="H88" s="158">
        <f>IFERROR(VLOOKUP($A88,'A0 BS 1240在建'!$1:$1048576,13,0),0)-C88</f>
        <v>0</v>
      </c>
      <c r="I88" s="158">
        <f>IFERROR(VLOOKUP($A88,'B0 2264預收'!$1:$1048576,13,0),0)-D88</f>
        <v>0</v>
      </c>
      <c r="J88" s="158">
        <f t="shared" si="78"/>
        <v>0</v>
      </c>
      <c r="K88" s="158">
        <f>IFERROR(VLOOKUP($A88,'B0 2264預收'!$1:$1048576,14,0),0)-F88</f>
        <v>0</v>
      </c>
      <c r="L88" s="158">
        <f t="shared" si="79"/>
        <v>0</v>
      </c>
      <c r="M88" s="157">
        <f>VLOOKUP($A88,'Over Under Bill 1 COPY 到CO欄位'!$1:$1048576,'Over Under Bill 1 COPY 到CO欄位'!M$1,0)-VLOOKUP($A88,'Over Under Bill 1 COPY 到CO欄位'!$1:$1048576,'Over Under Bill 1 COPY 到CO欄位'!H$1,0)</f>
        <v>0</v>
      </c>
      <c r="N88" s="157">
        <f>VLOOKUP($A88,'Over Under Bill 1 COPY 到CO欄位'!$1:$1048576,'Over Under Bill 1 COPY 到CO欄位'!N$1,0)-VLOOKUP($A88,'Over Under Bill 1 COPY 到CO欄位'!$1:$1048576,'Over Under Bill 1 COPY 到CO欄位'!I$1,0)</f>
        <v>0</v>
      </c>
      <c r="O88" s="157">
        <f t="shared" si="80"/>
        <v>0</v>
      </c>
      <c r="P88" s="157">
        <f>VLOOKUP($A88,'Over Under Bill 1 COPY 到CO欄位'!$1:$1048576,'Over Under Bill 1 COPY 到CO欄位'!P$1,0)-VLOOKUP($A88,'Over Under Bill 1 COPY 到CO欄位'!$1:$1048576,'Over Under Bill 1 COPY 到CO欄位'!K$1,0)</f>
        <v>0</v>
      </c>
      <c r="Q88" s="157">
        <f t="shared" si="81"/>
        <v>0</v>
      </c>
      <c r="R88" s="158">
        <f>VLOOKUP($A88,'Over Under Bill 1 COPY 到CO欄位'!$1:$1048576,'Over Under Bill 1 COPY 到CO欄位'!R$1,0)-VLOOKUP($A88,'Over Under Bill 1 COPY 到CO欄位'!$1:$1048576,'Over Under Bill 1 COPY 到CO欄位'!M$1,0)</f>
        <v>0</v>
      </c>
      <c r="S88" s="158">
        <f>VLOOKUP($A88,'Over Under Bill 1 COPY 到CO欄位'!$1:$1048576,'Over Under Bill 1 COPY 到CO欄位'!S$1,0)-VLOOKUP($A88,'Over Under Bill 1 COPY 到CO欄位'!$1:$1048576,'Over Under Bill 1 COPY 到CO欄位'!N$1,0)</f>
        <v>0</v>
      </c>
      <c r="T88" s="158">
        <f t="shared" si="82"/>
        <v>0</v>
      </c>
      <c r="U88" s="158">
        <f>VLOOKUP($A88,'Over Under Bill 1 COPY 到CO欄位'!$1:$1048576,'Over Under Bill 1 COPY 到CO欄位'!U$1,0)-VLOOKUP($A88,'Over Under Bill 1 COPY 到CO欄位'!$1:$1048576,'Over Under Bill 1 COPY 到CO欄位'!P$1,0)</f>
        <v>0</v>
      </c>
      <c r="V88" s="158">
        <f t="shared" si="83"/>
        <v>0</v>
      </c>
      <c r="W88" s="157">
        <f>VLOOKUP($A88,'Over Under Bill 1 COPY 到CO欄位'!$1:$1048576,'Over Under Bill 1 COPY 到CO欄位'!W$1,0)-VLOOKUP($A88,'Over Under Bill 1 COPY 到CO欄位'!$1:$1048576,'Over Under Bill 1 COPY 到CO欄位'!R$1,0)</f>
        <v>0</v>
      </c>
      <c r="X88" s="157">
        <f>VLOOKUP($A88,'Over Under Bill 1 COPY 到CO欄位'!$1:$1048576,'Over Under Bill 1 COPY 到CO欄位'!X$1,0)-VLOOKUP($A88,'Over Under Bill 1 COPY 到CO欄位'!$1:$1048576,'Over Under Bill 1 COPY 到CO欄位'!S$1,0)</f>
        <v>0</v>
      </c>
      <c r="Y88" s="157">
        <f t="shared" si="84"/>
        <v>0</v>
      </c>
      <c r="Z88" s="157">
        <f>VLOOKUP($A88,'Over Under Bill 1 COPY 到CO欄位'!$1:$1048576,'Over Under Bill 1 COPY 到CO欄位'!Z$1,0)-VLOOKUP($A88,'Over Under Bill 1 COPY 到CO欄位'!$1:$1048576,'Over Under Bill 1 COPY 到CO欄位'!U$1,0)</f>
        <v>0</v>
      </c>
      <c r="AA88" s="157">
        <f t="shared" si="85"/>
        <v>0</v>
      </c>
      <c r="AB88" s="158">
        <f>VLOOKUP($A88,'Over Under Bill 1 COPY 到CO欄位'!$1:$1048576,'Over Under Bill 1 COPY 到CO欄位'!AB$1,0)-VLOOKUP($A88,'Over Under Bill 1 COPY 到CO欄位'!$1:$1048576,'Over Under Bill 1 COPY 到CO欄位'!W$1,0)</f>
        <v>0</v>
      </c>
      <c r="AC88" s="158">
        <f>VLOOKUP($A88,'Over Under Bill 1 COPY 到CO欄位'!$1:$1048576,'Over Under Bill 1 COPY 到CO欄位'!AC$1,0)-VLOOKUP($A88,'Over Under Bill 1 COPY 到CO欄位'!$1:$1048576,'Over Under Bill 1 COPY 到CO欄位'!X$1,0)</f>
        <v>0</v>
      </c>
      <c r="AD88" s="158">
        <f t="shared" si="86"/>
        <v>0</v>
      </c>
      <c r="AE88" s="158">
        <f>VLOOKUP($A88,'Over Under Bill 1 COPY 到CO欄位'!$1:$1048576,'Over Under Bill 1 COPY 到CO欄位'!AE$1,0)-VLOOKUP($A88,'Over Under Bill 1 COPY 到CO欄位'!$1:$1048576,'Over Under Bill 1 COPY 到CO欄位'!Z$1,0)</f>
        <v>0</v>
      </c>
      <c r="AF88" s="158">
        <f t="shared" si="87"/>
        <v>0</v>
      </c>
      <c r="AG88" s="157">
        <f>VLOOKUP($A88,'Over Under Bill 1 COPY 到CO欄位'!$1:$1048576,'Over Under Bill 1 COPY 到CO欄位'!AG$1,0)-VLOOKUP($A88,'Over Under Bill 1 COPY 到CO欄位'!$1:$1048576,'Over Under Bill 1 COPY 到CO欄位'!AB$1,0)</f>
        <v>0</v>
      </c>
      <c r="AH88" s="157">
        <f>VLOOKUP($A88,'Over Under Bill 1 COPY 到CO欄位'!$1:$1048576,'Over Under Bill 1 COPY 到CO欄位'!AH$1,0)-VLOOKUP($A88,'Over Under Bill 1 COPY 到CO欄位'!$1:$1048576,'Over Under Bill 1 COPY 到CO欄位'!AC$1,0)</f>
        <v>0</v>
      </c>
      <c r="AI88" s="157">
        <f t="shared" si="88"/>
        <v>0</v>
      </c>
      <c r="AJ88" s="157">
        <f>VLOOKUP($A88,'Over Under Bill 1 COPY 到CO欄位'!$1:$1048576,'Over Under Bill 1 COPY 到CO欄位'!AJ$1,0)-VLOOKUP($A88,'Over Under Bill 1 COPY 到CO欄位'!$1:$1048576,'Over Under Bill 1 COPY 到CO欄位'!AE$1,0)</f>
        <v>0</v>
      </c>
      <c r="AK88" s="157">
        <f t="shared" si="89"/>
        <v>0</v>
      </c>
      <c r="AL88" s="158">
        <f>VLOOKUP($A88,'Over Under Bill 1 COPY 到CO欄位'!$1:$1048576,'Over Under Bill 1 COPY 到CO欄位'!AL$1,0)-VLOOKUP($A88,'Over Under Bill 1 COPY 到CO欄位'!$1:$1048576,'Over Under Bill 1 COPY 到CO欄位'!AG$1,0)</f>
        <v>0</v>
      </c>
      <c r="AM88" s="158">
        <f>VLOOKUP($A88,'Over Under Bill 1 COPY 到CO欄位'!$1:$1048576,'Over Under Bill 1 COPY 到CO欄位'!AM$1,0)-VLOOKUP($A88,'Over Under Bill 1 COPY 到CO欄位'!$1:$1048576,'Over Under Bill 1 COPY 到CO欄位'!AH$1,0)</f>
        <v>0</v>
      </c>
      <c r="AN88" s="158">
        <f t="shared" si="90"/>
        <v>0</v>
      </c>
      <c r="AO88" s="158">
        <f>VLOOKUP($A88,'Over Under Bill 1 COPY 到CO欄位'!$1:$1048576,'Over Under Bill 1 COPY 到CO欄位'!AO$1,0)-VLOOKUP($A88,'Over Under Bill 1 COPY 到CO欄位'!$1:$1048576,'Over Under Bill 1 COPY 到CO欄位'!AJ$1,0)</f>
        <v>0</v>
      </c>
      <c r="AP88" s="158">
        <f t="shared" si="91"/>
        <v>0</v>
      </c>
      <c r="AQ88" s="157">
        <f>VLOOKUP($A88,'Over Under Bill 1 COPY 到CO欄位'!$1:$1048576,'Over Under Bill 1 COPY 到CO欄位'!AQ$1,0)-VLOOKUP($A88,'Over Under Bill 1 COPY 到CO欄位'!$1:$1048576,'Over Under Bill 1 COPY 到CO欄位'!AL$1,0)</f>
        <v>0</v>
      </c>
      <c r="AR88" s="157">
        <f>VLOOKUP($A88,'Over Under Bill 1 COPY 到CO欄位'!$1:$1048576,'Over Under Bill 1 COPY 到CO欄位'!AR$1,0)-VLOOKUP($A88,'Over Under Bill 1 COPY 到CO欄位'!$1:$1048576,'Over Under Bill 1 COPY 到CO欄位'!AM$1,0)</f>
        <v>0</v>
      </c>
      <c r="AS88" s="157">
        <f t="shared" si="92"/>
        <v>0</v>
      </c>
      <c r="AT88" s="157">
        <f>VLOOKUP($A88,'Over Under Bill 1 COPY 到CO欄位'!$1:$1048576,'Over Under Bill 1 COPY 到CO欄位'!AT$1,0)-VLOOKUP($A88,'Over Under Bill 1 COPY 到CO欄位'!$1:$1048576,'Over Under Bill 1 COPY 到CO欄位'!AO$1,0)</f>
        <v>0</v>
      </c>
      <c r="AU88" s="157">
        <f t="shared" si="93"/>
        <v>0</v>
      </c>
      <c r="AV88" s="158">
        <f>VLOOKUP($A88,'Over Under Bill 1 COPY 到CO欄位'!$1:$1048576,'Over Under Bill 1 COPY 到CO欄位'!AV$1,0)-VLOOKUP($A88,'Over Under Bill 1 COPY 到CO欄位'!$1:$1048576,'Over Under Bill 1 COPY 到CO欄位'!AQ$1,0)</f>
        <v>0</v>
      </c>
      <c r="AW88" s="158">
        <f>VLOOKUP($A88,'Over Under Bill 1 COPY 到CO欄位'!$1:$1048576,'Over Under Bill 1 COPY 到CO欄位'!AW$1,0)-VLOOKUP($A88,'Over Under Bill 1 COPY 到CO欄位'!$1:$1048576,'Over Under Bill 1 COPY 到CO欄位'!AR$1,0)</f>
        <v>0</v>
      </c>
      <c r="AX88" s="158">
        <f t="shared" si="94"/>
        <v>0</v>
      </c>
      <c r="AY88" s="158">
        <f>VLOOKUP($A88,'Over Under Bill 1 COPY 到CO欄位'!$1:$1048576,'Over Under Bill 1 COPY 到CO欄位'!AY$1,0)-VLOOKUP($A88,'Over Under Bill 1 COPY 到CO欄位'!$1:$1048576,'Over Under Bill 1 COPY 到CO欄位'!AT$1,0)</f>
        <v>0</v>
      </c>
      <c r="AZ88" s="158">
        <f t="shared" si="95"/>
        <v>0</v>
      </c>
      <c r="BA88" s="157">
        <f>VLOOKUP($A88,'Over Under Bill 1 COPY 到CO欄位'!$1:$1048576,'Over Under Bill 1 COPY 到CO欄位'!BA$1,0)-VLOOKUP($A88,'Over Under Bill 1 COPY 到CO欄位'!$1:$1048576,'Over Under Bill 1 COPY 到CO欄位'!AV$1,0)</f>
        <v>0</v>
      </c>
      <c r="BB88" s="157">
        <f>VLOOKUP($A88,'Over Under Bill 1 COPY 到CO欄位'!$1:$1048576,'Over Under Bill 1 COPY 到CO欄位'!BB$1,0)-VLOOKUP($A88,'Over Under Bill 1 COPY 到CO欄位'!$1:$1048576,'Over Under Bill 1 COPY 到CO欄位'!AW$1,0)</f>
        <v>0</v>
      </c>
      <c r="BC88" s="157">
        <f t="shared" si="96"/>
        <v>0</v>
      </c>
      <c r="BD88" s="157">
        <f>VLOOKUP($A88,'Over Under Bill 1 COPY 到CO欄位'!$1:$1048576,'Over Under Bill 1 COPY 到CO欄位'!BD$1,0)-VLOOKUP($A88,'Over Under Bill 1 COPY 到CO欄位'!$1:$1048576,'Over Under Bill 1 COPY 到CO欄位'!AY$1,0)</f>
        <v>0</v>
      </c>
      <c r="BE88" s="157">
        <f t="shared" si="97"/>
        <v>0</v>
      </c>
      <c r="BF88" s="158">
        <f>VLOOKUP($A88,'Over Under Bill 1 COPY 到CO欄位'!$1:$1048576,'Over Under Bill 1 COPY 到CO欄位'!BF$1,0)-VLOOKUP($A88,'Over Under Bill 1 COPY 到CO欄位'!$1:$1048576,'Over Under Bill 1 COPY 到CO欄位'!BA$1,0)</f>
        <v>0</v>
      </c>
      <c r="BG88" s="158">
        <f>VLOOKUP($A88,'Over Under Bill 1 COPY 到CO欄位'!$1:$1048576,'Over Under Bill 1 COPY 到CO欄位'!BG$1,0)-VLOOKUP($A88,'Over Under Bill 1 COPY 到CO欄位'!$1:$1048576,'Over Under Bill 1 COPY 到CO欄位'!BB$1,0)</f>
        <v>0</v>
      </c>
      <c r="BH88" s="158">
        <f t="shared" si="98"/>
        <v>0</v>
      </c>
      <c r="BI88" s="158">
        <f>VLOOKUP($A88,'Over Under Bill 1 COPY 到CO欄位'!$1:$1048576,'Over Under Bill 1 COPY 到CO欄位'!BI$1,0)-VLOOKUP($A88,'Over Under Bill 1 COPY 到CO欄位'!$1:$1048576,'Over Under Bill 1 COPY 到CO欄位'!BD$1,0)</f>
        <v>0</v>
      </c>
      <c r="BJ88" s="158">
        <f t="shared" si="99"/>
        <v>0</v>
      </c>
      <c r="BK88" s="157">
        <f>VLOOKUP($A88,'Over Under Bill 1 COPY 到CO欄位'!$1:$1048576,'Over Under Bill 1 COPY 到CO欄位'!BK$1,0)-VLOOKUP($A88,'Over Under Bill 1 COPY 到CO欄位'!$1:$1048576,'Over Under Bill 1 COPY 到CO欄位'!BF$1,0)</f>
        <v>0</v>
      </c>
      <c r="BL88" s="157">
        <f>VLOOKUP($A88,'Over Under Bill 1 COPY 到CO欄位'!$1:$1048576,'Over Under Bill 1 COPY 到CO欄位'!BL$1,0)-VLOOKUP($A88,'Over Under Bill 1 COPY 到CO欄位'!$1:$1048576,'Over Under Bill 1 COPY 到CO欄位'!BG$1,0)</f>
        <v>0</v>
      </c>
      <c r="BM88" s="157">
        <f t="shared" si="100"/>
        <v>0</v>
      </c>
      <c r="BN88" s="157">
        <f>VLOOKUP($A88,'Over Under Bill 1 COPY 到CO欄位'!$1:$1048576,'Over Under Bill 1 COPY 到CO欄位'!BN$1,0)-VLOOKUP($A88,'Over Under Bill 1 COPY 到CO欄位'!$1:$1048576,'Over Under Bill 1 COPY 到CO欄位'!BI$1,0)</f>
        <v>0</v>
      </c>
      <c r="BO88" s="157">
        <f t="shared" si="101"/>
        <v>0</v>
      </c>
      <c r="BP88" s="158">
        <f>VLOOKUP($A88,'Over Under Bill 1 COPY 到CO欄位'!$1:$1048576,'Over Under Bill 1 COPY 到CO欄位'!BP$1,0)-VLOOKUP($A88,'Over Under Bill 1 COPY 到CO欄位'!$1:$1048576,'Over Under Bill 1 COPY 到CO欄位'!BK$1,0)</f>
        <v>0</v>
      </c>
      <c r="BQ88" s="158">
        <f>VLOOKUP($A88,'Over Under Bill 1 COPY 到CO欄位'!$1:$1048576,'Over Under Bill 1 COPY 到CO欄位'!BQ$1,0)-VLOOKUP($A88,'Over Under Bill 1 COPY 到CO欄位'!$1:$1048576,'Over Under Bill 1 COPY 到CO欄位'!BL$1,0)</f>
        <v>0</v>
      </c>
      <c r="BR88" s="158">
        <f t="shared" si="102"/>
        <v>0</v>
      </c>
      <c r="BS88" s="158">
        <f>VLOOKUP($A88,'Over Under Bill 1 COPY 到CO欄位'!$1:$1048576,'Over Under Bill 1 COPY 到CO欄位'!BS$1,0)-VLOOKUP($A88,'Over Under Bill 1 COPY 到CO欄位'!$1:$1048576,'Over Under Bill 1 COPY 到CO欄位'!BN$1,0)</f>
        <v>0</v>
      </c>
      <c r="BT88" s="158">
        <f t="shared" si="103"/>
        <v>0</v>
      </c>
      <c r="BU88" s="157">
        <f>VLOOKUP($A88,'Over Under Bill 1 COPY 到CO欄位'!$1:$1048576,'Over Under Bill 1 COPY 到CO欄位'!BP$1,0)-VLOOKUP($A88,'Over Under Bill 1 COPY 到CO欄位'!$1:$1048576,'Over Under Bill 1 COPY 到CO欄位'!H$1,0)</f>
        <v>0</v>
      </c>
      <c r="BV88" s="157">
        <f>VLOOKUP($A88,'Over Under Bill 1 COPY 到CO欄位'!$1:$1048576,'Over Under Bill 1 COPY 到CO欄位'!BQ$1,0)-VLOOKUP($A88,'Over Under Bill 1 COPY 到CO欄位'!$1:$1048576,'Over Under Bill 1 COPY 到CO欄位'!I$1,0)</f>
        <v>0</v>
      </c>
      <c r="BW88" s="157">
        <f t="shared" si="104"/>
        <v>0</v>
      </c>
      <c r="BX88" s="157">
        <f>VLOOKUP($A88,'Over Under Bill 1 COPY 到CO欄位'!$1:$1048576,'Over Under Bill 1 COPY 到CO欄位'!BS$1,0)-VLOOKUP($A88,'Over Under Bill 1 COPY 到CO欄位'!$1:$1048576,'Over Under Bill 1 COPY 到CO欄位'!K$1,0)</f>
        <v>0</v>
      </c>
      <c r="BY88" s="157">
        <f t="shared" si="105"/>
        <v>0</v>
      </c>
      <c r="BZ88" s="158">
        <f>VLOOKUP($A88,'Over Under Bill 1 COPY 到CO欄位'!$1:$1048576,'Over Under Bill 1 COPY 到CO欄位'!BU$1,0)-VLOOKUP($A88,'Over Under Bill 1 COPY 到CO欄位'!$1:$1048576,'Over Under Bill 1 COPY 到CO欄位'!BP$1,0)</f>
        <v>0</v>
      </c>
      <c r="CA88" s="158">
        <f>VLOOKUP($A88,'Over Under Bill 1 COPY 到CO欄位'!$1:$1048576,'Over Under Bill 1 COPY 到CO欄位'!BV$1,0)-VLOOKUP($A88,'Over Under Bill 1 COPY 到CO欄位'!$1:$1048576,'Over Under Bill 1 COPY 到CO欄位'!BQ$1,0)</f>
        <v>0</v>
      </c>
      <c r="CB88" s="158">
        <f t="shared" si="106"/>
        <v>0</v>
      </c>
      <c r="CC88" s="158">
        <f>VLOOKUP($A88,'Over Under Bill 1 COPY 到CO欄位'!$1:$1048576,'Over Under Bill 1 COPY 到CO欄位'!BX$1,0)-VLOOKUP($A88,'Over Under Bill 1 COPY 到CO欄位'!$1:$1048576,'Over Under Bill 1 COPY 到CO欄位'!BS$1,0)</f>
        <v>0</v>
      </c>
      <c r="CD88" s="158">
        <f t="shared" si="107"/>
        <v>0</v>
      </c>
      <c r="CE88" s="157">
        <f>VLOOKUP($A88,'Over Under Bill 1 COPY 到CO欄位'!$1:$1048576,'Over Under Bill 1 COPY 到CO欄位'!BZ$1,0)-VLOOKUP($A88,'Over Under Bill 1 COPY 到CO欄位'!$1:$1048576,'Over Under Bill 1 COPY 到CO欄位'!BU$1,0)</f>
        <v>0</v>
      </c>
      <c r="CF88" s="157">
        <f>VLOOKUP($A88,'Over Under Bill 1 COPY 到CO欄位'!$1:$1048576,'Over Under Bill 1 COPY 到CO欄位'!CA$1,0)-VLOOKUP($A88,'Over Under Bill 1 COPY 到CO欄位'!$1:$1048576,'Over Under Bill 1 COPY 到CO欄位'!BV$1,0)</f>
        <v>0</v>
      </c>
      <c r="CG88" s="157">
        <f t="shared" si="108"/>
        <v>0</v>
      </c>
      <c r="CH88" s="157">
        <f>VLOOKUP($A88,'Over Under Bill 1 COPY 到CO欄位'!$1:$1048576,'Over Under Bill 1 COPY 到CO欄位'!CC$1,0)-VLOOKUP($A88,'Over Under Bill 1 COPY 到CO欄位'!$1:$1048576,'Over Under Bill 1 COPY 到CO欄位'!BX$1,0)</f>
        <v>0</v>
      </c>
      <c r="CI88" s="157">
        <f t="shared" si="109"/>
        <v>0</v>
      </c>
      <c r="CJ88" s="158">
        <f>VLOOKUP($A88,'Over Under Bill 1 COPY 到CO欄位'!$1:$1048576,'Over Under Bill 1 COPY 到CO欄位'!CE$1,0)-VLOOKUP($A88,'Over Under Bill 1 COPY 到CO欄位'!$1:$1048576,'Over Under Bill 1 COPY 到CO欄位'!BZ$1,0)</f>
        <v>0</v>
      </c>
      <c r="CK88" s="158">
        <f>VLOOKUP($A88,'Over Under Bill 1 COPY 到CO欄位'!$1:$1048576,'Over Under Bill 1 COPY 到CO欄位'!CF$1,0)-VLOOKUP($A88,'Over Under Bill 1 COPY 到CO欄位'!$1:$1048576,'Over Under Bill 1 COPY 到CO欄位'!CA$1,0)</f>
        <v>0</v>
      </c>
      <c r="CL88" s="158">
        <f t="shared" si="110"/>
        <v>0</v>
      </c>
      <c r="CM88" s="158">
        <f>VLOOKUP($A88,'Over Under Bill 1 COPY 到CO欄位'!$1:$1048576,'Over Under Bill 1 COPY 到CO欄位'!CH$1,0)-VLOOKUP($A88,'Over Under Bill 1 COPY 到CO欄位'!$1:$1048576,'Over Under Bill 1 COPY 到CO欄位'!CC$1,0)</f>
        <v>0</v>
      </c>
      <c r="CN88" s="158">
        <f t="shared" si="111"/>
        <v>0</v>
      </c>
      <c r="CO88" s="157">
        <f>VLOOKUP($A88,'Over Under Bill 1 COPY 到CO欄位'!$1:$1048576,'Over Under Bill 1 COPY 到CO欄位'!CJ$1,0)-VLOOKUP($A88,'Over Under Bill 1 COPY 到CO欄位'!$1:$1048576,'Over Under Bill 1 COPY 到CO欄位'!CE$1,0)</f>
        <v>0</v>
      </c>
      <c r="CP88" s="157">
        <f>VLOOKUP($A88,'Over Under Bill 1 COPY 到CO欄位'!$1:$1048576,'Over Under Bill 1 COPY 到CO欄位'!CK$1,0)-VLOOKUP($A88,'Over Under Bill 1 COPY 到CO欄位'!$1:$1048576,'Over Under Bill 1 COPY 到CO欄位'!CF$1,0)</f>
        <v>0</v>
      </c>
      <c r="CQ88" s="157">
        <f t="shared" si="112"/>
        <v>0</v>
      </c>
      <c r="CR88" s="157">
        <f>VLOOKUP($A88,'Over Under Bill 1 COPY 到CO欄位'!$1:$1048576,'Over Under Bill 1 COPY 到CO欄位'!CM$1,0)-VLOOKUP($A88,'Over Under Bill 1 COPY 到CO欄位'!$1:$1048576,'Over Under Bill 1 COPY 到CO欄位'!CH$1,0)</f>
        <v>0</v>
      </c>
      <c r="CS88" s="157">
        <f t="shared" si="113"/>
        <v>0</v>
      </c>
    </row>
    <row r="89" spans="1:97">
      <c r="A89" s="179"/>
      <c r="B89" s="180"/>
      <c r="C89" s="157"/>
      <c r="D89" s="157"/>
      <c r="E89" s="157"/>
      <c r="F89" s="157"/>
      <c r="G89" s="157"/>
      <c r="H89" s="158"/>
      <c r="I89" s="158"/>
      <c r="J89" s="158"/>
      <c r="K89" s="158"/>
      <c r="L89" s="158"/>
      <c r="M89" s="157"/>
      <c r="N89" s="157"/>
      <c r="O89" s="157"/>
      <c r="P89" s="157"/>
      <c r="Q89" s="157"/>
      <c r="R89" s="158"/>
      <c r="S89" s="158"/>
      <c r="T89" s="158"/>
      <c r="U89" s="158"/>
      <c r="V89" s="158"/>
      <c r="W89" s="157"/>
      <c r="X89" s="157"/>
      <c r="Y89" s="157"/>
      <c r="Z89" s="157"/>
      <c r="AA89" s="157"/>
      <c r="AB89" s="158"/>
      <c r="AC89" s="158"/>
      <c r="AD89" s="158"/>
      <c r="AE89" s="158"/>
      <c r="AF89" s="158"/>
      <c r="AG89" s="157"/>
      <c r="AH89" s="157"/>
      <c r="AI89" s="157"/>
      <c r="AJ89" s="157"/>
      <c r="AK89" s="157"/>
      <c r="AL89" s="158"/>
      <c r="AM89" s="158"/>
      <c r="AN89" s="158"/>
      <c r="AO89" s="158"/>
      <c r="AP89" s="158"/>
      <c r="AQ89" s="157"/>
      <c r="AR89" s="157"/>
      <c r="AS89" s="157"/>
      <c r="AT89" s="157"/>
      <c r="AU89" s="157"/>
      <c r="AV89" s="158"/>
      <c r="AW89" s="158"/>
      <c r="AX89" s="158"/>
      <c r="AY89" s="158"/>
      <c r="AZ89" s="158"/>
      <c r="BA89" s="157"/>
      <c r="BB89" s="157"/>
      <c r="BC89" s="157"/>
      <c r="BD89" s="157"/>
      <c r="BE89" s="157"/>
      <c r="BF89" s="158"/>
      <c r="BG89" s="158"/>
      <c r="BH89" s="158"/>
      <c r="BI89" s="158"/>
      <c r="BJ89" s="158"/>
      <c r="BK89" s="157"/>
      <c r="BL89" s="157"/>
      <c r="BM89" s="157"/>
      <c r="BN89" s="157"/>
      <c r="BO89" s="157"/>
      <c r="BP89" s="158"/>
      <c r="BQ89" s="158"/>
      <c r="BR89" s="158"/>
      <c r="BS89" s="158"/>
      <c r="BT89" s="158"/>
      <c r="BU89" s="157"/>
      <c r="BV89" s="157"/>
      <c r="BW89" s="157"/>
      <c r="BX89" s="157"/>
      <c r="BY89" s="157"/>
      <c r="BZ89" s="158"/>
      <c r="CA89" s="158"/>
      <c r="CB89" s="158"/>
      <c r="CC89" s="158"/>
      <c r="CD89" s="158"/>
      <c r="CE89" s="157"/>
      <c r="CF89" s="157"/>
      <c r="CG89" s="157"/>
      <c r="CH89" s="157"/>
      <c r="CI89" s="157"/>
      <c r="CJ89" s="158"/>
      <c r="CK89" s="158"/>
      <c r="CL89" s="158"/>
      <c r="CM89" s="158"/>
      <c r="CN89" s="158"/>
      <c r="CO89" s="157"/>
      <c r="CP89" s="157"/>
      <c r="CQ89" s="157"/>
      <c r="CR89" s="157"/>
      <c r="CS89" s="157"/>
    </row>
    <row r="90" spans="1:97">
      <c r="A90" s="179" t="s">
        <v>467</v>
      </c>
      <c r="B90" s="172" t="s">
        <v>468</v>
      </c>
      <c r="C90" s="157">
        <f>IFERROR(VLOOKUP($A90,'A0 BS 1240在建'!$1:$1048576,5,0),0)</f>
        <v>0</v>
      </c>
      <c r="D90" s="157">
        <f>IFERROR(VLOOKUP($A90,'B0 2264預收'!$1:$1048576,5,0),0)</f>
        <v>0</v>
      </c>
      <c r="E90" s="157">
        <f t="shared" ref="E90:E117" si="114">+C90-D90</f>
        <v>0</v>
      </c>
      <c r="F90" s="157">
        <f>IFERROR(VLOOKUP($A90,'B0 2264預收'!$1:$1048576,6,0),0)</f>
        <v>0</v>
      </c>
      <c r="G90" s="157">
        <f t="shared" ref="G90:G117" si="115">+C90-D90-F90</f>
        <v>0</v>
      </c>
      <c r="H90" s="158">
        <f>IFERROR(VLOOKUP($A90,'A0 BS 1240在建'!$1:$1048576,13,0),0)-C90</f>
        <v>0</v>
      </c>
      <c r="I90" s="158">
        <f>IFERROR(VLOOKUP($A90,'B0 2264預收'!$1:$1048576,13,0),0)-D90</f>
        <v>0</v>
      </c>
      <c r="J90" s="158">
        <f t="shared" ref="J90:J117" si="116">+H90-I90</f>
        <v>0</v>
      </c>
      <c r="K90" s="158">
        <f>IFERROR(VLOOKUP($A90,'B0 2264預收'!$1:$1048576,14,0),0)-F90</f>
        <v>0</v>
      </c>
      <c r="L90" s="158">
        <f t="shared" ref="L90:L117" si="117">+J90-K90</f>
        <v>0</v>
      </c>
      <c r="M90" s="157">
        <f>VLOOKUP($A90,'Over Under Bill 1 COPY 到CO欄位'!$1:$1048576,'Over Under Bill 1 COPY 到CO欄位'!M$1,0)-VLOOKUP($A90,'Over Under Bill 1 COPY 到CO欄位'!$1:$1048576,'Over Under Bill 1 COPY 到CO欄位'!H$1,0)</f>
        <v>0</v>
      </c>
      <c r="N90" s="157">
        <f>VLOOKUP($A90,'Over Under Bill 1 COPY 到CO欄位'!$1:$1048576,'Over Under Bill 1 COPY 到CO欄位'!N$1,0)-VLOOKUP($A90,'Over Under Bill 1 COPY 到CO欄位'!$1:$1048576,'Over Under Bill 1 COPY 到CO欄位'!I$1,0)</f>
        <v>0</v>
      </c>
      <c r="O90" s="157">
        <f t="shared" ref="O90:O115" si="118">+M90-N90</f>
        <v>0</v>
      </c>
      <c r="P90" s="157">
        <f>VLOOKUP($A90,'Over Under Bill 1 COPY 到CO欄位'!$1:$1048576,'Over Under Bill 1 COPY 到CO欄位'!P$1,0)-VLOOKUP($A90,'Over Under Bill 1 COPY 到CO欄位'!$1:$1048576,'Over Under Bill 1 COPY 到CO欄位'!K$1,0)</f>
        <v>0</v>
      </c>
      <c r="Q90" s="157">
        <f t="shared" ref="Q90:Q115" si="119">+O90-P90</f>
        <v>0</v>
      </c>
      <c r="R90" s="158">
        <f>VLOOKUP($A90,'Over Under Bill 1 COPY 到CO欄位'!$1:$1048576,'Over Under Bill 1 COPY 到CO欄位'!R$1,0)-VLOOKUP($A90,'Over Under Bill 1 COPY 到CO欄位'!$1:$1048576,'Over Under Bill 1 COPY 到CO欄位'!M$1,0)</f>
        <v>0</v>
      </c>
      <c r="S90" s="158">
        <f>VLOOKUP($A90,'Over Under Bill 1 COPY 到CO欄位'!$1:$1048576,'Over Under Bill 1 COPY 到CO欄位'!S$1,0)-VLOOKUP($A90,'Over Under Bill 1 COPY 到CO欄位'!$1:$1048576,'Over Under Bill 1 COPY 到CO欄位'!N$1,0)</f>
        <v>0</v>
      </c>
      <c r="T90" s="158">
        <f t="shared" ref="T90:T115" si="120">+R90-S90</f>
        <v>0</v>
      </c>
      <c r="U90" s="158">
        <f>VLOOKUP($A90,'Over Under Bill 1 COPY 到CO欄位'!$1:$1048576,'Over Under Bill 1 COPY 到CO欄位'!U$1,0)-VLOOKUP($A90,'Over Under Bill 1 COPY 到CO欄位'!$1:$1048576,'Over Under Bill 1 COPY 到CO欄位'!P$1,0)</f>
        <v>0</v>
      </c>
      <c r="V90" s="158">
        <f t="shared" ref="V90:V115" si="121">+T90-U90</f>
        <v>0</v>
      </c>
      <c r="W90" s="157">
        <f>VLOOKUP($A90,'Over Under Bill 1 COPY 到CO欄位'!$1:$1048576,'Over Under Bill 1 COPY 到CO欄位'!W$1,0)-VLOOKUP($A90,'Over Under Bill 1 COPY 到CO欄位'!$1:$1048576,'Over Under Bill 1 COPY 到CO欄位'!R$1,0)</f>
        <v>0</v>
      </c>
      <c r="X90" s="157">
        <f>VLOOKUP($A90,'Over Under Bill 1 COPY 到CO欄位'!$1:$1048576,'Over Under Bill 1 COPY 到CO欄位'!X$1,0)-VLOOKUP($A90,'Over Under Bill 1 COPY 到CO欄位'!$1:$1048576,'Over Under Bill 1 COPY 到CO欄位'!S$1,0)</f>
        <v>0</v>
      </c>
      <c r="Y90" s="157">
        <f t="shared" ref="Y90:Y115" si="122">+W90-X90</f>
        <v>0</v>
      </c>
      <c r="Z90" s="157">
        <f>VLOOKUP($A90,'Over Under Bill 1 COPY 到CO欄位'!$1:$1048576,'Over Under Bill 1 COPY 到CO欄位'!Z$1,0)-VLOOKUP($A90,'Over Under Bill 1 COPY 到CO欄位'!$1:$1048576,'Over Under Bill 1 COPY 到CO欄位'!U$1,0)</f>
        <v>0</v>
      </c>
      <c r="AA90" s="157">
        <f t="shared" ref="AA90:AA115" si="123">+Y90-Z90</f>
        <v>0</v>
      </c>
      <c r="AB90" s="158">
        <f>VLOOKUP($A90,'Over Under Bill 1 COPY 到CO欄位'!$1:$1048576,'Over Under Bill 1 COPY 到CO欄位'!AB$1,0)-VLOOKUP($A90,'Over Under Bill 1 COPY 到CO欄位'!$1:$1048576,'Over Under Bill 1 COPY 到CO欄位'!W$1,0)</f>
        <v>0</v>
      </c>
      <c r="AC90" s="158">
        <f>VLOOKUP($A90,'Over Under Bill 1 COPY 到CO欄位'!$1:$1048576,'Over Under Bill 1 COPY 到CO欄位'!AC$1,0)-VLOOKUP($A90,'Over Under Bill 1 COPY 到CO欄位'!$1:$1048576,'Over Under Bill 1 COPY 到CO欄位'!X$1,0)</f>
        <v>0</v>
      </c>
      <c r="AD90" s="158">
        <f t="shared" ref="AD90:AD115" si="124">+AB90-AC90</f>
        <v>0</v>
      </c>
      <c r="AE90" s="158">
        <f>VLOOKUP($A90,'Over Under Bill 1 COPY 到CO欄位'!$1:$1048576,'Over Under Bill 1 COPY 到CO欄位'!AE$1,0)-VLOOKUP($A90,'Over Under Bill 1 COPY 到CO欄位'!$1:$1048576,'Over Under Bill 1 COPY 到CO欄位'!Z$1,0)</f>
        <v>0</v>
      </c>
      <c r="AF90" s="158">
        <f t="shared" ref="AF90:AF115" si="125">+AD90-AE90</f>
        <v>0</v>
      </c>
      <c r="AG90" s="157">
        <f>VLOOKUP($A90,'Over Under Bill 1 COPY 到CO欄位'!$1:$1048576,'Over Under Bill 1 COPY 到CO欄位'!AG$1,0)-VLOOKUP($A90,'Over Under Bill 1 COPY 到CO欄位'!$1:$1048576,'Over Under Bill 1 COPY 到CO欄位'!AB$1,0)</f>
        <v>0</v>
      </c>
      <c r="AH90" s="157">
        <f>VLOOKUP($A90,'Over Under Bill 1 COPY 到CO欄位'!$1:$1048576,'Over Under Bill 1 COPY 到CO欄位'!AH$1,0)-VLOOKUP($A90,'Over Under Bill 1 COPY 到CO欄位'!$1:$1048576,'Over Under Bill 1 COPY 到CO欄位'!AC$1,0)</f>
        <v>0</v>
      </c>
      <c r="AI90" s="157">
        <f t="shared" ref="AI90:AI115" si="126">+AG90-AH90</f>
        <v>0</v>
      </c>
      <c r="AJ90" s="157">
        <f>VLOOKUP($A90,'Over Under Bill 1 COPY 到CO欄位'!$1:$1048576,'Over Under Bill 1 COPY 到CO欄位'!AJ$1,0)-VLOOKUP($A90,'Over Under Bill 1 COPY 到CO欄位'!$1:$1048576,'Over Under Bill 1 COPY 到CO欄位'!AE$1,0)</f>
        <v>0</v>
      </c>
      <c r="AK90" s="157">
        <f t="shared" ref="AK90:AK115" si="127">+AI90-AJ90</f>
        <v>0</v>
      </c>
      <c r="AL90" s="158">
        <f>VLOOKUP($A90,'Over Under Bill 1 COPY 到CO欄位'!$1:$1048576,'Over Under Bill 1 COPY 到CO欄位'!AL$1,0)-VLOOKUP($A90,'Over Under Bill 1 COPY 到CO欄位'!$1:$1048576,'Over Under Bill 1 COPY 到CO欄位'!AG$1,0)</f>
        <v>0</v>
      </c>
      <c r="AM90" s="158">
        <f>VLOOKUP($A90,'Over Under Bill 1 COPY 到CO欄位'!$1:$1048576,'Over Under Bill 1 COPY 到CO欄位'!AM$1,0)-VLOOKUP($A90,'Over Under Bill 1 COPY 到CO欄位'!$1:$1048576,'Over Under Bill 1 COPY 到CO欄位'!AH$1,0)</f>
        <v>0</v>
      </c>
      <c r="AN90" s="158">
        <f t="shared" ref="AN90:AN115" si="128">+AL90-AM90</f>
        <v>0</v>
      </c>
      <c r="AO90" s="158">
        <f>VLOOKUP($A90,'Over Under Bill 1 COPY 到CO欄位'!$1:$1048576,'Over Under Bill 1 COPY 到CO欄位'!AO$1,0)-VLOOKUP($A90,'Over Under Bill 1 COPY 到CO欄位'!$1:$1048576,'Over Under Bill 1 COPY 到CO欄位'!AJ$1,0)</f>
        <v>0</v>
      </c>
      <c r="AP90" s="158">
        <f t="shared" ref="AP90:AP115" si="129">+AN90-AO90</f>
        <v>0</v>
      </c>
      <c r="AQ90" s="157">
        <f>VLOOKUP($A90,'Over Under Bill 1 COPY 到CO欄位'!$1:$1048576,'Over Under Bill 1 COPY 到CO欄位'!AQ$1,0)-VLOOKUP($A90,'Over Under Bill 1 COPY 到CO欄位'!$1:$1048576,'Over Under Bill 1 COPY 到CO欄位'!AL$1,0)</f>
        <v>0</v>
      </c>
      <c r="AR90" s="157">
        <f>VLOOKUP($A90,'Over Under Bill 1 COPY 到CO欄位'!$1:$1048576,'Over Under Bill 1 COPY 到CO欄位'!AR$1,0)-VLOOKUP($A90,'Over Under Bill 1 COPY 到CO欄位'!$1:$1048576,'Over Under Bill 1 COPY 到CO欄位'!AM$1,0)</f>
        <v>0</v>
      </c>
      <c r="AS90" s="157">
        <f t="shared" ref="AS90:AS115" si="130">+AQ90-AR90</f>
        <v>0</v>
      </c>
      <c r="AT90" s="157">
        <f>VLOOKUP($A90,'Over Under Bill 1 COPY 到CO欄位'!$1:$1048576,'Over Under Bill 1 COPY 到CO欄位'!AT$1,0)-VLOOKUP($A90,'Over Under Bill 1 COPY 到CO欄位'!$1:$1048576,'Over Under Bill 1 COPY 到CO欄位'!AO$1,0)</f>
        <v>0</v>
      </c>
      <c r="AU90" s="157">
        <f t="shared" ref="AU90:AU115" si="131">+AS90-AT90</f>
        <v>0</v>
      </c>
      <c r="AV90" s="158">
        <f>VLOOKUP($A90,'Over Under Bill 1 COPY 到CO欄位'!$1:$1048576,'Over Under Bill 1 COPY 到CO欄位'!AV$1,0)-VLOOKUP($A90,'Over Under Bill 1 COPY 到CO欄位'!$1:$1048576,'Over Under Bill 1 COPY 到CO欄位'!AQ$1,0)</f>
        <v>0</v>
      </c>
      <c r="AW90" s="158">
        <f>VLOOKUP($A90,'Over Under Bill 1 COPY 到CO欄位'!$1:$1048576,'Over Under Bill 1 COPY 到CO欄位'!AW$1,0)-VLOOKUP($A90,'Over Under Bill 1 COPY 到CO欄位'!$1:$1048576,'Over Under Bill 1 COPY 到CO欄位'!AR$1,0)</f>
        <v>0</v>
      </c>
      <c r="AX90" s="158">
        <f t="shared" ref="AX90:AX115" si="132">+AV90-AW90</f>
        <v>0</v>
      </c>
      <c r="AY90" s="158">
        <f>VLOOKUP($A90,'Over Under Bill 1 COPY 到CO欄位'!$1:$1048576,'Over Under Bill 1 COPY 到CO欄位'!AY$1,0)-VLOOKUP($A90,'Over Under Bill 1 COPY 到CO欄位'!$1:$1048576,'Over Under Bill 1 COPY 到CO欄位'!AT$1,0)</f>
        <v>0</v>
      </c>
      <c r="AZ90" s="158">
        <f t="shared" ref="AZ90:AZ115" si="133">+AX90-AY90</f>
        <v>0</v>
      </c>
      <c r="BA90" s="157">
        <f>VLOOKUP($A90,'Over Under Bill 1 COPY 到CO欄位'!$1:$1048576,'Over Under Bill 1 COPY 到CO欄位'!BA$1,0)-VLOOKUP($A90,'Over Under Bill 1 COPY 到CO欄位'!$1:$1048576,'Over Under Bill 1 COPY 到CO欄位'!AV$1,0)</f>
        <v>0</v>
      </c>
      <c r="BB90" s="157">
        <f>VLOOKUP($A90,'Over Under Bill 1 COPY 到CO欄位'!$1:$1048576,'Over Under Bill 1 COPY 到CO欄位'!BB$1,0)-VLOOKUP($A90,'Over Under Bill 1 COPY 到CO欄位'!$1:$1048576,'Over Under Bill 1 COPY 到CO欄位'!AW$1,0)</f>
        <v>0</v>
      </c>
      <c r="BC90" s="157">
        <f t="shared" ref="BC90:BC115" si="134">+BA90-BB90</f>
        <v>0</v>
      </c>
      <c r="BD90" s="157">
        <f>VLOOKUP($A90,'Over Under Bill 1 COPY 到CO欄位'!$1:$1048576,'Over Under Bill 1 COPY 到CO欄位'!BD$1,0)-VLOOKUP($A90,'Over Under Bill 1 COPY 到CO欄位'!$1:$1048576,'Over Under Bill 1 COPY 到CO欄位'!AY$1,0)</f>
        <v>0</v>
      </c>
      <c r="BE90" s="157">
        <f t="shared" ref="BE90:BE115" si="135">+BC90-BD90</f>
        <v>0</v>
      </c>
      <c r="BF90" s="158">
        <f>VLOOKUP($A90,'Over Under Bill 1 COPY 到CO欄位'!$1:$1048576,'Over Under Bill 1 COPY 到CO欄位'!BF$1,0)-VLOOKUP($A90,'Over Under Bill 1 COPY 到CO欄位'!$1:$1048576,'Over Under Bill 1 COPY 到CO欄位'!BA$1,0)</f>
        <v>0</v>
      </c>
      <c r="BG90" s="158">
        <f>VLOOKUP($A90,'Over Under Bill 1 COPY 到CO欄位'!$1:$1048576,'Over Under Bill 1 COPY 到CO欄位'!BG$1,0)-VLOOKUP($A90,'Over Under Bill 1 COPY 到CO欄位'!$1:$1048576,'Over Under Bill 1 COPY 到CO欄位'!BB$1,0)</f>
        <v>0</v>
      </c>
      <c r="BH90" s="158">
        <f t="shared" ref="BH90:BH115" si="136">+BF90-BG90</f>
        <v>0</v>
      </c>
      <c r="BI90" s="158">
        <f>VLOOKUP($A90,'Over Under Bill 1 COPY 到CO欄位'!$1:$1048576,'Over Under Bill 1 COPY 到CO欄位'!BI$1,0)-VLOOKUP($A90,'Over Under Bill 1 COPY 到CO欄位'!$1:$1048576,'Over Under Bill 1 COPY 到CO欄位'!BD$1,0)</f>
        <v>0</v>
      </c>
      <c r="BJ90" s="158">
        <f t="shared" ref="BJ90:BJ115" si="137">+BH90-BI90</f>
        <v>0</v>
      </c>
      <c r="BK90" s="157">
        <f>VLOOKUP($A90,'Over Under Bill 1 COPY 到CO欄位'!$1:$1048576,'Over Under Bill 1 COPY 到CO欄位'!BK$1,0)-VLOOKUP($A90,'Over Under Bill 1 COPY 到CO欄位'!$1:$1048576,'Over Under Bill 1 COPY 到CO欄位'!BF$1,0)</f>
        <v>0</v>
      </c>
      <c r="BL90" s="157">
        <f>VLOOKUP($A90,'Over Under Bill 1 COPY 到CO欄位'!$1:$1048576,'Over Under Bill 1 COPY 到CO欄位'!BL$1,0)-VLOOKUP($A90,'Over Under Bill 1 COPY 到CO欄位'!$1:$1048576,'Over Under Bill 1 COPY 到CO欄位'!BG$1,0)</f>
        <v>0</v>
      </c>
      <c r="BM90" s="157">
        <f t="shared" ref="BM90:BM115" si="138">+BK90-BL90</f>
        <v>0</v>
      </c>
      <c r="BN90" s="157">
        <f>VLOOKUP($A90,'Over Under Bill 1 COPY 到CO欄位'!$1:$1048576,'Over Under Bill 1 COPY 到CO欄位'!BN$1,0)-VLOOKUP($A90,'Over Under Bill 1 COPY 到CO欄位'!$1:$1048576,'Over Under Bill 1 COPY 到CO欄位'!BI$1,0)</f>
        <v>0</v>
      </c>
      <c r="BO90" s="157">
        <f t="shared" ref="BO90:BO115" si="139">+BM90-BN90</f>
        <v>0</v>
      </c>
      <c r="BP90" s="158">
        <f>VLOOKUP($A90,'Over Under Bill 1 COPY 到CO欄位'!$1:$1048576,'Over Under Bill 1 COPY 到CO欄位'!BP$1,0)-VLOOKUP($A90,'Over Under Bill 1 COPY 到CO欄位'!$1:$1048576,'Over Under Bill 1 COPY 到CO欄位'!BK$1,0)</f>
        <v>0</v>
      </c>
      <c r="BQ90" s="158">
        <f>VLOOKUP($A90,'Over Under Bill 1 COPY 到CO欄位'!$1:$1048576,'Over Under Bill 1 COPY 到CO欄位'!BQ$1,0)-VLOOKUP($A90,'Over Under Bill 1 COPY 到CO欄位'!$1:$1048576,'Over Under Bill 1 COPY 到CO欄位'!BL$1,0)</f>
        <v>0</v>
      </c>
      <c r="BR90" s="158">
        <f t="shared" ref="BR90:BR115" si="140">+BP90-BQ90</f>
        <v>0</v>
      </c>
      <c r="BS90" s="158">
        <f>VLOOKUP($A90,'Over Under Bill 1 COPY 到CO欄位'!$1:$1048576,'Over Under Bill 1 COPY 到CO欄位'!BS$1,0)-VLOOKUP($A90,'Over Under Bill 1 COPY 到CO欄位'!$1:$1048576,'Over Under Bill 1 COPY 到CO欄位'!BN$1,0)</f>
        <v>0</v>
      </c>
      <c r="BT90" s="158">
        <f t="shared" ref="BT90:BT115" si="141">+BR90-BS90</f>
        <v>0</v>
      </c>
      <c r="BU90" s="157">
        <f>VLOOKUP($A90,'Over Under Bill 1 COPY 到CO欄位'!$1:$1048576,'Over Under Bill 1 COPY 到CO欄位'!BP$1,0)-VLOOKUP($A90,'Over Under Bill 1 COPY 到CO欄位'!$1:$1048576,'Over Under Bill 1 COPY 到CO欄位'!H$1,0)</f>
        <v>0</v>
      </c>
      <c r="BV90" s="157">
        <f>VLOOKUP($A90,'Over Under Bill 1 COPY 到CO欄位'!$1:$1048576,'Over Under Bill 1 COPY 到CO欄位'!BQ$1,0)-VLOOKUP($A90,'Over Under Bill 1 COPY 到CO欄位'!$1:$1048576,'Over Under Bill 1 COPY 到CO欄位'!I$1,0)</f>
        <v>0</v>
      </c>
      <c r="BW90" s="157">
        <f t="shared" ref="BW90:BW115" si="142">+BU90-BV90</f>
        <v>0</v>
      </c>
      <c r="BX90" s="157">
        <f>VLOOKUP($A90,'Over Under Bill 1 COPY 到CO欄位'!$1:$1048576,'Over Under Bill 1 COPY 到CO欄位'!BS$1,0)-VLOOKUP($A90,'Over Under Bill 1 COPY 到CO欄位'!$1:$1048576,'Over Under Bill 1 COPY 到CO欄位'!K$1,0)</f>
        <v>0</v>
      </c>
      <c r="BY90" s="157">
        <f t="shared" ref="BY90:BY115" si="143">+BW90-BX90</f>
        <v>0</v>
      </c>
      <c r="BZ90" s="158">
        <f>VLOOKUP($A90,'Over Under Bill 1 COPY 到CO欄位'!$1:$1048576,'Over Under Bill 1 COPY 到CO欄位'!BU$1,0)-VLOOKUP($A90,'Over Under Bill 1 COPY 到CO欄位'!$1:$1048576,'Over Under Bill 1 COPY 到CO欄位'!BP$1,0)</f>
        <v>0</v>
      </c>
      <c r="CA90" s="158">
        <f>VLOOKUP($A90,'Over Under Bill 1 COPY 到CO欄位'!$1:$1048576,'Over Under Bill 1 COPY 到CO欄位'!BV$1,0)-VLOOKUP($A90,'Over Under Bill 1 COPY 到CO欄位'!$1:$1048576,'Over Under Bill 1 COPY 到CO欄位'!BQ$1,0)</f>
        <v>0</v>
      </c>
      <c r="CB90" s="158">
        <f t="shared" ref="CB90:CB115" si="144">+BZ90-CA90</f>
        <v>0</v>
      </c>
      <c r="CC90" s="158">
        <f>VLOOKUP($A90,'Over Under Bill 1 COPY 到CO欄位'!$1:$1048576,'Over Under Bill 1 COPY 到CO欄位'!BX$1,0)-VLOOKUP($A90,'Over Under Bill 1 COPY 到CO欄位'!$1:$1048576,'Over Under Bill 1 COPY 到CO欄位'!BS$1,0)</f>
        <v>0</v>
      </c>
      <c r="CD90" s="158">
        <f t="shared" ref="CD90:CD115" si="145">+CB90-CC90</f>
        <v>0</v>
      </c>
      <c r="CE90" s="157">
        <f>VLOOKUP($A90,'Over Under Bill 1 COPY 到CO欄位'!$1:$1048576,'Over Under Bill 1 COPY 到CO欄位'!BZ$1,0)-VLOOKUP($A90,'Over Under Bill 1 COPY 到CO欄位'!$1:$1048576,'Over Under Bill 1 COPY 到CO欄位'!BU$1,0)</f>
        <v>0</v>
      </c>
      <c r="CF90" s="157">
        <f>VLOOKUP($A90,'Over Under Bill 1 COPY 到CO欄位'!$1:$1048576,'Over Under Bill 1 COPY 到CO欄位'!CA$1,0)-VLOOKUP($A90,'Over Under Bill 1 COPY 到CO欄位'!$1:$1048576,'Over Under Bill 1 COPY 到CO欄位'!BV$1,0)</f>
        <v>0</v>
      </c>
      <c r="CG90" s="157">
        <f t="shared" ref="CG90:CG115" si="146">+CE90-CF90</f>
        <v>0</v>
      </c>
      <c r="CH90" s="157">
        <f>VLOOKUP($A90,'Over Under Bill 1 COPY 到CO欄位'!$1:$1048576,'Over Under Bill 1 COPY 到CO欄位'!CC$1,0)-VLOOKUP($A90,'Over Under Bill 1 COPY 到CO欄位'!$1:$1048576,'Over Under Bill 1 COPY 到CO欄位'!BX$1,0)</f>
        <v>0</v>
      </c>
      <c r="CI90" s="157">
        <f t="shared" ref="CI90:CI115" si="147">+CG90-CH90</f>
        <v>0</v>
      </c>
      <c r="CJ90" s="158">
        <f>VLOOKUP($A90,'Over Under Bill 1 COPY 到CO欄位'!$1:$1048576,'Over Under Bill 1 COPY 到CO欄位'!CE$1,0)-VLOOKUP($A90,'Over Under Bill 1 COPY 到CO欄位'!$1:$1048576,'Over Under Bill 1 COPY 到CO欄位'!BZ$1,0)</f>
        <v>0</v>
      </c>
      <c r="CK90" s="158">
        <f>VLOOKUP($A90,'Over Under Bill 1 COPY 到CO欄位'!$1:$1048576,'Over Under Bill 1 COPY 到CO欄位'!CF$1,0)-VLOOKUP($A90,'Over Under Bill 1 COPY 到CO欄位'!$1:$1048576,'Over Under Bill 1 COPY 到CO欄位'!CA$1,0)</f>
        <v>0</v>
      </c>
      <c r="CL90" s="158">
        <f t="shared" ref="CL90:CL115" si="148">+CJ90-CK90</f>
        <v>0</v>
      </c>
      <c r="CM90" s="158">
        <f>VLOOKUP($A90,'Over Under Bill 1 COPY 到CO欄位'!$1:$1048576,'Over Under Bill 1 COPY 到CO欄位'!CH$1,0)-VLOOKUP($A90,'Over Under Bill 1 COPY 到CO欄位'!$1:$1048576,'Over Under Bill 1 COPY 到CO欄位'!CC$1,0)</f>
        <v>0</v>
      </c>
      <c r="CN90" s="158">
        <f t="shared" ref="CN90:CN115" si="149">+CL90-CM90</f>
        <v>0</v>
      </c>
      <c r="CO90" s="157">
        <f>VLOOKUP($A90,'Over Under Bill 1 COPY 到CO欄位'!$1:$1048576,'Over Under Bill 1 COPY 到CO欄位'!CJ$1,0)-VLOOKUP($A90,'Over Under Bill 1 COPY 到CO欄位'!$1:$1048576,'Over Under Bill 1 COPY 到CO欄位'!CE$1,0)</f>
        <v>0</v>
      </c>
      <c r="CP90" s="157">
        <f>VLOOKUP($A90,'Over Under Bill 1 COPY 到CO欄位'!$1:$1048576,'Over Under Bill 1 COPY 到CO欄位'!CK$1,0)-VLOOKUP($A90,'Over Under Bill 1 COPY 到CO欄位'!$1:$1048576,'Over Under Bill 1 COPY 到CO欄位'!CF$1,0)</f>
        <v>0</v>
      </c>
      <c r="CQ90" s="157">
        <f t="shared" ref="CQ90:CQ115" si="150">+CO90-CP90</f>
        <v>0</v>
      </c>
      <c r="CR90" s="157">
        <f>VLOOKUP($A90,'Over Under Bill 1 COPY 到CO欄位'!$1:$1048576,'Over Under Bill 1 COPY 到CO欄位'!CM$1,0)-VLOOKUP($A90,'Over Under Bill 1 COPY 到CO欄位'!$1:$1048576,'Over Under Bill 1 COPY 到CO欄位'!CH$1,0)</f>
        <v>0</v>
      </c>
      <c r="CS90" s="157">
        <f t="shared" ref="CS90:CS115" si="151">+CQ90-CR90</f>
        <v>0</v>
      </c>
    </row>
    <row r="91" spans="1:97">
      <c r="A91" s="179" t="s">
        <v>469</v>
      </c>
      <c r="B91" s="172" t="s">
        <v>470</v>
      </c>
      <c r="C91" s="157">
        <f>IFERROR(VLOOKUP($A91,'A0 BS 1240在建'!$1:$1048576,5,0),0)</f>
        <v>0</v>
      </c>
      <c r="D91" s="157">
        <f>IFERROR(VLOOKUP($A91,'B0 2264預收'!$1:$1048576,5,0),0)</f>
        <v>0</v>
      </c>
      <c r="E91" s="157">
        <f t="shared" si="114"/>
        <v>0</v>
      </c>
      <c r="F91" s="157">
        <f>IFERROR(VLOOKUP($A91,'B0 2264預收'!$1:$1048576,6,0),0)</f>
        <v>0</v>
      </c>
      <c r="G91" s="157">
        <f t="shared" si="115"/>
        <v>0</v>
      </c>
      <c r="H91" s="158">
        <f>IFERROR(VLOOKUP($A91,'A0 BS 1240在建'!$1:$1048576,13,0),0)-C91</f>
        <v>0</v>
      </c>
      <c r="I91" s="158">
        <f>IFERROR(VLOOKUP($A91,'B0 2264預收'!$1:$1048576,13,0),0)-D91</f>
        <v>0</v>
      </c>
      <c r="J91" s="158">
        <f t="shared" si="116"/>
        <v>0</v>
      </c>
      <c r="K91" s="158">
        <f>IFERROR(VLOOKUP($A91,'B0 2264預收'!$1:$1048576,14,0),0)-F91</f>
        <v>0</v>
      </c>
      <c r="L91" s="158">
        <f t="shared" si="117"/>
        <v>0</v>
      </c>
      <c r="M91" s="157">
        <f>VLOOKUP($A91,'Over Under Bill 1 COPY 到CO欄位'!$1:$1048576,'Over Under Bill 1 COPY 到CO欄位'!M$1,0)-VLOOKUP($A91,'Over Under Bill 1 COPY 到CO欄位'!$1:$1048576,'Over Under Bill 1 COPY 到CO欄位'!H$1,0)</f>
        <v>0</v>
      </c>
      <c r="N91" s="157">
        <f>VLOOKUP($A91,'Over Under Bill 1 COPY 到CO欄位'!$1:$1048576,'Over Under Bill 1 COPY 到CO欄位'!N$1,0)-VLOOKUP($A91,'Over Under Bill 1 COPY 到CO欄位'!$1:$1048576,'Over Under Bill 1 COPY 到CO欄位'!I$1,0)</f>
        <v>0</v>
      </c>
      <c r="O91" s="157">
        <f t="shared" si="118"/>
        <v>0</v>
      </c>
      <c r="P91" s="157">
        <f>VLOOKUP($A91,'Over Under Bill 1 COPY 到CO欄位'!$1:$1048576,'Over Under Bill 1 COPY 到CO欄位'!P$1,0)-VLOOKUP($A91,'Over Under Bill 1 COPY 到CO欄位'!$1:$1048576,'Over Under Bill 1 COPY 到CO欄位'!K$1,0)</f>
        <v>0</v>
      </c>
      <c r="Q91" s="157">
        <f t="shared" si="119"/>
        <v>0</v>
      </c>
      <c r="R91" s="158">
        <f>VLOOKUP($A91,'Over Under Bill 1 COPY 到CO欄位'!$1:$1048576,'Over Under Bill 1 COPY 到CO欄位'!R$1,0)-VLOOKUP($A91,'Over Under Bill 1 COPY 到CO欄位'!$1:$1048576,'Over Under Bill 1 COPY 到CO欄位'!M$1,0)</f>
        <v>0</v>
      </c>
      <c r="S91" s="158">
        <f>VLOOKUP($A91,'Over Under Bill 1 COPY 到CO欄位'!$1:$1048576,'Over Under Bill 1 COPY 到CO欄位'!S$1,0)-VLOOKUP($A91,'Over Under Bill 1 COPY 到CO欄位'!$1:$1048576,'Over Under Bill 1 COPY 到CO欄位'!N$1,0)</f>
        <v>0</v>
      </c>
      <c r="T91" s="158">
        <f t="shared" si="120"/>
        <v>0</v>
      </c>
      <c r="U91" s="158">
        <f>VLOOKUP($A91,'Over Under Bill 1 COPY 到CO欄位'!$1:$1048576,'Over Under Bill 1 COPY 到CO欄位'!U$1,0)-VLOOKUP($A91,'Over Under Bill 1 COPY 到CO欄位'!$1:$1048576,'Over Under Bill 1 COPY 到CO欄位'!P$1,0)</f>
        <v>0</v>
      </c>
      <c r="V91" s="158">
        <f t="shared" si="121"/>
        <v>0</v>
      </c>
      <c r="W91" s="157">
        <f>VLOOKUP($A91,'Over Under Bill 1 COPY 到CO欄位'!$1:$1048576,'Over Under Bill 1 COPY 到CO欄位'!W$1,0)-VLOOKUP($A91,'Over Under Bill 1 COPY 到CO欄位'!$1:$1048576,'Over Under Bill 1 COPY 到CO欄位'!R$1,0)</f>
        <v>0</v>
      </c>
      <c r="X91" s="157">
        <f>VLOOKUP($A91,'Over Under Bill 1 COPY 到CO欄位'!$1:$1048576,'Over Under Bill 1 COPY 到CO欄位'!X$1,0)-VLOOKUP($A91,'Over Under Bill 1 COPY 到CO欄位'!$1:$1048576,'Over Under Bill 1 COPY 到CO欄位'!S$1,0)</f>
        <v>0</v>
      </c>
      <c r="Y91" s="157">
        <f t="shared" si="122"/>
        <v>0</v>
      </c>
      <c r="Z91" s="157">
        <f>VLOOKUP($A91,'Over Under Bill 1 COPY 到CO欄位'!$1:$1048576,'Over Under Bill 1 COPY 到CO欄位'!Z$1,0)-VLOOKUP($A91,'Over Under Bill 1 COPY 到CO欄位'!$1:$1048576,'Over Under Bill 1 COPY 到CO欄位'!U$1,0)</f>
        <v>0</v>
      </c>
      <c r="AA91" s="157">
        <f t="shared" si="123"/>
        <v>0</v>
      </c>
      <c r="AB91" s="158">
        <f>VLOOKUP($A91,'Over Under Bill 1 COPY 到CO欄位'!$1:$1048576,'Over Under Bill 1 COPY 到CO欄位'!AB$1,0)-VLOOKUP($A91,'Over Under Bill 1 COPY 到CO欄位'!$1:$1048576,'Over Under Bill 1 COPY 到CO欄位'!W$1,0)</f>
        <v>0</v>
      </c>
      <c r="AC91" s="158">
        <f>VLOOKUP($A91,'Over Under Bill 1 COPY 到CO欄位'!$1:$1048576,'Over Under Bill 1 COPY 到CO欄位'!AC$1,0)-VLOOKUP($A91,'Over Under Bill 1 COPY 到CO欄位'!$1:$1048576,'Over Under Bill 1 COPY 到CO欄位'!X$1,0)</f>
        <v>0</v>
      </c>
      <c r="AD91" s="158">
        <f t="shared" si="124"/>
        <v>0</v>
      </c>
      <c r="AE91" s="158">
        <f>VLOOKUP($A91,'Over Under Bill 1 COPY 到CO欄位'!$1:$1048576,'Over Under Bill 1 COPY 到CO欄位'!AE$1,0)-VLOOKUP($A91,'Over Under Bill 1 COPY 到CO欄位'!$1:$1048576,'Over Under Bill 1 COPY 到CO欄位'!Z$1,0)</f>
        <v>0</v>
      </c>
      <c r="AF91" s="158">
        <f t="shared" si="125"/>
        <v>0</v>
      </c>
      <c r="AG91" s="157">
        <f>VLOOKUP($A91,'Over Under Bill 1 COPY 到CO欄位'!$1:$1048576,'Over Under Bill 1 COPY 到CO欄位'!AG$1,0)-VLOOKUP($A91,'Over Under Bill 1 COPY 到CO欄位'!$1:$1048576,'Over Under Bill 1 COPY 到CO欄位'!AB$1,0)</f>
        <v>0</v>
      </c>
      <c r="AH91" s="157">
        <f>VLOOKUP($A91,'Over Under Bill 1 COPY 到CO欄位'!$1:$1048576,'Over Under Bill 1 COPY 到CO欄位'!AH$1,0)-VLOOKUP($A91,'Over Under Bill 1 COPY 到CO欄位'!$1:$1048576,'Over Under Bill 1 COPY 到CO欄位'!AC$1,0)</f>
        <v>0</v>
      </c>
      <c r="AI91" s="157">
        <f t="shared" si="126"/>
        <v>0</v>
      </c>
      <c r="AJ91" s="157">
        <f>VLOOKUP($A91,'Over Under Bill 1 COPY 到CO欄位'!$1:$1048576,'Over Under Bill 1 COPY 到CO欄位'!AJ$1,0)-VLOOKUP($A91,'Over Under Bill 1 COPY 到CO欄位'!$1:$1048576,'Over Under Bill 1 COPY 到CO欄位'!AE$1,0)</f>
        <v>0</v>
      </c>
      <c r="AK91" s="157">
        <f t="shared" si="127"/>
        <v>0</v>
      </c>
      <c r="AL91" s="158">
        <f>VLOOKUP($A91,'Over Under Bill 1 COPY 到CO欄位'!$1:$1048576,'Over Under Bill 1 COPY 到CO欄位'!AL$1,0)-VLOOKUP($A91,'Over Under Bill 1 COPY 到CO欄位'!$1:$1048576,'Over Under Bill 1 COPY 到CO欄位'!AG$1,0)</f>
        <v>0</v>
      </c>
      <c r="AM91" s="158">
        <f>VLOOKUP($A91,'Over Under Bill 1 COPY 到CO欄位'!$1:$1048576,'Over Under Bill 1 COPY 到CO欄位'!AM$1,0)-VLOOKUP($A91,'Over Under Bill 1 COPY 到CO欄位'!$1:$1048576,'Over Under Bill 1 COPY 到CO欄位'!AH$1,0)</f>
        <v>0</v>
      </c>
      <c r="AN91" s="158">
        <f t="shared" si="128"/>
        <v>0</v>
      </c>
      <c r="AO91" s="158">
        <f>VLOOKUP($A91,'Over Under Bill 1 COPY 到CO欄位'!$1:$1048576,'Over Under Bill 1 COPY 到CO欄位'!AO$1,0)-VLOOKUP($A91,'Over Under Bill 1 COPY 到CO欄位'!$1:$1048576,'Over Under Bill 1 COPY 到CO欄位'!AJ$1,0)</f>
        <v>0</v>
      </c>
      <c r="AP91" s="158">
        <f t="shared" si="129"/>
        <v>0</v>
      </c>
      <c r="AQ91" s="157">
        <f>VLOOKUP($A91,'Over Under Bill 1 COPY 到CO欄位'!$1:$1048576,'Over Under Bill 1 COPY 到CO欄位'!AQ$1,0)-VLOOKUP($A91,'Over Under Bill 1 COPY 到CO欄位'!$1:$1048576,'Over Under Bill 1 COPY 到CO欄位'!AL$1,0)</f>
        <v>0</v>
      </c>
      <c r="AR91" s="157">
        <f>VLOOKUP($A91,'Over Under Bill 1 COPY 到CO欄位'!$1:$1048576,'Over Under Bill 1 COPY 到CO欄位'!AR$1,0)-VLOOKUP($A91,'Over Under Bill 1 COPY 到CO欄位'!$1:$1048576,'Over Under Bill 1 COPY 到CO欄位'!AM$1,0)</f>
        <v>0</v>
      </c>
      <c r="AS91" s="157">
        <f t="shared" si="130"/>
        <v>0</v>
      </c>
      <c r="AT91" s="157">
        <f>VLOOKUP($A91,'Over Under Bill 1 COPY 到CO欄位'!$1:$1048576,'Over Under Bill 1 COPY 到CO欄位'!AT$1,0)-VLOOKUP($A91,'Over Under Bill 1 COPY 到CO欄位'!$1:$1048576,'Over Under Bill 1 COPY 到CO欄位'!AO$1,0)</f>
        <v>0</v>
      </c>
      <c r="AU91" s="157">
        <f t="shared" si="131"/>
        <v>0</v>
      </c>
      <c r="AV91" s="158">
        <f>VLOOKUP($A91,'Over Under Bill 1 COPY 到CO欄位'!$1:$1048576,'Over Under Bill 1 COPY 到CO欄位'!AV$1,0)-VLOOKUP($A91,'Over Under Bill 1 COPY 到CO欄位'!$1:$1048576,'Over Under Bill 1 COPY 到CO欄位'!AQ$1,0)</f>
        <v>0</v>
      </c>
      <c r="AW91" s="158">
        <f>VLOOKUP($A91,'Over Under Bill 1 COPY 到CO欄位'!$1:$1048576,'Over Under Bill 1 COPY 到CO欄位'!AW$1,0)-VLOOKUP($A91,'Over Under Bill 1 COPY 到CO欄位'!$1:$1048576,'Over Under Bill 1 COPY 到CO欄位'!AR$1,0)</f>
        <v>0</v>
      </c>
      <c r="AX91" s="158">
        <f t="shared" si="132"/>
        <v>0</v>
      </c>
      <c r="AY91" s="158">
        <f>VLOOKUP($A91,'Over Under Bill 1 COPY 到CO欄位'!$1:$1048576,'Over Under Bill 1 COPY 到CO欄位'!AY$1,0)-VLOOKUP($A91,'Over Under Bill 1 COPY 到CO欄位'!$1:$1048576,'Over Under Bill 1 COPY 到CO欄位'!AT$1,0)</f>
        <v>0</v>
      </c>
      <c r="AZ91" s="158">
        <f t="shared" si="133"/>
        <v>0</v>
      </c>
      <c r="BA91" s="157">
        <f>VLOOKUP($A91,'Over Under Bill 1 COPY 到CO欄位'!$1:$1048576,'Over Under Bill 1 COPY 到CO欄位'!BA$1,0)-VLOOKUP($A91,'Over Under Bill 1 COPY 到CO欄位'!$1:$1048576,'Over Under Bill 1 COPY 到CO欄位'!AV$1,0)</f>
        <v>0</v>
      </c>
      <c r="BB91" s="157">
        <f>VLOOKUP($A91,'Over Under Bill 1 COPY 到CO欄位'!$1:$1048576,'Over Under Bill 1 COPY 到CO欄位'!BB$1,0)-VLOOKUP($A91,'Over Under Bill 1 COPY 到CO欄位'!$1:$1048576,'Over Under Bill 1 COPY 到CO欄位'!AW$1,0)</f>
        <v>0</v>
      </c>
      <c r="BC91" s="157">
        <f t="shared" si="134"/>
        <v>0</v>
      </c>
      <c r="BD91" s="157">
        <f>VLOOKUP($A91,'Over Under Bill 1 COPY 到CO欄位'!$1:$1048576,'Over Under Bill 1 COPY 到CO欄位'!BD$1,0)-VLOOKUP($A91,'Over Under Bill 1 COPY 到CO欄位'!$1:$1048576,'Over Under Bill 1 COPY 到CO欄位'!AY$1,0)</f>
        <v>0</v>
      </c>
      <c r="BE91" s="157">
        <f t="shared" si="135"/>
        <v>0</v>
      </c>
      <c r="BF91" s="158">
        <f>VLOOKUP($A91,'Over Under Bill 1 COPY 到CO欄位'!$1:$1048576,'Over Under Bill 1 COPY 到CO欄位'!BF$1,0)-VLOOKUP($A91,'Over Under Bill 1 COPY 到CO欄位'!$1:$1048576,'Over Under Bill 1 COPY 到CO欄位'!BA$1,0)</f>
        <v>0</v>
      </c>
      <c r="BG91" s="158">
        <f>VLOOKUP($A91,'Over Under Bill 1 COPY 到CO欄位'!$1:$1048576,'Over Under Bill 1 COPY 到CO欄位'!BG$1,0)-VLOOKUP($A91,'Over Under Bill 1 COPY 到CO欄位'!$1:$1048576,'Over Under Bill 1 COPY 到CO欄位'!BB$1,0)</f>
        <v>0</v>
      </c>
      <c r="BH91" s="158">
        <f t="shared" si="136"/>
        <v>0</v>
      </c>
      <c r="BI91" s="158">
        <f>VLOOKUP($A91,'Over Under Bill 1 COPY 到CO欄位'!$1:$1048576,'Over Under Bill 1 COPY 到CO欄位'!BI$1,0)-VLOOKUP($A91,'Over Under Bill 1 COPY 到CO欄位'!$1:$1048576,'Over Under Bill 1 COPY 到CO欄位'!BD$1,0)</f>
        <v>0</v>
      </c>
      <c r="BJ91" s="158">
        <f t="shared" si="137"/>
        <v>0</v>
      </c>
      <c r="BK91" s="157">
        <f>VLOOKUP($A91,'Over Under Bill 1 COPY 到CO欄位'!$1:$1048576,'Over Under Bill 1 COPY 到CO欄位'!BK$1,0)-VLOOKUP($A91,'Over Under Bill 1 COPY 到CO欄位'!$1:$1048576,'Over Under Bill 1 COPY 到CO欄位'!BF$1,0)</f>
        <v>0</v>
      </c>
      <c r="BL91" s="157">
        <f>VLOOKUP($A91,'Over Under Bill 1 COPY 到CO欄位'!$1:$1048576,'Over Under Bill 1 COPY 到CO欄位'!BL$1,0)-VLOOKUP($A91,'Over Under Bill 1 COPY 到CO欄位'!$1:$1048576,'Over Under Bill 1 COPY 到CO欄位'!BG$1,0)</f>
        <v>0</v>
      </c>
      <c r="BM91" s="157">
        <f t="shared" si="138"/>
        <v>0</v>
      </c>
      <c r="BN91" s="157">
        <f>VLOOKUP($A91,'Over Under Bill 1 COPY 到CO欄位'!$1:$1048576,'Over Under Bill 1 COPY 到CO欄位'!BN$1,0)-VLOOKUP($A91,'Over Under Bill 1 COPY 到CO欄位'!$1:$1048576,'Over Under Bill 1 COPY 到CO欄位'!BI$1,0)</f>
        <v>0</v>
      </c>
      <c r="BO91" s="157">
        <f t="shared" si="139"/>
        <v>0</v>
      </c>
      <c r="BP91" s="158">
        <f>VLOOKUP($A91,'Over Under Bill 1 COPY 到CO欄位'!$1:$1048576,'Over Under Bill 1 COPY 到CO欄位'!BP$1,0)-VLOOKUP($A91,'Over Under Bill 1 COPY 到CO欄位'!$1:$1048576,'Over Under Bill 1 COPY 到CO欄位'!BK$1,0)</f>
        <v>0</v>
      </c>
      <c r="BQ91" s="158">
        <f>VLOOKUP($A91,'Over Under Bill 1 COPY 到CO欄位'!$1:$1048576,'Over Under Bill 1 COPY 到CO欄位'!BQ$1,0)-VLOOKUP($A91,'Over Under Bill 1 COPY 到CO欄位'!$1:$1048576,'Over Under Bill 1 COPY 到CO欄位'!BL$1,0)</f>
        <v>0</v>
      </c>
      <c r="BR91" s="158">
        <f t="shared" si="140"/>
        <v>0</v>
      </c>
      <c r="BS91" s="158">
        <f>VLOOKUP($A91,'Over Under Bill 1 COPY 到CO欄位'!$1:$1048576,'Over Under Bill 1 COPY 到CO欄位'!BS$1,0)-VLOOKUP($A91,'Over Under Bill 1 COPY 到CO欄位'!$1:$1048576,'Over Under Bill 1 COPY 到CO欄位'!BN$1,0)</f>
        <v>0</v>
      </c>
      <c r="BT91" s="158">
        <f t="shared" si="141"/>
        <v>0</v>
      </c>
      <c r="BU91" s="157">
        <f>VLOOKUP($A91,'Over Under Bill 1 COPY 到CO欄位'!$1:$1048576,'Over Under Bill 1 COPY 到CO欄位'!BP$1,0)-VLOOKUP($A91,'Over Under Bill 1 COPY 到CO欄位'!$1:$1048576,'Over Under Bill 1 COPY 到CO欄位'!H$1,0)</f>
        <v>0</v>
      </c>
      <c r="BV91" s="157">
        <f>VLOOKUP($A91,'Over Under Bill 1 COPY 到CO欄位'!$1:$1048576,'Over Under Bill 1 COPY 到CO欄位'!BQ$1,0)-VLOOKUP($A91,'Over Under Bill 1 COPY 到CO欄位'!$1:$1048576,'Over Under Bill 1 COPY 到CO欄位'!I$1,0)</f>
        <v>0</v>
      </c>
      <c r="BW91" s="157">
        <f t="shared" si="142"/>
        <v>0</v>
      </c>
      <c r="BX91" s="157">
        <f>VLOOKUP($A91,'Over Under Bill 1 COPY 到CO欄位'!$1:$1048576,'Over Under Bill 1 COPY 到CO欄位'!BS$1,0)-VLOOKUP($A91,'Over Under Bill 1 COPY 到CO欄位'!$1:$1048576,'Over Under Bill 1 COPY 到CO欄位'!K$1,0)</f>
        <v>0</v>
      </c>
      <c r="BY91" s="157">
        <f t="shared" si="143"/>
        <v>0</v>
      </c>
      <c r="BZ91" s="158">
        <f>VLOOKUP($A91,'Over Under Bill 1 COPY 到CO欄位'!$1:$1048576,'Over Under Bill 1 COPY 到CO欄位'!BU$1,0)-VLOOKUP($A91,'Over Under Bill 1 COPY 到CO欄位'!$1:$1048576,'Over Under Bill 1 COPY 到CO欄位'!BP$1,0)</f>
        <v>0</v>
      </c>
      <c r="CA91" s="158">
        <f>VLOOKUP($A91,'Over Under Bill 1 COPY 到CO欄位'!$1:$1048576,'Over Under Bill 1 COPY 到CO欄位'!BV$1,0)-VLOOKUP($A91,'Over Under Bill 1 COPY 到CO欄位'!$1:$1048576,'Over Under Bill 1 COPY 到CO欄位'!BQ$1,0)</f>
        <v>0</v>
      </c>
      <c r="CB91" s="158">
        <f t="shared" si="144"/>
        <v>0</v>
      </c>
      <c r="CC91" s="158">
        <f>VLOOKUP($A91,'Over Under Bill 1 COPY 到CO欄位'!$1:$1048576,'Over Under Bill 1 COPY 到CO欄位'!BX$1,0)-VLOOKUP($A91,'Over Under Bill 1 COPY 到CO欄位'!$1:$1048576,'Over Under Bill 1 COPY 到CO欄位'!BS$1,0)</f>
        <v>0</v>
      </c>
      <c r="CD91" s="158">
        <f t="shared" si="145"/>
        <v>0</v>
      </c>
      <c r="CE91" s="157">
        <f>VLOOKUP($A91,'Over Under Bill 1 COPY 到CO欄位'!$1:$1048576,'Over Under Bill 1 COPY 到CO欄位'!BZ$1,0)-VLOOKUP($A91,'Over Under Bill 1 COPY 到CO欄位'!$1:$1048576,'Over Under Bill 1 COPY 到CO欄位'!BU$1,0)</f>
        <v>0</v>
      </c>
      <c r="CF91" s="157">
        <f>VLOOKUP($A91,'Over Under Bill 1 COPY 到CO欄位'!$1:$1048576,'Over Under Bill 1 COPY 到CO欄位'!CA$1,0)-VLOOKUP($A91,'Over Under Bill 1 COPY 到CO欄位'!$1:$1048576,'Over Under Bill 1 COPY 到CO欄位'!BV$1,0)</f>
        <v>0</v>
      </c>
      <c r="CG91" s="157">
        <f t="shared" si="146"/>
        <v>0</v>
      </c>
      <c r="CH91" s="157">
        <f>VLOOKUP($A91,'Over Under Bill 1 COPY 到CO欄位'!$1:$1048576,'Over Under Bill 1 COPY 到CO欄位'!CC$1,0)-VLOOKUP($A91,'Over Under Bill 1 COPY 到CO欄位'!$1:$1048576,'Over Under Bill 1 COPY 到CO欄位'!BX$1,0)</f>
        <v>0</v>
      </c>
      <c r="CI91" s="157">
        <f t="shared" si="147"/>
        <v>0</v>
      </c>
      <c r="CJ91" s="158">
        <f>VLOOKUP($A91,'Over Under Bill 1 COPY 到CO欄位'!$1:$1048576,'Over Under Bill 1 COPY 到CO欄位'!CE$1,0)-VLOOKUP($A91,'Over Under Bill 1 COPY 到CO欄位'!$1:$1048576,'Over Under Bill 1 COPY 到CO欄位'!BZ$1,0)</f>
        <v>0</v>
      </c>
      <c r="CK91" s="158">
        <f>VLOOKUP($A91,'Over Under Bill 1 COPY 到CO欄位'!$1:$1048576,'Over Under Bill 1 COPY 到CO欄位'!CF$1,0)-VLOOKUP($A91,'Over Under Bill 1 COPY 到CO欄位'!$1:$1048576,'Over Under Bill 1 COPY 到CO欄位'!CA$1,0)</f>
        <v>0</v>
      </c>
      <c r="CL91" s="158">
        <f t="shared" si="148"/>
        <v>0</v>
      </c>
      <c r="CM91" s="158">
        <f>VLOOKUP($A91,'Over Under Bill 1 COPY 到CO欄位'!$1:$1048576,'Over Under Bill 1 COPY 到CO欄位'!CH$1,0)-VLOOKUP($A91,'Over Under Bill 1 COPY 到CO欄位'!$1:$1048576,'Over Under Bill 1 COPY 到CO欄位'!CC$1,0)</f>
        <v>0</v>
      </c>
      <c r="CN91" s="158">
        <f t="shared" si="149"/>
        <v>0</v>
      </c>
      <c r="CO91" s="157">
        <f>VLOOKUP($A91,'Over Under Bill 1 COPY 到CO欄位'!$1:$1048576,'Over Under Bill 1 COPY 到CO欄位'!CJ$1,0)-VLOOKUP($A91,'Over Under Bill 1 COPY 到CO欄位'!$1:$1048576,'Over Under Bill 1 COPY 到CO欄位'!CE$1,0)</f>
        <v>0</v>
      </c>
      <c r="CP91" s="157">
        <f>VLOOKUP($A91,'Over Under Bill 1 COPY 到CO欄位'!$1:$1048576,'Over Under Bill 1 COPY 到CO欄位'!CK$1,0)-VLOOKUP($A91,'Over Under Bill 1 COPY 到CO欄位'!$1:$1048576,'Over Under Bill 1 COPY 到CO欄位'!CF$1,0)</f>
        <v>0</v>
      </c>
      <c r="CQ91" s="157">
        <f t="shared" si="150"/>
        <v>0</v>
      </c>
      <c r="CR91" s="157">
        <f>VLOOKUP($A91,'Over Under Bill 1 COPY 到CO欄位'!$1:$1048576,'Over Under Bill 1 COPY 到CO欄位'!CM$1,0)-VLOOKUP($A91,'Over Under Bill 1 COPY 到CO欄位'!$1:$1048576,'Over Under Bill 1 COPY 到CO欄位'!CH$1,0)</f>
        <v>0</v>
      </c>
      <c r="CS91" s="157">
        <f t="shared" si="151"/>
        <v>0</v>
      </c>
    </row>
    <row r="92" spans="1:97">
      <c r="A92" s="179" t="s">
        <v>471</v>
      </c>
      <c r="B92" s="172" t="s">
        <v>472</v>
      </c>
      <c r="C92" s="157">
        <f>IFERROR(VLOOKUP($A92,'A0 BS 1240在建'!$1:$1048576,5,0),0)</f>
        <v>0</v>
      </c>
      <c r="D92" s="157">
        <f>IFERROR(VLOOKUP($A92,'B0 2264預收'!$1:$1048576,5,0),0)</f>
        <v>0</v>
      </c>
      <c r="E92" s="157">
        <f t="shared" si="114"/>
        <v>0</v>
      </c>
      <c r="F92" s="157">
        <f>IFERROR(VLOOKUP($A92,'B0 2264預收'!$1:$1048576,6,0),0)</f>
        <v>0</v>
      </c>
      <c r="G92" s="157">
        <f t="shared" si="115"/>
        <v>0</v>
      </c>
      <c r="H92" s="158">
        <f>IFERROR(VLOOKUP($A92,'A0 BS 1240在建'!$1:$1048576,13,0),0)-C92</f>
        <v>0</v>
      </c>
      <c r="I92" s="158">
        <f>IFERROR(VLOOKUP($A92,'B0 2264預收'!$1:$1048576,13,0),0)-D92</f>
        <v>0</v>
      </c>
      <c r="J92" s="158">
        <f t="shared" si="116"/>
        <v>0</v>
      </c>
      <c r="K92" s="158">
        <f>IFERROR(VLOOKUP($A92,'B0 2264預收'!$1:$1048576,14,0),0)-F92</f>
        <v>0</v>
      </c>
      <c r="L92" s="158">
        <f t="shared" si="117"/>
        <v>0</v>
      </c>
      <c r="M92" s="157">
        <f>VLOOKUP($A92,'Over Under Bill 1 COPY 到CO欄位'!$1:$1048576,'Over Under Bill 1 COPY 到CO欄位'!M$1,0)-VLOOKUP($A92,'Over Under Bill 1 COPY 到CO欄位'!$1:$1048576,'Over Under Bill 1 COPY 到CO欄位'!H$1,0)</f>
        <v>0</v>
      </c>
      <c r="N92" s="157">
        <f>VLOOKUP($A92,'Over Under Bill 1 COPY 到CO欄位'!$1:$1048576,'Over Under Bill 1 COPY 到CO欄位'!N$1,0)-VLOOKUP($A92,'Over Under Bill 1 COPY 到CO欄位'!$1:$1048576,'Over Under Bill 1 COPY 到CO欄位'!I$1,0)</f>
        <v>0</v>
      </c>
      <c r="O92" s="157">
        <f t="shared" si="118"/>
        <v>0</v>
      </c>
      <c r="P92" s="157">
        <f>VLOOKUP($A92,'Over Under Bill 1 COPY 到CO欄位'!$1:$1048576,'Over Under Bill 1 COPY 到CO欄位'!P$1,0)-VLOOKUP($A92,'Over Under Bill 1 COPY 到CO欄位'!$1:$1048576,'Over Under Bill 1 COPY 到CO欄位'!K$1,0)</f>
        <v>0</v>
      </c>
      <c r="Q92" s="157">
        <f t="shared" si="119"/>
        <v>0</v>
      </c>
      <c r="R92" s="158">
        <f>VLOOKUP($A92,'Over Under Bill 1 COPY 到CO欄位'!$1:$1048576,'Over Under Bill 1 COPY 到CO欄位'!R$1,0)-VLOOKUP($A92,'Over Under Bill 1 COPY 到CO欄位'!$1:$1048576,'Over Under Bill 1 COPY 到CO欄位'!M$1,0)</f>
        <v>0</v>
      </c>
      <c r="S92" s="158">
        <f>VLOOKUP($A92,'Over Under Bill 1 COPY 到CO欄位'!$1:$1048576,'Over Under Bill 1 COPY 到CO欄位'!S$1,0)-VLOOKUP($A92,'Over Under Bill 1 COPY 到CO欄位'!$1:$1048576,'Over Under Bill 1 COPY 到CO欄位'!N$1,0)</f>
        <v>0</v>
      </c>
      <c r="T92" s="158">
        <f t="shared" si="120"/>
        <v>0</v>
      </c>
      <c r="U92" s="158">
        <f>VLOOKUP($A92,'Over Under Bill 1 COPY 到CO欄位'!$1:$1048576,'Over Under Bill 1 COPY 到CO欄位'!U$1,0)-VLOOKUP($A92,'Over Under Bill 1 COPY 到CO欄位'!$1:$1048576,'Over Under Bill 1 COPY 到CO欄位'!P$1,0)</f>
        <v>0</v>
      </c>
      <c r="V92" s="158">
        <f t="shared" si="121"/>
        <v>0</v>
      </c>
      <c r="W92" s="157">
        <f>VLOOKUP($A92,'Over Under Bill 1 COPY 到CO欄位'!$1:$1048576,'Over Under Bill 1 COPY 到CO欄位'!W$1,0)-VLOOKUP($A92,'Over Under Bill 1 COPY 到CO欄位'!$1:$1048576,'Over Under Bill 1 COPY 到CO欄位'!R$1,0)</f>
        <v>0</v>
      </c>
      <c r="X92" s="157">
        <f>VLOOKUP($A92,'Over Under Bill 1 COPY 到CO欄位'!$1:$1048576,'Over Under Bill 1 COPY 到CO欄位'!X$1,0)-VLOOKUP($A92,'Over Under Bill 1 COPY 到CO欄位'!$1:$1048576,'Over Under Bill 1 COPY 到CO欄位'!S$1,0)</f>
        <v>0</v>
      </c>
      <c r="Y92" s="157">
        <f t="shared" si="122"/>
        <v>0</v>
      </c>
      <c r="Z92" s="157">
        <f>VLOOKUP($A92,'Over Under Bill 1 COPY 到CO欄位'!$1:$1048576,'Over Under Bill 1 COPY 到CO欄位'!Z$1,0)-VLOOKUP($A92,'Over Under Bill 1 COPY 到CO欄位'!$1:$1048576,'Over Under Bill 1 COPY 到CO欄位'!U$1,0)</f>
        <v>0</v>
      </c>
      <c r="AA92" s="157">
        <f t="shared" si="123"/>
        <v>0</v>
      </c>
      <c r="AB92" s="158">
        <f>VLOOKUP($A92,'Over Under Bill 1 COPY 到CO欄位'!$1:$1048576,'Over Under Bill 1 COPY 到CO欄位'!AB$1,0)-VLOOKUP($A92,'Over Under Bill 1 COPY 到CO欄位'!$1:$1048576,'Over Under Bill 1 COPY 到CO欄位'!W$1,0)</f>
        <v>0</v>
      </c>
      <c r="AC92" s="158">
        <f>VLOOKUP($A92,'Over Under Bill 1 COPY 到CO欄位'!$1:$1048576,'Over Under Bill 1 COPY 到CO欄位'!AC$1,0)-VLOOKUP($A92,'Over Under Bill 1 COPY 到CO欄位'!$1:$1048576,'Over Under Bill 1 COPY 到CO欄位'!X$1,0)</f>
        <v>0</v>
      </c>
      <c r="AD92" s="158">
        <f t="shared" si="124"/>
        <v>0</v>
      </c>
      <c r="AE92" s="158">
        <f>VLOOKUP($A92,'Over Under Bill 1 COPY 到CO欄位'!$1:$1048576,'Over Under Bill 1 COPY 到CO欄位'!AE$1,0)-VLOOKUP($A92,'Over Under Bill 1 COPY 到CO欄位'!$1:$1048576,'Over Under Bill 1 COPY 到CO欄位'!Z$1,0)</f>
        <v>0</v>
      </c>
      <c r="AF92" s="158">
        <f t="shared" si="125"/>
        <v>0</v>
      </c>
      <c r="AG92" s="157">
        <f>VLOOKUP($A92,'Over Under Bill 1 COPY 到CO欄位'!$1:$1048576,'Over Under Bill 1 COPY 到CO欄位'!AG$1,0)-VLOOKUP($A92,'Over Under Bill 1 COPY 到CO欄位'!$1:$1048576,'Over Under Bill 1 COPY 到CO欄位'!AB$1,0)</f>
        <v>0</v>
      </c>
      <c r="AH92" s="157">
        <f>VLOOKUP($A92,'Over Under Bill 1 COPY 到CO欄位'!$1:$1048576,'Over Under Bill 1 COPY 到CO欄位'!AH$1,0)-VLOOKUP($A92,'Over Under Bill 1 COPY 到CO欄位'!$1:$1048576,'Over Under Bill 1 COPY 到CO欄位'!AC$1,0)</f>
        <v>0</v>
      </c>
      <c r="AI92" s="157">
        <f t="shared" si="126"/>
        <v>0</v>
      </c>
      <c r="AJ92" s="157">
        <f>VLOOKUP($A92,'Over Under Bill 1 COPY 到CO欄位'!$1:$1048576,'Over Under Bill 1 COPY 到CO欄位'!AJ$1,0)-VLOOKUP($A92,'Over Under Bill 1 COPY 到CO欄位'!$1:$1048576,'Over Under Bill 1 COPY 到CO欄位'!AE$1,0)</f>
        <v>0</v>
      </c>
      <c r="AK92" s="157">
        <f t="shared" si="127"/>
        <v>0</v>
      </c>
      <c r="AL92" s="158">
        <f>VLOOKUP($A92,'Over Under Bill 1 COPY 到CO欄位'!$1:$1048576,'Over Under Bill 1 COPY 到CO欄位'!AL$1,0)-VLOOKUP($A92,'Over Under Bill 1 COPY 到CO欄位'!$1:$1048576,'Over Under Bill 1 COPY 到CO欄位'!AG$1,0)</f>
        <v>0</v>
      </c>
      <c r="AM92" s="158">
        <f>VLOOKUP($A92,'Over Under Bill 1 COPY 到CO欄位'!$1:$1048576,'Over Under Bill 1 COPY 到CO欄位'!AM$1,0)-VLOOKUP($A92,'Over Under Bill 1 COPY 到CO欄位'!$1:$1048576,'Over Under Bill 1 COPY 到CO欄位'!AH$1,0)</f>
        <v>0</v>
      </c>
      <c r="AN92" s="158">
        <f t="shared" si="128"/>
        <v>0</v>
      </c>
      <c r="AO92" s="158">
        <f>VLOOKUP($A92,'Over Under Bill 1 COPY 到CO欄位'!$1:$1048576,'Over Under Bill 1 COPY 到CO欄位'!AO$1,0)-VLOOKUP($A92,'Over Under Bill 1 COPY 到CO欄位'!$1:$1048576,'Over Under Bill 1 COPY 到CO欄位'!AJ$1,0)</f>
        <v>0</v>
      </c>
      <c r="AP92" s="158">
        <f t="shared" si="129"/>
        <v>0</v>
      </c>
      <c r="AQ92" s="157">
        <f>VLOOKUP($A92,'Over Under Bill 1 COPY 到CO欄位'!$1:$1048576,'Over Under Bill 1 COPY 到CO欄位'!AQ$1,0)-VLOOKUP($A92,'Over Under Bill 1 COPY 到CO欄位'!$1:$1048576,'Over Under Bill 1 COPY 到CO欄位'!AL$1,0)</f>
        <v>0</v>
      </c>
      <c r="AR92" s="157">
        <f>VLOOKUP($A92,'Over Under Bill 1 COPY 到CO欄位'!$1:$1048576,'Over Under Bill 1 COPY 到CO欄位'!AR$1,0)-VLOOKUP($A92,'Over Under Bill 1 COPY 到CO欄位'!$1:$1048576,'Over Under Bill 1 COPY 到CO欄位'!AM$1,0)</f>
        <v>0</v>
      </c>
      <c r="AS92" s="157">
        <f t="shared" si="130"/>
        <v>0</v>
      </c>
      <c r="AT92" s="157">
        <f>VLOOKUP($A92,'Over Under Bill 1 COPY 到CO欄位'!$1:$1048576,'Over Under Bill 1 COPY 到CO欄位'!AT$1,0)-VLOOKUP($A92,'Over Under Bill 1 COPY 到CO欄位'!$1:$1048576,'Over Under Bill 1 COPY 到CO欄位'!AO$1,0)</f>
        <v>0</v>
      </c>
      <c r="AU92" s="157">
        <f t="shared" si="131"/>
        <v>0</v>
      </c>
      <c r="AV92" s="158">
        <f>VLOOKUP($A92,'Over Under Bill 1 COPY 到CO欄位'!$1:$1048576,'Over Under Bill 1 COPY 到CO欄位'!AV$1,0)-VLOOKUP($A92,'Over Under Bill 1 COPY 到CO欄位'!$1:$1048576,'Over Under Bill 1 COPY 到CO欄位'!AQ$1,0)</f>
        <v>0</v>
      </c>
      <c r="AW92" s="158">
        <f>VLOOKUP($A92,'Over Under Bill 1 COPY 到CO欄位'!$1:$1048576,'Over Under Bill 1 COPY 到CO欄位'!AW$1,0)-VLOOKUP($A92,'Over Under Bill 1 COPY 到CO欄位'!$1:$1048576,'Over Under Bill 1 COPY 到CO欄位'!AR$1,0)</f>
        <v>0</v>
      </c>
      <c r="AX92" s="158">
        <f t="shared" si="132"/>
        <v>0</v>
      </c>
      <c r="AY92" s="158">
        <f>VLOOKUP($A92,'Over Under Bill 1 COPY 到CO欄位'!$1:$1048576,'Over Under Bill 1 COPY 到CO欄位'!AY$1,0)-VLOOKUP($A92,'Over Under Bill 1 COPY 到CO欄位'!$1:$1048576,'Over Under Bill 1 COPY 到CO欄位'!AT$1,0)</f>
        <v>0</v>
      </c>
      <c r="AZ92" s="158">
        <f t="shared" si="133"/>
        <v>0</v>
      </c>
      <c r="BA92" s="157">
        <f>VLOOKUP($A92,'Over Under Bill 1 COPY 到CO欄位'!$1:$1048576,'Over Under Bill 1 COPY 到CO欄位'!BA$1,0)-VLOOKUP($A92,'Over Under Bill 1 COPY 到CO欄位'!$1:$1048576,'Over Under Bill 1 COPY 到CO欄位'!AV$1,0)</f>
        <v>0</v>
      </c>
      <c r="BB92" s="157">
        <f>VLOOKUP($A92,'Over Under Bill 1 COPY 到CO欄位'!$1:$1048576,'Over Under Bill 1 COPY 到CO欄位'!BB$1,0)-VLOOKUP($A92,'Over Under Bill 1 COPY 到CO欄位'!$1:$1048576,'Over Under Bill 1 COPY 到CO欄位'!AW$1,0)</f>
        <v>0</v>
      </c>
      <c r="BC92" s="157">
        <f t="shared" si="134"/>
        <v>0</v>
      </c>
      <c r="BD92" s="157">
        <f>VLOOKUP($A92,'Over Under Bill 1 COPY 到CO欄位'!$1:$1048576,'Over Under Bill 1 COPY 到CO欄位'!BD$1,0)-VLOOKUP($A92,'Over Under Bill 1 COPY 到CO欄位'!$1:$1048576,'Over Under Bill 1 COPY 到CO欄位'!AY$1,0)</f>
        <v>0</v>
      </c>
      <c r="BE92" s="157">
        <f t="shared" si="135"/>
        <v>0</v>
      </c>
      <c r="BF92" s="158">
        <f>VLOOKUP($A92,'Over Under Bill 1 COPY 到CO欄位'!$1:$1048576,'Over Under Bill 1 COPY 到CO欄位'!BF$1,0)-VLOOKUP($A92,'Over Under Bill 1 COPY 到CO欄位'!$1:$1048576,'Over Under Bill 1 COPY 到CO欄位'!BA$1,0)</f>
        <v>0</v>
      </c>
      <c r="BG92" s="158">
        <f>VLOOKUP($A92,'Over Under Bill 1 COPY 到CO欄位'!$1:$1048576,'Over Under Bill 1 COPY 到CO欄位'!BG$1,0)-VLOOKUP($A92,'Over Under Bill 1 COPY 到CO欄位'!$1:$1048576,'Over Under Bill 1 COPY 到CO欄位'!BB$1,0)</f>
        <v>0</v>
      </c>
      <c r="BH92" s="158">
        <f t="shared" si="136"/>
        <v>0</v>
      </c>
      <c r="BI92" s="158">
        <f>VLOOKUP($A92,'Over Under Bill 1 COPY 到CO欄位'!$1:$1048576,'Over Under Bill 1 COPY 到CO欄位'!BI$1,0)-VLOOKUP($A92,'Over Under Bill 1 COPY 到CO欄位'!$1:$1048576,'Over Under Bill 1 COPY 到CO欄位'!BD$1,0)</f>
        <v>0</v>
      </c>
      <c r="BJ92" s="158">
        <f t="shared" si="137"/>
        <v>0</v>
      </c>
      <c r="BK92" s="157">
        <f>VLOOKUP($A92,'Over Under Bill 1 COPY 到CO欄位'!$1:$1048576,'Over Under Bill 1 COPY 到CO欄位'!BK$1,0)-VLOOKUP($A92,'Over Under Bill 1 COPY 到CO欄位'!$1:$1048576,'Over Under Bill 1 COPY 到CO欄位'!BF$1,0)</f>
        <v>0</v>
      </c>
      <c r="BL92" s="157">
        <f>VLOOKUP($A92,'Over Under Bill 1 COPY 到CO欄位'!$1:$1048576,'Over Under Bill 1 COPY 到CO欄位'!BL$1,0)-VLOOKUP($A92,'Over Under Bill 1 COPY 到CO欄位'!$1:$1048576,'Over Under Bill 1 COPY 到CO欄位'!BG$1,0)</f>
        <v>0</v>
      </c>
      <c r="BM92" s="157">
        <f t="shared" si="138"/>
        <v>0</v>
      </c>
      <c r="BN92" s="157">
        <f>VLOOKUP($A92,'Over Under Bill 1 COPY 到CO欄位'!$1:$1048576,'Over Under Bill 1 COPY 到CO欄位'!BN$1,0)-VLOOKUP($A92,'Over Under Bill 1 COPY 到CO欄位'!$1:$1048576,'Over Under Bill 1 COPY 到CO欄位'!BI$1,0)</f>
        <v>0</v>
      </c>
      <c r="BO92" s="157">
        <f t="shared" si="139"/>
        <v>0</v>
      </c>
      <c r="BP92" s="158">
        <f>VLOOKUP($A92,'Over Under Bill 1 COPY 到CO欄位'!$1:$1048576,'Over Under Bill 1 COPY 到CO欄位'!BP$1,0)-VLOOKUP($A92,'Over Under Bill 1 COPY 到CO欄位'!$1:$1048576,'Over Under Bill 1 COPY 到CO欄位'!BK$1,0)</f>
        <v>0</v>
      </c>
      <c r="BQ92" s="158">
        <f>VLOOKUP($A92,'Over Under Bill 1 COPY 到CO欄位'!$1:$1048576,'Over Under Bill 1 COPY 到CO欄位'!BQ$1,0)-VLOOKUP($A92,'Over Under Bill 1 COPY 到CO欄位'!$1:$1048576,'Over Under Bill 1 COPY 到CO欄位'!BL$1,0)</f>
        <v>0</v>
      </c>
      <c r="BR92" s="158">
        <f t="shared" si="140"/>
        <v>0</v>
      </c>
      <c r="BS92" s="158">
        <f>VLOOKUP($A92,'Over Under Bill 1 COPY 到CO欄位'!$1:$1048576,'Over Under Bill 1 COPY 到CO欄位'!BS$1,0)-VLOOKUP($A92,'Over Under Bill 1 COPY 到CO欄位'!$1:$1048576,'Over Under Bill 1 COPY 到CO欄位'!BN$1,0)</f>
        <v>0</v>
      </c>
      <c r="BT92" s="158">
        <f t="shared" si="141"/>
        <v>0</v>
      </c>
      <c r="BU92" s="157">
        <f>VLOOKUP($A92,'Over Under Bill 1 COPY 到CO欄位'!$1:$1048576,'Over Under Bill 1 COPY 到CO欄位'!BP$1,0)-VLOOKUP($A92,'Over Under Bill 1 COPY 到CO欄位'!$1:$1048576,'Over Under Bill 1 COPY 到CO欄位'!H$1,0)</f>
        <v>0</v>
      </c>
      <c r="BV92" s="157">
        <f>VLOOKUP($A92,'Over Under Bill 1 COPY 到CO欄位'!$1:$1048576,'Over Under Bill 1 COPY 到CO欄位'!BQ$1,0)-VLOOKUP($A92,'Over Under Bill 1 COPY 到CO欄位'!$1:$1048576,'Over Under Bill 1 COPY 到CO欄位'!I$1,0)</f>
        <v>0</v>
      </c>
      <c r="BW92" s="157">
        <f t="shared" si="142"/>
        <v>0</v>
      </c>
      <c r="BX92" s="157">
        <f>VLOOKUP($A92,'Over Under Bill 1 COPY 到CO欄位'!$1:$1048576,'Over Under Bill 1 COPY 到CO欄位'!BS$1,0)-VLOOKUP($A92,'Over Under Bill 1 COPY 到CO欄位'!$1:$1048576,'Over Under Bill 1 COPY 到CO欄位'!K$1,0)</f>
        <v>0</v>
      </c>
      <c r="BY92" s="157">
        <f t="shared" si="143"/>
        <v>0</v>
      </c>
      <c r="BZ92" s="158">
        <f>VLOOKUP($A92,'Over Under Bill 1 COPY 到CO欄位'!$1:$1048576,'Over Under Bill 1 COPY 到CO欄位'!BU$1,0)-VLOOKUP($A92,'Over Under Bill 1 COPY 到CO欄位'!$1:$1048576,'Over Under Bill 1 COPY 到CO欄位'!BP$1,0)</f>
        <v>0</v>
      </c>
      <c r="CA92" s="158">
        <f>VLOOKUP($A92,'Over Under Bill 1 COPY 到CO欄位'!$1:$1048576,'Over Under Bill 1 COPY 到CO欄位'!BV$1,0)-VLOOKUP($A92,'Over Under Bill 1 COPY 到CO欄位'!$1:$1048576,'Over Under Bill 1 COPY 到CO欄位'!BQ$1,0)</f>
        <v>0</v>
      </c>
      <c r="CB92" s="158">
        <f t="shared" si="144"/>
        <v>0</v>
      </c>
      <c r="CC92" s="158">
        <f>VLOOKUP($A92,'Over Under Bill 1 COPY 到CO欄位'!$1:$1048576,'Over Under Bill 1 COPY 到CO欄位'!BX$1,0)-VLOOKUP($A92,'Over Under Bill 1 COPY 到CO欄位'!$1:$1048576,'Over Under Bill 1 COPY 到CO欄位'!BS$1,0)</f>
        <v>0</v>
      </c>
      <c r="CD92" s="158">
        <f t="shared" si="145"/>
        <v>0</v>
      </c>
      <c r="CE92" s="157">
        <f>VLOOKUP($A92,'Over Under Bill 1 COPY 到CO欄位'!$1:$1048576,'Over Under Bill 1 COPY 到CO欄位'!BZ$1,0)-VLOOKUP($A92,'Over Under Bill 1 COPY 到CO欄位'!$1:$1048576,'Over Under Bill 1 COPY 到CO欄位'!BU$1,0)</f>
        <v>0</v>
      </c>
      <c r="CF92" s="157">
        <f>VLOOKUP($A92,'Over Under Bill 1 COPY 到CO欄位'!$1:$1048576,'Over Under Bill 1 COPY 到CO欄位'!CA$1,0)-VLOOKUP($A92,'Over Under Bill 1 COPY 到CO欄位'!$1:$1048576,'Over Under Bill 1 COPY 到CO欄位'!BV$1,0)</f>
        <v>0</v>
      </c>
      <c r="CG92" s="157">
        <f t="shared" si="146"/>
        <v>0</v>
      </c>
      <c r="CH92" s="157">
        <f>VLOOKUP($A92,'Over Under Bill 1 COPY 到CO欄位'!$1:$1048576,'Over Under Bill 1 COPY 到CO欄位'!CC$1,0)-VLOOKUP($A92,'Over Under Bill 1 COPY 到CO欄位'!$1:$1048576,'Over Under Bill 1 COPY 到CO欄位'!BX$1,0)</f>
        <v>0</v>
      </c>
      <c r="CI92" s="157">
        <f t="shared" si="147"/>
        <v>0</v>
      </c>
      <c r="CJ92" s="158">
        <f>VLOOKUP($A92,'Over Under Bill 1 COPY 到CO欄位'!$1:$1048576,'Over Under Bill 1 COPY 到CO欄位'!CE$1,0)-VLOOKUP($A92,'Over Under Bill 1 COPY 到CO欄位'!$1:$1048576,'Over Under Bill 1 COPY 到CO欄位'!BZ$1,0)</f>
        <v>0</v>
      </c>
      <c r="CK92" s="158">
        <f>VLOOKUP($A92,'Over Under Bill 1 COPY 到CO欄位'!$1:$1048576,'Over Under Bill 1 COPY 到CO欄位'!CF$1,0)-VLOOKUP($A92,'Over Under Bill 1 COPY 到CO欄位'!$1:$1048576,'Over Under Bill 1 COPY 到CO欄位'!CA$1,0)</f>
        <v>0</v>
      </c>
      <c r="CL92" s="158">
        <f t="shared" si="148"/>
        <v>0</v>
      </c>
      <c r="CM92" s="158">
        <f>VLOOKUP($A92,'Over Under Bill 1 COPY 到CO欄位'!$1:$1048576,'Over Under Bill 1 COPY 到CO欄位'!CH$1,0)-VLOOKUP($A92,'Over Under Bill 1 COPY 到CO欄位'!$1:$1048576,'Over Under Bill 1 COPY 到CO欄位'!CC$1,0)</f>
        <v>0</v>
      </c>
      <c r="CN92" s="158">
        <f t="shared" si="149"/>
        <v>0</v>
      </c>
      <c r="CO92" s="157">
        <f>VLOOKUP($A92,'Over Under Bill 1 COPY 到CO欄位'!$1:$1048576,'Over Under Bill 1 COPY 到CO欄位'!CJ$1,0)-VLOOKUP($A92,'Over Under Bill 1 COPY 到CO欄位'!$1:$1048576,'Over Under Bill 1 COPY 到CO欄位'!CE$1,0)</f>
        <v>0</v>
      </c>
      <c r="CP92" s="157">
        <f>VLOOKUP($A92,'Over Under Bill 1 COPY 到CO欄位'!$1:$1048576,'Over Under Bill 1 COPY 到CO欄位'!CK$1,0)-VLOOKUP($A92,'Over Under Bill 1 COPY 到CO欄位'!$1:$1048576,'Over Under Bill 1 COPY 到CO欄位'!CF$1,0)</f>
        <v>0</v>
      </c>
      <c r="CQ92" s="157">
        <f t="shared" si="150"/>
        <v>0</v>
      </c>
      <c r="CR92" s="157">
        <f>VLOOKUP($A92,'Over Under Bill 1 COPY 到CO欄位'!$1:$1048576,'Over Under Bill 1 COPY 到CO欄位'!CM$1,0)-VLOOKUP($A92,'Over Under Bill 1 COPY 到CO欄位'!$1:$1048576,'Over Under Bill 1 COPY 到CO欄位'!CH$1,0)</f>
        <v>0</v>
      </c>
      <c r="CS92" s="157">
        <f t="shared" si="151"/>
        <v>0</v>
      </c>
    </row>
    <row r="93" spans="1:97">
      <c r="A93" s="179" t="s">
        <v>473</v>
      </c>
      <c r="B93" s="172" t="s">
        <v>474</v>
      </c>
      <c r="C93" s="157">
        <f>IFERROR(VLOOKUP($A93,'A0 BS 1240在建'!$1:$1048576,5,0),0)</f>
        <v>0</v>
      </c>
      <c r="D93" s="157">
        <f>IFERROR(VLOOKUP($A93,'B0 2264預收'!$1:$1048576,5,0),0)</f>
        <v>0</v>
      </c>
      <c r="E93" s="157">
        <f t="shared" si="114"/>
        <v>0</v>
      </c>
      <c r="F93" s="157">
        <f>IFERROR(VLOOKUP($A93,'B0 2264預收'!$1:$1048576,6,0),0)</f>
        <v>0</v>
      </c>
      <c r="G93" s="157">
        <f t="shared" si="115"/>
        <v>0</v>
      </c>
      <c r="H93" s="158">
        <f>IFERROR(VLOOKUP($A93,'A0 BS 1240在建'!$1:$1048576,13,0),0)-C93</f>
        <v>0</v>
      </c>
      <c r="I93" s="158">
        <f>IFERROR(VLOOKUP($A93,'B0 2264預收'!$1:$1048576,13,0),0)-D93</f>
        <v>0</v>
      </c>
      <c r="J93" s="158">
        <f t="shared" si="116"/>
        <v>0</v>
      </c>
      <c r="K93" s="158">
        <f>IFERROR(VLOOKUP($A93,'B0 2264預收'!$1:$1048576,14,0),0)-F93</f>
        <v>0</v>
      </c>
      <c r="L93" s="158">
        <f t="shared" si="117"/>
        <v>0</v>
      </c>
      <c r="M93" s="157">
        <f>VLOOKUP($A93,'Over Under Bill 1 COPY 到CO欄位'!$1:$1048576,'Over Under Bill 1 COPY 到CO欄位'!M$1,0)-VLOOKUP($A93,'Over Under Bill 1 COPY 到CO欄位'!$1:$1048576,'Over Under Bill 1 COPY 到CO欄位'!H$1,0)</f>
        <v>0</v>
      </c>
      <c r="N93" s="157">
        <f>VLOOKUP($A93,'Over Under Bill 1 COPY 到CO欄位'!$1:$1048576,'Over Under Bill 1 COPY 到CO欄位'!N$1,0)-VLOOKUP($A93,'Over Under Bill 1 COPY 到CO欄位'!$1:$1048576,'Over Under Bill 1 COPY 到CO欄位'!I$1,0)</f>
        <v>0</v>
      </c>
      <c r="O93" s="157">
        <f t="shared" si="118"/>
        <v>0</v>
      </c>
      <c r="P93" s="157">
        <f>VLOOKUP($A93,'Over Under Bill 1 COPY 到CO欄位'!$1:$1048576,'Over Under Bill 1 COPY 到CO欄位'!P$1,0)-VLOOKUP($A93,'Over Under Bill 1 COPY 到CO欄位'!$1:$1048576,'Over Under Bill 1 COPY 到CO欄位'!K$1,0)</f>
        <v>0</v>
      </c>
      <c r="Q93" s="157">
        <f t="shared" si="119"/>
        <v>0</v>
      </c>
      <c r="R93" s="158">
        <f>VLOOKUP($A93,'Over Under Bill 1 COPY 到CO欄位'!$1:$1048576,'Over Under Bill 1 COPY 到CO欄位'!R$1,0)-VLOOKUP($A93,'Over Under Bill 1 COPY 到CO欄位'!$1:$1048576,'Over Under Bill 1 COPY 到CO欄位'!M$1,0)</f>
        <v>0</v>
      </c>
      <c r="S93" s="158">
        <f>VLOOKUP($A93,'Over Under Bill 1 COPY 到CO欄位'!$1:$1048576,'Over Under Bill 1 COPY 到CO欄位'!S$1,0)-VLOOKUP($A93,'Over Under Bill 1 COPY 到CO欄位'!$1:$1048576,'Over Under Bill 1 COPY 到CO欄位'!N$1,0)</f>
        <v>0</v>
      </c>
      <c r="T93" s="158">
        <f t="shared" si="120"/>
        <v>0</v>
      </c>
      <c r="U93" s="158">
        <f>VLOOKUP($A93,'Over Under Bill 1 COPY 到CO欄位'!$1:$1048576,'Over Under Bill 1 COPY 到CO欄位'!U$1,0)-VLOOKUP($A93,'Over Under Bill 1 COPY 到CO欄位'!$1:$1048576,'Over Under Bill 1 COPY 到CO欄位'!P$1,0)</f>
        <v>0</v>
      </c>
      <c r="V93" s="158">
        <f t="shared" si="121"/>
        <v>0</v>
      </c>
      <c r="W93" s="157">
        <f>VLOOKUP($A93,'Over Under Bill 1 COPY 到CO欄位'!$1:$1048576,'Over Under Bill 1 COPY 到CO欄位'!W$1,0)-VLOOKUP($A93,'Over Under Bill 1 COPY 到CO欄位'!$1:$1048576,'Over Under Bill 1 COPY 到CO欄位'!R$1,0)</f>
        <v>0</v>
      </c>
      <c r="X93" s="157">
        <f>VLOOKUP($A93,'Over Under Bill 1 COPY 到CO欄位'!$1:$1048576,'Over Under Bill 1 COPY 到CO欄位'!X$1,0)-VLOOKUP($A93,'Over Under Bill 1 COPY 到CO欄位'!$1:$1048576,'Over Under Bill 1 COPY 到CO欄位'!S$1,0)</f>
        <v>0</v>
      </c>
      <c r="Y93" s="157">
        <f t="shared" si="122"/>
        <v>0</v>
      </c>
      <c r="Z93" s="157">
        <f>VLOOKUP($A93,'Over Under Bill 1 COPY 到CO欄位'!$1:$1048576,'Over Under Bill 1 COPY 到CO欄位'!Z$1,0)-VLOOKUP($A93,'Over Under Bill 1 COPY 到CO欄位'!$1:$1048576,'Over Under Bill 1 COPY 到CO欄位'!U$1,0)</f>
        <v>0</v>
      </c>
      <c r="AA93" s="157">
        <f t="shared" si="123"/>
        <v>0</v>
      </c>
      <c r="AB93" s="158">
        <f>VLOOKUP($A93,'Over Under Bill 1 COPY 到CO欄位'!$1:$1048576,'Over Under Bill 1 COPY 到CO欄位'!AB$1,0)-VLOOKUP($A93,'Over Under Bill 1 COPY 到CO欄位'!$1:$1048576,'Over Under Bill 1 COPY 到CO欄位'!W$1,0)</f>
        <v>0</v>
      </c>
      <c r="AC93" s="158">
        <f>VLOOKUP($A93,'Over Under Bill 1 COPY 到CO欄位'!$1:$1048576,'Over Under Bill 1 COPY 到CO欄位'!AC$1,0)-VLOOKUP($A93,'Over Under Bill 1 COPY 到CO欄位'!$1:$1048576,'Over Under Bill 1 COPY 到CO欄位'!X$1,0)</f>
        <v>0</v>
      </c>
      <c r="AD93" s="158">
        <f t="shared" si="124"/>
        <v>0</v>
      </c>
      <c r="AE93" s="158">
        <f>VLOOKUP($A93,'Over Under Bill 1 COPY 到CO欄位'!$1:$1048576,'Over Under Bill 1 COPY 到CO欄位'!AE$1,0)-VLOOKUP($A93,'Over Under Bill 1 COPY 到CO欄位'!$1:$1048576,'Over Under Bill 1 COPY 到CO欄位'!Z$1,0)</f>
        <v>0</v>
      </c>
      <c r="AF93" s="158">
        <f t="shared" si="125"/>
        <v>0</v>
      </c>
      <c r="AG93" s="157">
        <f>VLOOKUP($A93,'Over Under Bill 1 COPY 到CO欄位'!$1:$1048576,'Over Under Bill 1 COPY 到CO欄位'!AG$1,0)-VLOOKUP($A93,'Over Under Bill 1 COPY 到CO欄位'!$1:$1048576,'Over Under Bill 1 COPY 到CO欄位'!AB$1,0)</f>
        <v>0</v>
      </c>
      <c r="AH93" s="157">
        <f>VLOOKUP($A93,'Over Under Bill 1 COPY 到CO欄位'!$1:$1048576,'Over Under Bill 1 COPY 到CO欄位'!AH$1,0)-VLOOKUP($A93,'Over Under Bill 1 COPY 到CO欄位'!$1:$1048576,'Over Under Bill 1 COPY 到CO欄位'!AC$1,0)</f>
        <v>0</v>
      </c>
      <c r="AI93" s="157">
        <f t="shared" si="126"/>
        <v>0</v>
      </c>
      <c r="AJ93" s="157">
        <f>VLOOKUP($A93,'Over Under Bill 1 COPY 到CO欄位'!$1:$1048576,'Over Under Bill 1 COPY 到CO欄位'!AJ$1,0)-VLOOKUP($A93,'Over Under Bill 1 COPY 到CO欄位'!$1:$1048576,'Over Under Bill 1 COPY 到CO欄位'!AE$1,0)</f>
        <v>0</v>
      </c>
      <c r="AK93" s="157">
        <f t="shared" si="127"/>
        <v>0</v>
      </c>
      <c r="AL93" s="158">
        <f>VLOOKUP($A93,'Over Under Bill 1 COPY 到CO欄位'!$1:$1048576,'Over Under Bill 1 COPY 到CO欄位'!AL$1,0)-VLOOKUP($A93,'Over Under Bill 1 COPY 到CO欄位'!$1:$1048576,'Over Under Bill 1 COPY 到CO欄位'!AG$1,0)</f>
        <v>0</v>
      </c>
      <c r="AM93" s="158">
        <f>VLOOKUP($A93,'Over Under Bill 1 COPY 到CO欄位'!$1:$1048576,'Over Under Bill 1 COPY 到CO欄位'!AM$1,0)-VLOOKUP($A93,'Over Under Bill 1 COPY 到CO欄位'!$1:$1048576,'Over Under Bill 1 COPY 到CO欄位'!AH$1,0)</f>
        <v>0</v>
      </c>
      <c r="AN93" s="158">
        <f t="shared" si="128"/>
        <v>0</v>
      </c>
      <c r="AO93" s="158">
        <f>VLOOKUP($A93,'Over Under Bill 1 COPY 到CO欄位'!$1:$1048576,'Over Under Bill 1 COPY 到CO欄位'!AO$1,0)-VLOOKUP($A93,'Over Under Bill 1 COPY 到CO欄位'!$1:$1048576,'Over Under Bill 1 COPY 到CO欄位'!AJ$1,0)</f>
        <v>0</v>
      </c>
      <c r="AP93" s="158">
        <f t="shared" si="129"/>
        <v>0</v>
      </c>
      <c r="AQ93" s="157">
        <f>VLOOKUP($A93,'Over Under Bill 1 COPY 到CO欄位'!$1:$1048576,'Over Under Bill 1 COPY 到CO欄位'!AQ$1,0)-VLOOKUP($A93,'Over Under Bill 1 COPY 到CO欄位'!$1:$1048576,'Over Under Bill 1 COPY 到CO欄位'!AL$1,0)</f>
        <v>0</v>
      </c>
      <c r="AR93" s="157">
        <f>VLOOKUP($A93,'Over Under Bill 1 COPY 到CO欄位'!$1:$1048576,'Over Under Bill 1 COPY 到CO欄位'!AR$1,0)-VLOOKUP($A93,'Over Under Bill 1 COPY 到CO欄位'!$1:$1048576,'Over Under Bill 1 COPY 到CO欄位'!AM$1,0)</f>
        <v>0</v>
      </c>
      <c r="AS93" s="157">
        <f t="shared" si="130"/>
        <v>0</v>
      </c>
      <c r="AT93" s="157">
        <f>VLOOKUP($A93,'Over Under Bill 1 COPY 到CO欄位'!$1:$1048576,'Over Under Bill 1 COPY 到CO欄位'!AT$1,0)-VLOOKUP($A93,'Over Under Bill 1 COPY 到CO欄位'!$1:$1048576,'Over Under Bill 1 COPY 到CO欄位'!AO$1,0)</f>
        <v>0</v>
      </c>
      <c r="AU93" s="157">
        <f t="shared" si="131"/>
        <v>0</v>
      </c>
      <c r="AV93" s="158">
        <f>VLOOKUP($A93,'Over Under Bill 1 COPY 到CO欄位'!$1:$1048576,'Over Under Bill 1 COPY 到CO欄位'!AV$1,0)-VLOOKUP($A93,'Over Under Bill 1 COPY 到CO欄位'!$1:$1048576,'Over Under Bill 1 COPY 到CO欄位'!AQ$1,0)</f>
        <v>0</v>
      </c>
      <c r="AW93" s="158">
        <f>VLOOKUP($A93,'Over Under Bill 1 COPY 到CO欄位'!$1:$1048576,'Over Under Bill 1 COPY 到CO欄位'!AW$1,0)-VLOOKUP($A93,'Over Under Bill 1 COPY 到CO欄位'!$1:$1048576,'Over Under Bill 1 COPY 到CO欄位'!AR$1,0)</f>
        <v>0</v>
      </c>
      <c r="AX93" s="158">
        <f t="shared" si="132"/>
        <v>0</v>
      </c>
      <c r="AY93" s="158">
        <f>VLOOKUP($A93,'Over Under Bill 1 COPY 到CO欄位'!$1:$1048576,'Over Under Bill 1 COPY 到CO欄位'!AY$1,0)-VLOOKUP($A93,'Over Under Bill 1 COPY 到CO欄位'!$1:$1048576,'Over Under Bill 1 COPY 到CO欄位'!AT$1,0)</f>
        <v>0</v>
      </c>
      <c r="AZ93" s="158">
        <f t="shared" si="133"/>
        <v>0</v>
      </c>
      <c r="BA93" s="157">
        <f>VLOOKUP($A93,'Over Under Bill 1 COPY 到CO欄位'!$1:$1048576,'Over Under Bill 1 COPY 到CO欄位'!BA$1,0)-VLOOKUP($A93,'Over Under Bill 1 COPY 到CO欄位'!$1:$1048576,'Over Under Bill 1 COPY 到CO欄位'!AV$1,0)</f>
        <v>0</v>
      </c>
      <c r="BB93" s="157">
        <f>VLOOKUP($A93,'Over Under Bill 1 COPY 到CO欄位'!$1:$1048576,'Over Under Bill 1 COPY 到CO欄位'!BB$1,0)-VLOOKUP($A93,'Over Under Bill 1 COPY 到CO欄位'!$1:$1048576,'Over Under Bill 1 COPY 到CO欄位'!AW$1,0)</f>
        <v>0</v>
      </c>
      <c r="BC93" s="157">
        <f t="shared" si="134"/>
        <v>0</v>
      </c>
      <c r="BD93" s="157">
        <f>VLOOKUP($A93,'Over Under Bill 1 COPY 到CO欄位'!$1:$1048576,'Over Under Bill 1 COPY 到CO欄位'!BD$1,0)-VLOOKUP($A93,'Over Under Bill 1 COPY 到CO欄位'!$1:$1048576,'Over Under Bill 1 COPY 到CO欄位'!AY$1,0)</f>
        <v>0</v>
      </c>
      <c r="BE93" s="157">
        <f t="shared" si="135"/>
        <v>0</v>
      </c>
      <c r="BF93" s="158">
        <f>VLOOKUP($A93,'Over Under Bill 1 COPY 到CO欄位'!$1:$1048576,'Over Under Bill 1 COPY 到CO欄位'!BF$1,0)-VLOOKUP($A93,'Over Under Bill 1 COPY 到CO欄位'!$1:$1048576,'Over Under Bill 1 COPY 到CO欄位'!BA$1,0)</f>
        <v>0</v>
      </c>
      <c r="BG93" s="158">
        <f>VLOOKUP($A93,'Over Under Bill 1 COPY 到CO欄位'!$1:$1048576,'Over Under Bill 1 COPY 到CO欄位'!BG$1,0)-VLOOKUP($A93,'Over Under Bill 1 COPY 到CO欄位'!$1:$1048576,'Over Under Bill 1 COPY 到CO欄位'!BB$1,0)</f>
        <v>0</v>
      </c>
      <c r="BH93" s="158">
        <f t="shared" si="136"/>
        <v>0</v>
      </c>
      <c r="BI93" s="158">
        <f>VLOOKUP($A93,'Over Under Bill 1 COPY 到CO欄位'!$1:$1048576,'Over Under Bill 1 COPY 到CO欄位'!BI$1,0)-VLOOKUP($A93,'Over Under Bill 1 COPY 到CO欄位'!$1:$1048576,'Over Under Bill 1 COPY 到CO欄位'!BD$1,0)</f>
        <v>0</v>
      </c>
      <c r="BJ93" s="158">
        <f t="shared" si="137"/>
        <v>0</v>
      </c>
      <c r="BK93" s="157">
        <f>VLOOKUP($A93,'Over Under Bill 1 COPY 到CO欄位'!$1:$1048576,'Over Under Bill 1 COPY 到CO欄位'!BK$1,0)-VLOOKUP($A93,'Over Under Bill 1 COPY 到CO欄位'!$1:$1048576,'Over Under Bill 1 COPY 到CO欄位'!BF$1,0)</f>
        <v>0</v>
      </c>
      <c r="BL93" s="157">
        <f>VLOOKUP($A93,'Over Under Bill 1 COPY 到CO欄位'!$1:$1048576,'Over Under Bill 1 COPY 到CO欄位'!BL$1,0)-VLOOKUP($A93,'Over Under Bill 1 COPY 到CO欄位'!$1:$1048576,'Over Under Bill 1 COPY 到CO欄位'!BG$1,0)</f>
        <v>0</v>
      </c>
      <c r="BM93" s="157">
        <f t="shared" si="138"/>
        <v>0</v>
      </c>
      <c r="BN93" s="157">
        <f>VLOOKUP($A93,'Over Under Bill 1 COPY 到CO欄位'!$1:$1048576,'Over Under Bill 1 COPY 到CO欄位'!BN$1,0)-VLOOKUP($A93,'Over Under Bill 1 COPY 到CO欄位'!$1:$1048576,'Over Under Bill 1 COPY 到CO欄位'!BI$1,0)</f>
        <v>0</v>
      </c>
      <c r="BO93" s="157">
        <f t="shared" si="139"/>
        <v>0</v>
      </c>
      <c r="BP93" s="158">
        <f>VLOOKUP($A93,'Over Under Bill 1 COPY 到CO欄位'!$1:$1048576,'Over Under Bill 1 COPY 到CO欄位'!BP$1,0)-VLOOKUP($A93,'Over Under Bill 1 COPY 到CO欄位'!$1:$1048576,'Over Under Bill 1 COPY 到CO欄位'!BK$1,0)</f>
        <v>0</v>
      </c>
      <c r="BQ93" s="158">
        <f>VLOOKUP($A93,'Over Under Bill 1 COPY 到CO欄位'!$1:$1048576,'Over Under Bill 1 COPY 到CO欄位'!BQ$1,0)-VLOOKUP($A93,'Over Under Bill 1 COPY 到CO欄位'!$1:$1048576,'Over Under Bill 1 COPY 到CO欄位'!BL$1,0)</f>
        <v>0</v>
      </c>
      <c r="BR93" s="158">
        <f t="shared" si="140"/>
        <v>0</v>
      </c>
      <c r="BS93" s="158">
        <f>VLOOKUP($A93,'Over Under Bill 1 COPY 到CO欄位'!$1:$1048576,'Over Under Bill 1 COPY 到CO欄位'!BS$1,0)-VLOOKUP($A93,'Over Under Bill 1 COPY 到CO欄位'!$1:$1048576,'Over Under Bill 1 COPY 到CO欄位'!BN$1,0)</f>
        <v>0</v>
      </c>
      <c r="BT93" s="158">
        <f t="shared" si="141"/>
        <v>0</v>
      </c>
      <c r="BU93" s="157">
        <f>VLOOKUP($A93,'Over Under Bill 1 COPY 到CO欄位'!$1:$1048576,'Over Under Bill 1 COPY 到CO欄位'!BP$1,0)-VLOOKUP($A93,'Over Under Bill 1 COPY 到CO欄位'!$1:$1048576,'Over Under Bill 1 COPY 到CO欄位'!H$1,0)</f>
        <v>0</v>
      </c>
      <c r="BV93" s="157">
        <f>VLOOKUP($A93,'Over Under Bill 1 COPY 到CO欄位'!$1:$1048576,'Over Under Bill 1 COPY 到CO欄位'!BQ$1,0)-VLOOKUP($A93,'Over Under Bill 1 COPY 到CO欄位'!$1:$1048576,'Over Under Bill 1 COPY 到CO欄位'!I$1,0)</f>
        <v>0</v>
      </c>
      <c r="BW93" s="157">
        <f t="shared" si="142"/>
        <v>0</v>
      </c>
      <c r="BX93" s="157">
        <f>VLOOKUP($A93,'Over Under Bill 1 COPY 到CO欄位'!$1:$1048576,'Over Under Bill 1 COPY 到CO欄位'!BS$1,0)-VLOOKUP($A93,'Over Under Bill 1 COPY 到CO欄位'!$1:$1048576,'Over Under Bill 1 COPY 到CO欄位'!K$1,0)</f>
        <v>0</v>
      </c>
      <c r="BY93" s="157">
        <f t="shared" si="143"/>
        <v>0</v>
      </c>
      <c r="BZ93" s="158">
        <f>VLOOKUP($A93,'Over Under Bill 1 COPY 到CO欄位'!$1:$1048576,'Over Under Bill 1 COPY 到CO欄位'!BU$1,0)-VLOOKUP($A93,'Over Under Bill 1 COPY 到CO欄位'!$1:$1048576,'Over Under Bill 1 COPY 到CO欄位'!BP$1,0)</f>
        <v>0</v>
      </c>
      <c r="CA93" s="158">
        <f>VLOOKUP($A93,'Over Under Bill 1 COPY 到CO欄位'!$1:$1048576,'Over Under Bill 1 COPY 到CO欄位'!BV$1,0)-VLOOKUP($A93,'Over Under Bill 1 COPY 到CO欄位'!$1:$1048576,'Over Under Bill 1 COPY 到CO欄位'!BQ$1,0)</f>
        <v>0</v>
      </c>
      <c r="CB93" s="158">
        <f t="shared" si="144"/>
        <v>0</v>
      </c>
      <c r="CC93" s="158">
        <f>VLOOKUP($A93,'Over Under Bill 1 COPY 到CO欄位'!$1:$1048576,'Over Under Bill 1 COPY 到CO欄位'!BX$1,0)-VLOOKUP($A93,'Over Under Bill 1 COPY 到CO欄位'!$1:$1048576,'Over Under Bill 1 COPY 到CO欄位'!BS$1,0)</f>
        <v>0</v>
      </c>
      <c r="CD93" s="158">
        <f t="shared" si="145"/>
        <v>0</v>
      </c>
      <c r="CE93" s="157">
        <f>VLOOKUP($A93,'Over Under Bill 1 COPY 到CO欄位'!$1:$1048576,'Over Under Bill 1 COPY 到CO欄位'!BZ$1,0)-VLOOKUP($A93,'Over Under Bill 1 COPY 到CO欄位'!$1:$1048576,'Over Under Bill 1 COPY 到CO欄位'!BU$1,0)</f>
        <v>0</v>
      </c>
      <c r="CF93" s="157">
        <f>VLOOKUP($A93,'Over Under Bill 1 COPY 到CO欄位'!$1:$1048576,'Over Under Bill 1 COPY 到CO欄位'!CA$1,0)-VLOOKUP($A93,'Over Under Bill 1 COPY 到CO欄位'!$1:$1048576,'Over Under Bill 1 COPY 到CO欄位'!BV$1,0)</f>
        <v>0</v>
      </c>
      <c r="CG93" s="157">
        <f t="shared" si="146"/>
        <v>0</v>
      </c>
      <c r="CH93" s="157">
        <f>VLOOKUP($A93,'Over Under Bill 1 COPY 到CO欄位'!$1:$1048576,'Over Under Bill 1 COPY 到CO欄位'!CC$1,0)-VLOOKUP($A93,'Over Under Bill 1 COPY 到CO欄位'!$1:$1048576,'Over Under Bill 1 COPY 到CO欄位'!BX$1,0)</f>
        <v>0</v>
      </c>
      <c r="CI93" s="157">
        <f t="shared" si="147"/>
        <v>0</v>
      </c>
      <c r="CJ93" s="158">
        <f>VLOOKUP($A93,'Over Under Bill 1 COPY 到CO欄位'!$1:$1048576,'Over Under Bill 1 COPY 到CO欄位'!CE$1,0)-VLOOKUP($A93,'Over Under Bill 1 COPY 到CO欄位'!$1:$1048576,'Over Under Bill 1 COPY 到CO欄位'!BZ$1,0)</f>
        <v>0</v>
      </c>
      <c r="CK93" s="158">
        <f>VLOOKUP($A93,'Over Under Bill 1 COPY 到CO欄位'!$1:$1048576,'Over Under Bill 1 COPY 到CO欄位'!CF$1,0)-VLOOKUP($A93,'Over Under Bill 1 COPY 到CO欄位'!$1:$1048576,'Over Under Bill 1 COPY 到CO欄位'!CA$1,0)</f>
        <v>0</v>
      </c>
      <c r="CL93" s="158">
        <f t="shared" si="148"/>
        <v>0</v>
      </c>
      <c r="CM93" s="158">
        <f>VLOOKUP($A93,'Over Under Bill 1 COPY 到CO欄位'!$1:$1048576,'Over Under Bill 1 COPY 到CO欄位'!CH$1,0)-VLOOKUP($A93,'Over Under Bill 1 COPY 到CO欄位'!$1:$1048576,'Over Under Bill 1 COPY 到CO欄位'!CC$1,0)</f>
        <v>0</v>
      </c>
      <c r="CN93" s="158">
        <f t="shared" si="149"/>
        <v>0</v>
      </c>
      <c r="CO93" s="157">
        <f>VLOOKUP($A93,'Over Under Bill 1 COPY 到CO欄位'!$1:$1048576,'Over Under Bill 1 COPY 到CO欄位'!CJ$1,0)-VLOOKUP($A93,'Over Under Bill 1 COPY 到CO欄位'!$1:$1048576,'Over Under Bill 1 COPY 到CO欄位'!CE$1,0)</f>
        <v>0</v>
      </c>
      <c r="CP93" s="157">
        <f>VLOOKUP($A93,'Over Under Bill 1 COPY 到CO欄位'!$1:$1048576,'Over Under Bill 1 COPY 到CO欄位'!CK$1,0)-VLOOKUP($A93,'Over Under Bill 1 COPY 到CO欄位'!$1:$1048576,'Over Under Bill 1 COPY 到CO欄位'!CF$1,0)</f>
        <v>0</v>
      </c>
      <c r="CQ93" s="157">
        <f t="shared" si="150"/>
        <v>0</v>
      </c>
      <c r="CR93" s="157">
        <f>VLOOKUP($A93,'Over Under Bill 1 COPY 到CO欄位'!$1:$1048576,'Over Under Bill 1 COPY 到CO欄位'!CM$1,0)-VLOOKUP($A93,'Over Under Bill 1 COPY 到CO欄位'!$1:$1048576,'Over Under Bill 1 COPY 到CO欄位'!CH$1,0)</f>
        <v>0</v>
      </c>
      <c r="CS93" s="157">
        <f t="shared" si="151"/>
        <v>0</v>
      </c>
    </row>
    <row r="94" spans="1:97">
      <c r="A94" s="179" t="s">
        <v>475</v>
      </c>
      <c r="B94" s="180" t="s">
        <v>545</v>
      </c>
      <c r="C94" s="157">
        <f>IFERROR(VLOOKUP($A94,'A0 BS 1240在建'!$1:$1048576,5,0),0)</f>
        <v>0</v>
      </c>
      <c r="D94" s="157">
        <f>IFERROR(VLOOKUP($A94,'B0 2264預收'!$1:$1048576,5,0),0)</f>
        <v>0</v>
      </c>
      <c r="E94" s="157">
        <f t="shared" si="114"/>
        <v>0</v>
      </c>
      <c r="F94" s="157">
        <f>IFERROR(VLOOKUP($A94,'B0 2264預收'!$1:$1048576,6,0),0)</f>
        <v>0</v>
      </c>
      <c r="G94" s="157">
        <f t="shared" si="115"/>
        <v>0</v>
      </c>
      <c r="H94" s="158">
        <f>IFERROR(VLOOKUP($A94,'A0 BS 1240在建'!$1:$1048576,13,0),0)-C94</f>
        <v>0</v>
      </c>
      <c r="I94" s="158">
        <f>IFERROR(VLOOKUP($A94,'B0 2264預收'!$1:$1048576,13,0),0)-D94</f>
        <v>0</v>
      </c>
      <c r="J94" s="158">
        <f t="shared" si="116"/>
        <v>0</v>
      </c>
      <c r="K94" s="158">
        <f>IFERROR(VLOOKUP($A94,'B0 2264預收'!$1:$1048576,14,0),0)-F94</f>
        <v>0</v>
      </c>
      <c r="L94" s="158">
        <f t="shared" si="117"/>
        <v>0</v>
      </c>
      <c r="M94" s="157">
        <f>VLOOKUP($A94,'Over Under Bill 1 COPY 到CO欄位'!$1:$1048576,'Over Under Bill 1 COPY 到CO欄位'!M$1,0)-VLOOKUP($A94,'Over Under Bill 1 COPY 到CO欄位'!$1:$1048576,'Over Under Bill 1 COPY 到CO欄位'!H$1,0)</f>
        <v>0</v>
      </c>
      <c r="N94" s="157">
        <f>VLOOKUP($A94,'Over Under Bill 1 COPY 到CO欄位'!$1:$1048576,'Over Under Bill 1 COPY 到CO欄位'!N$1,0)-VLOOKUP($A94,'Over Under Bill 1 COPY 到CO欄位'!$1:$1048576,'Over Under Bill 1 COPY 到CO欄位'!I$1,0)</f>
        <v>0</v>
      </c>
      <c r="O94" s="157">
        <f t="shared" si="118"/>
        <v>0</v>
      </c>
      <c r="P94" s="157">
        <f>VLOOKUP($A94,'Over Under Bill 1 COPY 到CO欄位'!$1:$1048576,'Over Under Bill 1 COPY 到CO欄位'!P$1,0)-VLOOKUP($A94,'Over Under Bill 1 COPY 到CO欄位'!$1:$1048576,'Over Under Bill 1 COPY 到CO欄位'!K$1,0)</f>
        <v>0</v>
      </c>
      <c r="Q94" s="157">
        <f t="shared" si="119"/>
        <v>0</v>
      </c>
      <c r="R94" s="158">
        <f>VLOOKUP($A94,'Over Under Bill 1 COPY 到CO欄位'!$1:$1048576,'Over Under Bill 1 COPY 到CO欄位'!R$1,0)-VLOOKUP($A94,'Over Under Bill 1 COPY 到CO欄位'!$1:$1048576,'Over Under Bill 1 COPY 到CO欄位'!M$1,0)</f>
        <v>0</v>
      </c>
      <c r="S94" s="158">
        <f>VLOOKUP($A94,'Over Under Bill 1 COPY 到CO欄位'!$1:$1048576,'Over Under Bill 1 COPY 到CO欄位'!S$1,0)-VLOOKUP($A94,'Over Under Bill 1 COPY 到CO欄位'!$1:$1048576,'Over Under Bill 1 COPY 到CO欄位'!N$1,0)</f>
        <v>0</v>
      </c>
      <c r="T94" s="158">
        <f t="shared" si="120"/>
        <v>0</v>
      </c>
      <c r="U94" s="158">
        <f>VLOOKUP($A94,'Over Under Bill 1 COPY 到CO欄位'!$1:$1048576,'Over Under Bill 1 COPY 到CO欄位'!U$1,0)-VLOOKUP($A94,'Over Under Bill 1 COPY 到CO欄位'!$1:$1048576,'Over Under Bill 1 COPY 到CO欄位'!P$1,0)</f>
        <v>0</v>
      </c>
      <c r="V94" s="158">
        <f t="shared" si="121"/>
        <v>0</v>
      </c>
      <c r="W94" s="157">
        <f>VLOOKUP($A94,'Over Under Bill 1 COPY 到CO欄位'!$1:$1048576,'Over Under Bill 1 COPY 到CO欄位'!W$1,0)-VLOOKUP($A94,'Over Under Bill 1 COPY 到CO欄位'!$1:$1048576,'Over Under Bill 1 COPY 到CO欄位'!R$1,0)</f>
        <v>0</v>
      </c>
      <c r="X94" s="157">
        <f>VLOOKUP($A94,'Over Under Bill 1 COPY 到CO欄位'!$1:$1048576,'Over Under Bill 1 COPY 到CO欄位'!X$1,0)-VLOOKUP($A94,'Over Under Bill 1 COPY 到CO欄位'!$1:$1048576,'Over Under Bill 1 COPY 到CO欄位'!S$1,0)</f>
        <v>0</v>
      </c>
      <c r="Y94" s="157">
        <f t="shared" si="122"/>
        <v>0</v>
      </c>
      <c r="Z94" s="157">
        <f>VLOOKUP($A94,'Over Under Bill 1 COPY 到CO欄位'!$1:$1048576,'Over Under Bill 1 COPY 到CO欄位'!Z$1,0)-VLOOKUP($A94,'Over Under Bill 1 COPY 到CO欄位'!$1:$1048576,'Over Under Bill 1 COPY 到CO欄位'!U$1,0)</f>
        <v>0</v>
      </c>
      <c r="AA94" s="157">
        <f t="shared" si="123"/>
        <v>0</v>
      </c>
      <c r="AB94" s="158">
        <f>VLOOKUP($A94,'Over Under Bill 1 COPY 到CO欄位'!$1:$1048576,'Over Under Bill 1 COPY 到CO欄位'!AB$1,0)-VLOOKUP($A94,'Over Under Bill 1 COPY 到CO欄位'!$1:$1048576,'Over Under Bill 1 COPY 到CO欄位'!W$1,0)</f>
        <v>0</v>
      </c>
      <c r="AC94" s="158">
        <f>VLOOKUP($A94,'Over Under Bill 1 COPY 到CO欄位'!$1:$1048576,'Over Under Bill 1 COPY 到CO欄位'!AC$1,0)-VLOOKUP($A94,'Over Under Bill 1 COPY 到CO欄位'!$1:$1048576,'Over Under Bill 1 COPY 到CO欄位'!X$1,0)</f>
        <v>0</v>
      </c>
      <c r="AD94" s="158">
        <f t="shared" si="124"/>
        <v>0</v>
      </c>
      <c r="AE94" s="158">
        <f>VLOOKUP($A94,'Over Under Bill 1 COPY 到CO欄位'!$1:$1048576,'Over Under Bill 1 COPY 到CO欄位'!AE$1,0)-VLOOKUP($A94,'Over Under Bill 1 COPY 到CO欄位'!$1:$1048576,'Over Under Bill 1 COPY 到CO欄位'!Z$1,0)</f>
        <v>0</v>
      </c>
      <c r="AF94" s="158">
        <f t="shared" si="125"/>
        <v>0</v>
      </c>
      <c r="AG94" s="157">
        <f>VLOOKUP($A94,'Over Under Bill 1 COPY 到CO欄位'!$1:$1048576,'Over Under Bill 1 COPY 到CO欄位'!AG$1,0)-VLOOKUP($A94,'Over Under Bill 1 COPY 到CO欄位'!$1:$1048576,'Over Under Bill 1 COPY 到CO欄位'!AB$1,0)</f>
        <v>0</v>
      </c>
      <c r="AH94" s="157">
        <f>VLOOKUP($A94,'Over Under Bill 1 COPY 到CO欄位'!$1:$1048576,'Over Under Bill 1 COPY 到CO欄位'!AH$1,0)-VLOOKUP($A94,'Over Under Bill 1 COPY 到CO欄位'!$1:$1048576,'Over Under Bill 1 COPY 到CO欄位'!AC$1,0)</f>
        <v>0</v>
      </c>
      <c r="AI94" s="157">
        <f t="shared" si="126"/>
        <v>0</v>
      </c>
      <c r="AJ94" s="157">
        <f>VLOOKUP($A94,'Over Under Bill 1 COPY 到CO欄位'!$1:$1048576,'Over Under Bill 1 COPY 到CO欄位'!AJ$1,0)-VLOOKUP($A94,'Over Under Bill 1 COPY 到CO欄位'!$1:$1048576,'Over Under Bill 1 COPY 到CO欄位'!AE$1,0)</f>
        <v>0</v>
      </c>
      <c r="AK94" s="157">
        <f t="shared" si="127"/>
        <v>0</v>
      </c>
      <c r="AL94" s="158">
        <f>VLOOKUP($A94,'Over Under Bill 1 COPY 到CO欄位'!$1:$1048576,'Over Under Bill 1 COPY 到CO欄位'!AL$1,0)-VLOOKUP($A94,'Over Under Bill 1 COPY 到CO欄位'!$1:$1048576,'Over Under Bill 1 COPY 到CO欄位'!AG$1,0)</f>
        <v>0</v>
      </c>
      <c r="AM94" s="158">
        <f>VLOOKUP($A94,'Over Under Bill 1 COPY 到CO欄位'!$1:$1048576,'Over Under Bill 1 COPY 到CO欄位'!AM$1,0)-VLOOKUP($A94,'Over Under Bill 1 COPY 到CO欄位'!$1:$1048576,'Over Under Bill 1 COPY 到CO欄位'!AH$1,0)</f>
        <v>0</v>
      </c>
      <c r="AN94" s="158">
        <f t="shared" si="128"/>
        <v>0</v>
      </c>
      <c r="AO94" s="158">
        <f>VLOOKUP($A94,'Over Under Bill 1 COPY 到CO欄位'!$1:$1048576,'Over Under Bill 1 COPY 到CO欄位'!AO$1,0)-VLOOKUP($A94,'Over Under Bill 1 COPY 到CO欄位'!$1:$1048576,'Over Under Bill 1 COPY 到CO欄位'!AJ$1,0)</f>
        <v>0</v>
      </c>
      <c r="AP94" s="158">
        <f t="shared" si="129"/>
        <v>0</v>
      </c>
      <c r="AQ94" s="157">
        <f>VLOOKUP($A94,'Over Under Bill 1 COPY 到CO欄位'!$1:$1048576,'Over Under Bill 1 COPY 到CO欄位'!AQ$1,0)-VLOOKUP($A94,'Over Under Bill 1 COPY 到CO欄位'!$1:$1048576,'Over Under Bill 1 COPY 到CO欄位'!AL$1,0)</f>
        <v>0</v>
      </c>
      <c r="AR94" s="157">
        <f>VLOOKUP($A94,'Over Under Bill 1 COPY 到CO欄位'!$1:$1048576,'Over Under Bill 1 COPY 到CO欄位'!AR$1,0)-VLOOKUP($A94,'Over Under Bill 1 COPY 到CO欄位'!$1:$1048576,'Over Under Bill 1 COPY 到CO欄位'!AM$1,0)</f>
        <v>0</v>
      </c>
      <c r="AS94" s="157">
        <f t="shared" si="130"/>
        <v>0</v>
      </c>
      <c r="AT94" s="157">
        <f>VLOOKUP($A94,'Over Under Bill 1 COPY 到CO欄位'!$1:$1048576,'Over Under Bill 1 COPY 到CO欄位'!AT$1,0)-VLOOKUP($A94,'Over Under Bill 1 COPY 到CO欄位'!$1:$1048576,'Over Under Bill 1 COPY 到CO欄位'!AO$1,0)</f>
        <v>0</v>
      </c>
      <c r="AU94" s="157">
        <f t="shared" si="131"/>
        <v>0</v>
      </c>
      <c r="AV94" s="158">
        <f>VLOOKUP($A94,'Over Under Bill 1 COPY 到CO欄位'!$1:$1048576,'Over Under Bill 1 COPY 到CO欄位'!AV$1,0)-VLOOKUP($A94,'Over Under Bill 1 COPY 到CO欄位'!$1:$1048576,'Over Under Bill 1 COPY 到CO欄位'!AQ$1,0)</f>
        <v>0</v>
      </c>
      <c r="AW94" s="158">
        <f>VLOOKUP($A94,'Over Under Bill 1 COPY 到CO欄位'!$1:$1048576,'Over Under Bill 1 COPY 到CO欄位'!AW$1,0)-VLOOKUP($A94,'Over Under Bill 1 COPY 到CO欄位'!$1:$1048576,'Over Under Bill 1 COPY 到CO欄位'!AR$1,0)</f>
        <v>0</v>
      </c>
      <c r="AX94" s="158">
        <f t="shared" si="132"/>
        <v>0</v>
      </c>
      <c r="AY94" s="158">
        <f>VLOOKUP($A94,'Over Under Bill 1 COPY 到CO欄位'!$1:$1048576,'Over Under Bill 1 COPY 到CO欄位'!AY$1,0)-VLOOKUP($A94,'Over Under Bill 1 COPY 到CO欄位'!$1:$1048576,'Over Under Bill 1 COPY 到CO欄位'!AT$1,0)</f>
        <v>0</v>
      </c>
      <c r="AZ94" s="158">
        <f t="shared" si="133"/>
        <v>0</v>
      </c>
      <c r="BA94" s="157">
        <f>VLOOKUP($A94,'Over Under Bill 1 COPY 到CO欄位'!$1:$1048576,'Over Under Bill 1 COPY 到CO欄位'!BA$1,0)-VLOOKUP($A94,'Over Under Bill 1 COPY 到CO欄位'!$1:$1048576,'Over Under Bill 1 COPY 到CO欄位'!AV$1,0)</f>
        <v>0</v>
      </c>
      <c r="BB94" s="157">
        <f>VLOOKUP($A94,'Over Under Bill 1 COPY 到CO欄位'!$1:$1048576,'Over Under Bill 1 COPY 到CO欄位'!BB$1,0)-VLOOKUP($A94,'Over Under Bill 1 COPY 到CO欄位'!$1:$1048576,'Over Under Bill 1 COPY 到CO欄位'!AW$1,0)</f>
        <v>0</v>
      </c>
      <c r="BC94" s="157">
        <f t="shared" si="134"/>
        <v>0</v>
      </c>
      <c r="BD94" s="157">
        <f>VLOOKUP($A94,'Over Under Bill 1 COPY 到CO欄位'!$1:$1048576,'Over Under Bill 1 COPY 到CO欄位'!BD$1,0)-VLOOKUP($A94,'Over Under Bill 1 COPY 到CO欄位'!$1:$1048576,'Over Under Bill 1 COPY 到CO欄位'!AY$1,0)</f>
        <v>0</v>
      </c>
      <c r="BE94" s="157">
        <f t="shared" si="135"/>
        <v>0</v>
      </c>
      <c r="BF94" s="158">
        <f>VLOOKUP($A94,'Over Under Bill 1 COPY 到CO欄位'!$1:$1048576,'Over Under Bill 1 COPY 到CO欄位'!BF$1,0)-VLOOKUP($A94,'Over Under Bill 1 COPY 到CO欄位'!$1:$1048576,'Over Under Bill 1 COPY 到CO欄位'!BA$1,0)</f>
        <v>0</v>
      </c>
      <c r="BG94" s="158">
        <f>VLOOKUP($A94,'Over Under Bill 1 COPY 到CO欄位'!$1:$1048576,'Over Under Bill 1 COPY 到CO欄位'!BG$1,0)-VLOOKUP($A94,'Over Under Bill 1 COPY 到CO欄位'!$1:$1048576,'Over Under Bill 1 COPY 到CO欄位'!BB$1,0)</f>
        <v>0</v>
      </c>
      <c r="BH94" s="158">
        <f t="shared" si="136"/>
        <v>0</v>
      </c>
      <c r="BI94" s="158">
        <f>VLOOKUP($A94,'Over Under Bill 1 COPY 到CO欄位'!$1:$1048576,'Over Under Bill 1 COPY 到CO欄位'!BI$1,0)-VLOOKUP($A94,'Over Under Bill 1 COPY 到CO欄位'!$1:$1048576,'Over Under Bill 1 COPY 到CO欄位'!BD$1,0)</f>
        <v>0</v>
      </c>
      <c r="BJ94" s="158">
        <f t="shared" si="137"/>
        <v>0</v>
      </c>
      <c r="BK94" s="157">
        <f>VLOOKUP($A94,'Over Under Bill 1 COPY 到CO欄位'!$1:$1048576,'Over Under Bill 1 COPY 到CO欄位'!BK$1,0)-VLOOKUP($A94,'Over Under Bill 1 COPY 到CO欄位'!$1:$1048576,'Over Under Bill 1 COPY 到CO欄位'!BF$1,0)</f>
        <v>0</v>
      </c>
      <c r="BL94" s="157">
        <f>VLOOKUP($A94,'Over Under Bill 1 COPY 到CO欄位'!$1:$1048576,'Over Under Bill 1 COPY 到CO欄位'!BL$1,0)-VLOOKUP($A94,'Over Under Bill 1 COPY 到CO欄位'!$1:$1048576,'Over Under Bill 1 COPY 到CO欄位'!BG$1,0)</f>
        <v>0</v>
      </c>
      <c r="BM94" s="157">
        <f t="shared" si="138"/>
        <v>0</v>
      </c>
      <c r="BN94" s="157">
        <f>VLOOKUP($A94,'Over Under Bill 1 COPY 到CO欄位'!$1:$1048576,'Over Under Bill 1 COPY 到CO欄位'!BN$1,0)-VLOOKUP($A94,'Over Under Bill 1 COPY 到CO欄位'!$1:$1048576,'Over Under Bill 1 COPY 到CO欄位'!BI$1,0)</f>
        <v>0</v>
      </c>
      <c r="BO94" s="157">
        <f t="shared" si="139"/>
        <v>0</v>
      </c>
      <c r="BP94" s="158">
        <f>VLOOKUP($A94,'Over Under Bill 1 COPY 到CO欄位'!$1:$1048576,'Over Under Bill 1 COPY 到CO欄位'!BP$1,0)-VLOOKUP($A94,'Over Under Bill 1 COPY 到CO欄位'!$1:$1048576,'Over Under Bill 1 COPY 到CO欄位'!BK$1,0)</f>
        <v>0</v>
      </c>
      <c r="BQ94" s="158">
        <f>VLOOKUP($A94,'Over Under Bill 1 COPY 到CO欄位'!$1:$1048576,'Over Under Bill 1 COPY 到CO欄位'!BQ$1,0)-VLOOKUP($A94,'Over Under Bill 1 COPY 到CO欄位'!$1:$1048576,'Over Under Bill 1 COPY 到CO欄位'!BL$1,0)</f>
        <v>0</v>
      </c>
      <c r="BR94" s="158">
        <f t="shared" si="140"/>
        <v>0</v>
      </c>
      <c r="BS94" s="158">
        <f>VLOOKUP($A94,'Over Under Bill 1 COPY 到CO欄位'!$1:$1048576,'Over Under Bill 1 COPY 到CO欄位'!BS$1,0)-VLOOKUP($A94,'Over Under Bill 1 COPY 到CO欄位'!$1:$1048576,'Over Under Bill 1 COPY 到CO欄位'!BN$1,0)</f>
        <v>0</v>
      </c>
      <c r="BT94" s="158">
        <f t="shared" si="141"/>
        <v>0</v>
      </c>
      <c r="BU94" s="157">
        <f>VLOOKUP($A94,'Over Under Bill 1 COPY 到CO欄位'!$1:$1048576,'Over Under Bill 1 COPY 到CO欄位'!BP$1,0)-VLOOKUP($A94,'Over Under Bill 1 COPY 到CO欄位'!$1:$1048576,'Over Under Bill 1 COPY 到CO欄位'!H$1,0)</f>
        <v>0</v>
      </c>
      <c r="BV94" s="157">
        <f>VLOOKUP($A94,'Over Under Bill 1 COPY 到CO欄位'!$1:$1048576,'Over Under Bill 1 COPY 到CO欄位'!BQ$1,0)-VLOOKUP($A94,'Over Under Bill 1 COPY 到CO欄位'!$1:$1048576,'Over Under Bill 1 COPY 到CO欄位'!I$1,0)</f>
        <v>0</v>
      </c>
      <c r="BW94" s="157">
        <f t="shared" si="142"/>
        <v>0</v>
      </c>
      <c r="BX94" s="157">
        <f>VLOOKUP($A94,'Over Under Bill 1 COPY 到CO欄位'!$1:$1048576,'Over Under Bill 1 COPY 到CO欄位'!BS$1,0)-VLOOKUP($A94,'Over Under Bill 1 COPY 到CO欄位'!$1:$1048576,'Over Under Bill 1 COPY 到CO欄位'!K$1,0)</f>
        <v>0</v>
      </c>
      <c r="BY94" s="157">
        <f t="shared" si="143"/>
        <v>0</v>
      </c>
      <c r="BZ94" s="158">
        <f>VLOOKUP($A94,'Over Under Bill 1 COPY 到CO欄位'!$1:$1048576,'Over Under Bill 1 COPY 到CO欄位'!BU$1,0)-VLOOKUP($A94,'Over Under Bill 1 COPY 到CO欄位'!$1:$1048576,'Over Under Bill 1 COPY 到CO欄位'!BP$1,0)</f>
        <v>0</v>
      </c>
      <c r="CA94" s="158">
        <f>VLOOKUP($A94,'Over Under Bill 1 COPY 到CO欄位'!$1:$1048576,'Over Under Bill 1 COPY 到CO欄位'!BV$1,0)-VLOOKUP($A94,'Over Under Bill 1 COPY 到CO欄位'!$1:$1048576,'Over Under Bill 1 COPY 到CO欄位'!BQ$1,0)</f>
        <v>0</v>
      </c>
      <c r="CB94" s="158">
        <f t="shared" si="144"/>
        <v>0</v>
      </c>
      <c r="CC94" s="158">
        <f>VLOOKUP($A94,'Over Under Bill 1 COPY 到CO欄位'!$1:$1048576,'Over Under Bill 1 COPY 到CO欄位'!BX$1,0)-VLOOKUP($A94,'Over Under Bill 1 COPY 到CO欄位'!$1:$1048576,'Over Under Bill 1 COPY 到CO欄位'!BS$1,0)</f>
        <v>0</v>
      </c>
      <c r="CD94" s="158">
        <f t="shared" si="145"/>
        <v>0</v>
      </c>
      <c r="CE94" s="157">
        <f>VLOOKUP($A94,'Over Under Bill 1 COPY 到CO欄位'!$1:$1048576,'Over Under Bill 1 COPY 到CO欄位'!BZ$1,0)-VLOOKUP($A94,'Over Under Bill 1 COPY 到CO欄位'!$1:$1048576,'Over Under Bill 1 COPY 到CO欄位'!BU$1,0)</f>
        <v>0</v>
      </c>
      <c r="CF94" s="157">
        <f>VLOOKUP($A94,'Over Under Bill 1 COPY 到CO欄位'!$1:$1048576,'Over Under Bill 1 COPY 到CO欄位'!CA$1,0)-VLOOKUP($A94,'Over Under Bill 1 COPY 到CO欄位'!$1:$1048576,'Over Under Bill 1 COPY 到CO欄位'!BV$1,0)</f>
        <v>0</v>
      </c>
      <c r="CG94" s="157">
        <f t="shared" si="146"/>
        <v>0</v>
      </c>
      <c r="CH94" s="157">
        <f>VLOOKUP($A94,'Over Under Bill 1 COPY 到CO欄位'!$1:$1048576,'Over Under Bill 1 COPY 到CO欄位'!CC$1,0)-VLOOKUP($A94,'Over Under Bill 1 COPY 到CO欄位'!$1:$1048576,'Over Under Bill 1 COPY 到CO欄位'!BX$1,0)</f>
        <v>0</v>
      </c>
      <c r="CI94" s="157">
        <f t="shared" si="147"/>
        <v>0</v>
      </c>
      <c r="CJ94" s="158">
        <f>VLOOKUP($A94,'Over Under Bill 1 COPY 到CO欄位'!$1:$1048576,'Over Under Bill 1 COPY 到CO欄位'!CE$1,0)-VLOOKUP($A94,'Over Under Bill 1 COPY 到CO欄位'!$1:$1048576,'Over Under Bill 1 COPY 到CO欄位'!BZ$1,0)</f>
        <v>0</v>
      </c>
      <c r="CK94" s="158">
        <f>VLOOKUP($A94,'Over Under Bill 1 COPY 到CO欄位'!$1:$1048576,'Over Under Bill 1 COPY 到CO欄位'!CF$1,0)-VLOOKUP($A94,'Over Under Bill 1 COPY 到CO欄位'!$1:$1048576,'Over Under Bill 1 COPY 到CO欄位'!CA$1,0)</f>
        <v>0</v>
      </c>
      <c r="CL94" s="158">
        <f t="shared" si="148"/>
        <v>0</v>
      </c>
      <c r="CM94" s="158">
        <f>VLOOKUP($A94,'Over Under Bill 1 COPY 到CO欄位'!$1:$1048576,'Over Under Bill 1 COPY 到CO欄位'!CH$1,0)-VLOOKUP($A94,'Over Under Bill 1 COPY 到CO欄位'!$1:$1048576,'Over Under Bill 1 COPY 到CO欄位'!CC$1,0)</f>
        <v>0</v>
      </c>
      <c r="CN94" s="158">
        <f t="shared" si="149"/>
        <v>0</v>
      </c>
      <c r="CO94" s="157">
        <f>VLOOKUP($A94,'Over Under Bill 1 COPY 到CO欄位'!$1:$1048576,'Over Under Bill 1 COPY 到CO欄位'!CJ$1,0)-VLOOKUP($A94,'Over Under Bill 1 COPY 到CO欄位'!$1:$1048576,'Over Under Bill 1 COPY 到CO欄位'!CE$1,0)</f>
        <v>0</v>
      </c>
      <c r="CP94" s="157">
        <f>VLOOKUP($A94,'Over Under Bill 1 COPY 到CO欄位'!$1:$1048576,'Over Under Bill 1 COPY 到CO欄位'!CK$1,0)-VLOOKUP($A94,'Over Under Bill 1 COPY 到CO欄位'!$1:$1048576,'Over Under Bill 1 COPY 到CO欄位'!CF$1,0)</f>
        <v>0</v>
      </c>
      <c r="CQ94" s="157">
        <f t="shared" si="150"/>
        <v>0</v>
      </c>
      <c r="CR94" s="157">
        <f>VLOOKUP($A94,'Over Under Bill 1 COPY 到CO欄位'!$1:$1048576,'Over Under Bill 1 COPY 到CO欄位'!CM$1,0)-VLOOKUP($A94,'Over Under Bill 1 COPY 到CO欄位'!$1:$1048576,'Over Under Bill 1 COPY 到CO欄位'!CH$1,0)</f>
        <v>0</v>
      </c>
      <c r="CS94" s="157">
        <f t="shared" si="151"/>
        <v>0</v>
      </c>
    </row>
    <row r="95" spans="1:97">
      <c r="A95" s="179" t="s">
        <v>477</v>
      </c>
      <c r="B95" s="172" t="s">
        <v>478</v>
      </c>
      <c r="C95" s="157">
        <f>IFERROR(VLOOKUP($A95,'A0 BS 1240在建'!$1:$1048576,5,0),0)</f>
        <v>0</v>
      </c>
      <c r="D95" s="157">
        <f>IFERROR(VLOOKUP($A95,'B0 2264預收'!$1:$1048576,5,0),0)</f>
        <v>0</v>
      </c>
      <c r="E95" s="157">
        <f t="shared" si="114"/>
        <v>0</v>
      </c>
      <c r="F95" s="157">
        <f>IFERROR(VLOOKUP($A95,'B0 2264預收'!$1:$1048576,6,0),0)</f>
        <v>0</v>
      </c>
      <c r="G95" s="157">
        <f t="shared" si="115"/>
        <v>0</v>
      </c>
      <c r="H95" s="158">
        <f>IFERROR(VLOOKUP($A95,'A0 BS 1240在建'!$1:$1048576,13,0),0)-C95</f>
        <v>0</v>
      </c>
      <c r="I95" s="158">
        <f>IFERROR(VLOOKUP($A95,'B0 2264預收'!$1:$1048576,13,0),0)-D95</f>
        <v>0</v>
      </c>
      <c r="J95" s="158">
        <f t="shared" si="116"/>
        <v>0</v>
      </c>
      <c r="K95" s="158">
        <f>IFERROR(VLOOKUP($A95,'B0 2264預收'!$1:$1048576,14,0),0)-F95</f>
        <v>0</v>
      </c>
      <c r="L95" s="158">
        <f t="shared" si="117"/>
        <v>0</v>
      </c>
      <c r="M95" s="157">
        <f>VLOOKUP($A95,'Over Under Bill 1 COPY 到CO欄位'!$1:$1048576,'Over Under Bill 1 COPY 到CO欄位'!M$1,0)-VLOOKUP($A95,'Over Under Bill 1 COPY 到CO欄位'!$1:$1048576,'Over Under Bill 1 COPY 到CO欄位'!H$1,0)</f>
        <v>0</v>
      </c>
      <c r="N95" s="157">
        <f>VLOOKUP($A95,'Over Under Bill 1 COPY 到CO欄位'!$1:$1048576,'Over Under Bill 1 COPY 到CO欄位'!N$1,0)-VLOOKUP($A95,'Over Under Bill 1 COPY 到CO欄位'!$1:$1048576,'Over Under Bill 1 COPY 到CO欄位'!I$1,0)</f>
        <v>0</v>
      </c>
      <c r="O95" s="157">
        <f t="shared" si="118"/>
        <v>0</v>
      </c>
      <c r="P95" s="157">
        <f>VLOOKUP($A95,'Over Under Bill 1 COPY 到CO欄位'!$1:$1048576,'Over Under Bill 1 COPY 到CO欄位'!P$1,0)-VLOOKUP($A95,'Over Under Bill 1 COPY 到CO欄位'!$1:$1048576,'Over Under Bill 1 COPY 到CO欄位'!K$1,0)</f>
        <v>0</v>
      </c>
      <c r="Q95" s="157">
        <f t="shared" si="119"/>
        <v>0</v>
      </c>
      <c r="R95" s="158">
        <f>VLOOKUP($A95,'Over Under Bill 1 COPY 到CO欄位'!$1:$1048576,'Over Under Bill 1 COPY 到CO欄位'!R$1,0)-VLOOKUP($A95,'Over Under Bill 1 COPY 到CO欄位'!$1:$1048576,'Over Under Bill 1 COPY 到CO欄位'!M$1,0)</f>
        <v>0</v>
      </c>
      <c r="S95" s="158">
        <f>VLOOKUP($A95,'Over Under Bill 1 COPY 到CO欄位'!$1:$1048576,'Over Under Bill 1 COPY 到CO欄位'!S$1,0)-VLOOKUP($A95,'Over Under Bill 1 COPY 到CO欄位'!$1:$1048576,'Over Under Bill 1 COPY 到CO欄位'!N$1,0)</f>
        <v>0</v>
      </c>
      <c r="T95" s="158">
        <f t="shared" si="120"/>
        <v>0</v>
      </c>
      <c r="U95" s="158">
        <f>VLOOKUP($A95,'Over Under Bill 1 COPY 到CO欄位'!$1:$1048576,'Over Under Bill 1 COPY 到CO欄位'!U$1,0)-VLOOKUP($A95,'Over Under Bill 1 COPY 到CO欄位'!$1:$1048576,'Over Under Bill 1 COPY 到CO欄位'!P$1,0)</f>
        <v>0</v>
      </c>
      <c r="V95" s="158">
        <f t="shared" si="121"/>
        <v>0</v>
      </c>
      <c r="W95" s="157">
        <f>VLOOKUP($A95,'Over Under Bill 1 COPY 到CO欄位'!$1:$1048576,'Over Under Bill 1 COPY 到CO欄位'!W$1,0)-VLOOKUP($A95,'Over Under Bill 1 COPY 到CO欄位'!$1:$1048576,'Over Under Bill 1 COPY 到CO欄位'!R$1,0)</f>
        <v>0</v>
      </c>
      <c r="X95" s="157">
        <f>VLOOKUP($A95,'Over Under Bill 1 COPY 到CO欄位'!$1:$1048576,'Over Under Bill 1 COPY 到CO欄位'!X$1,0)-VLOOKUP($A95,'Over Under Bill 1 COPY 到CO欄位'!$1:$1048576,'Over Under Bill 1 COPY 到CO欄位'!S$1,0)</f>
        <v>0</v>
      </c>
      <c r="Y95" s="157">
        <f t="shared" si="122"/>
        <v>0</v>
      </c>
      <c r="Z95" s="157">
        <f>VLOOKUP($A95,'Over Under Bill 1 COPY 到CO欄位'!$1:$1048576,'Over Under Bill 1 COPY 到CO欄位'!Z$1,0)-VLOOKUP($A95,'Over Under Bill 1 COPY 到CO欄位'!$1:$1048576,'Over Under Bill 1 COPY 到CO欄位'!U$1,0)</f>
        <v>0</v>
      </c>
      <c r="AA95" s="157">
        <f t="shared" si="123"/>
        <v>0</v>
      </c>
      <c r="AB95" s="158">
        <f>VLOOKUP($A95,'Over Under Bill 1 COPY 到CO欄位'!$1:$1048576,'Over Under Bill 1 COPY 到CO欄位'!AB$1,0)-VLOOKUP($A95,'Over Under Bill 1 COPY 到CO欄位'!$1:$1048576,'Over Under Bill 1 COPY 到CO欄位'!W$1,0)</f>
        <v>0</v>
      </c>
      <c r="AC95" s="158">
        <f>VLOOKUP($A95,'Over Under Bill 1 COPY 到CO欄位'!$1:$1048576,'Over Under Bill 1 COPY 到CO欄位'!AC$1,0)-VLOOKUP($A95,'Over Under Bill 1 COPY 到CO欄位'!$1:$1048576,'Over Under Bill 1 COPY 到CO欄位'!X$1,0)</f>
        <v>0</v>
      </c>
      <c r="AD95" s="158">
        <f t="shared" si="124"/>
        <v>0</v>
      </c>
      <c r="AE95" s="158">
        <f>VLOOKUP($A95,'Over Under Bill 1 COPY 到CO欄位'!$1:$1048576,'Over Under Bill 1 COPY 到CO欄位'!AE$1,0)-VLOOKUP($A95,'Over Under Bill 1 COPY 到CO欄位'!$1:$1048576,'Over Under Bill 1 COPY 到CO欄位'!Z$1,0)</f>
        <v>0</v>
      </c>
      <c r="AF95" s="158">
        <f t="shared" si="125"/>
        <v>0</v>
      </c>
      <c r="AG95" s="157">
        <f>VLOOKUP($A95,'Over Under Bill 1 COPY 到CO欄位'!$1:$1048576,'Over Under Bill 1 COPY 到CO欄位'!AG$1,0)-VLOOKUP($A95,'Over Under Bill 1 COPY 到CO欄位'!$1:$1048576,'Over Under Bill 1 COPY 到CO欄位'!AB$1,0)</f>
        <v>0</v>
      </c>
      <c r="AH95" s="157">
        <f>VLOOKUP($A95,'Over Under Bill 1 COPY 到CO欄位'!$1:$1048576,'Over Under Bill 1 COPY 到CO欄位'!AH$1,0)-VLOOKUP($A95,'Over Under Bill 1 COPY 到CO欄位'!$1:$1048576,'Over Under Bill 1 COPY 到CO欄位'!AC$1,0)</f>
        <v>0</v>
      </c>
      <c r="AI95" s="157">
        <f t="shared" si="126"/>
        <v>0</v>
      </c>
      <c r="AJ95" s="157">
        <f>VLOOKUP($A95,'Over Under Bill 1 COPY 到CO欄位'!$1:$1048576,'Over Under Bill 1 COPY 到CO欄位'!AJ$1,0)-VLOOKUP($A95,'Over Under Bill 1 COPY 到CO欄位'!$1:$1048576,'Over Under Bill 1 COPY 到CO欄位'!AE$1,0)</f>
        <v>0</v>
      </c>
      <c r="AK95" s="157">
        <f t="shared" si="127"/>
        <v>0</v>
      </c>
      <c r="AL95" s="158">
        <f>VLOOKUP($A95,'Over Under Bill 1 COPY 到CO欄位'!$1:$1048576,'Over Under Bill 1 COPY 到CO欄位'!AL$1,0)-VLOOKUP($A95,'Over Under Bill 1 COPY 到CO欄位'!$1:$1048576,'Over Under Bill 1 COPY 到CO欄位'!AG$1,0)</f>
        <v>0</v>
      </c>
      <c r="AM95" s="158">
        <f>VLOOKUP($A95,'Over Under Bill 1 COPY 到CO欄位'!$1:$1048576,'Over Under Bill 1 COPY 到CO欄位'!AM$1,0)-VLOOKUP($A95,'Over Under Bill 1 COPY 到CO欄位'!$1:$1048576,'Over Under Bill 1 COPY 到CO欄位'!AH$1,0)</f>
        <v>0</v>
      </c>
      <c r="AN95" s="158">
        <f t="shared" si="128"/>
        <v>0</v>
      </c>
      <c r="AO95" s="158">
        <f>VLOOKUP($A95,'Over Under Bill 1 COPY 到CO欄位'!$1:$1048576,'Over Under Bill 1 COPY 到CO欄位'!AO$1,0)-VLOOKUP($A95,'Over Under Bill 1 COPY 到CO欄位'!$1:$1048576,'Over Under Bill 1 COPY 到CO欄位'!AJ$1,0)</f>
        <v>0</v>
      </c>
      <c r="AP95" s="158">
        <f t="shared" si="129"/>
        <v>0</v>
      </c>
      <c r="AQ95" s="157">
        <f>VLOOKUP($A95,'Over Under Bill 1 COPY 到CO欄位'!$1:$1048576,'Over Under Bill 1 COPY 到CO欄位'!AQ$1,0)-VLOOKUP($A95,'Over Under Bill 1 COPY 到CO欄位'!$1:$1048576,'Over Under Bill 1 COPY 到CO欄位'!AL$1,0)</f>
        <v>0</v>
      </c>
      <c r="AR95" s="157">
        <f>VLOOKUP($A95,'Over Under Bill 1 COPY 到CO欄位'!$1:$1048576,'Over Under Bill 1 COPY 到CO欄位'!AR$1,0)-VLOOKUP($A95,'Over Under Bill 1 COPY 到CO欄位'!$1:$1048576,'Over Under Bill 1 COPY 到CO欄位'!AM$1,0)</f>
        <v>0</v>
      </c>
      <c r="AS95" s="157">
        <f t="shared" si="130"/>
        <v>0</v>
      </c>
      <c r="AT95" s="157">
        <f>VLOOKUP($A95,'Over Under Bill 1 COPY 到CO欄位'!$1:$1048576,'Over Under Bill 1 COPY 到CO欄位'!AT$1,0)-VLOOKUP($A95,'Over Under Bill 1 COPY 到CO欄位'!$1:$1048576,'Over Under Bill 1 COPY 到CO欄位'!AO$1,0)</f>
        <v>0</v>
      </c>
      <c r="AU95" s="157">
        <f t="shared" si="131"/>
        <v>0</v>
      </c>
      <c r="AV95" s="158">
        <f>VLOOKUP($A95,'Over Under Bill 1 COPY 到CO欄位'!$1:$1048576,'Over Under Bill 1 COPY 到CO欄位'!AV$1,0)-VLOOKUP($A95,'Over Under Bill 1 COPY 到CO欄位'!$1:$1048576,'Over Under Bill 1 COPY 到CO欄位'!AQ$1,0)</f>
        <v>0</v>
      </c>
      <c r="AW95" s="158">
        <f>VLOOKUP($A95,'Over Under Bill 1 COPY 到CO欄位'!$1:$1048576,'Over Under Bill 1 COPY 到CO欄位'!AW$1,0)-VLOOKUP($A95,'Over Under Bill 1 COPY 到CO欄位'!$1:$1048576,'Over Under Bill 1 COPY 到CO欄位'!AR$1,0)</f>
        <v>0</v>
      </c>
      <c r="AX95" s="158">
        <f t="shared" si="132"/>
        <v>0</v>
      </c>
      <c r="AY95" s="158">
        <f>VLOOKUP($A95,'Over Under Bill 1 COPY 到CO欄位'!$1:$1048576,'Over Under Bill 1 COPY 到CO欄位'!AY$1,0)-VLOOKUP($A95,'Over Under Bill 1 COPY 到CO欄位'!$1:$1048576,'Over Under Bill 1 COPY 到CO欄位'!AT$1,0)</f>
        <v>0</v>
      </c>
      <c r="AZ95" s="158">
        <f t="shared" si="133"/>
        <v>0</v>
      </c>
      <c r="BA95" s="157">
        <f>VLOOKUP($A95,'Over Under Bill 1 COPY 到CO欄位'!$1:$1048576,'Over Under Bill 1 COPY 到CO欄位'!BA$1,0)-VLOOKUP($A95,'Over Under Bill 1 COPY 到CO欄位'!$1:$1048576,'Over Under Bill 1 COPY 到CO欄位'!AV$1,0)</f>
        <v>0</v>
      </c>
      <c r="BB95" s="157">
        <f>VLOOKUP($A95,'Over Under Bill 1 COPY 到CO欄位'!$1:$1048576,'Over Under Bill 1 COPY 到CO欄位'!BB$1,0)-VLOOKUP($A95,'Over Under Bill 1 COPY 到CO欄位'!$1:$1048576,'Over Under Bill 1 COPY 到CO欄位'!AW$1,0)</f>
        <v>0</v>
      </c>
      <c r="BC95" s="157">
        <f t="shared" si="134"/>
        <v>0</v>
      </c>
      <c r="BD95" s="157">
        <f>VLOOKUP($A95,'Over Under Bill 1 COPY 到CO欄位'!$1:$1048576,'Over Under Bill 1 COPY 到CO欄位'!BD$1,0)-VLOOKUP($A95,'Over Under Bill 1 COPY 到CO欄位'!$1:$1048576,'Over Under Bill 1 COPY 到CO欄位'!AY$1,0)</f>
        <v>0</v>
      </c>
      <c r="BE95" s="157">
        <f t="shared" si="135"/>
        <v>0</v>
      </c>
      <c r="BF95" s="158">
        <f>VLOOKUP($A95,'Over Under Bill 1 COPY 到CO欄位'!$1:$1048576,'Over Under Bill 1 COPY 到CO欄位'!BF$1,0)-VLOOKUP($A95,'Over Under Bill 1 COPY 到CO欄位'!$1:$1048576,'Over Under Bill 1 COPY 到CO欄位'!BA$1,0)</f>
        <v>0</v>
      </c>
      <c r="BG95" s="158">
        <f>VLOOKUP($A95,'Over Under Bill 1 COPY 到CO欄位'!$1:$1048576,'Over Under Bill 1 COPY 到CO欄位'!BG$1,0)-VLOOKUP($A95,'Over Under Bill 1 COPY 到CO欄位'!$1:$1048576,'Over Under Bill 1 COPY 到CO欄位'!BB$1,0)</f>
        <v>0</v>
      </c>
      <c r="BH95" s="158">
        <f t="shared" si="136"/>
        <v>0</v>
      </c>
      <c r="BI95" s="158">
        <f>VLOOKUP($A95,'Over Under Bill 1 COPY 到CO欄位'!$1:$1048576,'Over Under Bill 1 COPY 到CO欄位'!BI$1,0)-VLOOKUP($A95,'Over Under Bill 1 COPY 到CO欄位'!$1:$1048576,'Over Under Bill 1 COPY 到CO欄位'!BD$1,0)</f>
        <v>0</v>
      </c>
      <c r="BJ95" s="158">
        <f t="shared" si="137"/>
        <v>0</v>
      </c>
      <c r="BK95" s="157">
        <f>VLOOKUP($A95,'Over Under Bill 1 COPY 到CO欄位'!$1:$1048576,'Over Under Bill 1 COPY 到CO欄位'!BK$1,0)-VLOOKUP($A95,'Over Under Bill 1 COPY 到CO欄位'!$1:$1048576,'Over Under Bill 1 COPY 到CO欄位'!BF$1,0)</f>
        <v>0</v>
      </c>
      <c r="BL95" s="157">
        <f>VLOOKUP($A95,'Over Under Bill 1 COPY 到CO欄位'!$1:$1048576,'Over Under Bill 1 COPY 到CO欄位'!BL$1,0)-VLOOKUP($A95,'Over Under Bill 1 COPY 到CO欄位'!$1:$1048576,'Over Under Bill 1 COPY 到CO欄位'!BG$1,0)</f>
        <v>0</v>
      </c>
      <c r="BM95" s="157">
        <f t="shared" si="138"/>
        <v>0</v>
      </c>
      <c r="BN95" s="157">
        <f>VLOOKUP($A95,'Over Under Bill 1 COPY 到CO欄位'!$1:$1048576,'Over Under Bill 1 COPY 到CO欄位'!BN$1,0)-VLOOKUP($A95,'Over Under Bill 1 COPY 到CO欄位'!$1:$1048576,'Over Under Bill 1 COPY 到CO欄位'!BI$1,0)</f>
        <v>0</v>
      </c>
      <c r="BO95" s="157">
        <f t="shared" si="139"/>
        <v>0</v>
      </c>
      <c r="BP95" s="158">
        <f>VLOOKUP($A95,'Over Under Bill 1 COPY 到CO欄位'!$1:$1048576,'Over Under Bill 1 COPY 到CO欄位'!BP$1,0)-VLOOKUP($A95,'Over Under Bill 1 COPY 到CO欄位'!$1:$1048576,'Over Under Bill 1 COPY 到CO欄位'!BK$1,0)</f>
        <v>0</v>
      </c>
      <c r="BQ95" s="158">
        <f>VLOOKUP($A95,'Over Under Bill 1 COPY 到CO欄位'!$1:$1048576,'Over Under Bill 1 COPY 到CO欄位'!BQ$1,0)-VLOOKUP($A95,'Over Under Bill 1 COPY 到CO欄位'!$1:$1048576,'Over Under Bill 1 COPY 到CO欄位'!BL$1,0)</f>
        <v>0</v>
      </c>
      <c r="BR95" s="158">
        <f t="shared" si="140"/>
        <v>0</v>
      </c>
      <c r="BS95" s="158">
        <f>VLOOKUP($A95,'Over Under Bill 1 COPY 到CO欄位'!$1:$1048576,'Over Under Bill 1 COPY 到CO欄位'!BS$1,0)-VLOOKUP($A95,'Over Under Bill 1 COPY 到CO欄位'!$1:$1048576,'Over Under Bill 1 COPY 到CO欄位'!BN$1,0)</f>
        <v>0</v>
      </c>
      <c r="BT95" s="158">
        <f t="shared" si="141"/>
        <v>0</v>
      </c>
      <c r="BU95" s="157">
        <f>VLOOKUP($A95,'Over Under Bill 1 COPY 到CO欄位'!$1:$1048576,'Over Under Bill 1 COPY 到CO欄位'!BP$1,0)-VLOOKUP($A95,'Over Under Bill 1 COPY 到CO欄位'!$1:$1048576,'Over Under Bill 1 COPY 到CO欄位'!H$1,0)</f>
        <v>0</v>
      </c>
      <c r="BV95" s="157">
        <f>VLOOKUP($A95,'Over Under Bill 1 COPY 到CO欄位'!$1:$1048576,'Over Under Bill 1 COPY 到CO欄位'!BQ$1,0)-VLOOKUP($A95,'Over Under Bill 1 COPY 到CO欄位'!$1:$1048576,'Over Under Bill 1 COPY 到CO欄位'!I$1,0)</f>
        <v>0</v>
      </c>
      <c r="BW95" s="157">
        <f t="shared" si="142"/>
        <v>0</v>
      </c>
      <c r="BX95" s="157">
        <f>VLOOKUP($A95,'Over Under Bill 1 COPY 到CO欄位'!$1:$1048576,'Over Under Bill 1 COPY 到CO欄位'!BS$1,0)-VLOOKUP($A95,'Over Under Bill 1 COPY 到CO欄位'!$1:$1048576,'Over Under Bill 1 COPY 到CO欄位'!K$1,0)</f>
        <v>0</v>
      </c>
      <c r="BY95" s="157">
        <f t="shared" si="143"/>
        <v>0</v>
      </c>
      <c r="BZ95" s="158">
        <f>VLOOKUP($A95,'Over Under Bill 1 COPY 到CO欄位'!$1:$1048576,'Over Under Bill 1 COPY 到CO欄位'!BU$1,0)-VLOOKUP($A95,'Over Under Bill 1 COPY 到CO欄位'!$1:$1048576,'Over Under Bill 1 COPY 到CO欄位'!BP$1,0)</f>
        <v>0</v>
      </c>
      <c r="CA95" s="158">
        <f>VLOOKUP($A95,'Over Under Bill 1 COPY 到CO欄位'!$1:$1048576,'Over Under Bill 1 COPY 到CO欄位'!BV$1,0)-VLOOKUP($A95,'Over Under Bill 1 COPY 到CO欄位'!$1:$1048576,'Over Under Bill 1 COPY 到CO欄位'!BQ$1,0)</f>
        <v>0</v>
      </c>
      <c r="CB95" s="158">
        <f t="shared" si="144"/>
        <v>0</v>
      </c>
      <c r="CC95" s="158">
        <f>VLOOKUP($A95,'Over Under Bill 1 COPY 到CO欄位'!$1:$1048576,'Over Under Bill 1 COPY 到CO欄位'!BX$1,0)-VLOOKUP($A95,'Over Under Bill 1 COPY 到CO欄位'!$1:$1048576,'Over Under Bill 1 COPY 到CO欄位'!BS$1,0)</f>
        <v>0</v>
      </c>
      <c r="CD95" s="158">
        <f t="shared" si="145"/>
        <v>0</v>
      </c>
      <c r="CE95" s="157">
        <f>VLOOKUP($A95,'Over Under Bill 1 COPY 到CO欄位'!$1:$1048576,'Over Under Bill 1 COPY 到CO欄位'!BZ$1,0)-VLOOKUP($A95,'Over Under Bill 1 COPY 到CO欄位'!$1:$1048576,'Over Under Bill 1 COPY 到CO欄位'!BU$1,0)</f>
        <v>0</v>
      </c>
      <c r="CF95" s="157">
        <f>VLOOKUP($A95,'Over Under Bill 1 COPY 到CO欄位'!$1:$1048576,'Over Under Bill 1 COPY 到CO欄位'!CA$1,0)-VLOOKUP($A95,'Over Under Bill 1 COPY 到CO欄位'!$1:$1048576,'Over Under Bill 1 COPY 到CO欄位'!BV$1,0)</f>
        <v>0</v>
      </c>
      <c r="CG95" s="157">
        <f t="shared" si="146"/>
        <v>0</v>
      </c>
      <c r="CH95" s="157">
        <f>VLOOKUP($A95,'Over Under Bill 1 COPY 到CO欄位'!$1:$1048576,'Over Under Bill 1 COPY 到CO欄位'!CC$1,0)-VLOOKUP($A95,'Over Under Bill 1 COPY 到CO欄位'!$1:$1048576,'Over Under Bill 1 COPY 到CO欄位'!BX$1,0)</f>
        <v>0</v>
      </c>
      <c r="CI95" s="157">
        <f t="shared" si="147"/>
        <v>0</v>
      </c>
      <c r="CJ95" s="158">
        <f>VLOOKUP($A95,'Over Under Bill 1 COPY 到CO欄位'!$1:$1048576,'Over Under Bill 1 COPY 到CO欄位'!CE$1,0)-VLOOKUP($A95,'Over Under Bill 1 COPY 到CO欄位'!$1:$1048576,'Over Under Bill 1 COPY 到CO欄位'!BZ$1,0)</f>
        <v>0</v>
      </c>
      <c r="CK95" s="158">
        <f>VLOOKUP($A95,'Over Under Bill 1 COPY 到CO欄位'!$1:$1048576,'Over Under Bill 1 COPY 到CO欄位'!CF$1,0)-VLOOKUP($A95,'Over Under Bill 1 COPY 到CO欄位'!$1:$1048576,'Over Under Bill 1 COPY 到CO欄位'!CA$1,0)</f>
        <v>0</v>
      </c>
      <c r="CL95" s="158">
        <f t="shared" si="148"/>
        <v>0</v>
      </c>
      <c r="CM95" s="158">
        <f>VLOOKUP($A95,'Over Under Bill 1 COPY 到CO欄位'!$1:$1048576,'Over Under Bill 1 COPY 到CO欄位'!CH$1,0)-VLOOKUP($A95,'Over Under Bill 1 COPY 到CO欄位'!$1:$1048576,'Over Under Bill 1 COPY 到CO欄位'!CC$1,0)</f>
        <v>0</v>
      </c>
      <c r="CN95" s="158">
        <f t="shared" si="149"/>
        <v>0</v>
      </c>
      <c r="CO95" s="157">
        <f>VLOOKUP($A95,'Over Under Bill 1 COPY 到CO欄位'!$1:$1048576,'Over Under Bill 1 COPY 到CO欄位'!CJ$1,0)-VLOOKUP($A95,'Over Under Bill 1 COPY 到CO欄位'!$1:$1048576,'Over Under Bill 1 COPY 到CO欄位'!CE$1,0)</f>
        <v>0</v>
      </c>
      <c r="CP95" s="157">
        <f>VLOOKUP($A95,'Over Under Bill 1 COPY 到CO欄位'!$1:$1048576,'Over Under Bill 1 COPY 到CO欄位'!CK$1,0)-VLOOKUP($A95,'Over Under Bill 1 COPY 到CO欄位'!$1:$1048576,'Over Under Bill 1 COPY 到CO欄位'!CF$1,0)</f>
        <v>0</v>
      </c>
      <c r="CQ95" s="157">
        <f t="shared" si="150"/>
        <v>0</v>
      </c>
      <c r="CR95" s="157">
        <f>VLOOKUP($A95,'Over Under Bill 1 COPY 到CO欄位'!$1:$1048576,'Over Under Bill 1 COPY 到CO欄位'!CM$1,0)-VLOOKUP($A95,'Over Under Bill 1 COPY 到CO欄位'!$1:$1048576,'Over Under Bill 1 COPY 到CO欄位'!CH$1,0)</f>
        <v>0</v>
      </c>
      <c r="CS95" s="157">
        <f t="shared" si="151"/>
        <v>0</v>
      </c>
    </row>
    <row r="96" spans="1:97">
      <c r="A96" s="179" t="s">
        <v>479</v>
      </c>
      <c r="B96" s="180" t="s">
        <v>480</v>
      </c>
      <c r="C96" s="157">
        <f>IFERROR(VLOOKUP($A96,'A0 BS 1240在建'!$1:$1048576,5,0),0)</f>
        <v>0</v>
      </c>
      <c r="D96" s="157">
        <f>IFERROR(VLOOKUP($A96,'B0 2264預收'!$1:$1048576,5,0),0)</f>
        <v>0</v>
      </c>
      <c r="E96" s="157">
        <f t="shared" si="114"/>
        <v>0</v>
      </c>
      <c r="F96" s="157">
        <f>IFERROR(VLOOKUP($A96,'B0 2264預收'!$1:$1048576,6,0),0)</f>
        <v>0</v>
      </c>
      <c r="G96" s="157">
        <f t="shared" si="115"/>
        <v>0</v>
      </c>
      <c r="H96" s="158">
        <f>IFERROR(VLOOKUP($A96,'A0 BS 1240在建'!$1:$1048576,13,0),0)-C96</f>
        <v>0</v>
      </c>
      <c r="I96" s="158">
        <f>IFERROR(VLOOKUP($A96,'B0 2264預收'!$1:$1048576,13,0),0)-D96</f>
        <v>0</v>
      </c>
      <c r="J96" s="158">
        <f t="shared" si="116"/>
        <v>0</v>
      </c>
      <c r="K96" s="158">
        <f>IFERROR(VLOOKUP($A96,'B0 2264預收'!$1:$1048576,14,0),0)-F96</f>
        <v>0</v>
      </c>
      <c r="L96" s="158">
        <f t="shared" si="117"/>
        <v>0</v>
      </c>
      <c r="M96" s="157">
        <f>VLOOKUP($A96,'Over Under Bill 1 COPY 到CO欄位'!$1:$1048576,'Over Under Bill 1 COPY 到CO欄位'!M$1,0)-VLOOKUP($A96,'Over Under Bill 1 COPY 到CO欄位'!$1:$1048576,'Over Under Bill 1 COPY 到CO欄位'!H$1,0)</f>
        <v>0</v>
      </c>
      <c r="N96" s="157">
        <f>VLOOKUP($A96,'Over Under Bill 1 COPY 到CO欄位'!$1:$1048576,'Over Under Bill 1 COPY 到CO欄位'!N$1,0)-VLOOKUP($A96,'Over Under Bill 1 COPY 到CO欄位'!$1:$1048576,'Over Under Bill 1 COPY 到CO欄位'!I$1,0)</f>
        <v>0</v>
      </c>
      <c r="O96" s="157">
        <f t="shared" si="118"/>
        <v>0</v>
      </c>
      <c r="P96" s="157">
        <f>VLOOKUP($A96,'Over Under Bill 1 COPY 到CO欄位'!$1:$1048576,'Over Under Bill 1 COPY 到CO欄位'!P$1,0)-VLOOKUP($A96,'Over Under Bill 1 COPY 到CO欄位'!$1:$1048576,'Over Under Bill 1 COPY 到CO欄位'!K$1,0)</f>
        <v>0</v>
      </c>
      <c r="Q96" s="157">
        <f t="shared" si="119"/>
        <v>0</v>
      </c>
      <c r="R96" s="158">
        <f>VLOOKUP($A96,'Over Under Bill 1 COPY 到CO欄位'!$1:$1048576,'Over Under Bill 1 COPY 到CO欄位'!R$1,0)-VLOOKUP($A96,'Over Under Bill 1 COPY 到CO欄位'!$1:$1048576,'Over Under Bill 1 COPY 到CO欄位'!M$1,0)</f>
        <v>0</v>
      </c>
      <c r="S96" s="158">
        <f>VLOOKUP($A96,'Over Under Bill 1 COPY 到CO欄位'!$1:$1048576,'Over Under Bill 1 COPY 到CO欄位'!S$1,0)-VLOOKUP($A96,'Over Under Bill 1 COPY 到CO欄位'!$1:$1048576,'Over Under Bill 1 COPY 到CO欄位'!N$1,0)</f>
        <v>0</v>
      </c>
      <c r="T96" s="158">
        <f t="shared" si="120"/>
        <v>0</v>
      </c>
      <c r="U96" s="158">
        <f>VLOOKUP($A96,'Over Under Bill 1 COPY 到CO欄位'!$1:$1048576,'Over Under Bill 1 COPY 到CO欄位'!U$1,0)-VLOOKUP($A96,'Over Under Bill 1 COPY 到CO欄位'!$1:$1048576,'Over Under Bill 1 COPY 到CO欄位'!P$1,0)</f>
        <v>0</v>
      </c>
      <c r="V96" s="158">
        <f t="shared" si="121"/>
        <v>0</v>
      </c>
      <c r="W96" s="157">
        <f>VLOOKUP($A96,'Over Under Bill 1 COPY 到CO欄位'!$1:$1048576,'Over Under Bill 1 COPY 到CO欄位'!W$1,0)-VLOOKUP($A96,'Over Under Bill 1 COPY 到CO欄位'!$1:$1048576,'Over Under Bill 1 COPY 到CO欄位'!R$1,0)</f>
        <v>0</v>
      </c>
      <c r="X96" s="157">
        <f>VLOOKUP($A96,'Over Under Bill 1 COPY 到CO欄位'!$1:$1048576,'Over Under Bill 1 COPY 到CO欄位'!X$1,0)-VLOOKUP($A96,'Over Under Bill 1 COPY 到CO欄位'!$1:$1048576,'Over Under Bill 1 COPY 到CO欄位'!S$1,0)</f>
        <v>0</v>
      </c>
      <c r="Y96" s="157">
        <f t="shared" si="122"/>
        <v>0</v>
      </c>
      <c r="Z96" s="157">
        <f>VLOOKUP($A96,'Over Under Bill 1 COPY 到CO欄位'!$1:$1048576,'Over Under Bill 1 COPY 到CO欄位'!Z$1,0)-VLOOKUP($A96,'Over Under Bill 1 COPY 到CO欄位'!$1:$1048576,'Over Under Bill 1 COPY 到CO欄位'!U$1,0)</f>
        <v>0</v>
      </c>
      <c r="AA96" s="157">
        <f t="shared" si="123"/>
        <v>0</v>
      </c>
      <c r="AB96" s="158">
        <f>VLOOKUP($A96,'Over Under Bill 1 COPY 到CO欄位'!$1:$1048576,'Over Under Bill 1 COPY 到CO欄位'!AB$1,0)-VLOOKUP($A96,'Over Under Bill 1 COPY 到CO欄位'!$1:$1048576,'Over Under Bill 1 COPY 到CO欄位'!W$1,0)</f>
        <v>0</v>
      </c>
      <c r="AC96" s="158">
        <f>VLOOKUP($A96,'Over Under Bill 1 COPY 到CO欄位'!$1:$1048576,'Over Under Bill 1 COPY 到CO欄位'!AC$1,0)-VLOOKUP($A96,'Over Under Bill 1 COPY 到CO欄位'!$1:$1048576,'Over Under Bill 1 COPY 到CO欄位'!X$1,0)</f>
        <v>0</v>
      </c>
      <c r="AD96" s="158">
        <f t="shared" si="124"/>
        <v>0</v>
      </c>
      <c r="AE96" s="158">
        <f>VLOOKUP($A96,'Over Under Bill 1 COPY 到CO欄位'!$1:$1048576,'Over Under Bill 1 COPY 到CO欄位'!AE$1,0)-VLOOKUP($A96,'Over Under Bill 1 COPY 到CO欄位'!$1:$1048576,'Over Under Bill 1 COPY 到CO欄位'!Z$1,0)</f>
        <v>0</v>
      </c>
      <c r="AF96" s="158">
        <f t="shared" si="125"/>
        <v>0</v>
      </c>
      <c r="AG96" s="157">
        <f>VLOOKUP($A96,'Over Under Bill 1 COPY 到CO欄位'!$1:$1048576,'Over Under Bill 1 COPY 到CO欄位'!AG$1,0)-VLOOKUP($A96,'Over Under Bill 1 COPY 到CO欄位'!$1:$1048576,'Over Under Bill 1 COPY 到CO欄位'!AB$1,0)</f>
        <v>0</v>
      </c>
      <c r="AH96" s="157">
        <f>VLOOKUP($A96,'Over Under Bill 1 COPY 到CO欄位'!$1:$1048576,'Over Under Bill 1 COPY 到CO欄位'!AH$1,0)-VLOOKUP($A96,'Over Under Bill 1 COPY 到CO欄位'!$1:$1048576,'Over Under Bill 1 COPY 到CO欄位'!AC$1,0)</f>
        <v>0</v>
      </c>
      <c r="AI96" s="157">
        <f t="shared" si="126"/>
        <v>0</v>
      </c>
      <c r="AJ96" s="157">
        <f>VLOOKUP($A96,'Over Under Bill 1 COPY 到CO欄位'!$1:$1048576,'Over Under Bill 1 COPY 到CO欄位'!AJ$1,0)-VLOOKUP($A96,'Over Under Bill 1 COPY 到CO欄位'!$1:$1048576,'Over Under Bill 1 COPY 到CO欄位'!AE$1,0)</f>
        <v>0</v>
      </c>
      <c r="AK96" s="157">
        <f t="shared" si="127"/>
        <v>0</v>
      </c>
      <c r="AL96" s="158">
        <f>VLOOKUP($A96,'Over Under Bill 1 COPY 到CO欄位'!$1:$1048576,'Over Under Bill 1 COPY 到CO欄位'!AL$1,0)-VLOOKUP($A96,'Over Under Bill 1 COPY 到CO欄位'!$1:$1048576,'Over Under Bill 1 COPY 到CO欄位'!AG$1,0)</f>
        <v>0</v>
      </c>
      <c r="AM96" s="158">
        <f>VLOOKUP($A96,'Over Under Bill 1 COPY 到CO欄位'!$1:$1048576,'Over Under Bill 1 COPY 到CO欄位'!AM$1,0)-VLOOKUP($A96,'Over Under Bill 1 COPY 到CO欄位'!$1:$1048576,'Over Under Bill 1 COPY 到CO欄位'!AH$1,0)</f>
        <v>0</v>
      </c>
      <c r="AN96" s="158">
        <f t="shared" si="128"/>
        <v>0</v>
      </c>
      <c r="AO96" s="158">
        <f>VLOOKUP($A96,'Over Under Bill 1 COPY 到CO欄位'!$1:$1048576,'Over Under Bill 1 COPY 到CO欄位'!AO$1,0)-VLOOKUP($A96,'Over Under Bill 1 COPY 到CO欄位'!$1:$1048576,'Over Under Bill 1 COPY 到CO欄位'!AJ$1,0)</f>
        <v>0</v>
      </c>
      <c r="AP96" s="158">
        <f t="shared" si="129"/>
        <v>0</v>
      </c>
      <c r="AQ96" s="157">
        <f>VLOOKUP($A96,'Over Under Bill 1 COPY 到CO欄位'!$1:$1048576,'Over Under Bill 1 COPY 到CO欄位'!AQ$1,0)-VLOOKUP($A96,'Over Under Bill 1 COPY 到CO欄位'!$1:$1048576,'Over Under Bill 1 COPY 到CO欄位'!AL$1,0)</f>
        <v>0</v>
      </c>
      <c r="AR96" s="157">
        <f>VLOOKUP($A96,'Over Under Bill 1 COPY 到CO欄位'!$1:$1048576,'Over Under Bill 1 COPY 到CO欄位'!AR$1,0)-VLOOKUP($A96,'Over Under Bill 1 COPY 到CO欄位'!$1:$1048576,'Over Under Bill 1 COPY 到CO欄位'!AM$1,0)</f>
        <v>0</v>
      </c>
      <c r="AS96" s="157">
        <f t="shared" si="130"/>
        <v>0</v>
      </c>
      <c r="AT96" s="157">
        <f>VLOOKUP($A96,'Over Under Bill 1 COPY 到CO欄位'!$1:$1048576,'Over Under Bill 1 COPY 到CO欄位'!AT$1,0)-VLOOKUP($A96,'Over Under Bill 1 COPY 到CO欄位'!$1:$1048576,'Over Under Bill 1 COPY 到CO欄位'!AO$1,0)</f>
        <v>0</v>
      </c>
      <c r="AU96" s="157">
        <f t="shared" si="131"/>
        <v>0</v>
      </c>
      <c r="AV96" s="158">
        <f>VLOOKUP($A96,'Over Under Bill 1 COPY 到CO欄位'!$1:$1048576,'Over Under Bill 1 COPY 到CO欄位'!AV$1,0)-VLOOKUP($A96,'Over Under Bill 1 COPY 到CO欄位'!$1:$1048576,'Over Under Bill 1 COPY 到CO欄位'!AQ$1,0)</f>
        <v>0</v>
      </c>
      <c r="AW96" s="158">
        <f>VLOOKUP($A96,'Over Under Bill 1 COPY 到CO欄位'!$1:$1048576,'Over Under Bill 1 COPY 到CO欄位'!AW$1,0)-VLOOKUP($A96,'Over Under Bill 1 COPY 到CO欄位'!$1:$1048576,'Over Under Bill 1 COPY 到CO欄位'!AR$1,0)</f>
        <v>0</v>
      </c>
      <c r="AX96" s="158">
        <f t="shared" si="132"/>
        <v>0</v>
      </c>
      <c r="AY96" s="158">
        <f>VLOOKUP($A96,'Over Under Bill 1 COPY 到CO欄位'!$1:$1048576,'Over Under Bill 1 COPY 到CO欄位'!AY$1,0)-VLOOKUP($A96,'Over Under Bill 1 COPY 到CO欄位'!$1:$1048576,'Over Under Bill 1 COPY 到CO欄位'!AT$1,0)</f>
        <v>0</v>
      </c>
      <c r="AZ96" s="158">
        <f t="shared" si="133"/>
        <v>0</v>
      </c>
      <c r="BA96" s="157">
        <f>VLOOKUP($A96,'Over Under Bill 1 COPY 到CO欄位'!$1:$1048576,'Over Under Bill 1 COPY 到CO欄位'!BA$1,0)-VLOOKUP($A96,'Over Under Bill 1 COPY 到CO欄位'!$1:$1048576,'Over Under Bill 1 COPY 到CO欄位'!AV$1,0)</f>
        <v>0</v>
      </c>
      <c r="BB96" s="157">
        <f>VLOOKUP($A96,'Over Under Bill 1 COPY 到CO欄位'!$1:$1048576,'Over Under Bill 1 COPY 到CO欄位'!BB$1,0)-VLOOKUP($A96,'Over Under Bill 1 COPY 到CO欄位'!$1:$1048576,'Over Under Bill 1 COPY 到CO欄位'!AW$1,0)</f>
        <v>0</v>
      </c>
      <c r="BC96" s="157">
        <f t="shared" si="134"/>
        <v>0</v>
      </c>
      <c r="BD96" s="157">
        <f>VLOOKUP($A96,'Over Under Bill 1 COPY 到CO欄位'!$1:$1048576,'Over Under Bill 1 COPY 到CO欄位'!BD$1,0)-VLOOKUP($A96,'Over Under Bill 1 COPY 到CO欄位'!$1:$1048576,'Over Under Bill 1 COPY 到CO欄位'!AY$1,0)</f>
        <v>0</v>
      </c>
      <c r="BE96" s="157">
        <f t="shared" si="135"/>
        <v>0</v>
      </c>
      <c r="BF96" s="158">
        <f>VLOOKUP($A96,'Over Under Bill 1 COPY 到CO欄位'!$1:$1048576,'Over Under Bill 1 COPY 到CO欄位'!BF$1,0)-VLOOKUP($A96,'Over Under Bill 1 COPY 到CO欄位'!$1:$1048576,'Over Under Bill 1 COPY 到CO欄位'!BA$1,0)</f>
        <v>0</v>
      </c>
      <c r="BG96" s="158">
        <f>VLOOKUP($A96,'Over Under Bill 1 COPY 到CO欄位'!$1:$1048576,'Over Under Bill 1 COPY 到CO欄位'!BG$1,0)-VLOOKUP($A96,'Over Under Bill 1 COPY 到CO欄位'!$1:$1048576,'Over Under Bill 1 COPY 到CO欄位'!BB$1,0)</f>
        <v>0</v>
      </c>
      <c r="BH96" s="158">
        <f t="shared" si="136"/>
        <v>0</v>
      </c>
      <c r="BI96" s="158">
        <f>VLOOKUP($A96,'Over Under Bill 1 COPY 到CO欄位'!$1:$1048576,'Over Under Bill 1 COPY 到CO欄位'!BI$1,0)-VLOOKUP($A96,'Over Under Bill 1 COPY 到CO欄位'!$1:$1048576,'Over Under Bill 1 COPY 到CO欄位'!BD$1,0)</f>
        <v>0</v>
      </c>
      <c r="BJ96" s="158">
        <f t="shared" si="137"/>
        <v>0</v>
      </c>
      <c r="BK96" s="157">
        <f>VLOOKUP($A96,'Over Under Bill 1 COPY 到CO欄位'!$1:$1048576,'Over Under Bill 1 COPY 到CO欄位'!BK$1,0)-VLOOKUP($A96,'Over Under Bill 1 COPY 到CO欄位'!$1:$1048576,'Over Under Bill 1 COPY 到CO欄位'!BF$1,0)</f>
        <v>0</v>
      </c>
      <c r="BL96" s="157">
        <f>VLOOKUP($A96,'Over Under Bill 1 COPY 到CO欄位'!$1:$1048576,'Over Under Bill 1 COPY 到CO欄位'!BL$1,0)-VLOOKUP($A96,'Over Under Bill 1 COPY 到CO欄位'!$1:$1048576,'Over Under Bill 1 COPY 到CO欄位'!BG$1,0)</f>
        <v>0</v>
      </c>
      <c r="BM96" s="157">
        <f t="shared" si="138"/>
        <v>0</v>
      </c>
      <c r="BN96" s="157">
        <f>VLOOKUP($A96,'Over Under Bill 1 COPY 到CO欄位'!$1:$1048576,'Over Under Bill 1 COPY 到CO欄位'!BN$1,0)-VLOOKUP($A96,'Over Under Bill 1 COPY 到CO欄位'!$1:$1048576,'Over Under Bill 1 COPY 到CO欄位'!BI$1,0)</f>
        <v>0</v>
      </c>
      <c r="BO96" s="157">
        <f t="shared" si="139"/>
        <v>0</v>
      </c>
      <c r="BP96" s="158">
        <f>VLOOKUP($A96,'Over Under Bill 1 COPY 到CO欄位'!$1:$1048576,'Over Under Bill 1 COPY 到CO欄位'!BP$1,0)-VLOOKUP($A96,'Over Under Bill 1 COPY 到CO欄位'!$1:$1048576,'Over Under Bill 1 COPY 到CO欄位'!BK$1,0)</f>
        <v>0</v>
      </c>
      <c r="BQ96" s="158">
        <f>VLOOKUP($A96,'Over Under Bill 1 COPY 到CO欄位'!$1:$1048576,'Over Under Bill 1 COPY 到CO欄位'!BQ$1,0)-VLOOKUP($A96,'Over Under Bill 1 COPY 到CO欄位'!$1:$1048576,'Over Under Bill 1 COPY 到CO欄位'!BL$1,0)</f>
        <v>0</v>
      </c>
      <c r="BR96" s="158">
        <f t="shared" si="140"/>
        <v>0</v>
      </c>
      <c r="BS96" s="158">
        <f>VLOOKUP($A96,'Over Under Bill 1 COPY 到CO欄位'!$1:$1048576,'Over Under Bill 1 COPY 到CO欄位'!BS$1,0)-VLOOKUP($A96,'Over Under Bill 1 COPY 到CO欄位'!$1:$1048576,'Over Under Bill 1 COPY 到CO欄位'!BN$1,0)</f>
        <v>0</v>
      </c>
      <c r="BT96" s="158">
        <f t="shared" si="141"/>
        <v>0</v>
      </c>
      <c r="BU96" s="157">
        <f>VLOOKUP($A96,'Over Under Bill 1 COPY 到CO欄位'!$1:$1048576,'Over Under Bill 1 COPY 到CO欄位'!BP$1,0)-VLOOKUP($A96,'Over Under Bill 1 COPY 到CO欄位'!$1:$1048576,'Over Under Bill 1 COPY 到CO欄位'!H$1,0)</f>
        <v>0</v>
      </c>
      <c r="BV96" s="157">
        <f>VLOOKUP($A96,'Over Under Bill 1 COPY 到CO欄位'!$1:$1048576,'Over Under Bill 1 COPY 到CO欄位'!BQ$1,0)-VLOOKUP($A96,'Over Under Bill 1 COPY 到CO欄位'!$1:$1048576,'Over Under Bill 1 COPY 到CO欄位'!I$1,0)</f>
        <v>0</v>
      </c>
      <c r="BW96" s="157">
        <f t="shared" si="142"/>
        <v>0</v>
      </c>
      <c r="BX96" s="157">
        <f>VLOOKUP($A96,'Over Under Bill 1 COPY 到CO欄位'!$1:$1048576,'Over Under Bill 1 COPY 到CO欄位'!BS$1,0)-VLOOKUP($A96,'Over Under Bill 1 COPY 到CO欄位'!$1:$1048576,'Over Under Bill 1 COPY 到CO欄位'!K$1,0)</f>
        <v>0</v>
      </c>
      <c r="BY96" s="157">
        <f t="shared" si="143"/>
        <v>0</v>
      </c>
      <c r="BZ96" s="158">
        <f>VLOOKUP($A96,'Over Under Bill 1 COPY 到CO欄位'!$1:$1048576,'Over Under Bill 1 COPY 到CO欄位'!BU$1,0)-VLOOKUP($A96,'Over Under Bill 1 COPY 到CO欄位'!$1:$1048576,'Over Under Bill 1 COPY 到CO欄位'!BP$1,0)</f>
        <v>0</v>
      </c>
      <c r="CA96" s="158">
        <f>VLOOKUP($A96,'Over Under Bill 1 COPY 到CO欄位'!$1:$1048576,'Over Under Bill 1 COPY 到CO欄位'!BV$1,0)-VLOOKUP($A96,'Over Under Bill 1 COPY 到CO欄位'!$1:$1048576,'Over Under Bill 1 COPY 到CO欄位'!BQ$1,0)</f>
        <v>0</v>
      </c>
      <c r="CB96" s="158">
        <f t="shared" si="144"/>
        <v>0</v>
      </c>
      <c r="CC96" s="158">
        <f>VLOOKUP($A96,'Over Under Bill 1 COPY 到CO欄位'!$1:$1048576,'Over Under Bill 1 COPY 到CO欄位'!BX$1,0)-VLOOKUP($A96,'Over Under Bill 1 COPY 到CO欄位'!$1:$1048576,'Over Under Bill 1 COPY 到CO欄位'!BS$1,0)</f>
        <v>0</v>
      </c>
      <c r="CD96" s="158">
        <f t="shared" si="145"/>
        <v>0</v>
      </c>
      <c r="CE96" s="157">
        <f>VLOOKUP($A96,'Over Under Bill 1 COPY 到CO欄位'!$1:$1048576,'Over Under Bill 1 COPY 到CO欄位'!BZ$1,0)-VLOOKUP($A96,'Over Under Bill 1 COPY 到CO欄位'!$1:$1048576,'Over Under Bill 1 COPY 到CO欄位'!BU$1,0)</f>
        <v>0</v>
      </c>
      <c r="CF96" s="157">
        <f>VLOOKUP($A96,'Over Under Bill 1 COPY 到CO欄位'!$1:$1048576,'Over Under Bill 1 COPY 到CO欄位'!CA$1,0)-VLOOKUP($A96,'Over Under Bill 1 COPY 到CO欄位'!$1:$1048576,'Over Under Bill 1 COPY 到CO欄位'!BV$1,0)</f>
        <v>0</v>
      </c>
      <c r="CG96" s="157">
        <f t="shared" si="146"/>
        <v>0</v>
      </c>
      <c r="CH96" s="157">
        <f>VLOOKUP($A96,'Over Under Bill 1 COPY 到CO欄位'!$1:$1048576,'Over Under Bill 1 COPY 到CO欄位'!CC$1,0)-VLOOKUP($A96,'Over Under Bill 1 COPY 到CO欄位'!$1:$1048576,'Over Under Bill 1 COPY 到CO欄位'!BX$1,0)</f>
        <v>0</v>
      </c>
      <c r="CI96" s="157">
        <f t="shared" si="147"/>
        <v>0</v>
      </c>
      <c r="CJ96" s="158">
        <f>VLOOKUP($A96,'Over Under Bill 1 COPY 到CO欄位'!$1:$1048576,'Over Under Bill 1 COPY 到CO欄位'!CE$1,0)-VLOOKUP($A96,'Over Under Bill 1 COPY 到CO欄位'!$1:$1048576,'Over Under Bill 1 COPY 到CO欄位'!BZ$1,0)</f>
        <v>0</v>
      </c>
      <c r="CK96" s="158">
        <f>VLOOKUP($A96,'Over Under Bill 1 COPY 到CO欄位'!$1:$1048576,'Over Under Bill 1 COPY 到CO欄位'!CF$1,0)-VLOOKUP($A96,'Over Under Bill 1 COPY 到CO欄位'!$1:$1048576,'Over Under Bill 1 COPY 到CO欄位'!CA$1,0)</f>
        <v>0</v>
      </c>
      <c r="CL96" s="158">
        <f t="shared" si="148"/>
        <v>0</v>
      </c>
      <c r="CM96" s="158">
        <f>VLOOKUP($A96,'Over Under Bill 1 COPY 到CO欄位'!$1:$1048576,'Over Under Bill 1 COPY 到CO欄位'!CH$1,0)-VLOOKUP($A96,'Over Under Bill 1 COPY 到CO欄位'!$1:$1048576,'Over Under Bill 1 COPY 到CO欄位'!CC$1,0)</f>
        <v>0</v>
      </c>
      <c r="CN96" s="158">
        <f t="shared" si="149"/>
        <v>0</v>
      </c>
      <c r="CO96" s="157">
        <f>VLOOKUP($A96,'Over Under Bill 1 COPY 到CO欄位'!$1:$1048576,'Over Under Bill 1 COPY 到CO欄位'!CJ$1,0)-VLOOKUP($A96,'Over Under Bill 1 COPY 到CO欄位'!$1:$1048576,'Over Under Bill 1 COPY 到CO欄位'!CE$1,0)</f>
        <v>0</v>
      </c>
      <c r="CP96" s="157">
        <f>VLOOKUP($A96,'Over Under Bill 1 COPY 到CO欄位'!$1:$1048576,'Over Under Bill 1 COPY 到CO欄位'!CK$1,0)-VLOOKUP($A96,'Over Under Bill 1 COPY 到CO欄位'!$1:$1048576,'Over Under Bill 1 COPY 到CO欄位'!CF$1,0)</f>
        <v>0</v>
      </c>
      <c r="CQ96" s="157">
        <f t="shared" si="150"/>
        <v>0</v>
      </c>
      <c r="CR96" s="157">
        <f>VLOOKUP($A96,'Over Under Bill 1 COPY 到CO欄位'!$1:$1048576,'Over Under Bill 1 COPY 到CO欄位'!CM$1,0)-VLOOKUP($A96,'Over Under Bill 1 COPY 到CO欄位'!$1:$1048576,'Over Under Bill 1 COPY 到CO欄位'!CH$1,0)</f>
        <v>0</v>
      </c>
      <c r="CS96" s="157">
        <f t="shared" si="151"/>
        <v>0</v>
      </c>
    </row>
    <row r="97" spans="1:97">
      <c r="A97" s="179" t="s">
        <v>481</v>
      </c>
      <c r="B97" s="172" t="s">
        <v>482</v>
      </c>
      <c r="C97" s="157">
        <f>IFERROR(VLOOKUP($A97,'A0 BS 1240在建'!$1:$1048576,5,0),0)</f>
        <v>0</v>
      </c>
      <c r="D97" s="157">
        <f>IFERROR(VLOOKUP($A97,'B0 2264預收'!$1:$1048576,5,0),0)</f>
        <v>0</v>
      </c>
      <c r="E97" s="157">
        <f t="shared" si="114"/>
        <v>0</v>
      </c>
      <c r="F97" s="157">
        <f>IFERROR(VLOOKUP($A97,'B0 2264預收'!$1:$1048576,6,0),0)</f>
        <v>0</v>
      </c>
      <c r="G97" s="157">
        <f t="shared" si="115"/>
        <v>0</v>
      </c>
      <c r="H97" s="158">
        <f>IFERROR(VLOOKUP($A97,'A0 BS 1240在建'!$1:$1048576,13,0),0)-C97</f>
        <v>0</v>
      </c>
      <c r="I97" s="158">
        <f>IFERROR(VLOOKUP($A97,'B0 2264預收'!$1:$1048576,13,0),0)-D97</f>
        <v>0</v>
      </c>
      <c r="J97" s="158">
        <f t="shared" si="116"/>
        <v>0</v>
      </c>
      <c r="K97" s="158">
        <f>IFERROR(VLOOKUP($A97,'B0 2264預收'!$1:$1048576,14,0),0)-F97</f>
        <v>0</v>
      </c>
      <c r="L97" s="158">
        <f t="shared" si="117"/>
        <v>0</v>
      </c>
      <c r="M97" s="157">
        <f>VLOOKUP($A97,'Over Under Bill 1 COPY 到CO欄位'!$1:$1048576,'Over Under Bill 1 COPY 到CO欄位'!M$1,0)-VLOOKUP($A97,'Over Under Bill 1 COPY 到CO欄位'!$1:$1048576,'Over Under Bill 1 COPY 到CO欄位'!H$1,0)</f>
        <v>0</v>
      </c>
      <c r="N97" s="157">
        <f>VLOOKUP($A97,'Over Under Bill 1 COPY 到CO欄位'!$1:$1048576,'Over Under Bill 1 COPY 到CO欄位'!N$1,0)-VLOOKUP($A97,'Over Under Bill 1 COPY 到CO欄位'!$1:$1048576,'Over Under Bill 1 COPY 到CO欄位'!I$1,0)</f>
        <v>0</v>
      </c>
      <c r="O97" s="157">
        <f t="shared" si="118"/>
        <v>0</v>
      </c>
      <c r="P97" s="157">
        <f>VLOOKUP($A97,'Over Under Bill 1 COPY 到CO欄位'!$1:$1048576,'Over Under Bill 1 COPY 到CO欄位'!P$1,0)-VLOOKUP($A97,'Over Under Bill 1 COPY 到CO欄位'!$1:$1048576,'Over Under Bill 1 COPY 到CO欄位'!K$1,0)</f>
        <v>0</v>
      </c>
      <c r="Q97" s="157">
        <f t="shared" si="119"/>
        <v>0</v>
      </c>
      <c r="R97" s="158">
        <f>VLOOKUP($A97,'Over Under Bill 1 COPY 到CO欄位'!$1:$1048576,'Over Under Bill 1 COPY 到CO欄位'!R$1,0)-VLOOKUP($A97,'Over Under Bill 1 COPY 到CO欄位'!$1:$1048576,'Over Under Bill 1 COPY 到CO欄位'!M$1,0)</f>
        <v>0</v>
      </c>
      <c r="S97" s="158">
        <f>VLOOKUP($A97,'Over Under Bill 1 COPY 到CO欄位'!$1:$1048576,'Over Under Bill 1 COPY 到CO欄位'!S$1,0)-VLOOKUP($A97,'Over Under Bill 1 COPY 到CO欄位'!$1:$1048576,'Over Under Bill 1 COPY 到CO欄位'!N$1,0)</f>
        <v>0</v>
      </c>
      <c r="T97" s="158">
        <f t="shared" si="120"/>
        <v>0</v>
      </c>
      <c r="U97" s="158">
        <f>VLOOKUP($A97,'Over Under Bill 1 COPY 到CO欄位'!$1:$1048576,'Over Under Bill 1 COPY 到CO欄位'!U$1,0)-VLOOKUP($A97,'Over Under Bill 1 COPY 到CO欄位'!$1:$1048576,'Over Under Bill 1 COPY 到CO欄位'!P$1,0)</f>
        <v>0</v>
      </c>
      <c r="V97" s="158">
        <f t="shared" si="121"/>
        <v>0</v>
      </c>
      <c r="W97" s="157">
        <f>VLOOKUP($A97,'Over Under Bill 1 COPY 到CO欄位'!$1:$1048576,'Over Under Bill 1 COPY 到CO欄位'!W$1,0)-VLOOKUP($A97,'Over Under Bill 1 COPY 到CO欄位'!$1:$1048576,'Over Under Bill 1 COPY 到CO欄位'!R$1,0)</f>
        <v>0</v>
      </c>
      <c r="X97" s="157">
        <f>VLOOKUP($A97,'Over Under Bill 1 COPY 到CO欄位'!$1:$1048576,'Over Under Bill 1 COPY 到CO欄位'!X$1,0)-VLOOKUP($A97,'Over Under Bill 1 COPY 到CO欄位'!$1:$1048576,'Over Under Bill 1 COPY 到CO欄位'!S$1,0)</f>
        <v>0</v>
      </c>
      <c r="Y97" s="157">
        <f t="shared" si="122"/>
        <v>0</v>
      </c>
      <c r="Z97" s="157">
        <f>VLOOKUP($A97,'Over Under Bill 1 COPY 到CO欄位'!$1:$1048576,'Over Under Bill 1 COPY 到CO欄位'!Z$1,0)-VLOOKUP($A97,'Over Under Bill 1 COPY 到CO欄位'!$1:$1048576,'Over Under Bill 1 COPY 到CO欄位'!U$1,0)</f>
        <v>0</v>
      </c>
      <c r="AA97" s="157">
        <f t="shared" si="123"/>
        <v>0</v>
      </c>
      <c r="AB97" s="158">
        <f>VLOOKUP($A97,'Over Under Bill 1 COPY 到CO欄位'!$1:$1048576,'Over Under Bill 1 COPY 到CO欄位'!AB$1,0)-VLOOKUP($A97,'Over Under Bill 1 COPY 到CO欄位'!$1:$1048576,'Over Under Bill 1 COPY 到CO欄位'!W$1,0)</f>
        <v>0</v>
      </c>
      <c r="AC97" s="158">
        <f>VLOOKUP($A97,'Over Under Bill 1 COPY 到CO欄位'!$1:$1048576,'Over Under Bill 1 COPY 到CO欄位'!AC$1,0)-VLOOKUP($A97,'Over Under Bill 1 COPY 到CO欄位'!$1:$1048576,'Over Under Bill 1 COPY 到CO欄位'!X$1,0)</f>
        <v>0</v>
      </c>
      <c r="AD97" s="158">
        <f t="shared" si="124"/>
        <v>0</v>
      </c>
      <c r="AE97" s="158">
        <f>VLOOKUP($A97,'Over Under Bill 1 COPY 到CO欄位'!$1:$1048576,'Over Under Bill 1 COPY 到CO欄位'!AE$1,0)-VLOOKUP($A97,'Over Under Bill 1 COPY 到CO欄位'!$1:$1048576,'Over Under Bill 1 COPY 到CO欄位'!Z$1,0)</f>
        <v>0</v>
      </c>
      <c r="AF97" s="158">
        <f t="shared" si="125"/>
        <v>0</v>
      </c>
      <c r="AG97" s="157">
        <f>VLOOKUP($A97,'Over Under Bill 1 COPY 到CO欄位'!$1:$1048576,'Over Under Bill 1 COPY 到CO欄位'!AG$1,0)-VLOOKUP($A97,'Over Under Bill 1 COPY 到CO欄位'!$1:$1048576,'Over Under Bill 1 COPY 到CO欄位'!AB$1,0)</f>
        <v>0</v>
      </c>
      <c r="AH97" s="157">
        <f>VLOOKUP($A97,'Over Under Bill 1 COPY 到CO欄位'!$1:$1048576,'Over Under Bill 1 COPY 到CO欄位'!AH$1,0)-VLOOKUP($A97,'Over Under Bill 1 COPY 到CO欄位'!$1:$1048576,'Over Under Bill 1 COPY 到CO欄位'!AC$1,0)</f>
        <v>0</v>
      </c>
      <c r="AI97" s="157">
        <f t="shared" si="126"/>
        <v>0</v>
      </c>
      <c r="AJ97" s="157">
        <f>VLOOKUP($A97,'Over Under Bill 1 COPY 到CO欄位'!$1:$1048576,'Over Under Bill 1 COPY 到CO欄位'!AJ$1,0)-VLOOKUP($A97,'Over Under Bill 1 COPY 到CO欄位'!$1:$1048576,'Over Under Bill 1 COPY 到CO欄位'!AE$1,0)</f>
        <v>0</v>
      </c>
      <c r="AK97" s="157">
        <f t="shared" si="127"/>
        <v>0</v>
      </c>
      <c r="AL97" s="158">
        <f>VLOOKUP($A97,'Over Under Bill 1 COPY 到CO欄位'!$1:$1048576,'Over Under Bill 1 COPY 到CO欄位'!AL$1,0)-VLOOKUP($A97,'Over Under Bill 1 COPY 到CO欄位'!$1:$1048576,'Over Under Bill 1 COPY 到CO欄位'!AG$1,0)</f>
        <v>0</v>
      </c>
      <c r="AM97" s="158">
        <f>VLOOKUP($A97,'Over Under Bill 1 COPY 到CO欄位'!$1:$1048576,'Over Under Bill 1 COPY 到CO欄位'!AM$1,0)-VLOOKUP($A97,'Over Under Bill 1 COPY 到CO欄位'!$1:$1048576,'Over Under Bill 1 COPY 到CO欄位'!AH$1,0)</f>
        <v>0</v>
      </c>
      <c r="AN97" s="158">
        <f t="shared" si="128"/>
        <v>0</v>
      </c>
      <c r="AO97" s="158">
        <f>VLOOKUP($A97,'Over Under Bill 1 COPY 到CO欄位'!$1:$1048576,'Over Under Bill 1 COPY 到CO欄位'!AO$1,0)-VLOOKUP($A97,'Over Under Bill 1 COPY 到CO欄位'!$1:$1048576,'Over Under Bill 1 COPY 到CO欄位'!AJ$1,0)</f>
        <v>0</v>
      </c>
      <c r="AP97" s="158">
        <f t="shared" si="129"/>
        <v>0</v>
      </c>
      <c r="AQ97" s="157">
        <f>VLOOKUP($A97,'Over Under Bill 1 COPY 到CO欄位'!$1:$1048576,'Over Under Bill 1 COPY 到CO欄位'!AQ$1,0)-VLOOKUP($A97,'Over Under Bill 1 COPY 到CO欄位'!$1:$1048576,'Over Under Bill 1 COPY 到CO欄位'!AL$1,0)</f>
        <v>0</v>
      </c>
      <c r="AR97" s="157">
        <f>VLOOKUP($A97,'Over Under Bill 1 COPY 到CO欄位'!$1:$1048576,'Over Under Bill 1 COPY 到CO欄位'!AR$1,0)-VLOOKUP($A97,'Over Under Bill 1 COPY 到CO欄位'!$1:$1048576,'Over Under Bill 1 COPY 到CO欄位'!AM$1,0)</f>
        <v>0</v>
      </c>
      <c r="AS97" s="157">
        <f t="shared" si="130"/>
        <v>0</v>
      </c>
      <c r="AT97" s="157">
        <f>VLOOKUP($A97,'Over Under Bill 1 COPY 到CO欄位'!$1:$1048576,'Over Under Bill 1 COPY 到CO欄位'!AT$1,0)-VLOOKUP($A97,'Over Under Bill 1 COPY 到CO欄位'!$1:$1048576,'Over Under Bill 1 COPY 到CO欄位'!AO$1,0)</f>
        <v>0</v>
      </c>
      <c r="AU97" s="157">
        <f t="shared" si="131"/>
        <v>0</v>
      </c>
      <c r="AV97" s="158">
        <f>VLOOKUP($A97,'Over Under Bill 1 COPY 到CO欄位'!$1:$1048576,'Over Under Bill 1 COPY 到CO欄位'!AV$1,0)-VLOOKUP($A97,'Over Under Bill 1 COPY 到CO欄位'!$1:$1048576,'Over Under Bill 1 COPY 到CO欄位'!AQ$1,0)</f>
        <v>0</v>
      </c>
      <c r="AW97" s="158">
        <f>VLOOKUP($A97,'Over Under Bill 1 COPY 到CO欄位'!$1:$1048576,'Over Under Bill 1 COPY 到CO欄位'!AW$1,0)-VLOOKUP($A97,'Over Under Bill 1 COPY 到CO欄位'!$1:$1048576,'Over Under Bill 1 COPY 到CO欄位'!AR$1,0)</f>
        <v>0</v>
      </c>
      <c r="AX97" s="158">
        <f t="shared" si="132"/>
        <v>0</v>
      </c>
      <c r="AY97" s="158">
        <f>VLOOKUP($A97,'Over Under Bill 1 COPY 到CO欄位'!$1:$1048576,'Over Under Bill 1 COPY 到CO欄位'!AY$1,0)-VLOOKUP($A97,'Over Under Bill 1 COPY 到CO欄位'!$1:$1048576,'Over Under Bill 1 COPY 到CO欄位'!AT$1,0)</f>
        <v>0</v>
      </c>
      <c r="AZ97" s="158">
        <f t="shared" si="133"/>
        <v>0</v>
      </c>
      <c r="BA97" s="157">
        <f>VLOOKUP($A97,'Over Under Bill 1 COPY 到CO欄位'!$1:$1048576,'Over Under Bill 1 COPY 到CO欄位'!BA$1,0)-VLOOKUP($A97,'Over Under Bill 1 COPY 到CO欄位'!$1:$1048576,'Over Under Bill 1 COPY 到CO欄位'!AV$1,0)</f>
        <v>0</v>
      </c>
      <c r="BB97" s="157">
        <f>VLOOKUP($A97,'Over Under Bill 1 COPY 到CO欄位'!$1:$1048576,'Over Under Bill 1 COPY 到CO欄位'!BB$1,0)-VLOOKUP($A97,'Over Under Bill 1 COPY 到CO欄位'!$1:$1048576,'Over Under Bill 1 COPY 到CO欄位'!AW$1,0)</f>
        <v>0</v>
      </c>
      <c r="BC97" s="157">
        <f t="shared" si="134"/>
        <v>0</v>
      </c>
      <c r="BD97" s="157">
        <f>VLOOKUP($A97,'Over Under Bill 1 COPY 到CO欄位'!$1:$1048576,'Over Under Bill 1 COPY 到CO欄位'!BD$1,0)-VLOOKUP($A97,'Over Under Bill 1 COPY 到CO欄位'!$1:$1048576,'Over Under Bill 1 COPY 到CO欄位'!AY$1,0)</f>
        <v>0</v>
      </c>
      <c r="BE97" s="157">
        <f t="shared" si="135"/>
        <v>0</v>
      </c>
      <c r="BF97" s="158">
        <f>VLOOKUP($A97,'Over Under Bill 1 COPY 到CO欄位'!$1:$1048576,'Over Under Bill 1 COPY 到CO欄位'!BF$1,0)-VLOOKUP($A97,'Over Under Bill 1 COPY 到CO欄位'!$1:$1048576,'Over Under Bill 1 COPY 到CO欄位'!BA$1,0)</f>
        <v>0</v>
      </c>
      <c r="BG97" s="158">
        <f>VLOOKUP($A97,'Over Under Bill 1 COPY 到CO欄位'!$1:$1048576,'Over Under Bill 1 COPY 到CO欄位'!BG$1,0)-VLOOKUP($A97,'Over Under Bill 1 COPY 到CO欄位'!$1:$1048576,'Over Under Bill 1 COPY 到CO欄位'!BB$1,0)</f>
        <v>0</v>
      </c>
      <c r="BH97" s="158">
        <f t="shared" si="136"/>
        <v>0</v>
      </c>
      <c r="BI97" s="158">
        <f>VLOOKUP($A97,'Over Under Bill 1 COPY 到CO欄位'!$1:$1048576,'Over Under Bill 1 COPY 到CO欄位'!BI$1,0)-VLOOKUP($A97,'Over Under Bill 1 COPY 到CO欄位'!$1:$1048576,'Over Under Bill 1 COPY 到CO欄位'!BD$1,0)</f>
        <v>0</v>
      </c>
      <c r="BJ97" s="158">
        <f t="shared" si="137"/>
        <v>0</v>
      </c>
      <c r="BK97" s="157">
        <f>VLOOKUP($A97,'Over Under Bill 1 COPY 到CO欄位'!$1:$1048576,'Over Under Bill 1 COPY 到CO欄位'!BK$1,0)-VLOOKUP($A97,'Over Under Bill 1 COPY 到CO欄位'!$1:$1048576,'Over Under Bill 1 COPY 到CO欄位'!BF$1,0)</f>
        <v>0</v>
      </c>
      <c r="BL97" s="157">
        <f>VLOOKUP($A97,'Over Under Bill 1 COPY 到CO欄位'!$1:$1048576,'Over Under Bill 1 COPY 到CO欄位'!BL$1,0)-VLOOKUP($A97,'Over Under Bill 1 COPY 到CO欄位'!$1:$1048576,'Over Under Bill 1 COPY 到CO欄位'!BG$1,0)</f>
        <v>0</v>
      </c>
      <c r="BM97" s="157">
        <f t="shared" si="138"/>
        <v>0</v>
      </c>
      <c r="BN97" s="157">
        <f>VLOOKUP($A97,'Over Under Bill 1 COPY 到CO欄位'!$1:$1048576,'Over Under Bill 1 COPY 到CO欄位'!BN$1,0)-VLOOKUP($A97,'Over Under Bill 1 COPY 到CO欄位'!$1:$1048576,'Over Under Bill 1 COPY 到CO欄位'!BI$1,0)</f>
        <v>0</v>
      </c>
      <c r="BO97" s="157">
        <f t="shared" si="139"/>
        <v>0</v>
      </c>
      <c r="BP97" s="158">
        <f>VLOOKUP($A97,'Over Under Bill 1 COPY 到CO欄位'!$1:$1048576,'Over Under Bill 1 COPY 到CO欄位'!BP$1,0)-VLOOKUP($A97,'Over Under Bill 1 COPY 到CO欄位'!$1:$1048576,'Over Under Bill 1 COPY 到CO欄位'!BK$1,0)</f>
        <v>0</v>
      </c>
      <c r="BQ97" s="158">
        <f>VLOOKUP($A97,'Over Under Bill 1 COPY 到CO欄位'!$1:$1048576,'Over Under Bill 1 COPY 到CO欄位'!BQ$1,0)-VLOOKUP($A97,'Over Under Bill 1 COPY 到CO欄位'!$1:$1048576,'Over Under Bill 1 COPY 到CO欄位'!BL$1,0)</f>
        <v>0</v>
      </c>
      <c r="BR97" s="158">
        <f t="shared" si="140"/>
        <v>0</v>
      </c>
      <c r="BS97" s="158">
        <f>VLOOKUP($A97,'Over Under Bill 1 COPY 到CO欄位'!$1:$1048576,'Over Under Bill 1 COPY 到CO欄位'!BS$1,0)-VLOOKUP($A97,'Over Under Bill 1 COPY 到CO欄位'!$1:$1048576,'Over Under Bill 1 COPY 到CO欄位'!BN$1,0)</f>
        <v>0</v>
      </c>
      <c r="BT97" s="158">
        <f t="shared" si="141"/>
        <v>0</v>
      </c>
      <c r="BU97" s="157">
        <f>VLOOKUP($A97,'Over Under Bill 1 COPY 到CO欄位'!$1:$1048576,'Over Under Bill 1 COPY 到CO欄位'!BP$1,0)-VLOOKUP($A97,'Over Under Bill 1 COPY 到CO欄位'!$1:$1048576,'Over Under Bill 1 COPY 到CO欄位'!H$1,0)</f>
        <v>0</v>
      </c>
      <c r="BV97" s="157">
        <f>VLOOKUP($A97,'Over Under Bill 1 COPY 到CO欄位'!$1:$1048576,'Over Under Bill 1 COPY 到CO欄位'!BQ$1,0)-VLOOKUP($A97,'Over Under Bill 1 COPY 到CO欄位'!$1:$1048576,'Over Under Bill 1 COPY 到CO欄位'!I$1,0)</f>
        <v>0</v>
      </c>
      <c r="BW97" s="157">
        <f t="shared" si="142"/>
        <v>0</v>
      </c>
      <c r="BX97" s="157">
        <f>VLOOKUP($A97,'Over Under Bill 1 COPY 到CO欄位'!$1:$1048576,'Over Under Bill 1 COPY 到CO欄位'!BS$1,0)-VLOOKUP($A97,'Over Under Bill 1 COPY 到CO欄位'!$1:$1048576,'Over Under Bill 1 COPY 到CO欄位'!K$1,0)</f>
        <v>0</v>
      </c>
      <c r="BY97" s="157">
        <f t="shared" si="143"/>
        <v>0</v>
      </c>
      <c r="BZ97" s="158">
        <f>VLOOKUP($A97,'Over Under Bill 1 COPY 到CO欄位'!$1:$1048576,'Over Under Bill 1 COPY 到CO欄位'!BU$1,0)-VLOOKUP($A97,'Over Under Bill 1 COPY 到CO欄位'!$1:$1048576,'Over Under Bill 1 COPY 到CO欄位'!BP$1,0)</f>
        <v>0</v>
      </c>
      <c r="CA97" s="158">
        <f>VLOOKUP($A97,'Over Under Bill 1 COPY 到CO欄位'!$1:$1048576,'Over Under Bill 1 COPY 到CO欄位'!BV$1,0)-VLOOKUP($A97,'Over Under Bill 1 COPY 到CO欄位'!$1:$1048576,'Over Under Bill 1 COPY 到CO欄位'!BQ$1,0)</f>
        <v>0</v>
      </c>
      <c r="CB97" s="158">
        <f t="shared" si="144"/>
        <v>0</v>
      </c>
      <c r="CC97" s="158">
        <f>VLOOKUP($A97,'Over Under Bill 1 COPY 到CO欄位'!$1:$1048576,'Over Under Bill 1 COPY 到CO欄位'!BX$1,0)-VLOOKUP($A97,'Over Under Bill 1 COPY 到CO欄位'!$1:$1048576,'Over Under Bill 1 COPY 到CO欄位'!BS$1,0)</f>
        <v>0</v>
      </c>
      <c r="CD97" s="158">
        <f t="shared" si="145"/>
        <v>0</v>
      </c>
      <c r="CE97" s="157">
        <f>VLOOKUP($A97,'Over Under Bill 1 COPY 到CO欄位'!$1:$1048576,'Over Under Bill 1 COPY 到CO欄位'!BZ$1,0)-VLOOKUP($A97,'Over Under Bill 1 COPY 到CO欄位'!$1:$1048576,'Over Under Bill 1 COPY 到CO欄位'!BU$1,0)</f>
        <v>0</v>
      </c>
      <c r="CF97" s="157">
        <f>VLOOKUP($A97,'Over Under Bill 1 COPY 到CO欄位'!$1:$1048576,'Over Under Bill 1 COPY 到CO欄位'!CA$1,0)-VLOOKUP($A97,'Over Under Bill 1 COPY 到CO欄位'!$1:$1048576,'Over Under Bill 1 COPY 到CO欄位'!BV$1,0)</f>
        <v>0</v>
      </c>
      <c r="CG97" s="157">
        <f t="shared" si="146"/>
        <v>0</v>
      </c>
      <c r="CH97" s="157">
        <f>VLOOKUP($A97,'Over Under Bill 1 COPY 到CO欄位'!$1:$1048576,'Over Under Bill 1 COPY 到CO欄位'!CC$1,0)-VLOOKUP($A97,'Over Under Bill 1 COPY 到CO欄位'!$1:$1048576,'Over Under Bill 1 COPY 到CO欄位'!BX$1,0)</f>
        <v>0</v>
      </c>
      <c r="CI97" s="157">
        <f t="shared" si="147"/>
        <v>0</v>
      </c>
      <c r="CJ97" s="158">
        <f>VLOOKUP($A97,'Over Under Bill 1 COPY 到CO欄位'!$1:$1048576,'Over Under Bill 1 COPY 到CO欄位'!CE$1,0)-VLOOKUP($A97,'Over Under Bill 1 COPY 到CO欄位'!$1:$1048576,'Over Under Bill 1 COPY 到CO欄位'!BZ$1,0)</f>
        <v>0</v>
      </c>
      <c r="CK97" s="158">
        <f>VLOOKUP($A97,'Over Under Bill 1 COPY 到CO欄位'!$1:$1048576,'Over Under Bill 1 COPY 到CO欄位'!CF$1,0)-VLOOKUP($A97,'Over Under Bill 1 COPY 到CO欄位'!$1:$1048576,'Over Under Bill 1 COPY 到CO欄位'!CA$1,0)</f>
        <v>0</v>
      </c>
      <c r="CL97" s="158">
        <f t="shared" si="148"/>
        <v>0</v>
      </c>
      <c r="CM97" s="158">
        <f>VLOOKUP($A97,'Over Under Bill 1 COPY 到CO欄位'!$1:$1048576,'Over Under Bill 1 COPY 到CO欄位'!CH$1,0)-VLOOKUP($A97,'Over Under Bill 1 COPY 到CO欄位'!$1:$1048576,'Over Under Bill 1 COPY 到CO欄位'!CC$1,0)</f>
        <v>0</v>
      </c>
      <c r="CN97" s="158">
        <f t="shared" si="149"/>
        <v>0</v>
      </c>
      <c r="CO97" s="157">
        <f>VLOOKUP($A97,'Over Under Bill 1 COPY 到CO欄位'!$1:$1048576,'Over Under Bill 1 COPY 到CO欄位'!CJ$1,0)-VLOOKUP($A97,'Over Under Bill 1 COPY 到CO欄位'!$1:$1048576,'Over Under Bill 1 COPY 到CO欄位'!CE$1,0)</f>
        <v>0</v>
      </c>
      <c r="CP97" s="157">
        <f>VLOOKUP($A97,'Over Under Bill 1 COPY 到CO欄位'!$1:$1048576,'Over Under Bill 1 COPY 到CO欄位'!CK$1,0)-VLOOKUP($A97,'Over Under Bill 1 COPY 到CO欄位'!$1:$1048576,'Over Under Bill 1 COPY 到CO欄位'!CF$1,0)</f>
        <v>0</v>
      </c>
      <c r="CQ97" s="157">
        <f t="shared" si="150"/>
        <v>0</v>
      </c>
      <c r="CR97" s="157">
        <f>VLOOKUP($A97,'Over Under Bill 1 COPY 到CO欄位'!$1:$1048576,'Over Under Bill 1 COPY 到CO欄位'!CM$1,0)-VLOOKUP($A97,'Over Under Bill 1 COPY 到CO欄位'!$1:$1048576,'Over Under Bill 1 COPY 到CO欄位'!CH$1,0)</f>
        <v>0</v>
      </c>
      <c r="CS97" s="157">
        <f t="shared" si="151"/>
        <v>0</v>
      </c>
    </row>
    <row r="98" spans="1:97">
      <c r="A98" s="179" t="s">
        <v>483</v>
      </c>
      <c r="B98" s="172" t="s">
        <v>484</v>
      </c>
      <c r="C98" s="157">
        <f>IFERROR(VLOOKUP($A98,'A0 BS 1240在建'!$1:$1048576,5,0),0)</f>
        <v>0</v>
      </c>
      <c r="D98" s="157">
        <f>IFERROR(VLOOKUP($A98,'B0 2264預收'!$1:$1048576,5,0),0)</f>
        <v>0</v>
      </c>
      <c r="E98" s="157">
        <f t="shared" si="114"/>
        <v>0</v>
      </c>
      <c r="F98" s="157">
        <f>IFERROR(VLOOKUP($A98,'B0 2264預收'!$1:$1048576,6,0),0)</f>
        <v>0</v>
      </c>
      <c r="G98" s="157">
        <f t="shared" si="115"/>
        <v>0</v>
      </c>
      <c r="H98" s="158">
        <f>IFERROR(VLOOKUP($A98,'A0 BS 1240在建'!$1:$1048576,13,0),0)-C98</f>
        <v>0</v>
      </c>
      <c r="I98" s="158">
        <f>IFERROR(VLOOKUP($A98,'B0 2264預收'!$1:$1048576,13,0),0)-D98</f>
        <v>0</v>
      </c>
      <c r="J98" s="158">
        <f t="shared" si="116"/>
        <v>0</v>
      </c>
      <c r="K98" s="158">
        <f>IFERROR(VLOOKUP($A98,'B0 2264預收'!$1:$1048576,14,0),0)-F98</f>
        <v>0</v>
      </c>
      <c r="L98" s="158">
        <f t="shared" si="117"/>
        <v>0</v>
      </c>
      <c r="M98" s="157">
        <f>VLOOKUP($A98,'Over Under Bill 1 COPY 到CO欄位'!$1:$1048576,'Over Under Bill 1 COPY 到CO欄位'!M$1,0)-VLOOKUP($A98,'Over Under Bill 1 COPY 到CO欄位'!$1:$1048576,'Over Under Bill 1 COPY 到CO欄位'!H$1,0)</f>
        <v>0</v>
      </c>
      <c r="N98" s="157">
        <f>VLOOKUP($A98,'Over Under Bill 1 COPY 到CO欄位'!$1:$1048576,'Over Under Bill 1 COPY 到CO欄位'!N$1,0)-VLOOKUP($A98,'Over Under Bill 1 COPY 到CO欄位'!$1:$1048576,'Over Under Bill 1 COPY 到CO欄位'!I$1,0)</f>
        <v>0</v>
      </c>
      <c r="O98" s="157">
        <f t="shared" si="118"/>
        <v>0</v>
      </c>
      <c r="P98" s="157">
        <f>VLOOKUP($A98,'Over Under Bill 1 COPY 到CO欄位'!$1:$1048576,'Over Under Bill 1 COPY 到CO欄位'!P$1,0)-VLOOKUP($A98,'Over Under Bill 1 COPY 到CO欄位'!$1:$1048576,'Over Under Bill 1 COPY 到CO欄位'!K$1,0)</f>
        <v>0</v>
      </c>
      <c r="Q98" s="157">
        <f t="shared" si="119"/>
        <v>0</v>
      </c>
      <c r="R98" s="158">
        <f>VLOOKUP($A98,'Over Under Bill 1 COPY 到CO欄位'!$1:$1048576,'Over Under Bill 1 COPY 到CO欄位'!R$1,0)-VLOOKUP($A98,'Over Under Bill 1 COPY 到CO欄位'!$1:$1048576,'Over Under Bill 1 COPY 到CO欄位'!M$1,0)</f>
        <v>0</v>
      </c>
      <c r="S98" s="158">
        <f>VLOOKUP($A98,'Over Under Bill 1 COPY 到CO欄位'!$1:$1048576,'Over Under Bill 1 COPY 到CO欄位'!S$1,0)-VLOOKUP($A98,'Over Under Bill 1 COPY 到CO欄位'!$1:$1048576,'Over Under Bill 1 COPY 到CO欄位'!N$1,0)</f>
        <v>0</v>
      </c>
      <c r="T98" s="158">
        <f t="shared" si="120"/>
        <v>0</v>
      </c>
      <c r="U98" s="158">
        <f>VLOOKUP($A98,'Over Under Bill 1 COPY 到CO欄位'!$1:$1048576,'Over Under Bill 1 COPY 到CO欄位'!U$1,0)-VLOOKUP($A98,'Over Under Bill 1 COPY 到CO欄位'!$1:$1048576,'Over Under Bill 1 COPY 到CO欄位'!P$1,0)</f>
        <v>0</v>
      </c>
      <c r="V98" s="158">
        <f t="shared" si="121"/>
        <v>0</v>
      </c>
      <c r="W98" s="157">
        <f>VLOOKUP($A98,'Over Under Bill 1 COPY 到CO欄位'!$1:$1048576,'Over Under Bill 1 COPY 到CO欄位'!W$1,0)-VLOOKUP($A98,'Over Under Bill 1 COPY 到CO欄位'!$1:$1048576,'Over Under Bill 1 COPY 到CO欄位'!R$1,0)</f>
        <v>0</v>
      </c>
      <c r="X98" s="157">
        <f>VLOOKUP($A98,'Over Under Bill 1 COPY 到CO欄位'!$1:$1048576,'Over Under Bill 1 COPY 到CO欄位'!X$1,0)-VLOOKUP($A98,'Over Under Bill 1 COPY 到CO欄位'!$1:$1048576,'Over Under Bill 1 COPY 到CO欄位'!S$1,0)</f>
        <v>0</v>
      </c>
      <c r="Y98" s="157">
        <f t="shared" si="122"/>
        <v>0</v>
      </c>
      <c r="Z98" s="157">
        <f>VLOOKUP($A98,'Over Under Bill 1 COPY 到CO欄位'!$1:$1048576,'Over Under Bill 1 COPY 到CO欄位'!Z$1,0)-VLOOKUP($A98,'Over Under Bill 1 COPY 到CO欄位'!$1:$1048576,'Over Under Bill 1 COPY 到CO欄位'!U$1,0)</f>
        <v>0</v>
      </c>
      <c r="AA98" s="157">
        <f t="shared" si="123"/>
        <v>0</v>
      </c>
      <c r="AB98" s="158">
        <f>VLOOKUP($A98,'Over Under Bill 1 COPY 到CO欄位'!$1:$1048576,'Over Under Bill 1 COPY 到CO欄位'!AB$1,0)-VLOOKUP($A98,'Over Under Bill 1 COPY 到CO欄位'!$1:$1048576,'Over Under Bill 1 COPY 到CO欄位'!W$1,0)</f>
        <v>0</v>
      </c>
      <c r="AC98" s="158">
        <f>VLOOKUP($A98,'Over Under Bill 1 COPY 到CO欄位'!$1:$1048576,'Over Under Bill 1 COPY 到CO欄位'!AC$1,0)-VLOOKUP($A98,'Over Under Bill 1 COPY 到CO欄位'!$1:$1048576,'Over Under Bill 1 COPY 到CO欄位'!X$1,0)</f>
        <v>0</v>
      </c>
      <c r="AD98" s="158">
        <f t="shared" si="124"/>
        <v>0</v>
      </c>
      <c r="AE98" s="158">
        <f>VLOOKUP($A98,'Over Under Bill 1 COPY 到CO欄位'!$1:$1048576,'Over Under Bill 1 COPY 到CO欄位'!AE$1,0)-VLOOKUP($A98,'Over Under Bill 1 COPY 到CO欄位'!$1:$1048576,'Over Under Bill 1 COPY 到CO欄位'!Z$1,0)</f>
        <v>0</v>
      </c>
      <c r="AF98" s="158">
        <f t="shared" si="125"/>
        <v>0</v>
      </c>
      <c r="AG98" s="157">
        <f>VLOOKUP($A98,'Over Under Bill 1 COPY 到CO欄位'!$1:$1048576,'Over Under Bill 1 COPY 到CO欄位'!AG$1,0)-VLOOKUP($A98,'Over Under Bill 1 COPY 到CO欄位'!$1:$1048576,'Over Under Bill 1 COPY 到CO欄位'!AB$1,0)</f>
        <v>0</v>
      </c>
      <c r="AH98" s="157">
        <f>VLOOKUP($A98,'Over Under Bill 1 COPY 到CO欄位'!$1:$1048576,'Over Under Bill 1 COPY 到CO欄位'!AH$1,0)-VLOOKUP($A98,'Over Under Bill 1 COPY 到CO欄位'!$1:$1048576,'Over Under Bill 1 COPY 到CO欄位'!AC$1,0)</f>
        <v>0</v>
      </c>
      <c r="AI98" s="157">
        <f t="shared" si="126"/>
        <v>0</v>
      </c>
      <c r="AJ98" s="157">
        <f>VLOOKUP($A98,'Over Under Bill 1 COPY 到CO欄位'!$1:$1048576,'Over Under Bill 1 COPY 到CO欄位'!AJ$1,0)-VLOOKUP($A98,'Over Under Bill 1 COPY 到CO欄位'!$1:$1048576,'Over Under Bill 1 COPY 到CO欄位'!AE$1,0)</f>
        <v>0</v>
      </c>
      <c r="AK98" s="157">
        <f t="shared" si="127"/>
        <v>0</v>
      </c>
      <c r="AL98" s="158">
        <f>VLOOKUP($A98,'Over Under Bill 1 COPY 到CO欄位'!$1:$1048576,'Over Under Bill 1 COPY 到CO欄位'!AL$1,0)-VLOOKUP($A98,'Over Under Bill 1 COPY 到CO欄位'!$1:$1048576,'Over Under Bill 1 COPY 到CO欄位'!AG$1,0)</f>
        <v>0</v>
      </c>
      <c r="AM98" s="158">
        <f>VLOOKUP($A98,'Over Under Bill 1 COPY 到CO欄位'!$1:$1048576,'Over Under Bill 1 COPY 到CO欄位'!AM$1,0)-VLOOKUP($A98,'Over Under Bill 1 COPY 到CO欄位'!$1:$1048576,'Over Under Bill 1 COPY 到CO欄位'!AH$1,0)</f>
        <v>0</v>
      </c>
      <c r="AN98" s="158">
        <f t="shared" si="128"/>
        <v>0</v>
      </c>
      <c r="AO98" s="158">
        <f>VLOOKUP($A98,'Over Under Bill 1 COPY 到CO欄位'!$1:$1048576,'Over Under Bill 1 COPY 到CO欄位'!AO$1,0)-VLOOKUP($A98,'Over Under Bill 1 COPY 到CO欄位'!$1:$1048576,'Over Under Bill 1 COPY 到CO欄位'!AJ$1,0)</f>
        <v>0</v>
      </c>
      <c r="AP98" s="158">
        <f t="shared" si="129"/>
        <v>0</v>
      </c>
      <c r="AQ98" s="157">
        <f>VLOOKUP($A98,'Over Under Bill 1 COPY 到CO欄位'!$1:$1048576,'Over Under Bill 1 COPY 到CO欄位'!AQ$1,0)-VLOOKUP($A98,'Over Under Bill 1 COPY 到CO欄位'!$1:$1048576,'Over Under Bill 1 COPY 到CO欄位'!AL$1,0)</f>
        <v>0</v>
      </c>
      <c r="AR98" s="157">
        <f>VLOOKUP($A98,'Over Under Bill 1 COPY 到CO欄位'!$1:$1048576,'Over Under Bill 1 COPY 到CO欄位'!AR$1,0)-VLOOKUP($A98,'Over Under Bill 1 COPY 到CO欄位'!$1:$1048576,'Over Under Bill 1 COPY 到CO欄位'!AM$1,0)</f>
        <v>0</v>
      </c>
      <c r="AS98" s="157">
        <f t="shared" si="130"/>
        <v>0</v>
      </c>
      <c r="AT98" s="157">
        <f>VLOOKUP($A98,'Over Under Bill 1 COPY 到CO欄位'!$1:$1048576,'Over Under Bill 1 COPY 到CO欄位'!AT$1,0)-VLOOKUP($A98,'Over Under Bill 1 COPY 到CO欄位'!$1:$1048576,'Over Under Bill 1 COPY 到CO欄位'!AO$1,0)</f>
        <v>0</v>
      </c>
      <c r="AU98" s="157">
        <f t="shared" si="131"/>
        <v>0</v>
      </c>
      <c r="AV98" s="158">
        <f>VLOOKUP($A98,'Over Under Bill 1 COPY 到CO欄位'!$1:$1048576,'Over Under Bill 1 COPY 到CO欄位'!AV$1,0)-VLOOKUP($A98,'Over Under Bill 1 COPY 到CO欄位'!$1:$1048576,'Over Under Bill 1 COPY 到CO欄位'!AQ$1,0)</f>
        <v>0</v>
      </c>
      <c r="AW98" s="158">
        <f>VLOOKUP($A98,'Over Under Bill 1 COPY 到CO欄位'!$1:$1048576,'Over Under Bill 1 COPY 到CO欄位'!AW$1,0)-VLOOKUP($A98,'Over Under Bill 1 COPY 到CO欄位'!$1:$1048576,'Over Under Bill 1 COPY 到CO欄位'!AR$1,0)</f>
        <v>0</v>
      </c>
      <c r="AX98" s="158">
        <f t="shared" si="132"/>
        <v>0</v>
      </c>
      <c r="AY98" s="158">
        <f>VLOOKUP($A98,'Over Under Bill 1 COPY 到CO欄位'!$1:$1048576,'Over Under Bill 1 COPY 到CO欄位'!AY$1,0)-VLOOKUP($A98,'Over Under Bill 1 COPY 到CO欄位'!$1:$1048576,'Over Under Bill 1 COPY 到CO欄位'!AT$1,0)</f>
        <v>0</v>
      </c>
      <c r="AZ98" s="158">
        <f t="shared" si="133"/>
        <v>0</v>
      </c>
      <c r="BA98" s="157">
        <f>VLOOKUP($A98,'Over Under Bill 1 COPY 到CO欄位'!$1:$1048576,'Over Under Bill 1 COPY 到CO欄位'!BA$1,0)-VLOOKUP($A98,'Over Under Bill 1 COPY 到CO欄位'!$1:$1048576,'Over Under Bill 1 COPY 到CO欄位'!AV$1,0)</f>
        <v>0</v>
      </c>
      <c r="BB98" s="157">
        <f>VLOOKUP($A98,'Over Under Bill 1 COPY 到CO欄位'!$1:$1048576,'Over Under Bill 1 COPY 到CO欄位'!BB$1,0)-VLOOKUP($A98,'Over Under Bill 1 COPY 到CO欄位'!$1:$1048576,'Over Under Bill 1 COPY 到CO欄位'!AW$1,0)</f>
        <v>0</v>
      </c>
      <c r="BC98" s="157">
        <f t="shared" si="134"/>
        <v>0</v>
      </c>
      <c r="BD98" s="157">
        <f>VLOOKUP($A98,'Over Under Bill 1 COPY 到CO欄位'!$1:$1048576,'Over Under Bill 1 COPY 到CO欄位'!BD$1,0)-VLOOKUP($A98,'Over Under Bill 1 COPY 到CO欄位'!$1:$1048576,'Over Under Bill 1 COPY 到CO欄位'!AY$1,0)</f>
        <v>0</v>
      </c>
      <c r="BE98" s="157">
        <f t="shared" si="135"/>
        <v>0</v>
      </c>
      <c r="BF98" s="158">
        <f>VLOOKUP($A98,'Over Under Bill 1 COPY 到CO欄位'!$1:$1048576,'Over Under Bill 1 COPY 到CO欄位'!BF$1,0)-VLOOKUP($A98,'Over Under Bill 1 COPY 到CO欄位'!$1:$1048576,'Over Under Bill 1 COPY 到CO欄位'!BA$1,0)</f>
        <v>0</v>
      </c>
      <c r="BG98" s="158">
        <f>VLOOKUP($A98,'Over Under Bill 1 COPY 到CO欄位'!$1:$1048576,'Over Under Bill 1 COPY 到CO欄位'!BG$1,0)-VLOOKUP($A98,'Over Under Bill 1 COPY 到CO欄位'!$1:$1048576,'Over Under Bill 1 COPY 到CO欄位'!BB$1,0)</f>
        <v>0</v>
      </c>
      <c r="BH98" s="158">
        <f t="shared" si="136"/>
        <v>0</v>
      </c>
      <c r="BI98" s="158">
        <f>VLOOKUP($A98,'Over Under Bill 1 COPY 到CO欄位'!$1:$1048576,'Over Under Bill 1 COPY 到CO欄位'!BI$1,0)-VLOOKUP($A98,'Over Under Bill 1 COPY 到CO欄位'!$1:$1048576,'Over Under Bill 1 COPY 到CO欄位'!BD$1,0)</f>
        <v>0</v>
      </c>
      <c r="BJ98" s="158">
        <f t="shared" si="137"/>
        <v>0</v>
      </c>
      <c r="BK98" s="157">
        <f>VLOOKUP($A98,'Over Under Bill 1 COPY 到CO欄位'!$1:$1048576,'Over Under Bill 1 COPY 到CO欄位'!BK$1,0)-VLOOKUP($A98,'Over Under Bill 1 COPY 到CO欄位'!$1:$1048576,'Over Under Bill 1 COPY 到CO欄位'!BF$1,0)</f>
        <v>0</v>
      </c>
      <c r="BL98" s="157">
        <f>VLOOKUP($A98,'Over Under Bill 1 COPY 到CO欄位'!$1:$1048576,'Over Under Bill 1 COPY 到CO欄位'!BL$1,0)-VLOOKUP($A98,'Over Under Bill 1 COPY 到CO欄位'!$1:$1048576,'Over Under Bill 1 COPY 到CO欄位'!BG$1,0)</f>
        <v>0</v>
      </c>
      <c r="BM98" s="157">
        <f t="shared" si="138"/>
        <v>0</v>
      </c>
      <c r="BN98" s="157">
        <f>VLOOKUP($A98,'Over Under Bill 1 COPY 到CO欄位'!$1:$1048576,'Over Under Bill 1 COPY 到CO欄位'!BN$1,0)-VLOOKUP($A98,'Over Under Bill 1 COPY 到CO欄位'!$1:$1048576,'Over Under Bill 1 COPY 到CO欄位'!BI$1,0)</f>
        <v>0</v>
      </c>
      <c r="BO98" s="157">
        <f t="shared" si="139"/>
        <v>0</v>
      </c>
      <c r="BP98" s="158">
        <f>VLOOKUP($A98,'Over Under Bill 1 COPY 到CO欄位'!$1:$1048576,'Over Under Bill 1 COPY 到CO欄位'!BP$1,0)-VLOOKUP($A98,'Over Under Bill 1 COPY 到CO欄位'!$1:$1048576,'Over Under Bill 1 COPY 到CO欄位'!BK$1,0)</f>
        <v>0</v>
      </c>
      <c r="BQ98" s="158">
        <f>VLOOKUP($A98,'Over Under Bill 1 COPY 到CO欄位'!$1:$1048576,'Over Under Bill 1 COPY 到CO欄位'!BQ$1,0)-VLOOKUP($A98,'Over Under Bill 1 COPY 到CO欄位'!$1:$1048576,'Over Under Bill 1 COPY 到CO欄位'!BL$1,0)</f>
        <v>0</v>
      </c>
      <c r="BR98" s="158">
        <f t="shared" si="140"/>
        <v>0</v>
      </c>
      <c r="BS98" s="158">
        <f>VLOOKUP($A98,'Over Under Bill 1 COPY 到CO欄位'!$1:$1048576,'Over Under Bill 1 COPY 到CO欄位'!BS$1,0)-VLOOKUP($A98,'Over Under Bill 1 COPY 到CO欄位'!$1:$1048576,'Over Under Bill 1 COPY 到CO欄位'!BN$1,0)</f>
        <v>0</v>
      </c>
      <c r="BT98" s="158">
        <f t="shared" si="141"/>
        <v>0</v>
      </c>
      <c r="BU98" s="157">
        <f>VLOOKUP($A98,'Over Under Bill 1 COPY 到CO欄位'!$1:$1048576,'Over Under Bill 1 COPY 到CO欄位'!BP$1,0)-VLOOKUP($A98,'Over Under Bill 1 COPY 到CO欄位'!$1:$1048576,'Over Under Bill 1 COPY 到CO欄位'!H$1,0)</f>
        <v>0</v>
      </c>
      <c r="BV98" s="157">
        <f>VLOOKUP($A98,'Over Under Bill 1 COPY 到CO欄位'!$1:$1048576,'Over Under Bill 1 COPY 到CO欄位'!BQ$1,0)-VLOOKUP($A98,'Over Under Bill 1 COPY 到CO欄位'!$1:$1048576,'Over Under Bill 1 COPY 到CO欄位'!I$1,0)</f>
        <v>0</v>
      </c>
      <c r="BW98" s="157">
        <f t="shared" si="142"/>
        <v>0</v>
      </c>
      <c r="BX98" s="157">
        <f>VLOOKUP($A98,'Over Under Bill 1 COPY 到CO欄位'!$1:$1048576,'Over Under Bill 1 COPY 到CO欄位'!BS$1,0)-VLOOKUP($A98,'Over Under Bill 1 COPY 到CO欄位'!$1:$1048576,'Over Under Bill 1 COPY 到CO欄位'!K$1,0)</f>
        <v>0</v>
      </c>
      <c r="BY98" s="157">
        <f t="shared" si="143"/>
        <v>0</v>
      </c>
      <c r="BZ98" s="158">
        <f>VLOOKUP($A98,'Over Under Bill 1 COPY 到CO欄位'!$1:$1048576,'Over Under Bill 1 COPY 到CO欄位'!BU$1,0)-VLOOKUP($A98,'Over Under Bill 1 COPY 到CO欄位'!$1:$1048576,'Over Under Bill 1 COPY 到CO欄位'!BP$1,0)</f>
        <v>0</v>
      </c>
      <c r="CA98" s="158">
        <f>VLOOKUP($A98,'Over Under Bill 1 COPY 到CO欄位'!$1:$1048576,'Over Under Bill 1 COPY 到CO欄位'!BV$1,0)-VLOOKUP($A98,'Over Under Bill 1 COPY 到CO欄位'!$1:$1048576,'Over Under Bill 1 COPY 到CO欄位'!BQ$1,0)</f>
        <v>0</v>
      </c>
      <c r="CB98" s="158">
        <f t="shared" si="144"/>
        <v>0</v>
      </c>
      <c r="CC98" s="158">
        <f>VLOOKUP($A98,'Over Under Bill 1 COPY 到CO欄位'!$1:$1048576,'Over Under Bill 1 COPY 到CO欄位'!BX$1,0)-VLOOKUP($A98,'Over Under Bill 1 COPY 到CO欄位'!$1:$1048576,'Over Under Bill 1 COPY 到CO欄位'!BS$1,0)</f>
        <v>0</v>
      </c>
      <c r="CD98" s="158">
        <f t="shared" si="145"/>
        <v>0</v>
      </c>
      <c r="CE98" s="157">
        <f>VLOOKUP($A98,'Over Under Bill 1 COPY 到CO欄位'!$1:$1048576,'Over Under Bill 1 COPY 到CO欄位'!BZ$1,0)-VLOOKUP($A98,'Over Under Bill 1 COPY 到CO欄位'!$1:$1048576,'Over Under Bill 1 COPY 到CO欄位'!BU$1,0)</f>
        <v>0</v>
      </c>
      <c r="CF98" s="157">
        <f>VLOOKUP($A98,'Over Under Bill 1 COPY 到CO欄位'!$1:$1048576,'Over Under Bill 1 COPY 到CO欄位'!CA$1,0)-VLOOKUP($A98,'Over Under Bill 1 COPY 到CO欄位'!$1:$1048576,'Over Under Bill 1 COPY 到CO欄位'!BV$1,0)</f>
        <v>0</v>
      </c>
      <c r="CG98" s="157">
        <f t="shared" si="146"/>
        <v>0</v>
      </c>
      <c r="CH98" s="157">
        <f>VLOOKUP($A98,'Over Under Bill 1 COPY 到CO欄位'!$1:$1048576,'Over Under Bill 1 COPY 到CO欄位'!CC$1,0)-VLOOKUP($A98,'Over Under Bill 1 COPY 到CO欄位'!$1:$1048576,'Over Under Bill 1 COPY 到CO欄位'!BX$1,0)</f>
        <v>0</v>
      </c>
      <c r="CI98" s="157">
        <f t="shared" si="147"/>
        <v>0</v>
      </c>
      <c r="CJ98" s="158">
        <f>VLOOKUP($A98,'Over Under Bill 1 COPY 到CO欄位'!$1:$1048576,'Over Under Bill 1 COPY 到CO欄位'!CE$1,0)-VLOOKUP($A98,'Over Under Bill 1 COPY 到CO欄位'!$1:$1048576,'Over Under Bill 1 COPY 到CO欄位'!BZ$1,0)</f>
        <v>0</v>
      </c>
      <c r="CK98" s="158">
        <f>VLOOKUP($A98,'Over Under Bill 1 COPY 到CO欄位'!$1:$1048576,'Over Under Bill 1 COPY 到CO欄位'!CF$1,0)-VLOOKUP($A98,'Over Under Bill 1 COPY 到CO欄位'!$1:$1048576,'Over Under Bill 1 COPY 到CO欄位'!CA$1,0)</f>
        <v>0</v>
      </c>
      <c r="CL98" s="158">
        <f t="shared" si="148"/>
        <v>0</v>
      </c>
      <c r="CM98" s="158">
        <f>VLOOKUP($A98,'Over Under Bill 1 COPY 到CO欄位'!$1:$1048576,'Over Under Bill 1 COPY 到CO欄位'!CH$1,0)-VLOOKUP($A98,'Over Under Bill 1 COPY 到CO欄位'!$1:$1048576,'Over Under Bill 1 COPY 到CO欄位'!CC$1,0)</f>
        <v>0</v>
      </c>
      <c r="CN98" s="158">
        <f t="shared" si="149"/>
        <v>0</v>
      </c>
      <c r="CO98" s="157">
        <f>VLOOKUP($A98,'Over Under Bill 1 COPY 到CO欄位'!$1:$1048576,'Over Under Bill 1 COPY 到CO欄位'!CJ$1,0)-VLOOKUP($A98,'Over Under Bill 1 COPY 到CO欄位'!$1:$1048576,'Over Under Bill 1 COPY 到CO欄位'!CE$1,0)</f>
        <v>0</v>
      </c>
      <c r="CP98" s="157">
        <f>VLOOKUP($A98,'Over Under Bill 1 COPY 到CO欄位'!$1:$1048576,'Over Under Bill 1 COPY 到CO欄位'!CK$1,0)-VLOOKUP($A98,'Over Under Bill 1 COPY 到CO欄位'!$1:$1048576,'Over Under Bill 1 COPY 到CO欄位'!CF$1,0)</f>
        <v>0</v>
      </c>
      <c r="CQ98" s="157">
        <f t="shared" si="150"/>
        <v>0</v>
      </c>
      <c r="CR98" s="157">
        <f>VLOOKUP($A98,'Over Under Bill 1 COPY 到CO欄位'!$1:$1048576,'Over Under Bill 1 COPY 到CO欄位'!CM$1,0)-VLOOKUP($A98,'Over Under Bill 1 COPY 到CO欄位'!$1:$1048576,'Over Under Bill 1 COPY 到CO欄位'!CH$1,0)</f>
        <v>0</v>
      </c>
      <c r="CS98" s="157">
        <f t="shared" si="151"/>
        <v>0</v>
      </c>
    </row>
    <row r="99" spans="1:97">
      <c r="A99" s="179" t="s">
        <v>485</v>
      </c>
      <c r="B99" s="172" t="s">
        <v>486</v>
      </c>
      <c r="C99" s="157">
        <f>IFERROR(VLOOKUP($A99,'A0 BS 1240在建'!$1:$1048576,5,0),0)</f>
        <v>0</v>
      </c>
      <c r="D99" s="157">
        <f>IFERROR(VLOOKUP($A99,'B0 2264預收'!$1:$1048576,5,0),0)</f>
        <v>0</v>
      </c>
      <c r="E99" s="157">
        <f t="shared" si="114"/>
        <v>0</v>
      </c>
      <c r="F99" s="157">
        <f>IFERROR(VLOOKUP($A99,'B0 2264預收'!$1:$1048576,6,0),0)</f>
        <v>0</v>
      </c>
      <c r="G99" s="157">
        <f t="shared" si="115"/>
        <v>0</v>
      </c>
      <c r="H99" s="158">
        <f>IFERROR(VLOOKUP($A99,'A0 BS 1240在建'!$1:$1048576,13,0),0)-C99</f>
        <v>0</v>
      </c>
      <c r="I99" s="158">
        <f>IFERROR(VLOOKUP($A99,'B0 2264預收'!$1:$1048576,13,0),0)-D99</f>
        <v>0</v>
      </c>
      <c r="J99" s="158">
        <f t="shared" si="116"/>
        <v>0</v>
      </c>
      <c r="K99" s="158">
        <f>IFERROR(VLOOKUP($A99,'B0 2264預收'!$1:$1048576,14,0),0)-F99</f>
        <v>0</v>
      </c>
      <c r="L99" s="158">
        <f t="shared" si="117"/>
        <v>0</v>
      </c>
      <c r="M99" s="157">
        <f>VLOOKUP($A99,'Over Under Bill 1 COPY 到CO欄位'!$1:$1048576,'Over Under Bill 1 COPY 到CO欄位'!M$1,0)-VLOOKUP($A99,'Over Under Bill 1 COPY 到CO欄位'!$1:$1048576,'Over Under Bill 1 COPY 到CO欄位'!H$1,0)</f>
        <v>0</v>
      </c>
      <c r="N99" s="157">
        <f>VLOOKUP($A99,'Over Under Bill 1 COPY 到CO欄位'!$1:$1048576,'Over Under Bill 1 COPY 到CO欄位'!N$1,0)-VLOOKUP($A99,'Over Under Bill 1 COPY 到CO欄位'!$1:$1048576,'Over Under Bill 1 COPY 到CO欄位'!I$1,0)</f>
        <v>0</v>
      </c>
      <c r="O99" s="157">
        <f t="shared" si="118"/>
        <v>0</v>
      </c>
      <c r="P99" s="157">
        <f>VLOOKUP($A99,'Over Under Bill 1 COPY 到CO欄位'!$1:$1048576,'Over Under Bill 1 COPY 到CO欄位'!P$1,0)-VLOOKUP($A99,'Over Under Bill 1 COPY 到CO欄位'!$1:$1048576,'Over Under Bill 1 COPY 到CO欄位'!K$1,0)</f>
        <v>0</v>
      </c>
      <c r="Q99" s="157">
        <f t="shared" si="119"/>
        <v>0</v>
      </c>
      <c r="R99" s="158">
        <f>VLOOKUP($A99,'Over Under Bill 1 COPY 到CO欄位'!$1:$1048576,'Over Under Bill 1 COPY 到CO欄位'!R$1,0)-VLOOKUP($A99,'Over Under Bill 1 COPY 到CO欄位'!$1:$1048576,'Over Under Bill 1 COPY 到CO欄位'!M$1,0)</f>
        <v>0</v>
      </c>
      <c r="S99" s="158">
        <f>VLOOKUP($A99,'Over Under Bill 1 COPY 到CO欄位'!$1:$1048576,'Over Under Bill 1 COPY 到CO欄位'!S$1,0)-VLOOKUP($A99,'Over Under Bill 1 COPY 到CO欄位'!$1:$1048576,'Over Under Bill 1 COPY 到CO欄位'!N$1,0)</f>
        <v>0</v>
      </c>
      <c r="T99" s="158">
        <f t="shared" si="120"/>
        <v>0</v>
      </c>
      <c r="U99" s="158">
        <f>VLOOKUP($A99,'Over Under Bill 1 COPY 到CO欄位'!$1:$1048576,'Over Under Bill 1 COPY 到CO欄位'!U$1,0)-VLOOKUP($A99,'Over Under Bill 1 COPY 到CO欄位'!$1:$1048576,'Over Under Bill 1 COPY 到CO欄位'!P$1,0)</f>
        <v>0</v>
      </c>
      <c r="V99" s="158">
        <f t="shared" si="121"/>
        <v>0</v>
      </c>
      <c r="W99" s="157">
        <f>VLOOKUP($A99,'Over Under Bill 1 COPY 到CO欄位'!$1:$1048576,'Over Under Bill 1 COPY 到CO欄位'!W$1,0)-VLOOKUP($A99,'Over Under Bill 1 COPY 到CO欄位'!$1:$1048576,'Over Under Bill 1 COPY 到CO欄位'!R$1,0)</f>
        <v>0</v>
      </c>
      <c r="X99" s="157">
        <f>VLOOKUP($A99,'Over Under Bill 1 COPY 到CO欄位'!$1:$1048576,'Over Under Bill 1 COPY 到CO欄位'!X$1,0)-VLOOKUP($A99,'Over Under Bill 1 COPY 到CO欄位'!$1:$1048576,'Over Under Bill 1 COPY 到CO欄位'!S$1,0)</f>
        <v>0</v>
      </c>
      <c r="Y99" s="157">
        <f t="shared" si="122"/>
        <v>0</v>
      </c>
      <c r="Z99" s="157">
        <f>VLOOKUP($A99,'Over Under Bill 1 COPY 到CO欄位'!$1:$1048576,'Over Under Bill 1 COPY 到CO欄位'!Z$1,0)-VLOOKUP($A99,'Over Under Bill 1 COPY 到CO欄位'!$1:$1048576,'Over Under Bill 1 COPY 到CO欄位'!U$1,0)</f>
        <v>0</v>
      </c>
      <c r="AA99" s="157">
        <f t="shared" si="123"/>
        <v>0</v>
      </c>
      <c r="AB99" s="158">
        <f>VLOOKUP($A99,'Over Under Bill 1 COPY 到CO欄位'!$1:$1048576,'Over Under Bill 1 COPY 到CO欄位'!AB$1,0)-VLOOKUP($A99,'Over Under Bill 1 COPY 到CO欄位'!$1:$1048576,'Over Under Bill 1 COPY 到CO欄位'!W$1,0)</f>
        <v>0</v>
      </c>
      <c r="AC99" s="158">
        <f>VLOOKUP($A99,'Over Under Bill 1 COPY 到CO欄位'!$1:$1048576,'Over Under Bill 1 COPY 到CO欄位'!AC$1,0)-VLOOKUP($A99,'Over Under Bill 1 COPY 到CO欄位'!$1:$1048576,'Over Under Bill 1 COPY 到CO欄位'!X$1,0)</f>
        <v>0</v>
      </c>
      <c r="AD99" s="158">
        <f t="shared" si="124"/>
        <v>0</v>
      </c>
      <c r="AE99" s="158">
        <f>VLOOKUP($A99,'Over Under Bill 1 COPY 到CO欄位'!$1:$1048576,'Over Under Bill 1 COPY 到CO欄位'!AE$1,0)-VLOOKUP($A99,'Over Under Bill 1 COPY 到CO欄位'!$1:$1048576,'Over Under Bill 1 COPY 到CO欄位'!Z$1,0)</f>
        <v>0</v>
      </c>
      <c r="AF99" s="158">
        <f t="shared" si="125"/>
        <v>0</v>
      </c>
      <c r="AG99" s="157">
        <f>VLOOKUP($A99,'Over Under Bill 1 COPY 到CO欄位'!$1:$1048576,'Over Under Bill 1 COPY 到CO欄位'!AG$1,0)-VLOOKUP($A99,'Over Under Bill 1 COPY 到CO欄位'!$1:$1048576,'Over Under Bill 1 COPY 到CO欄位'!AB$1,0)</f>
        <v>0</v>
      </c>
      <c r="AH99" s="157">
        <f>VLOOKUP($A99,'Over Under Bill 1 COPY 到CO欄位'!$1:$1048576,'Over Under Bill 1 COPY 到CO欄位'!AH$1,0)-VLOOKUP($A99,'Over Under Bill 1 COPY 到CO欄位'!$1:$1048576,'Over Under Bill 1 COPY 到CO欄位'!AC$1,0)</f>
        <v>0</v>
      </c>
      <c r="AI99" s="157">
        <f t="shared" si="126"/>
        <v>0</v>
      </c>
      <c r="AJ99" s="157">
        <f>VLOOKUP($A99,'Over Under Bill 1 COPY 到CO欄位'!$1:$1048576,'Over Under Bill 1 COPY 到CO欄位'!AJ$1,0)-VLOOKUP($A99,'Over Under Bill 1 COPY 到CO欄位'!$1:$1048576,'Over Under Bill 1 COPY 到CO欄位'!AE$1,0)</f>
        <v>0</v>
      </c>
      <c r="AK99" s="157">
        <f t="shared" si="127"/>
        <v>0</v>
      </c>
      <c r="AL99" s="158">
        <f>VLOOKUP($A99,'Over Under Bill 1 COPY 到CO欄位'!$1:$1048576,'Over Under Bill 1 COPY 到CO欄位'!AL$1,0)-VLOOKUP($A99,'Over Under Bill 1 COPY 到CO欄位'!$1:$1048576,'Over Under Bill 1 COPY 到CO欄位'!AG$1,0)</f>
        <v>0</v>
      </c>
      <c r="AM99" s="158">
        <f>VLOOKUP($A99,'Over Under Bill 1 COPY 到CO欄位'!$1:$1048576,'Over Under Bill 1 COPY 到CO欄位'!AM$1,0)-VLOOKUP($A99,'Over Under Bill 1 COPY 到CO欄位'!$1:$1048576,'Over Under Bill 1 COPY 到CO欄位'!AH$1,0)</f>
        <v>0</v>
      </c>
      <c r="AN99" s="158">
        <f t="shared" si="128"/>
        <v>0</v>
      </c>
      <c r="AO99" s="158">
        <f>VLOOKUP($A99,'Over Under Bill 1 COPY 到CO欄位'!$1:$1048576,'Over Under Bill 1 COPY 到CO欄位'!AO$1,0)-VLOOKUP($A99,'Over Under Bill 1 COPY 到CO欄位'!$1:$1048576,'Over Under Bill 1 COPY 到CO欄位'!AJ$1,0)</f>
        <v>0</v>
      </c>
      <c r="AP99" s="158">
        <f t="shared" si="129"/>
        <v>0</v>
      </c>
      <c r="AQ99" s="157">
        <f>VLOOKUP($A99,'Over Under Bill 1 COPY 到CO欄位'!$1:$1048576,'Over Under Bill 1 COPY 到CO欄位'!AQ$1,0)-VLOOKUP($A99,'Over Under Bill 1 COPY 到CO欄位'!$1:$1048576,'Over Under Bill 1 COPY 到CO欄位'!AL$1,0)</f>
        <v>0</v>
      </c>
      <c r="AR99" s="157">
        <f>VLOOKUP($A99,'Over Under Bill 1 COPY 到CO欄位'!$1:$1048576,'Over Under Bill 1 COPY 到CO欄位'!AR$1,0)-VLOOKUP($A99,'Over Under Bill 1 COPY 到CO欄位'!$1:$1048576,'Over Under Bill 1 COPY 到CO欄位'!AM$1,0)</f>
        <v>0</v>
      </c>
      <c r="AS99" s="157">
        <f t="shared" si="130"/>
        <v>0</v>
      </c>
      <c r="AT99" s="157">
        <f>VLOOKUP($A99,'Over Under Bill 1 COPY 到CO欄位'!$1:$1048576,'Over Under Bill 1 COPY 到CO欄位'!AT$1,0)-VLOOKUP($A99,'Over Under Bill 1 COPY 到CO欄位'!$1:$1048576,'Over Under Bill 1 COPY 到CO欄位'!AO$1,0)</f>
        <v>0</v>
      </c>
      <c r="AU99" s="157">
        <f t="shared" si="131"/>
        <v>0</v>
      </c>
      <c r="AV99" s="158">
        <f>VLOOKUP($A99,'Over Under Bill 1 COPY 到CO欄位'!$1:$1048576,'Over Under Bill 1 COPY 到CO欄位'!AV$1,0)-VLOOKUP($A99,'Over Under Bill 1 COPY 到CO欄位'!$1:$1048576,'Over Under Bill 1 COPY 到CO欄位'!AQ$1,0)</f>
        <v>0</v>
      </c>
      <c r="AW99" s="158">
        <f>VLOOKUP($A99,'Over Under Bill 1 COPY 到CO欄位'!$1:$1048576,'Over Under Bill 1 COPY 到CO欄位'!AW$1,0)-VLOOKUP($A99,'Over Under Bill 1 COPY 到CO欄位'!$1:$1048576,'Over Under Bill 1 COPY 到CO欄位'!AR$1,0)</f>
        <v>0</v>
      </c>
      <c r="AX99" s="158">
        <f t="shared" si="132"/>
        <v>0</v>
      </c>
      <c r="AY99" s="158">
        <f>VLOOKUP($A99,'Over Under Bill 1 COPY 到CO欄位'!$1:$1048576,'Over Under Bill 1 COPY 到CO欄位'!AY$1,0)-VLOOKUP($A99,'Over Under Bill 1 COPY 到CO欄位'!$1:$1048576,'Over Under Bill 1 COPY 到CO欄位'!AT$1,0)</f>
        <v>0</v>
      </c>
      <c r="AZ99" s="158">
        <f t="shared" si="133"/>
        <v>0</v>
      </c>
      <c r="BA99" s="157">
        <f>VLOOKUP($A99,'Over Under Bill 1 COPY 到CO欄位'!$1:$1048576,'Over Under Bill 1 COPY 到CO欄位'!BA$1,0)-VLOOKUP($A99,'Over Under Bill 1 COPY 到CO欄位'!$1:$1048576,'Over Under Bill 1 COPY 到CO欄位'!AV$1,0)</f>
        <v>0</v>
      </c>
      <c r="BB99" s="157">
        <f>VLOOKUP($A99,'Over Under Bill 1 COPY 到CO欄位'!$1:$1048576,'Over Under Bill 1 COPY 到CO欄位'!BB$1,0)-VLOOKUP($A99,'Over Under Bill 1 COPY 到CO欄位'!$1:$1048576,'Over Under Bill 1 COPY 到CO欄位'!AW$1,0)</f>
        <v>0</v>
      </c>
      <c r="BC99" s="157">
        <f t="shared" si="134"/>
        <v>0</v>
      </c>
      <c r="BD99" s="157">
        <f>VLOOKUP($A99,'Over Under Bill 1 COPY 到CO欄位'!$1:$1048576,'Over Under Bill 1 COPY 到CO欄位'!BD$1,0)-VLOOKUP($A99,'Over Under Bill 1 COPY 到CO欄位'!$1:$1048576,'Over Under Bill 1 COPY 到CO欄位'!AY$1,0)</f>
        <v>0</v>
      </c>
      <c r="BE99" s="157">
        <f t="shared" si="135"/>
        <v>0</v>
      </c>
      <c r="BF99" s="158">
        <f>VLOOKUP($A99,'Over Under Bill 1 COPY 到CO欄位'!$1:$1048576,'Over Under Bill 1 COPY 到CO欄位'!BF$1,0)-VLOOKUP($A99,'Over Under Bill 1 COPY 到CO欄位'!$1:$1048576,'Over Under Bill 1 COPY 到CO欄位'!BA$1,0)</f>
        <v>0</v>
      </c>
      <c r="BG99" s="158">
        <f>VLOOKUP($A99,'Over Under Bill 1 COPY 到CO欄位'!$1:$1048576,'Over Under Bill 1 COPY 到CO欄位'!BG$1,0)-VLOOKUP($A99,'Over Under Bill 1 COPY 到CO欄位'!$1:$1048576,'Over Under Bill 1 COPY 到CO欄位'!BB$1,0)</f>
        <v>0</v>
      </c>
      <c r="BH99" s="158">
        <f t="shared" si="136"/>
        <v>0</v>
      </c>
      <c r="BI99" s="158">
        <f>VLOOKUP($A99,'Over Under Bill 1 COPY 到CO欄位'!$1:$1048576,'Over Under Bill 1 COPY 到CO欄位'!BI$1,0)-VLOOKUP($A99,'Over Under Bill 1 COPY 到CO欄位'!$1:$1048576,'Over Under Bill 1 COPY 到CO欄位'!BD$1,0)</f>
        <v>0</v>
      </c>
      <c r="BJ99" s="158">
        <f t="shared" si="137"/>
        <v>0</v>
      </c>
      <c r="BK99" s="157">
        <f>VLOOKUP($A99,'Over Under Bill 1 COPY 到CO欄位'!$1:$1048576,'Over Under Bill 1 COPY 到CO欄位'!BK$1,0)-VLOOKUP($A99,'Over Under Bill 1 COPY 到CO欄位'!$1:$1048576,'Over Under Bill 1 COPY 到CO欄位'!BF$1,0)</f>
        <v>0</v>
      </c>
      <c r="BL99" s="157">
        <f>VLOOKUP($A99,'Over Under Bill 1 COPY 到CO欄位'!$1:$1048576,'Over Under Bill 1 COPY 到CO欄位'!BL$1,0)-VLOOKUP($A99,'Over Under Bill 1 COPY 到CO欄位'!$1:$1048576,'Over Under Bill 1 COPY 到CO欄位'!BG$1,0)</f>
        <v>0</v>
      </c>
      <c r="BM99" s="157">
        <f t="shared" si="138"/>
        <v>0</v>
      </c>
      <c r="BN99" s="157">
        <f>VLOOKUP($A99,'Over Under Bill 1 COPY 到CO欄位'!$1:$1048576,'Over Under Bill 1 COPY 到CO欄位'!BN$1,0)-VLOOKUP($A99,'Over Under Bill 1 COPY 到CO欄位'!$1:$1048576,'Over Under Bill 1 COPY 到CO欄位'!BI$1,0)</f>
        <v>0</v>
      </c>
      <c r="BO99" s="157">
        <f t="shared" si="139"/>
        <v>0</v>
      </c>
      <c r="BP99" s="158">
        <f>VLOOKUP($A99,'Over Under Bill 1 COPY 到CO欄位'!$1:$1048576,'Over Under Bill 1 COPY 到CO欄位'!BP$1,0)-VLOOKUP($A99,'Over Under Bill 1 COPY 到CO欄位'!$1:$1048576,'Over Under Bill 1 COPY 到CO欄位'!BK$1,0)</f>
        <v>0</v>
      </c>
      <c r="BQ99" s="158">
        <f>VLOOKUP($A99,'Over Under Bill 1 COPY 到CO欄位'!$1:$1048576,'Over Under Bill 1 COPY 到CO欄位'!BQ$1,0)-VLOOKUP($A99,'Over Under Bill 1 COPY 到CO欄位'!$1:$1048576,'Over Under Bill 1 COPY 到CO欄位'!BL$1,0)</f>
        <v>0</v>
      </c>
      <c r="BR99" s="158">
        <f t="shared" si="140"/>
        <v>0</v>
      </c>
      <c r="BS99" s="158">
        <f>VLOOKUP($A99,'Over Under Bill 1 COPY 到CO欄位'!$1:$1048576,'Over Under Bill 1 COPY 到CO欄位'!BS$1,0)-VLOOKUP($A99,'Over Under Bill 1 COPY 到CO欄位'!$1:$1048576,'Over Under Bill 1 COPY 到CO欄位'!BN$1,0)</f>
        <v>0</v>
      </c>
      <c r="BT99" s="158">
        <f t="shared" si="141"/>
        <v>0</v>
      </c>
      <c r="BU99" s="157">
        <f>VLOOKUP($A99,'Over Under Bill 1 COPY 到CO欄位'!$1:$1048576,'Over Under Bill 1 COPY 到CO欄位'!BP$1,0)-VLOOKUP($A99,'Over Under Bill 1 COPY 到CO欄位'!$1:$1048576,'Over Under Bill 1 COPY 到CO欄位'!H$1,0)</f>
        <v>0</v>
      </c>
      <c r="BV99" s="157">
        <f>VLOOKUP($A99,'Over Under Bill 1 COPY 到CO欄位'!$1:$1048576,'Over Under Bill 1 COPY 到CO欄位'!BQ$1,0)-VLOOKUP($A99,'Over Under Bill 1 COPY 到CO欄位'!$1:$1048576,'Over Under Bill 1 COPY 到CO欄位'!I$1,0)</f>
        <v>0</v>
      </c>
      <c r="BW99" s="157">
        <f t="shared" si="142"/>
        <v>0</v>
      </c>
      <c r="BX99" s="157">
        <f>VLOOKUP($A99,'Over Under Bill 1 COPY 到CO欄位'!$1:$1048576,'Over Under Bill 1 COPY 到CO欄位'!BS$1,0)-VLOOKUP($A99,'Over Under Bill 1 COPY 到CO欄位'!$1:$1048576,'Over Under Bill 1 COPY 到CO欄位'!K$1,0)</f>
        <v>0</v>
      </c>
      <c r="BY99" s="157">
        <f t="shared" si="143"/>
        <v>0</v>
      </c>
      <c r="BZ99" s="158">
        <f>VLOOKUP($A99,'Over Under Bill 1 COPY 到CO欄位'!$1:$1048576,'Over Under Bill 1 COPY 到CO欄位'!BU$1,0)-VLOOKUP($A99,'Over Under Bill 1 COPY 到CO欄位'!$1:$1048576,'Over Under Bill 1 COPY 到CO欄位'!BP$1,0)</f>
        <v>0</v>
      </c>
      <c r="CA99" s="158">
        <f>VLOOKUP($A99,'Over Under Bill 1 COPY 到CO欄位'!$1:$1048576,'Over Under Bill 1 COPY 到CO欄位'!BV$1,0)-VLOOKUP($A99,'Over Under Bill 1 COPY 到CO欄位'!$1:$1048576,'Over Under Bill 1 COPY 到CO欄位'!BQ$1,0)</f>
        <v>0</v>
      </c>
      <c r="CB99" s="158">
        <f t="shared" si="144"/>
        <v>0</v>
      </c>
      <c r="CC99" s="158">
        <f>VLOOKUP($A99,'Over Under Bill 1 COPY 到CO欄位'!$1:$1048576,'Over Under Bill 1 COPY 到CO欄位'!BX$1,0)-VLOOKUP($A99,'Over Under Bill 1 COPY 到CO欄位'!$1:$1048576,'Over Under Bill 1 COPY 到CO欄位'!BS$1,0)</f>
        <v>0</v>
      </c>
      <c r="CD99" s="158">
        <f t="shared" si="145"/>
        <v>0</v>
      </c>
      <c r="CE99" s="157">
        <f>VLOOKUP($A99,'Over Under Bill 1 COPY 到CO欄位'!$1:$1048576,'Over Under Bill 1 COPY 到CO欄位'!BZ$1,0)-VLOOKUP($A99,'Over Under Bill 1 COPY 到CO欄位'!$1:$1048576,'Over Under Bill 1 COPY 到CO欄位'!BU$1,0)</f>
        <v>0</v>
      </c>
      <c r="CF99" s="157">
        <f>VLOOKUP($A99,'Over Under Bill 1 COPY 到CO欄位'!$1:$1048576,'Over Under Bill 1 COPY 到CO欄位'!CA$1,0)-VLOOKUP($A99,'Over Under Bill 1 COPY 到CO欄位'!$1:$1048576,'Over Under Bill 1 COPY 到CO欄位'!BV$1,0)</f>
        <v>0</v>
      </c>
      <c r="CG99" s="157">
        <f t="shared" si="146"/>
        <v>0</v>
      </c>
      <c r="CH99" s="157">
        <f>VLOOKUP($A99,'Over Under Bill 1 COPY 到CO欄位'!$1:$1048576,'Over Under Bill 1 COPY 到CO欄位'!CC$1,0)-VLOOKUP($A99,'Over Under Bill 1 COPY 到CO欄位'!$1:$1048576,'Over Under Bill 1 COPY 到CO欄位'!BX$1,0)</f>
        <v>0</v>
      </c>
      <c r="CI99" s="157">
        <f t="shared" si="147"/>
        <v>0</v>
      </c>
      <c r="CJ99" s="158">
        <f>VLOOKUP($A99,'Over Under Bill 1 COPY 到CO欄位'!$1:$1048576,'Over Under Bill 1 COPY 到CO欄位'!CE$1,0)-VLOOKUP($A99,'Over Under Bill 1 COPY 到CO欄位'!$1:$1048576,'Over Under Bill 1 COPY 到CO欄位'!BZ$1,0)</f>
        <v>0</v>
      </c>
      <c r="CK99" s="158">
        <f>VLOOKUP($A99,'Over Under Bill 1 COPY 到CO欄位'!$1:$1048576,'Over Under Bill 1 COPY 到CO欄位'!CF$1,0)-VLOOKUP($A99,'Over Under Bill 1 COPY 到CO欄位'!$1:$1048576,'Over Under Bill 1 COPY 到CO欄位'!CA$1,0)</f>
        <v>0</v>
      </c>
      <c r="CL99" s="158">
        <f t="shared" si="148"/>
        <v>0</v>
      </c>
      <c r="CM99" s="158">
        <f>VLOOKUP($A99,'Over Under Bill 1 COPY 到CO欄位'!$1:$1048576,'Over Under Bill 1 COPY 到CO欄位'!CH$1,0)-VLOOKUP($A99,'Over Under Bill 1 COPY 到CO欄位'!$1:$1048576,'Over Under Bill 1 COPY 到CO欄位'!CC$1,0)</f>
        <v>0</v>
      </c>
      <c r="CN99" s="158">
        <f t="shared" si="149"/>
        <v>0</v>
      </c>
      <c r="CO99" s="157">
        <f>VLOOKUP($A99,'Over Under Bill 1 COPY 到CO欄位'!$1:$1048576,'Over Under Bill 1 COPY 到CO欄位'!CJ$1,0)-VLOOKUP($A99,'Over Under Bill 1 COPY 到CO欄位'!$1:$1048576,'Over Under Bill 1 COPY 到CO欄位'!CE$1,0)</f>
        <v>0</v>
      </c>
      <c r="CP99" s="157">
        <f>VLOOKUP($A99,'Over Under Bill 1 COPY 到CO欄位'!$1:$1048576,'Over Under Bill 1 COPY 到CO欄位'!CK$1,0)-VLOOKUP($A99,'Over Under Bill 1 COPY 到CO欄位'!$1:$1048576,'Over Under Bill 1 COPY 到CO欄位'!CF$1,0)</f>
        <v>0</v>
      </c>
      <c r="CQ99" s="157">
        <f t="shared" si="150"/>
        <v>0</v>
      </c>
      <c r="CR99" s="157">
        <f>VLOOKUP($A99,'Over Under Bill 1 COPY 到CO欄位'!$1:$1048576,'Over Under Bill 1 COPY 到CO欄位'!CM$1,0)-VLOOKUP($A99,'Over Under Bill 1 COPY 到CO欄位'!$1:$1048576,'Over Under Bill 1 COPY 到CO欄位'!CH$1,0)</f>
        <v>0</v>
      </c>
      <c r="CS99" s="157">
        <f t="shared" si="151"/>
        <v>0</v>
      </c>
    </row>
    <row r="100" spans="1:97">
      <c r="A100" s="179" t="s">
        <v>487</v>
      </c>
      <c r="B100" s="180" t="s">
        <v>488</v>
      </c>
      <c r="C100" s="157">
        <f>IFERROR(VLOOKUP($A100,'A0 BS 1240在建'!$1:$1048576,5,0),0)</f>
        <v>0</v>
      </c>
      <c r="D100" s="157">
        <f>IFERROR(VLOOKUP($A100,'B0 2264預收'!$1:$1048576,5,0),0)</f>
        <v>0</v>
      </c>
      <c r="E100" s="157">
        <f t="shared" si="114"/>
        <v>0</v>
      </c>
      <c r="F100" s="157">
        <f>IFERROR(VLOOKUP($A100,'B0 2264預收'!$1:$1048576,6,0),0)</f>
        <v>0</v>
      </c>
      <c r="G100" s="157">
        <f t="shared" si="115"/>
        <v>0</v>
      </c>
      <c r="H100" s="158">
        <f>IFERROR(VLOOKUP($A100,'A0 BS 1240在建'!$1:$1048576,13,0),0)-C100</f>
        <v>0</v>
      </c>
      <c r="I100" s="158">
        <f>IFERROR(VLOOKUP($A100,'B0 2264預收'!$1:$1048576,13,0),0)-D100</f>
        <v>0</v>
      </c>
      <c r="J100" s="158">
        <f t="shared" si="116"/>
        <v>0</v>
      </c>
      <c r="K100" s="158">
        <f>IFERROR(VLOOKUP($A100,'B0 2264預收'!$1:$1048576,14,0),0)-F100</f>
        <v>0</v>
      </c>
      <c r="L100" s="158">
        <f t="shared" si="117"/>
        <v>0</v>
      </c>
      <c r="M100" s="157">
        <f>VLOOKUP($A100,'Over Under Bill 1 COPY 到CO欄位'!$1:$1048576,'Over Under Bill 1 COPY 到CO欄位'!M$1,0)-VLOOKUP($A100,'Over Under Bill 1 COPY 到CO欄位'!$1:$1048576,'Over Under Bill 1 COPY 到CO欄位'!H$1,0)</f>
        <v>0</v>
      </c>
      <c r="N100" s="157">
        <f>VLOOKUP($A100,'Over Under Bill 1 COPY 到CO欄位'!$1:$1048576,'Over Under Bill 1 COPY 到CO欄位'!N$1,0)-VLOOKUP($A100,'Over Under Bill 1 COPY 到CO欄位'!$1:$1048576,'Over Under Bill 1 COPY 到CO欄位'!I$1,0)</f>
        <v>0</v>
      </c>
      <c r="O100" s="157">
        <f t="shared" si="118"/>
        <v>0</v>
      </c>
      <c r="P100" s="157">
        <f>VLOOKUP($A100,'Over Under Bill 1 COPY 到CO欄位'!$1:$1048576,'Over Under Bill 1 COPY 到CO欄位'!P$1,0)-VLOOKUP($A100,'Over Under Bill 1 COPY 到CO欄位'!$1:$1048576,'Over Under Bill 1 COPY 到CO欄位'!K$1,0)</f>
        <v>0</v>
      </c>
      <c r="Q100" s="157">
        <f t="shared" si="119"/>
        <v>0</v>
      </c>
      <c r="R100" s="158">
        <f>VLOOKUP($A100,'Over Under Bill 1 COPY 到CO欄位'!$1:$1048576,'Over Under Bill 1 COPY 到CO欄位'!R$1,0)-VLOOKUP($A100,'Over Under Bill 1 COPY 到CO欄位'!$1:$1048576,'Over Under Bill 1 COPY 到CO欄位'!M$1,0)</f>
        <v>0</v>
      </c>
      <c r="S100" s="158">
        <f>VLOOKUP($A100,'Over Under Bill 1 COPY 到CO欄位'!$1:$1048576,'Over Under Bill 1 COPY 到CO欄位'!S$1,0)-VLOOKUP($A100,'Over Under Bill 1 COPY 到CO欄位'!$1:$1048576,'Over Under Bill 1 COPY 到CO欄位'!N$1,0)</f>
        <v>0</v>
      </c>
      <c r="T100" s="158">
        <f t="shared" si="120"/>
        <v>0</v>
      </c>
      <c r="U100" s="158">
        <f>VLOOKUP($A100,'Over Under Bill 1 COPY 到CO欄位'!$1:$1048576,'Over Under Bill 1 COPY 到CO欄位'!U$1,0)-VLOOKUP($A100,'Over Under Bill 1 COPY 到CO欄位'!$1:$1048576,'Over Under Bill 1 COPY 到CO欄位'!P$1,0)</f>
        <v>0</v>
      </c>
      <c r="V100" s="158">
        <f t="shared" si="121"/>
        <v>0</v>
      </c>
      <c r="W100" s="157">
        <f>VLOOKUP($A100,'Over Under Bill 1 COPY 到CO欄位'!$1:$1048576,'Over Under Bill 1 COPY 到CO欄位'!W$1,0)-VLOOKUP($A100,'Over Under Bill 1 COPY 到CO欄位'!$1:$1048576,'Over Under Bill 1 COPY 到CO欄位'!R$1,0)</f>
        <v>0</v>
      </c>
      <c r="X100" s="157">
        <f>VLOOKUP($A100,'Over Under Bill 1 COPY 到CO欄位'!$1:$1048576,'Over Under Bill 1 COPY 到CO欄位'!X$1,0)-VLOOKUP($A100,'Over Under Bill 1 COPY 到CO欄位'!$1:$1048576,'Over Under Bill 1 COPY 到CO欄位'!S$1,0)</f>
        <v>0</v>
      </c>
      <c r="Y100" s="157">
        <f t="shared" si="122"/>
        <v>0</v>
      </c>
      <c r="Z100" s="157">
        <f>VLOOKUP($A100,'Over Under Bill 1 COPY 到CO欄位'!$1:$1048576,'Over Under Bill 1 COPY 到CO欄位'!Z$1,0)-VLOOKUP($A100,'Over Under Bill 1 COPY 到CO欄位'!$1:$1048576,'Over Under Bill 1 COPY 到CO欄位'!U$1,0)</f>
        <v>0</v>
      </c>
      <c r="AA100" s="157">
        <f t="shared" si="123"/>
        <v>0</v>
      </c>
      <c r="AB100" s="158">
        <f>VLOOKUP($A100,'Over Under Bill 1 COPY 到CO欄位'!$1:$1048576,'Over Under Bill 1 COPY 到CO欄位'!AB$1,0)-VLOOKUP($A100,'Over Under Bill 1 COPY 到CO欄位'!$1:$1048576,'Over Under Bill 1 COPY 到CO欄位'!W$1,0)</f>
        <v>0</v>
      </c>
      <c r="AC100" s="158">
        <f>VLOOKUP($A100,'Over Under Bill 1 COPY 到CO欄位'!$1:$1048576,'Over Under Bill 1 COPY 到CO欄位'!AC$1,0)-VLOOKUP($A100,'Over Under Bill 1 COPY 到CO欄位'!$1:$1048576,'Over Under Bill 1 COPY 到CO欄位'!X$1,0)</f>
        <v>0</v>
      </c>
      <c r="AD100" s="158">
        <f t="shared" si="124"/>
        <v>0</v>
      </c>
      <c r="AE100" s="158">
        <f>VLOOKUP($A100,'Over Under Bill 1 COPY 到CO欄位'!$1:$1048576,'Over Under Bill 1 COPY 到CO欄位'!AE$1,0)-VLOOKUP($A100,'Over Under Bill 1 COPY 到CO欄位'!$1:$1048576,'Over Under Bill 1 COPY 到CO欄位'!Z$1,0)</f>
        <v>0</v>
      </c>
      <c r="AF100" s="158">
        <f t="shared" si="125"/>
        <v>0</v>
      </c>
      <c r="AG100" s="157">
        <f>VLOOKUP($A100,'Over Under Bill 1 COPY 到CO欄位'!$1:$1048576,'Over Under Bill 1 COPY 到CO欄位'!AG$1,0)-VLOOKUP($A100,'Over Under Bill 1 COPY 到CO欄位'!$1:$1048576,'Over Under Bill 1 COPY 到CO欄位'!AB$1,0)</f>
        <v>0</v>
      </c>
      <c r="AH100" s="157">
        <f>VLOOKUP($A100,'Over Under Bill 1 COPY 到CO欄位'!$1:$1048576,'Over Under Bill 1 COPY 到CO欄位'!AH$1,0)-VLOOKUP($A100,'Over Under Bill 1 COPY 到CO欄位'!$1:$1048576,'Over Under Bill 1 COPY 到CO欄位'!AC$1,0)</f>
        <v>0</v>
      </c>
      <c r="AI100" s="157">
        <f t="shared" si="126"/>
        <v>0</v>
      </c>
      <c r="AJ100" s="157">
        <f>VLOOKUP($A100,'Over Under Bill 1 COPY 到CO欄位'!$1:$1048576,'Over Under Bill 1 COPY 到CO欄位'!AJ$1,0)-VLOOKUP($A100,'Over Under Bill 1 COPY 到CO欄位'!$1:$1048576,'Over Under Bill 1 COPY 到CO欄位'!AE$1,0)</f>
        <v>0</v>
      </c>
      <c r="AK100" s="157">
        <f t="shared" si="127"/>
        <v>0</v>
      </c>
      <c r="AL100" s="158">
        <f>VLOOKUP($A100,'Over Under Bill 1 COPY 到CO欄位'!$1:$1048576,'Over Under Bill 1 COPY 到CO欄位'!AL$1,0)-VLOOKUP($A100,'Over Under Bill 1 COPY 到CO欄位'!$1:$1048576,'Over Under Bill 1 COPY 到CO欄位'!AG$1,0)</f>
        <v>0</v>
      </c>
      <c r="AM100" s="158">
        <f>VLOOKUP($A100,'Over Under Bill 1 COPY 到CO欄位'!$1:$1048576,'Over Under Bill 1 COPY 到CO欄位'!AM$1,0)-VLOOKUP($A100,'Over Under Bill 1 COPY 到CO欄位'!$1:$1048576,'Over Under Bill 1 COPY 到CO欄位'!AH$1,0)</f>
        <v>0</v>
      </c>
      <c r="AN100" s="158">
        <f t="shared" si="128"/>
        <v>0</v>
      </c>
      <c r="AO100" s="158">
        <f>VLOOKUP($A100,'Over Under Bill 1 COPY 到CO欄位'!$1:$1048576,'Over Under Bill 1 COPY 到CO欄位'!AO$1,0)-VLOOKUP($A100,'Over Under Bill 1 COPY 到CO欄位'!$1:$1048576,'Over Under Bill 1 COPY 到CO欄位'!AJ$1,0)</f>
        <v>0</v>
      </c>
      <c r="AP100" s="158">
        <f t="shared" si="129"/>
        <v>0</v>
      </c>
      <c r="AQ100" s="157">
        <f>VLOOKUP($A100,'Over Under Bill 1 COPY 到CO欄位'!$1:$1048576,'Over Under Bill 1 COPY 到CO欄位'!AQ$1,0)-VLOOKUP($A100,'Over Under Bill 1 COPY 到CO欄位'!$1:$1048576,'Over Under Bill 1 COPY 到CO欄位'!AL$1,0)</f>
        <v>0</v>
      </c>
      <c r="AR100" s="157">
        <f>VLOOKUP($A100,'Over Under Bill 1 COPY 到CO欄位'!$1:$1048576,'Over Under Bill 1 COPY 到CO欄位'!AR$1,0)-VLOOKUP($A100,'Over Under Bill 1 COPY 到CO欄位'!$1:$1048576,'Over Under Bill 1 COPY 到CO欄位'!AM$1,0)</f>
        <v>0</v>
      </c>
      <c r="AS100" s="157">
        <f t="shared" si="130"/>
        <v>0</v>
      </c>
      <c r="AT100" s="157">
        <f>VLOOKUP($A100,'Over Under Bill 1 COPY 到CO欄位'!$1:$1048576,'Over Under Bill 1 COPY 到CO欄位'!AT$1,0)-VLOOKUP($A100,'Over Under Bill 1 COPY 到CO欄位'!$1:$1048576,'Over Under Bill 1 COPY 到CO欄位'!AO$1,0)</f>
        <v>0</v>
      </c>
      <c r="AU100" s="157">
        <f t="shared" si="131"/>
        <v>0</v>
      </c>
      <c r="AV100" s="158">
        <f>VLOOKUP($A100,'Over Under Bill 1 COPY 到CO欄位'!$1:$1048576,'Over Under Bill 1 COPY 到CO欄位'!AV$1,0)-VLOOKUP($A100,'Over Under Bill 1 COPY 到CO欄位'!$1:$1048576,'Over Under Bill 1 COPY 到CO欄位'!AQ$1,0)</f>
        <v>0</v>
      </c>
      <c r="AW100" s="158">
        <f>VLOOKUP($A100,'Over Under Bill 1 COPY 到CO欄位'!$1:$1048576,'Over Under Bill 1 COPY 到CO欄位'!AW$1,0)-VLOOKUP($A100,'Over Under Bill 1 COPY 到CO欄位'!$1:$1048576,'Over Under Bill 1 COPY 到CO欄位'!AR$1,0)</f>
        <v>0</v>
      </c>
      <c r="AX100" s="158">
        <f t="shared" si="132"/>
        <v>0</v>
      </c>
      <c r="AY100" s="158">
        <f>VLOOKUP($A100,'Over Under Bill 1 COPY 到CO欄位'!$1:$1048576,'Over Under Bill 1 COPY 到CO欄位'!AY$1,0)-VLOOKUP($A100,'Over Under Bill 1 COPY 到CO欄位'!$1:$1048576,'Over Under Bill 1 COPY 到CO欄位'!AT$1,0)</f>
        <v>0</v>
      </c>
      <c r="AZ100" s="158">
        <f t="shared" si="133"/>
        <v>0</v>
      </c>
      <c r="BA100" s="157">
        <f>VLOOKUP($A100,'Over Under Bill 1 COPY 到CO欄位'!$1:$1048576,'Over Under Bill 1 COPY 到CO欄位'!BA$1,0)-VLOOKUP($A100,'Over Under Bill 1 COPY 到CO欄位'!$1:$1048576,'Over Under Bill 1 COPY 到CO欄位'!AV$1,0)</f>
        <v>0</v>
      </c>
      <c r="BB100" s="157">
        <f>VLOOKUP($A100,'Over Under Bill 1 COPY 到CO欄位'!$1:$1048576,'Over Under Bill 1 COPY 到CO欄位'!BB$1,0)-VLOOKUP($A100,'Over Under Bill 1 COPY 到CO欄位'!$1:$1048576,'Over Under Bill 1 COPY 到CO欄位'!AW$1,0)</f>
        <v>0</v>
      </c>
      <c r="BC100" s="157">
        <f t="shared" si="134"/>
        <v>0</v>
      </c>
      <c r="BD100" s="157">
        <f>VLOOKUP($A100,'Over Under Bill 1 COPY 到CO欄位'!$1:$1048576,'Over Under Bill 1 COPY 到CO欄位'!BD$1,0)-VLOOKUP($A100,'Over Under Bill 1 COPY 到CO欄位'!$1:$1048576,'Over Under Bill 1 COPY 到CO欄位'!AY$1,0)</f>
        <v>0</v>
      </c>
      <c r="BE100" s="157">
        <f t="shared" si="135"/>
        <v>0</v>
      </c>
      <c r="BF100" s="158">
        <f>VLOOKUP($A100,'Over Under Bill 1 COPY 到CO欄位'!$1:$1048576,'Over Under Bill 1 COPY 到CO欄位'!BF$1,0)-VLOOKUP($A100,'Over Under Bill 1 COPY 到CO欄位'!$1:$1048576,'Over Under Bill 1 COPY 到CO欄位'!BA$1,0)</f>
        <v>0</v>
      </c>
      <c r="BG100" s="158">
        <f>VLOOKUP($A100,'Over Under Bill 1 COPY 到CO欄位'!$1:$1048576,'Over Under Bill 1 COPY 到CO欄位'!BG$1,0)-VLOOKUP($A100,'Over Under Bill 1 COPY 到CO欄位'!$1:$1048576,'Over Under Bill 1 COPY 到CO欄位'!BB$1,0)</f>
        <v>0</v>
      </c>
      <c r="BH100" s="158">
        <f t="shared" si="136"/>
        <v>0</v>
      </c>
      <c r="BI100" s="158">
        <f>VLOOKUP($A100,'Over Under Bill 1 COPY 到CO欄位'!$1:$1048576,'Over Under Bill 1 COPY 到CO欄位'!BI$1,0)-VLOOKUP($A100,'Over Under Bill 1 COPY 到CO欄位'!$1:$1048576,'Over Under Bill 1 COPY 到CO欄位'!BD$1,0)</f>
        <v>0</v>
      </c>
      <c r="BJ100" s="158">
        <f t="shared" si="137"/>
        <v>0</v>
      </c>
      <c r="BK100" s="157">
        <f>VLOOKUP($A100,'Over Under Bill 1 COPY 到CO欄位'!$1:$1048576,'Over Under Bill 1 COPY 到CO欄位'!BK$1,0)-VLOOKUP($A100,'Over Under Bill 1 COPY 到CO欄位'!$1:$1048576,'Over Under Bill 1 COPY 到CO欄位'!BF$1,0)</f>
        <v>0</v>
      </c>
      <c r="BL100" s="157">
        <f>VLOOKUP($A100,'Over Under Bill 1 COPY 到CO欄位'!$1:$1048576,'Over Under Bill 1 COPY 到CO欄位'!BL$1,0)-VLOOKUP($A100,'Over Under Bill 1 COPY 到CO欄位'!$1:$1048576,'Over Under Bill 1 COPY 到CO欄位'!BG$1,0)</f>
        <v>0</v>
      </c>
      <c r="BM100" s="157">
        <f t="shared" si="138"/>
        <v>0</v>
      </c>
      <c r="BN100" s="157">
        <f>VLOOKUP($A100,'Over Under Bill 1 COPY 到CO欄位'!$1:$1048576,'Over Under Bill 1 COPY 到CO欄位'!BN$1,0)-VLOOKUP($A100,'Over Under Bill 1 COPY 到CO欄位'!$1:$1048576,'Over Under Bill 1 COPY 到CO欄位'!BI$1,0)</f>
        <v>0</v>
      </c>
      <c r="BO100" s="157">
        <f t="shared" si="139"/>
        <v>0</v>
      </c>
      <c r="BP100" s="158">
        <f>VLOOKUP($A100,'Over Under Bill 1 COPY 到CO欄位'!$1:$1048576,'Over Under Bill 1 COPY 到CO欄位'!BP$1,0)-VLOOKUP($A100,'Over Under Bill 1 COPY 到CO欄位'!$1:$1048576,'Over Under Bill 1 COPY 到CO欄位'!BK$1,0)</f>
        <v>0</v>
      </c>
      <c r="BQ100" s="158">
        <f>VLOOKUP($A100,'Over Under Bill 1 COPY 到CO欄位'!$1:$1048576,'Over Under Bill 1 COPY 到CO欄位'!BQ$1,0)-VLOOKUP($A100,'Over Under Bill 1 COPY 到CO欄位'!$1:$1048576,'Over Under Bill 1 COPY 到CO欄位'!BL$1,0)</f>
        <v>0</v>
      </c>
      <c r="BR100" s="158">
        <f t="shared" si="140"/>
        <v>0</v>
      </c>
      <c r="BS100" s="158">
        <f>VLOOKUP($A100,'Over Under Bill 1 COPY 到CO欄位'!$1:$1048576,'Over Under Bill 1 COPY 到CO欄位'!BS$1,0)-VLOOKUP($A100,'Over Under Bill 1 COPY 到CO欄位'!$1:$1048576,'Over Under Bill 1 COPY 到CO欄位'!BN$1,0)</f>
        <v>0</v>
      </c>
      <c r="BT100" s="158">
        <f t="shared" si="141"/>
        <v>0</v>
      </c>
      <c r="BU100" s="157">
        <f>VLOOKUP($A100,'Over Under Bill 1 COPY 到CO欄位'!$1:$1048576,'Over Under Bill 1 COPY 到CO欄位'!BP$1,0)-VLOOKUP($A100,'Over Under Bill 1 COPY 到CO欄位'!$1:$1048576,'Over Under Bill 1 COPY 到CO欄位'!H$1,0)</f>
        <v>0</v>
      </c>
      <c r="BV100" s="157">
        <f>VLOOKUP($A100,'Over Under Bill 1 COPY 到CO欄位'!$1:$1048576,'Over Under Bill 1 COPY 到CO欄位'!BQ$1,0)-VLOOKUP($A100,'Over Under Bill 1 COPY 到CO欄位'!$1:$1048576,'Over Under Bill 1 COPY 到CO欄位'!I$1,0)</f>
        <v>0</v>
      </c>
      <c r="BW100" s="157">
        <f t="shared" si="142"/>
        <v>0</v>
      </c>
      <c r="BX100" s="157">
        <f>VLOOKUP($A100,'Over Under Bill 1 COPY 到CO欄位'!$1:$1048576,'Over Under Bill 1 COPY 到CO欄位'!BS$1,0)-VLOOKUP($A100,'Over Under Bill 1 COPY 到CO欄位'!$1:$1048576,'Over Under Bill 1 COPY 到CO欄位'!K$1,0)</f>
        <v>0</v>
      </c>
      <c r="BY100" s="157">
        <f t="shared" si="143"/>
        <v>0</v>
      </c>
      <c r="BZ100" s="158">
        <f>VLOOKUP($A100,'Over Under Bill 1 COPY 到CO欄位'!$1:$1048576,'Over Under Bill 1 COPY 到CO欄位'!BU$1,0)-VLOOKUP($A100,'Over Under Bill 1 COPY 到CO欄位'!$1:$1048576,'Over Under Bill 1 COPY 到CO欄位'!BP$1,0)</f>
        <v>0</v>
      </c>
      <c r="CA100" s="158">
        <f>VLOOKUP($A100,'Over Under Bill 1 COPY 到CO欄位'!$1:$1048576,'Over Under Bill 1 COPY 到CO欄位'!BV$1,0)-VLOOKUP($A100,'Over Under Bill 1 COPY 到CO欄位'!$1:$1048576,'Over Under Bill 1 COPY 到CO欄位'!BQ$1,0)</f>
        <v>0</v>
      </c>
      <c r="CB100" s="158">
        <f t="shared" si="144"/>
        <v>0</v>
      </c>
      <c r="CC100" s="158">
        <f>VLOOKUP($A100,'Over Under Bill 1 COPY 到CO欄位'!$1:$1048576,'Over Under Bill 1 COPY 到CO欄位'!BX$1,0)-VLOOKUP($A100,'Over Under Bill 1 COPY 到CO欄位'!$1:$1048576,'Over Under Bill 1 COPY 到CO欄位'!BS$1,0)</f>
        <v>0</v>
      </c>
      <c r="CD100" s="158">
        <f t="shared" si="145"/>
        <v>0</v>
      </c>
      <c r="CE100" s="157">
        <f>VLOOKUP($A100,'Over Under Bill 1 COPY 到CO欄位'!$1:$1048576,'Over Under Bill 1 COPY 到CO欄位'!BZ$1,0)-VLOOKUP($A100,'Over Under Bill 1 COPY 到CO欄位'!$1:$1048576,'Over Under Bill 1 COPY 到CO欄位'!BU$1,0)</f>
        <v>0</v>
      </c>
      <c r="CF100" s="157">
        <f>VLOOKUP($A100,'Over Under Bill 1 COPY 到CO欄位'!$1:$1048576,'Over Under Bill 1 COPY 到CO欄位'!CA$1,0)-VLOOKUP($A100,'Over Under Bill 1 COPY 到CO欄位'!$1:$1048576,'Over Under Bill 1 COPY 到CO欄位'!BV$1,0)</f>
        <v>0</v>
      </c>
      <c r="CG100" s="157">
        <f t="shared" si="146"/>
        <v>0</v>
      </c>
      <c r="CH100" s="157">
        <f>VLOOKUP($A100,'Over Under Bill 1 COPY 到CO欄位'!$1:$1048576,'Over Under Bill 1 COPY 到CO欄位'!CC$1,0)-VLOOKUP($A100,'Over Under Bill 1 COPY 到CO欄位'!$1:$1048576,'Over Under Bill 1 COPY 到CO欄位'!BX$1,0)</f>
        <v>0</v>
      </c>
      <c r="CI100" s="157">
        <f t="shared" si="147"/>
        <v>0</v>
      </c>
      <c r="CJ100" s="158">
        <f>VLOOKUP($A100,'Over Under Bill 1 COPY 到CO欄位'!$1:$1048576,'Over Under Bill 1 COPY 到CO欄位'!CE$1,0)-VLOOKUP($A100,'Over Under Bill 1 COPY 到CO欄位'!$1:$1048576,'Over Under Bill 1 COPY 到CO欄位'!BZ$1,0)</f>
        <v>0</v>
      </c>
      <c r="CK100" s="158">
        <f>VLOOKUP($A100,'Over Under Bill 1 COPY 到CO欄位'!$1:$1048576,'Over Under Bill 1 COPY 到CO欄位'!CF$1,0)-VLOOKUP($A100,'Over Under Bill 1 COPY 到CO欄位'!$1:$1048576,'Over Under Bill 1 COPY 到CO欄位'!CA$1,0)</f>
        <v>0</v>
      </c>
      <c r="CL100" s="158">
        <f t="shared" si="148"/>
        <v>0</v>
      </c>
      <c r="CM100" s="158">
        <f>VLOOKUP($A100,'Over Under Bill 1 COPY 到CO欄位'!$1:$1048576,'Over Under Bill 1 COPY 到CO欄位'!CH$1,0)-VLOOKUP($A100,'Over Under Bill 1 COPY 到CO欄位'!$1:$1048576,'Over Under Bill 1 COPY 到CO欄位'!CC$1,0)</f>
        <v>0</v>
      </c>
      <c r="CN100" s="158">
        <f t="shared" si="149"/>
        <v>0</v>
      </c>
      <c r="CO100" s="157">
        <f>VLOOKUP($A100,'Over Under Bill 1 COPY 到CO欄位'!$1:$1048576,'Over Under Bill 1 COPY 到CO欄位'!CJ$1,0)-VLOOKUP($A100,'Over Under Bill 1 COPY 到CO欄位'!$1:$1048576,'Over Under Bill 1 COPY 到CO欄位'!CE$1,0)</f>
        <v>0</v>
      </c>
      <c r="CP100" s="157">
        <f>VLOOKUP($A100,'Over Under Bill 1 COPY 到CO欄位'!$1:$1048576,'Over Under Bill 1 COPY 到CO欄位'!CK$1,0)-VLOOKUP($A100,'Over Under Bill 1 COPY 到CO欄位'!$1:$1048576,'Over Under Bill 1 COPY 到CO欄位'!CF$1,0)</f>
        <v>0</v>
      </c>
      <c r="CQ100" s="157">
        <f t="shared" si="150"/>
        <v>0</v>
      </c>
      <c r="CR100" s="157">
        <f>VLOOKUP($A100,'Over Under Bill 1 COPY 到CO欄位'!$1:$1048576,'Over Under Bill 1 COPY 到CO欄位'!CM$1,0)-VLOOKUP($A100,'Over Under Bill 1 COPY 到CO欄位'!$1:$1048576,'Over Under Bill 1 COPY 到CO欄位'!CH$1,0)</f>
        <v>0</v>
      </c>
      <c r="CS100" s="157">
        <f t="shared" si="151"/>
        <v>0</v>
      </c>
    </row>
    <row r="101" spans="1:97">
      <c r="A101" s="179" t="s">
        <v>489</v>
      </c>
      <c r="B101" s="172" t="s">
        <v>490</v>
      </c>
      <c r="C101" s="157">
        <f>IFERROR(VLOOKUP($A101,'A0 BS 1240在建'!$1:$1048576,5,0),0)</f>
        <v>0</v>
      </c>
      <c r="D101" s="157">
        <f>IFERROR(VLOOKUP($A101,'B0 2264預收'!$1:$1048576,5,0),0)</f>
        <v>0</v>
      </c>
      <c r="E101" s="157">
        <f t="shared" si="114"/>
        <v>0</v>
      </c>
      <c r="F101" s="157">
        <f>IFERROR(VLOOKUP($A101,'B0 2264預收'!$1:$1048576,6,0),0)</f>
        <v>0</v>
      </c>
      <c r="G101" s="157">
        <f t="shared" si="115"/>
        <v>0</v>
      </c>
      <c r="H101" s="158">
        <f>IFERROR(VLOOKUP($A101,'A0 BS 1240在建'!$1:$1048576,13,0),0)-C101</f>
        <v>0</v>
      </c>
      <c r="I101" s="158">
        <f>IFERROR(VLOOKUP($A101,'B0 2264預收'!$1:$1048576,13,0),0)-D101</f>
        <v>0</v>
      </c>
      <c r="J101" s="158">
        <f t="shared" si="116"/>
        <v>0</v>
      </c>
      <c r="K101" s="158">
        <f>IFERROR(VLOOKUP($A101,'B0 2264預收'!$1:$1048576,14,0),0)-F101</f>
        <v>0</v>
      </c>
      <c r="L101" s="158">
        <f t="shared" si="117"/>
        <v>0</v>
      </c>
      <c r="M101" s="157">
        <f>VLOOKUP($A101,'Over Under Bill 1 COPY 到CO欄位'!$1:$1048576,'Over Under Bill 1 COPY 到CO欄位'!M$1,0)-VLOOKUP($A101,'Over Under Bill 1 COPY 到CO欄位'!$1:$1048576,'Over Under Bill 1 COPY 到CO欄位'!H$1,0)</f>
        <v>0</v>
      </c>
      <c r="N101" s="157">
        <f>VLOOKUP($A101,'Over Under Bill 1 COPY 到CO欄位'!$1:$1048576,'Over Under Bill 1 COPY 到CO欄位'!N$1,0)-VLOOKUP($A101,'Over Under Bill 1 COPY 到CO欄位'!$1:$1048576,'Over Under Bill 1 COPY 到CO欄位'!I$1,0)</f>
        <v>0</v>
      </c>
      <c r="O101" s="157">
        <f t="shared" si="118"/>
        <v>0</v>
      </c>
      <c r="P101" s="157">
        <f>VLOOKUP($A101,'Over Under Bill 1 COPY 到CO欄位'!$1:$1048576,'Over Under Bill 1 COPY 到CO欄位'!P$1,0)-VLOOKUP($A101,'Over Under Bill 1 COPY 到CO欄位'!$1:$1048576,'Over Under Bill 1 COPY 到CO欄位'!K$1,0)</f>
        <v>0</v>
      </c>
      <c r="Q101" s="157">
        <f t="shared" si="119"/>
        <v>0</v>
      </c>
      <c r="R101" s="158">
        <f>VLOOKUP($A101,'Over Under Bill 1 COPY 到CO欄位'!$1:$1048576,'Over Under Bill 1 COPY 到CO欄位'!R$1,0)-VLOOKUP($A101,'Over Under Bill 1 COPY 到CO欄位'!$1:$1048576,'Over Under Bill 1 COPY 到CO欄位'!M$1,0)</f>
        <v>0</v>
      </c>
      <c r="S101" s="158">
        <f>VLOOKUP($A101,'Over Under Bill 1 COPY 到CO欄位'!$1:$1048576,'Over Under Bill 1 COPY 到CO欄位'!S$1,0)-VLOOKUP($A101,'Over Under Bill 1 COPY 到CO欄位'!$1:$1048576,'Over Under Bill 1 COPY 到CO欄位'!N$1,0)</f>
        <v>0</v>
      </c>
      <c r="T101" s="158">
        <f t="shared" si="120"/>
        <v>0</v>
      </c>
      <c r="U101" s="158">
        <f>VLOOKUP($A101,'Over Under Bill 1 COPY 到CO欄位'!$1:$1048576,'Over Under Bill 1 COPY 到CO欄位'!U$1,0)-VLOOKUP($A101,'Over Under Bill 1 COPY 到CO欄位'!$1:$1048576,'Over Under Bill 1 COPY 到CO欄位'!P$1,0)</f>
        <v>0</v>
      </c>
      <c r="V101" s="158">
        <f t="shared" si="121"/>
        <v>0</v>
      </c>
      <c r="W101" s="157">
        <f>VLOOKUP($A101,'Over Under Bill 1 COPY 到CO欄位'!$1:$1048576,'Over Under Bill 1 COPY 到CO欄位'!W$1,0)-VLOOKUP($A101,'Over Under Bill 1 COPY 到CO欄位'!$1:$1048576,'Over Under Bill 1 COPY 到CO欄位'!R$1,0)</f>
        <v>0</v>
      </c>
      <c r="X101" s="157">
        <f>VLOOKUP($A101,'Over Under Bill 1 COPY 到CO欄位'!$1:$1048576,'Over Under Bill 1 COPY 到CO欄位'!X$1,0)-VLOOKUP($A101,'Over Under Bill 1 COPY 到CO欄位'!$1:$1048576,'Over Under Bill 1 COPY 到CO欄位'!S$1,0)</f>
        <v>0</v>
      </c>
      <c r="Y101" s="157">
        <f t="shared" si="122"/>
        <v>0</v>
      </c>
      <c r="Z101" s="157">
        <f>VLOOKUP($A101,'Over Under Bill 1 COPY 到CO欄位'!$1:$1048576,'Over Under Bill 1 COPY 到CO欄位'!Z$1,0)-VLOOKUP($A101,'Over Under Bill 1 COPY 到CO欄位'!$1:$1048576,'Over Under Bill 1 COPY 到CO欄位'!U$1,0)</f>
        <v>0</v>
      </c>
      <c r="AA101" s="157">
        <f t="shared" si="123"/>
        <v>0</v>
      </c>
      <c r="AB101" s="158">
        <f>VLOOKUP($A101,'Over Under Bill 1 COPY 到CO欄位'!$1:$1048576,'Over Under Bill 1 COPY 到CO欄位'!AB$1,0)-VLOOKUP($A101,'Over Under Bill 1 COPY 到CO欄位'!$1:$1048576,'Over Under Bill 1 COPY 到CO欄位'!W$1,0)</f>
        <v>0</v>
      </c>
      <c r="AC101" s="158">
        <f>VLOOKUP($A101,'Over Under Bill 1 COPY 到CO欄位'!$1:$1048576,'Over Under Bill 1 COPY 到CO欄位'!AC$1,0)-VLOOKUP($A101,'Over Under Bill 1 COPY 到CO欄位'!$1:$1048576,'Over Under Bill 1 COPY 到CO欄位'!X$1,0)</f>
        <v>0</v>
      </c>
      <c r="AD101" s="158">
        <f t="shared" si="124"/>
        <v>0</v>
      </c>
      <c r="AE101" s="158">
        <f>VLOOKUP($A101,'Over Under Bill 1 COPY 到CO欄位'!$1:$1048576,'Over Under Bill 1 COPY 到CO欄位'!AE$1,0)-VLOOKUP($A101,'Over Under Bill 1 COPY 到CO欄位'!$1:$1048576,'Over Under Bill 1 COPY 到CO欄位'!Z$1,0)</f>
        <v>0</v>
      </c>
      <c r="AF101" s="158">
        <f t="shared" si="125"/>
        <v>0</v>
      </c>
      <c r="AG101" s="157">
        <f>VLOOKUP($A101,'Over Under Bill 1 COPY 到CO欄位'!$1:$1048576,'Over Under Bill 1 COPY 到CO欄位'!AG$1,0)-VLOOKUP($A101,'Over Under Bill 1 COPY 到CO欄位'!$1:$1048576,'Over Under Bill 1 COPY 到CO欄位'!AB$1,0)</f>
        <v>0</v>
      </c>
      <c r="AH101" s="157">
        <f>VLOOKUP($A101,'Over Under Bill 1 COPY 到CO欄位'!$1:$1048576,'Over Under Bill 1 COPY 到CO欄位'!AH$1,0)-VLOOKUP($A101,'Over Under Bill 1 COPY 到CO欄位'!$1:$1048576,'Over Under Bill 1 COPY 到CO欄位'!AC$1,0)</f>
        <v>0</v>
      </c>
      <c r="AI101" s="157">
        <f t="shared" si="126"/>
        <v>0</v>
      </c>
      <c r="AJ101" s="157">
        <f>VLOOKUP($A101,'Over Under Bill 1 COPY 到CO欄位'!$1:$1048576,'Over Under Bill 1 COPY 到CO欄位'!AJ$1,0)-VLOOKUP($A101,'Over Under Bill 1 COPY 到CO欄位'!$1:$1048576,'Over Under Bill 1 COPY 到CO欄位'!AE$1,0)</f>
        <v>0</v>
      </c>
      <c r="AK101" s="157">
        <f t="shared" si="127"/>
        <v>0</v>
      </c>
      <c r="AL101" s="158">
        <f>VLOOKUP($A101,'Over Under Bill 1 COPY 到CO欄位'!$1:$1048576,'Over Under Bill 1 COPY 到CO欄位'!AL$1,0)-VLOOKUP($A101,'Over Under Bill 1 COPY 到CO欄位'!$1:$1048576,'Over Under Bill 1 COPY 到CO欄位'!AG$1,0)</f>
        <v>0</v>
      </c>
      <c r="AM101" s="158">
        <f>VLOOKUP($A101,'Over Under Bill 1 COPY 到CO欄位'!$1:$1048576,'Over Under Bill 1 COPY 到CO欄位'!AM$1,0)-VLOOKUP($A101,'Over Under Bill 1 COPY 到CO欄位'!$1:$1048576,'Over Under Bill 1 COPY 到CO欄位'!AH$1,0)</f>
        <v>0</v>
      </c>
      <c r="AN101" s="158">
        <f t="shared" si="128"/>
        <v>0</v>
      </c>
      <c r="AO101" s="158">
        <f>VLOOKUP($A101,'Over Under Bill 1 COPY 到CO欄位'!$1:$1048576,'Over Under Bill 1 COPY 到CO欄位'!AO$1,0)-VLOOKUP($A101,'Over Under Bill 1 COPY 到CO欄位'!$1:$1048576,'Over Under Bill 1 COPY 到CO欄位'!AJ$1,0)</f>
        <v>0</v>
      </c>
      <c r="AP101" s="158">
        <f t="shared" si="129"/>
        <v>0</v>
      </c>
      <c r="AQ101" s="157">
        <f>VLOOKUP($A101,'Over Under Bill 1 COPY 到CO欄位'!$1:$1048576,'Over Under Bill 1 COPY 到CO欄位'!AQ$1,0)-VLOOKUP($A101,'Over Under Bill 1 COPY 到CO欄位'!$1:$1048576,'Over Under Bill 1 COPY 到CO欄位'!AL$1,0)</f>
        <v>0</v>
      </c>
      <c r="AR101" s="157">
        <f>VLOOKUP($A101,'Over Under Bill 1 COPY 到CO欄位'!$1:$1048576,'Over Under Bill 1 COPY 到CO欄位'!AR$1,0)-VLOOKUP($A101,'Over Under Bill 1 COPY 到CO欄位'!$1:$1048576,'Over Under Bill 1 COPY 到CO欄位'!AM$1,0)</f>
        <v>0</v>
      </c>
      <c r="AS101" s="157">
        <f t="shared" si="130"/>
        <v>0</v>
      </c>
      <c r="AT101" s="157">
        <f>VLOOKUP($A101,'Over Under Bill 1 COPY 到CO欄位'!$1:$1048576,'Over Under Bill 1 COPY 到CO欄位'!AT$1,0)-VLOOKUP($A101,'Over Under Bill 1 COPY 到CO欄位'!$1:$1048576,'Over Under Bill 1 COPY 到CO欄位'!AO$1,0)</f>
        <v>0</v>
      </c>
      <c r="AU101" s="157">
        <f t="shared" si="131"/>
        <v>0</v>
      </c>
      <c r="AV101" s="158">
        <f>VLOOKUP($A101,'Over Under Bill 1 COPY 到CO欄位'!$1:$1048576,'Over Under Bill 1 COPY 到CO欄位'!AV$1,0)-VLOOKUP($A101,'Over Under Bill 1 COPY 到CO欄位'!$1:$1048576,'Over Under Bill 1 COPY 到CO欄位'!AQ$1,0)</f>
        <v>0</v>
      </c>
      <c r="AW101" s="158">
        <f>VLOOKUP($A101,'Over Under Bill 1 COPY 到CO欄位'!$1:$1048576,'Over Under Bill 1 COPY 到CO欄位'!AW$1,0)-VLOOKUP($A101,'Over Under Bill 1 COPY 到CO欄位'!$1:$1048576,'Over Under Bill 1 COPY 到CO欄位'!AR$1,0)</f>
        <v>0</v>
      </c>
      <c r="AX101" s="158">
        <f t="shared" si="132"/>
        <v>0</v>
      </c>
      <c r="AY101" s="158">
        <f>VLOOKUP($A101,'Over Under Bill 1 COPY 到CO欄位'!$1:$1048576,'Over Under Bill 1 COPY 到CO欄位'!AY$1,0)-VLOOKUP($A101,'Over Under Bill 1 COPY 到CO欄位'!$1:$1048576,'Over Under Bill 1 COPY 到CO欄位'!AT$1,0)</f>
        <v>0</v>
      </c>
      <c r="AZ101" s="158">
        <f t="shared" si="133"/>
        <v>0</v>
      </c>
      <c r="BA101" s="157">
        <f>VLOOKUP($A101,'Over Under Bill 1 COPY 到CO欄位'!$1:$1048576,'Over Under Bill 1 COPY 到CO欄位'!BA$1,0)-VLOOKUP($A101,'Over Under Bill 1 COPY 到CO欄位'!$1:$1048576,'Over Under Bill 1 COPY 到CO欄位'!AV$1,0)</f>
        <v>0</v>
      </c>
      <c r="BB101" s="157">
        <f>VLOOKUP($A101,'Over Under Bill 1 COPY 到CO欄位'!$1:$1048576,'Over Under Bill 1 COPY 到CO欄位'!BB$1,0)-VLOOKUP($A101,'Over Under Bill 1 COPY 到CO欄位'!$1:$1048576,'Over Under Bill 1 COPY 到CO欄位'!AW$1,0)</f>
        <v>0</v>
      </c>
      <c r="BC101" s="157">
        <f t="shared" si="134"/>
        <v>0</v>
      </c>
      <c r="BD101" s="157">
        <f>VLOOKUP($A101,'Over Under Bill 1 COPY 到CO欄位'!$1:$1048576,'Over Under Bill 1 COPY 到CO欄位'!BD$1,0)-VLOOKUP($A101,'Over Under Bill 1 COPY 到CO欄位'!$1:$1048576,'Over Under Bill 1 COPY 到CO欄位'!AY$1,0)</f>
        <v>0</v>
      </c>
      <c r="BE101" s="157">
        <f t="shared" si="135"/>
        <v>0</v>
      </c>
      <c r="BF101" s="158">
        <f>VLOOKUP($A101,'Over Under Bill 1 COPY 到CO欄位'!$1:$1048576,'Over Under Bill 1 COPY 到CO欄位'!BF$1,0)-VLOOKUP($A101,'Over Under Bill 1 COPY 到CO欄位'!$1:$1048576,'Over Under Bill 1 COPY 到CO欄位'!BA$1,0)</f>
        <v>0</v>
      </c>
      <c r="BG101" s="158">
        <f>VLOOKUP($A101,'Over Under Bill 1 COPY 到CO欄位'!$1:$1048576,'Over Under Bill 1 COPY 到CO欄位'!BG$1,0)-VLOOKUP($A101,'Over Under Bill 1 COPY 到CO欄位'!$1:$1048576,'Over Under Bill 1 COPY 到CO欄位'!BB$1,0)</f>
        <v>0</v>
      </c>
      <c r="BH101" s="158">
        <f t="shared" si="136"/>
        <v>0</v>
      </c>
      <c r="BI101" s="158">
        <f>VLOOKUP($A101,'Over Under Bill 1 COPY 到CO欄位'!$1:$1048576,'Over Under Bill 1 COPY 到CO欄位'!BI$1,0)-VLOOKUP($A101,'Over Under Bill 1 COPY 到CO欄位'!$1:$1048576,'Over Under Bill 1 COPY 到CO欄位'!BD$1,0)</f>
        <v>0</v>
      </c>
      <c r="BJ101" s="158">
        <f t="shared" si="137"/>
        <v>0</v>
      </c>
      <c r="BK101" s="157">
        <f>VLOOKUP($A101,'Over Under Bill 1 COPY 到CO欄位'!$1:$1048576,'Over Under Bill 1 COPY 到CO欄位'!BK$1,0)-VLOOKUP($A101,'Over Under Bill 1 COPY 到CO欄位'!$1:$1048576,'Over Under Bill 1 COPY 到CO欄位'!BF$1,0)</f>
        <v>0</v>
      </c>
      <c r="BL101" s="157">
        <f>VLOOKUP($A101,'Over Under Bill 1 COPY 到CO欄位'!$1:$1048576,'Over Under Bill 1 COPY 到CO欄位'!BL$1,0)-VLOOKUP($A101,'Over Under Bill 1 COPY 到CO欄位'!$1:$1048576,'Over Under Bill 1 COPY 到CO欄位'!BG$1,0)</f>
        <v>0</v>
      </c>
      <c r="BM101" s="157">
        <f t="shared" si="138"/>
        <v>0</v>
      </c>
      <c r="BN101" s="157">
        <f>VLOOKUP($A101,'Over Under Bill 1 COPY 到CO欄位'!$1:$1048576,'Over Under Bill 1 COPY 到CO欄位'!BN$1,0)-VLOOKUP($A101,'Over Under Bill 1 COPY 到CO欄位'!$1:$1048576,'Over Under Bill 1 COPY 到CO欄位'!BI$1,0)</f>
        <v>0</v>
      </c>
      <c r="BO101" s="157">
        <f t="shared" si="139"/>
        <v>0</v>
      </c>
      <c r="BP101" s="158">
        <f>VLOOKUP($A101,'Over Under Bill 1 COPY 到CO欄位'!$1:$1048576,'Over Under Bill 1 COPY 到CO欄位'!BP$1,0)-VLOOKUP($A101,'Over Under Bill 1 COPY 到CO欄位'!$1:$1048576,'Over Under Bill 1 COPY 到CO欄位'!BK$1,0)</f>
        <v>0</v>
      </c>
      <c r="BQ101" s="158">
        <f>VLOOKUP($A101,'Over Under Bill 1 COPY 到CO欄位'!$1:$1048576,'Over Under Bill 1 COPY 到CO欄位'!BQ$1,0)-VLOOKUP($A101,'Over Under Bill 1 COPY 到CO欄位'!$1:$1048576,'Over Under Bill 1 COPY 到CO欄位'!BL$1,0)</f>
        <v>0</v>
      </c>
      <c r="BR101" s="158">
        <f t="shared" si="140"/>
        <v>0</v>
      </c>
      <c r="BS101" s="158">
        <f>VLOOKUP($A101,'Over Under Bill 1 COPY 到CO欄位'!$1:$1048576,'Over Under Bill 1 COPY 到CO欄位'!BS$1,0)-VLOOKUP($A101,'Over Under Bill 1 COPY 到CO欄位'!$1:$1048576,'Over Under Bill 1 COPY 到CO欄位'!BN$1,0)</f>
        <v>0</v>
      </c>
      <c r="BT101" s="158">
        <f t="shared" si="141"/>
        <v>0</v>
      </c>
      <c r="BU101" s="157">
        <f>VLOOKUP($A101,'Over Under Bill 1 COPY 到CO欄位'!$1:$1048576,'Over Under Bill 1 COPY 到CO欄位'!BP$1,0)-VLOOKUP($A101,'Over Under Bill 1 COPY 到CO欄位'!$1:$1048576,'Over Under Bill 1 COPY 到CO欄位'!H$1,0)</f>
        <v>0</v>
      </c>
      <c r="BV101" s="157">
        <f>VLOOKUP($A101,'Over Under Bill 1 COPY 到CO欄位'!$1:$1048576,'Over Under Bill 1 COPY 到CO欄位'!BQ$1,0)-VLOOKUP($A101,'Over Under Bill 1 COPY 到CO欄位'!$1:$1048576,'Over Under Bill 1 COPY 到CO欄位'!I$1,0)</f>
        <v>0</v>
      </c>
      <c r="BW101" s="157">
        <f t="shared" si="142"/>
        <v>0</v>
      </c>
      <c r="BX101" s="157">
        <f>VLOOKUP($A101,'Over Under Bill 1 COPY 到CO欄位'!$1:$1048576,'Over Under Bill 1 COPY 到CO欄位'!BS$1,0)-VLOOKUP($A101,'Over Under Bill 1 COPY 到CO欄位'!$1:$1048576,'Over Under Bill 1 COPY 到CO欄位'!K$1,0)</f>
        <v>0</v>
      </c>
      <c r="BY101" s="157">
        <f t="shared" si="143"/>
        <v>0</v>
      </c>
      <c r="BZ101" s="158">
        <f>VLOOKUP($A101,'Over Under Bill 1 COPY 到CO欄位'!$1:$1048576,'Over Under Bill 1 COPY 到CO欄位'!BU$1,0)-VLOOKUP($A101,'Over Under Bill 1 COPY 到CO欄位'!$1:$1048576,'Over Under Bill 1 COPY 到CO欄位'!BP$1,0)</f>
        <v>0</v>
      </c>
      <c r="CA101" s="158">
        <f>VLOOKUP($A101,'Over Under Bill 1 COPY 到CO欄位'!$1:$1048576,'Over Under Bill 1 COPY 到CO欄位'!BV$1,0)-VLOOKUP($A101,'Over Under Bill 1 COPY 到CO欄位'!$1:$1048576,'Over Under Bill 1 COPY 到CO欄位'!BQ$1,0)</f>
        <v>0</v>
      </c>
      <c r="CB101" s="158">
        <f t="shared" si="144"/>
        <v>0</v>
      </c>
      <c r="CC101" s="158">
        <f>VLOOKUP($A101,'Over Under Bill 1 COPY 到CO欄位'!$1:$1048576,'Over Under Bill 1 COPY 到CO欄位'!BX$1,0)-VLOOKUP($A101,'Over Under Bill 1 COPY 到CO欄位'!$1:$1048576,'Over Under Bill 1 COPY 到CO欄位'!BS$1,0)</f>
        <v>0</v>
      </c>
      <c r="CD101" s="158">
        <f t="shared" si="145"/>
        <v>0</v>
      </c>
      <c r="CE101" s="157">
        <f>VLOOKUP($A101,'Over Under Bill 1 COPY 到CO欄位'!$1:$1048576,'Over Under Bill 1 COPY 到CO欄位'!BZ$1,0)-VLOOKUP($A101,'Over Under Bill 1 COPY 到CO欄位'!$1:$1048576,'Over Under Bill 1 COPY 到CO欄位'!BU$1,0)</f>
        <v>0</v>
      </c>
      <c r="CF101" s="157">
        <f>VLOOKUP($A101,'Over Under Bill 1 COPY 到CO欄位'!$1:$1048576,'Over Under Bill 1 COPY 到CO欄位'!CA$1,0)-VLOOKUP($A101,'Over Under Bill 1 COPY 到CO欄位'!$1:$1048576,'Over Under Bill 1 COPY 到CO欄位'!BV$1,0)</f>
        <v>0</v>
      </c>
      <c r="CG101" s="157">
        <f t="shared" si="146"/>
        <v>0</v>
      </c>
      <c r="CH101" s="157">
        <f>VLOOKUP($A101,'Over Under Bill 1 COPY 到CO欄位'!$1:$1048576,'Over Under Bill 1 COPY 到CO欄位'!CC$1,0)-VLOOKUP($A101,'Over Under Bill 1 COPY 到CO欄位'!$1:$1048576,'Over Under Bill 1 COPY 到CO欄位'!BX$1,0)</f>
        <v>0</v>
      </c>
      <c r="CI101" s="157">
        <f t="shared" si="147"/>
        <v>0</v>
      </c>
      <c r="CJ101" s="158">
        <f>VLOOKUP($A101,'Over Under Bill 1 COPY 到CO欄位'!$1:$1048576,'Over Under Bill 1 COPY 到CO欄位'!CE$1,0)-VLOOKUP($A101,'Over Under Bill 1 COPY 到CO欄位'!$1:$1048576,'Over Under Bill 1 COPY 到CO欄位'!BZ$1,0)</f>
        <v>0</v>
      </c>
      <c r="CK101" s="158">
        <f>VLOOKUP($A101,'Over Under Bill 1 COPY 到CO欄位'!$1:$1048576,'Over Under Bill 1 COPY 到CO欄位'!CF$1,0)-VLOOKUP($A101,'Over Under Bill 1 COPY 到CO欄位'!$1:$1048576,'Over Under Bill 1 COPY 到CO欄位'!CA$1,0)</f>
        <v>0</v>
      </c>
      <c r="CL101" s="158">
        <f t="shared" si="148"/>
        <v>0</v>
      </c>
      <c r="CM101" s="158">
        <f>VLOOKUP($A101,'Over Under Bill 1 COPY 到CO欄位'!$1:$1048576,'Over Under Bill 1 COPY 到CO欄位'!CH$1,0)-VLOOKUP($A101,'Over Under Bill 1 COPY 到CO欄位'!$1:$1048576,'Over Under Bill 1 COPY 到CO欄位'!CC$1,0)</f>
        <v>0</v>
      </c>
      <c r="CN101" s="158">
        <f t="shared" si="149"/>
        <v>0</v>
      </c>
      <c r="CO101" s="157">
        <f>VLOOKUP($A101,'Over Under Bill 1 COPY 到CO欄位'!$1:$1048576,'Over Under Bill 1 COPY 到CO欄位'!CJ$1,0)-VLOOKUP($A101,'Over Under Bill 1 COPY 到CO欄位'!$1:$1048576,'Over Under Bill 1 COPY 到CO欄位'!CE$1,0)</f>
        <v>0</v>
      </c>
      <c r="CP101" s="157">
        <f>VLOOKUP($A101,'Over Under Bill 1 COPY 到CO欄位'!$1:$1048576,'Over Under Bill 1 COPY 到CO欄位'!CK$1,0)-VLOOKUP($A101,'Over Under Bill 1 COPY 到CO欄位'!$1:$1048576,'Over Under Bill 1 COPY 到CO欄位'!CF$1,0)</f>
        <v>0</v>
      </c>
      <c r="CQ101" s="157">
        <f t="shared" si="150"/>
        <v>0</v>
      </c>
      <c r="CR101" s="157">
        <f>VLOOKUP($A101,'Over Under Bill 1 COPY 到CO欄位'!$1:$1048576,'Over Under Bill 1 COPY 到CO欄位'!CM$1,0)-VLOOKUP($A101,'Over Under Bill 1 COPY 到CO欄位'!$1:$1048576,'Over Under Bill 1 COPY 到CO欄位'!CH$1,0)</f>
        <v>0</v>
      </c>
      <c r="CS101" s="157">
        <f t="shared" si="151"/>
        <v>0</v>
      </c>
    </row>
    <row r="102" spans="1:97">
      <c r="A102" s="179" t="s">
        <v>491</v>
      </c>
      <c r="B102" s="172" t="s">
        <v>342</v>
      </c>
      <c r="C102" s="157">
        <f>IFERROR(VLOOKUP($A102,'A0 BS 1240在建'!$1:$1048576,5,0),0)</f>
        <v>0</v>
      </c>
      <c r="D102" s="157">
        <f>IFERROR(VLOOKUP($A102,'B0 2264預收'!$1:$1048576,5,0),0)</f>
        <v>0</v>
      </c>
      <c r="E102" s="157">
        <f t="shared" si="114"/>
        <v>0</v>
      </c>
      <c r="F102" s="157">
        <f>IFERROR(VLOOKUP($A102,'B0 2264預收'!$1:$1048576,6,0),0)</f>
        <v>0</v>
      </c>
      <c r="G102" s="157">
        <f t="shared" si="115"/>
        <v>0</v>
      </c>
      <c r="H102" s="158">
        <f>IFERROR(VLOOKUP($A102,'A0 BS 1240在建'!$1:$1048576,13,0),0)-C102</f>
        <v>0</v>
      </c>
      <c r="I102" s="158">
        <f>IFERROR(VLOOKUP($A102,'B0 2264預收'!$1:$1048576,13,0),0)-D102</f>
        <v>0</v>
      </c>
      <c r="J102" s="158">
        <f t="shared" si="116"/>
        <v>0</v>
      </c>
      <c r="K102" s="158">
        <f>IFERROR(VLOOKUP($A102,'B0 2264預收'!$1:$1048576,14,0),0)-F102</f>
        <v>0</v>
      </c>
      <c r="L102" s="158">
        <f t="shared" si="117"/>
        <v>0</v>
      </c>
      <c r="M102" s="157">
        <f>VLOOKUP($A102,'Over Under Bill 1 COPY 到CO欄位'!$1:$1048576,'Over Under Bill 1 COPY 到CO欄位'!M$1,0)-VLOOKUP($A102,'Over Under Bill 1 COPY 到CO欄位'!$1:$1048576,'Over Under Bill 1 COPY 到CO欄位'!H$1,0)</f>
        <v>0</v>
      </c>
      <c r="N102" s="157">
        <f>VLOOKUP($A102,'Over Under Bill 1 COPY 到CO欄位'!$1:$1048576,'Over Under Bill 1 COPY 到CO欄位'!N$1,0)-VLOOKUP($A102,'Over Under Bill 1 COPY 到CO欄位'!$1:$1048576,'Over Under Bill 1 COPY 到CO欄位'!I$1,0)</f>
        <v>0</v>
      </c>
      <c r="O102" s="157">
        <f t="shared" si="118"/>
        <v>0</v>
      </c>
      <c r="P102" s="157">
        <f>VLOOKUP($A102,'Over Under Bill 1 COPY 到CO欄位'!$1:$1048576,'Over Under Bill 1 COPY 到CO欄位'!P$1,0)-VLOOKUP($A102,'Over Under Bill 1 COPY 到CO欄位'!$1:$1048576,'Over Under Bill 1 COPY 到CO欄位'!K$1,0)</f>
        <v>0</v>
      </c>
      <c r="Q102" s="157">
        <f t="shared" si="119"/>
        <v>0</v>
      </c>
      <c r="R102" s="158">
        <f>VLOOKUP($A102,'Over Under Bill 1 COPY 到CO欄位'!$1:$1048576,'Over Under Bill 1 COPY 到CO欄位'!R$1,0)-VLOOKUP($A102,'Over Under Bill 1 COPY 到CO欄位'!$1:$1048576,'Over Under Bill 1 COPY 到CO欄位'!M$1,0)</f>
        <v>0</v>
      </c>
      <c r="S102" s="158">
        <f>VLOOKUP($A102,'Over Under Bill 1 COPY 到CO欄位'!$1:$1048576,'Over Under Bill 1 COPY 到CO欄位'!S$1,0)-VLOOKUP($A102,'Over Under Bill 1 COPY 到CO欄位'!$1:$1048576,'Over Under Bill 1 COPY 到CO欄位'!N$1,0)</f>
        <v>0</v>
      </c>
      <c r="T102" s="158">
        <f t="shared" si="120"/>
        <v>0</v>
      </c>
      <c r="U102" s="158">
        <f>VLOOKUP($A102,'Over Under Bill 1 COPY 到CO欄位'!$1:$1048576,'Over Under Bill 1 COPY 到CO欄位'!U$1,0)-VLOOKUP($A102,'Over Under Bill 1 COPY 到CO欄位'!$1:$1048576,'Over Under Bill 1 COPY 到CO欄位'!P$1,0)</f>
        <v>0</v>
      </c>
      <c r="V102" s="158">
        <f t="shared" si="121"/>
        <v>0</v>
      </c>
      <c r="W102" s="157">
        <f>VLOOKUP($A102,'Over Under Bill 1 COPY 到CO欄位'!$1:$1048576,'Over Under Bill 1 COPY 到CO欄位'!W$1,0)-VLOOKUP($A102,'Over Under Bill 1 COPY 到CO欄位'!$1:$1048576,'Over Under Bill 1 COPY 到CO欄位'!R$1,0)</f>
        <v>0</v>
      </c>
      <c r="X102" s="157">
        <f>VLOOKUP($A102,'Over Under Bill 1 COPY 到CO欄位'!$1:$1048576,'Over Under Bill 1 COPY 到CO欄位'!X$1,0)-VLOOKUP($A102,'Over Under Bill 1 COPY 到CO欄位'!$1:$1048576,'Over Under Bill 1 COPY 到CO欄位'!S$1,0)</f>
        <v>0</v>
      </c>
      <c r="Y102" s="157">
        <f t="shared" si="122"/>
        <v>0</v>
      </c>
      <c r="Z102" s="157">
        <f>VLOOKUP($A102,'Over Under Bill 1 COPY 到CO欄位'!$1:$1048576,'Over Under Bill 1 COPY 到CO欄位'!Z$1,0)-VLOOKUP($A102,'Over Under Bill 1 COPY 到CO欄位'!$1:$1048576,'Over Under Bill 1 COPY 到CO欄位'!U$1,0)</f>
        <v>0</v>
      </c>
      <c r="AA102" s="157">
        <f t="shared" si="123"/>
        <v>0</v>
      </c>
      <c r="AB102" s="158">
        <f>VLOOKUP($A102,'Over Under Bill 1 COPY 到CO欄位'!$1:$1048576,'Over Under Bill 1 COPY 到CO欄位'!AB$1,0)-VLOOKUP($A102,'Over Under Bill 1 COPY 到CO欄位'!$1:$1048576,'Over Under Bill 1 COPY 到CO欄位'!W$1,0)</f>
        <v>0</v>
      </c>
      <c r="AC102" s="158">
        <f>VLOOKUP($A102,'Over Under Bill 1 COPY 到CO欄位'!$1:$1048576,'Over Under Bill 1 COPY 到CO欄位'!AC$1,0)-VLOOKUP($A102,'Over Under Bill 1 COPY 到CO欄位'!$1:$1048576,'Over Under Bill 1 COPY 到CO欄位'!X$1,0)</f>
        <v>0</v>
      </c>
      <c r="AD102" s="158">
        <f t="shared" si="124"/>
        <v>0</v>
      </c>
      <c r="AE102" s="158">
        <f>VLOOKUP($A102,'Over Under Bill 1 COPY 到CO欄位'!$1:$1048576,'Over Under Bill 1 COPY 到CO欄位'!AE$1,0)-VLOOKUP($A102,'Over Under Bill 1 COPY 到CO欄位'!$1:$1048576,'Over Under Bill 1 COPY 到CO欄位'!Z$1,0)</f>
        <v>0</v>
      </c>
      <c r="AF102" s="158">
        <f t="shared" si="125"/>
        <v>0</v>
      </c>
      <c r="AG102" s="157">
        <f>VLOOKUP($A102,'Over Under Bill 1 COPY 到CO欄位'!$1:$1048576,'Over Under Bill 1 COPY 到CO欄位'!AG$1,0)-VLOOKUP($A102,'Over Under Bill 1 COPY 到CO欄位'!$1:$1048576,'Over Under Bill 1 COPY 到CO欄位'!AB$1,0)</f>
        <v>0</v>
      </c>
      <c r="AH102" s="157">
        <f>VLOOKUP($A102,'Over Under Bill 1 COPY 到CO欄位'!$1:$1048576,'Over Under Bill 1 COPY 到CO欄位'!AH$1,0)-VLOOKUP($A102,'Over Under Bill 1 COPY 到CO欄位'!$1:$1048576,'Over Under Bill 1 COPY 到CO欄位'!AC$1,0)</f>
        <v>0</v>
      </c>
      <c r="AI102" s="157">
        <f t="shared" si="126"/>
        <v>0</v>
      </c>
      <c r="AJ102" s="157">
        <f>VLOOKUP($A102,'Over Under Bill 1 COPY 到CO欄位'!$1:$1048576,'Over Under Bill 1 COPY 到CO欄位'!AJ$1,0)-VLOOKUP($A102,'Over Under Bill 1 COPY 到CO欄位'!$1:$1048576,'Over Under Bill 1 COPY 到CO欄位'!AE$1,0)</f>
        <v>0</v>
      </c>
      <c r="AK102" s="157">
        <f t="shared" si="127"/>
        <v>0</v>
      </c>
      <c r="AL102" s="158">
        <f>VLOOKUP($A102,'Over Under Bill 1 COPY 到CO欄位'!$1:$1048576,'Over Under Bill 1 COPY 到CO欄位'!AL$1,0)-VLOOKUP($A102,'Over Under Bill 1 COPY 到CO欄位'!$1:$1048576,'Over Under Bill 1 COPY 到CO欄位'!AG$1,0)</f>
        <v>0</v>
      </c>
      <c r="AM102" s="158">
        <f>VLOOKUP($A102,'Over Under Bill 1 COPY 到CO欄位'!$1:$1048576,'Over Under Bill 1 COPY 到CO欄位'!AM$1,0)-VLOOKUP($A102,'Over Under Bill 1 COPY 到CO欄位'!$1:$1048576,'Over Under Bill 1 COPY 到CO欄位'!AH$1,0)</f>
        <v>0</v>
      </c>
      <c r="AN102" s="158">
        <f t="shared" si="128"/>
        <v>0</v>
      </c>
      <c r="AO102" s="158">
        <f>VLOOKUP($A102,'Over Under Bill 1 COPY 到CO欄位'!$1:$1048576,'Over Under Bill 1 COPY 到CO欄位'!AO$1,0)-VLOOKUP($A102,'Over Under Bill 1 COPY 到CO欄位'!$1:$1048576,'Over Under Bill 1 COPY 到CO欄位'!AJ$1,0)</f>
        <v>0</v>
      </c>
      <c r="AP102" s="158">
        <f t="shared" si="129"/>
        <v>0</v>
      </c>
      <c r="AQ102" s="157">
        <f>VLOOKUP($A102,'Over Under Bill 1 COPY 到CO欄位'!$1:$1048576,'Over Under Bill 1 COPY 到CO欄位'!AQ$1,0)-VLOOKUP($A102,'Over Under Bill 1 COPY 到CO欄位'!$1:$1048576,'Over Under Bill 1 COPY 到CO欄位'!AL$1,0)</f>
        <v>0</v>
      </c>
      <c r="AR102" s="157">
        <f>VLOOKUP($A102,'Over Under Bill 1 COPY 到CO欄位'!$1:$1048576,'Over Under Bill 1 COPY 到CO欄位'!AR$1,0)-VLOOKUP($A102,'Over Under Bill 1 COPY 到CO欄位'!$1:$1048576,'Over Under Bill 1 COPY 到CO欄位'!AM$1,0)</f>
        <v>0</v>
      </c>
      <c r="AS102" s="157">
        <f t="shared" si="130"/>
        <v>0</v>
      </c>
      <c r="AT102" s="157">
        <f>VLOOKUP($A102,'Over Under Bill 1 COPY 到CO欄位'!$1:$1048576,'Over Under Bill 1 COPY 到CO欄位'!AT$1,0)-VLOOKUP($A102,'Over Under Bill 1 COPY 到CO欄位'!$1:$1048576,'Over Under Bill 1 COPY 到CO欄位'!AO$1,0)</f>
        <v>0</v>
      </c>
      <c r="AU102" s="157">
        <f t="shared" si="131"/>
        <v>0</v>
      </c>
      <c r="AV102" s="158">
        <f>VLOOKUP($A102,'Over Under Bill 1 COPY 到CO欄位'!$1:$1048576,'Over Under Bill 1 COPY 到CO欄位'!AV$1,0)-VLOOKUP($A102,'Over Under Bill 1 COPY 到CO欄位'!$1:$1048576,'Over Under Bill 1 COPY 到CO欄位'!AQ$1,0)</f>
        <v>0</v>
      </c>
      <c r="AW102" s="158">
        <f>VLOOKUP($A102,'Over Under Bill 1 COPY 到CO欄位'!$1:$1048576,'Over Under Bill 1 COPY 到CO欄位'!AW$1,0)-VLOOKUP($A102,'Over Under Bill 1 COPY 到CO欄位'!$1:$1048576,'Over Under Bill 1 COPY 到CO欄位'!AR$1,0)</f>
        <v>0</v>
      </c>
      <c r="AX102" s="158">
        <f t="shared" si="132"/>
        <v>0</v>
      </c>
      <c r="AY102" s="158">
        <f>VLOOKUP($A102,'Over Under Bill 1 COPY 到CO欄位'!$1:$1048576,'Over Under Bill 1 COPY 到CO欄位'!AY$1,0)-VLOOKUP($A102,'Over Under Bill 1 COPY 到CO欄位'!$1:$1048576,'Over Under Bill 1 COPY 到CO欄位'!AT$1,0)</f>
        <v>0</v>
      </c>
      <c r="AZ102" s="158">
        <f t="shared" si="133"/>
        <v>0</v>
      </c>
      <c r="BA102" s="157">
        <f>VLOOKUP($A102,'Over Under Bill 1 COPY 到CO欄位'!$1:$1048576,'Over Under Bill 1 COPY 到CO欄位'!BA$1,0)-VLOOKUP($A102,'Over Under Bill 1 COPY 到CO欄位'!$1:$1048576,'Over Under Bill 1 COPY 到CO欄位'!AV$1,0)</f>
        <v>0</v>
      </c>
      <c r="BB102" s="157">
        <f>VLOOKUP($A102,'Over Under Bill 1 COPY 到CO欄位'!$1:$1048576,'Over Under Bill 1 COPY 到CO欄位'!BB$1,0)-VLOOKUP($A102,'Over Under Bill 1 COPY 到CO欄位'!$1:$1048576,'Over Under Bill 1 COPY 到CO欄位'!AW$1,0)</f>
        <v>0</v>
      </c>
      <c r="BC102" s="157">
        <f t="shared" si="134"/>
        <v>0</v>
      </c>
      <c r="BD102" s="157">
        <f>VLOOKUP($A102,'Over Under Bill 1 COPY 到CO欄位'!$1:$1048576,'Over Under Bill 1 COPY 到CO欄位'!BD$1,0)-VLOOKUP($A102,'Over Under Bill 1 COPY 到CO欄位'!$1:$1048576,'Over Under Bill 1 COPY 到CO欄位'!AY$1,0)</f>
        <v>0</v>
      </c>
      <c r="BE102" s="157">
        <f t="shared" si="135"/>
        <v>0</v>
      </c>
      <c r="BF102" s="158">
        <f>VLOOKUP($A102,'Over Under Bill 1 COPY 到CO欄位'!$1:$1048576,'Over Under Bill 1 COPY 到CO欄位'!BF$1,0)-VLOOKUP($A102,'Over Under Bill 1 COPY 到CO欄位'!$1:$1048576,'Over Under Bill 1 COPY 到CO欄位'!BA$1,0)</f>
        <v>0</v>
      </c>
      <c r="BG102" s="158">
        <f>VLOOKUP($A102,'Over Under Bill 1 COPY 到CO欄位'!$1:$1048576,'Over Under Bill 1 COPY 到CO欄位'!BG$1,0)-VLOOKUP($A102,'Over Under Bill 1 COPY 到CO欄位'!$1:$1048576,'Over Under Bill 1 COPY 到CO欄位'!BB$1,0)</f>
        <v>0</v>
      </c>
      <c r="BH102" s="158">
        <f t="shared" si="136"/>
        <v>0</v>
      </c>
      <c r="BI102" s="158">
        <f>VLOOKUP($A102,'Over Under Bill 1 COPY 到CO欄位'!$1:$1048576,'Over Under Bill 1 COPY 到CO欄位'!BI$1,0)-VLOOKUP($A102,'Over Under Bill 1 COPY 到CO欄位'!$1:$1048576,'Over Under Bill 1 COPY 到CO欄位'!BD$1,0)</f>
        <v>0</v>
      </c>
      <c r="BJ102" s="158">
        <f t="shared" si="137"/>
        <v>0</v>
      </c>
      <c r="BK102" s="157">
        <f>VLOOKUP($A102,'Over Under Bill 1 COPY 到CO欄位'!$1:$1048576,'Over Under Bill 1 COPY 到CO欄位'!BK$1,0)-VLOOKUP($A102,'Over Under Bill 1 COPY 到CO欄位'!$1:$1048576,'Over Under Bill 1 COPY 到CO欄位'!BF$1,0)</f>
        <v>0</v>
      </c>
      <c r="BL102" s="157">
        <f>VLOOKUP($A102,'Over Under Bill 1 COPY 到CO欄位'!$1:$1048576,'Over Under Bill 1 COPY 到CO欄位'!BL$1,0)-VLOOKUP($A102,'Over Under Bill 1 COPY 到CO欄位'!$1:$1048576,'Over Under Bill 1 COPY 到CO欄位'!BG$1,0)</f>
        <v>0</v>
      </c>
      <c r="BM102" s="157">
        <f t="shared" si="138"/>
        <v>0</v>
      </c>
      <c r="BN102" s="157">
        <f>VLOOKUP($A102,'Over Under Bill 1 COPY 到CO欄位'!$1:$1048576,'Over Under Bill 1 COPY 到CO欄位'!BN$1,0)-VLOOKUP($A102,'Over Under Bill 1 COPY 到CO欄位'!$1:$1048576,'Over Under Bill 1 COPY 到CO欄位'!BI$1,0)</f>
        <v>0</v>
      </c>
      <c r="BO102" s="157">
        <f t="shared" si="139"/>
        <v>0</v>
      </c>
      <c r="BP102" s="158">
        <f>VLOOKUP($A102,'Over Under Bill 1 COPY 到CO欄位'!$1:$1048576,'Over Under Bill 1 COPY 到CO欄位'!BP$1,0)-VLOOKUP($A102,'Over Under Bill 1 COPY 到CO欄位'!$1:$1048576,'Over Under Bill 1 COPY 到CO欄位'!BK$1,0)</f>
        <v>0</v>
      </c>
      <c r="BQ102" s="158">
        <f>VLOOKUP($A102,'Over Under Bill 1 COPY 到CO欄位'!$1:$1048576,'Over Under Bill 1 COPY 到CO欄位'!BQ$1,0)-VLOOKUP($A102,'Over Under Bill 1 COPY 到CO欄位'!$1:$1048576,'Over Under Bill 1 COPY 到CO欄位'!BL$1,0)</f>
        <v>0</v>
      </c>
      <c r="BR102" s="158">
        <f t="shared" si="140"/>
        <v>0</v>
      </c>
      <c r="BS102" s="158">
        <f>VLOOKUP($A102,'Over Under Bill 1 COPY 到CO欄位'!$1:$1048576,'Over Under Bill 1 COPY 到CO欄位'!BS$1,0)-VLOOKUP($A102,'Over Under Bill 1 COPY 到CO欄位'!$1:$1048576,'Over Under Bill 1 COPY 到CO欄位'!BN$1,0)</f>
        <v>0</v>
      </c>
      <c r="BT102" s="158">
        <f t="shared" si="141"/>
        <v>0</v>
      </c>
      <c r="BU102" s="157">
        <f>VLOOKUP($A102,'Over Under Bill 1 COPY 到CO欄位'!$1:$1048576,'Over Under Bill 1 COPY 到CO欄位'!BP$1,0)-VLOOKUP($A102,'Over Under Bill 1 COPY 到CO欄位'!$1:$1048576,'Over Under Bill 1 COPY 到CO欄位'!H$1,0)</f>
        <v>0</v>
      </c>
      <c r="BV102" s="157">
        <f>VLOOKUP($A102,'Over Under Bill 1 COPY 到CO欄位'!$1:$1048576,'Over Under Bill 1 COPY 到CO欄位'!BQ$1,0)-VLOOKUP($A102,'Over Under Bill 1 COPY 到CO欄位'!$1:$1048576,'Over Under Bill 1 COPY 到CO欄位'!I$1,0)</f>
        <v>0</v>
      </c>
      <c r="BW102" s="157">
        <f t="shared" si="142"/>
        <v>0</v>
      </c>
      <c r="BX102" s="157">
        <f>VLOOKUP($A102,'Over Under Bill 1 COPY 到CO欄位'!$1:$1048576,'Over Under Bill 1 COPY 到CO欄位'!BS$1,0)-VLOOKUP($A102,'Over Under Bill 1 COPY 到CO欄位'!$1:$1048576,'Over Under Bill 1 COPY 到CO欄位'!K$1,0)</f>
        <v>0</v>
      </c>
      <c r="BY102" s="157">
        <f t="shared" si="143"/>
        <v>0</v>
      </c>
      <c r="BZ102" s="158">
        <f>VLOOKUP($A102,'Over Under Bill 1 COPY 到CO欄位'!$1:$1048576,'Over Under Bill 1 COPY 到CO欄位'!BU$1,0)-VLOOKUP($A102,'Over Under Bill 1 COPY 到CO欄位'!$1:$1048576,'Over Under Bill 1 COPY 到CO欄位'!BP$1,0)</f>
        <v>0</v>
      </c>
      <c r="CA102" s="158">
        <f>VLOOKUP($A102,'Over Under Bill 1 COPY 到CO欄位'!$1:$1048576,'Over Under Bill 1 COPY 到CO欄位'!BV$1,0)-VLOOKUP($A102,'Over Under Bill 1 COPY 到CO欄位'!$1:$1048576,'Over Under Bill 1 COPY 到CO欄位'!BQ$1,0)</f>
        <v>0</v>
      </c>
      <c r="CB102" s="158">
        <f t="shared" si="144"/>
        <v>0</v>
      </c>
      <c r="CC102" s="158">
        <f>VLOOKUP($A102,'Over Under Bill 1 COPY 到CO欄位'!$1:$1048576,'Over Under Bill 1 COPY 到CO欄位'!BX$1,0)-VLOOKUP($A102,'Over Under Bill 1 COPY 到CO欄位'!$1:$1048576,'Over Under Bill 1 COPY 到CO欄位'!BS$1,0)</f>
        <v>0</v>
      </c>
      <c r="CD102" s="158">
        <f t="shared" si="145"/>
        <v>0</v>
      </c>
      <c r="CE102" s="157">
        <f>VLOOKUP($A102,'Over Under Bill 1 COPY 到CO欄位'!$1:$1048576,'Over Under Bill 1 COPY 到CO欄位'!BZ$1,0)-VLOOKUP($A102,'Over Under Bill 1 COPY 到CO欄位'!$1:$1048576,'Over Under Bill 1 COPY 到CO欄位'!BU$1,0)</f>
        <v>0</v>
      </c>
      <c r="CF102" s="157">
        <f>VLOOKUP($A102,'Over Under Bill 1 COPY 到CO欄位'!$1:$1048576,'Over Under Bill 1 COPY 到CO欄位'!CA$1,0)-VLOOKUP($A102,'Over Under Bill 1 COPY 到CO欄位'!$1:$1048576,'Over Under Bill 1 COPY 到CO欄位'!BV$1,0)</f>
        <v>0</v>
      </c>
      <c r="CG102" s="157">
        <f t="shared" si="146"/>
        <v>0</v>
      </c>
      <c r="CH102" s="157">
        <f>VLOOKUP($A102,'Over Under Bill 1 COPY 到CO欄位'!$1:$1048576,'Over Under Bill 1 COPY 到CO欄位'!CC$1,0)-VLOOKUP($A102,'Over Under Bill 1 COPY 到CO欄位'!$1:$1048576,'Over Under Bill 1 COPY 到CO欄位'!BX$1,0)</f>
        <v>0</v>
      </c>
      <c r="CI102" s="157">
        <f t="shared" si="147"/>
        <v>0</v>
      </c>
      <c r="CJ102" s="158">
        <f>VLOOKUP($A102,'Over Under Bill 1 COPY 到CO欄位'!$1:$1048576,'Over Under Bill 1 COPY 到CO欄位'!CE$1,0)-VLOOKUP($A102,'Over Under Bill 1 COPY 到CO欄位'!$1:$1048576,'Over Under Bill 1 COPY 到CO欄位'!BZ$1,0)</f>
        <v>0</v>
      </c>
      <c r="CK102" s="158">
        <f>VLOOKUP($A102,'Over Under Bill 1 COPY 到CO欄位'!$1:$1048576,'Over Under Bill 1 COPY 到CO欄位'!CF$1,0)-VLOOKUP($A102,'Over Under Bill 1 COPY 到CO欄位'!$1:$1048576,'Over Under Bill 1 COPY 到CO欄位'!CA$1,0)</f>
        <v>0</v>
      </c>
      <c r="CL102" s="158">
        <f t="shared" si="148"/>
        <v>0</v>
      </c>
      <c r="CM102" s="158">
        <f>VLOOKUP($A102,'Over Under Bill 1 COPY 到CO欄位'!$1:$1048576,'Over Under Bill 1 COPY 到CO欄位'!CH$1,0)-VLOOKUP($A102,'Over Under Bill 1 COPY 到CO欄位'!$1:$1048576,'Over Under Bill 1 COPY 到CO欄位'!CC$1,0)</f>
        <v>0</v>
      </c>
      <c r="CN102" s="158">
        <f t="shared" si="149"/>
        <v>0</v>
      </c>
      <c r="CO102" s="157">
        <f>VLOOKUP($A102,'Over Under Bill 1 COPY 到CO欄位'!$1:$1048576,'Over Under Bill 1 COPY 到CO欄位'!CJ$1,0)-VLOOKUP($A102,'Over Under Bill 1 COPY 到CO欄位'!$1:$1048576,'Over Under Bill 1 COPY 到CO欄位'!CE$1,0)</f>
        <v>0</v>
      </c>
      <c r="CP102" s="157">
        <f>VLOOKUP($A102,'Over Under Bill 1 COPY 到CO欄位'!$1:$1048576,'Over Under Bill 1 COPY 到CO欄位'!CK$1,0)-VLOOKUP($A102,'Over Under Bill 1 COPY 到CO欄位'!$1:$1048576,'Over Under Bill 1 COPY 到CO欄位'!CF$1,0)</f>
        <v>0</v>
      </c>
      <c r="CQ102" s="157">
        <f t="shared" si="150"/>
        <v>0</v>
      </c>
      <c r="CR102" s="157">
        <f>VLOOKUP($A102,'Over Under Bill 1 COPY 到CO欄位'!$1:$1048576,'Over Under Bill 1 COPY 到CO欄位'!CM$1,0)-VLOOKUP($A102,'Over Under Bill 1 COPY 到CO欄位'!$1:$1048576,'Over Under Bill 1 COPY 到CO欄位'!CH$1,0)</f>
        <v>0</v>
      </c>
      <c r="CS102" s="157">
        <f t="shared" si="151"/>
        <v>0</v>
      </c>
    </row>
    <row r="103" spans="1:97">
      <c r="A103" s="179" t="s">
        <v>492</v>
      </c>
      <c r="B103" s="172" t="s">
        <v>344</v>
      </c>
      <c r="C103" s="157">
        <f>IFERROR(VLOOKUP($A103,'A0 BS 1240在建'!$1:$1048576,5,0),0)</f>
        <v>0</v>
      </c>
      <c r="D103" s="157">
        <f>IFERROR(VLOOKUP($A103,'B0 2264預收'!$1:$1048576,5,0),0)</f>
        <v>0</v>
      </c>
      <c r="E103" s="157">
        <f t="shared" si="114"/>
        <v>0</v>
      </c>
      <c r="F103" s="157">
        <f>IFERROR(VLOOKUP($A103,'B0 2264預收'!$1:$1048576,6,0),0)</f>
        <v>0</v>
      </c>
      <c r="G103" s="157">
        <f t="shared" si="115"/>
        <v>0</v>
      </c>
      <c r="H103" s="158">
        <f>IFERROR(VLOOKUP($A103,'A0 BS 1240在建'!$1:$1048576,13,0),0)-C103</f>
        <v>0</v>
      </c>
      <c r="I103" s="158">
        <f>IFERROR(VLOOKUP($A103,'B0 2264預收'!$1:$1048576,13,0),0)-D103</f>
        <v>0</v>
      </c>
      <c r="J103" s="158">
        <f t="shared" si="116"/>
        <v>0</v>
      </c>
      <c r="K103" s="158">
        <f>IFERROR(VLOOKUP($A103,'B0 2264預收'!$1:$1048576,14,0),0)-F103</f>
        <v>0</v>
      </c>
      <c r="L103" s="158">
        <f t="shared" si="117"/>
        <v>0</v>
      </c>
      <c r="M103" s="157">
        <f>VLOOKUP($A103,'Over Under Bill 1 COPY 到CO欄位'!$1:$1048576,'Over Under Bill 1 COPY 到CO欄位'!M$1,0)-VLOOKUP($A103,'Over Under Bill 1 COPY 到CO欄位'!$1:$1048576,'Over Under Bill 1 COPY 到CO欄位'!H$1,0)</f>
        <v>0</v>
      </c>
      <c r="N103" s="157">
        <f>VLOOKUP($A103,'Over Under Bill 1 COPY 到CO欄位'!$1:$1048576,'Over Under Bill 1 COPY 到CO欄位'!N$1,0)-VLOOKUP($A103,'Over Under Bill 1 COPY 到CO欄位'!$1:$1048576,'Over Under Bill 1 COPY 到CO欄位'!I$1,0)</f>
        <v>0</v>
      </c>
      <c r="O103" s="157">
        <f t="shared" si="118"/>
        <v>0</v>
      </c>
      <c r="P103" s="157">
        <f>VLOOKUP($A103,'Over Under Bill 1 COPY 到CO欄位'!$1:$1048576,'Over Under Bill 1 COPY 到CO欄位'!P$1,0)-VLOOKUP($A103,'Over Under Bill 1 COPY 到CO欄位'!$1:$1048576,'Over Under Bill 1 COPY 到CO欄位'!K$1,0)</f>
        <v>0</v>
      </c>
      <c r="Q103" s="157">
        <f t="shared" si="119"/>
        <v>0</v>
      </c>
      <c r="R103" s="158">
        <f>VLOOKUP($A103,'Over Under Bill 1 COPY 到CO欄位'!$1:$1048576,'Over Under Bill 1 COPY 到CO欄位'!R$1,0)-VLOOKUP($A103,'Over Under Bill 1 COPY 到CO欄位'!$1:$1048576,'Over Under Bill 1 COPY 到CO欄位'!M$1,0)</f>
        <v>0</v>
      </c>
      <c r="S103" s="158">
        <f>VLOOKUP($A103,'Over Under Bill 1 COPY 到CO欄位'!$1:$1048576,'Over Under Bill 1 COPY 到CO欄位'!S$1,0)-VLOOKUP($A103,'Over Under Bill 1 COPY 到CO欄位'!$1:$1048576,'Over Under Bill 1 COPY 到CO欄位'!N$1,0)</f>
        <v>0</v>
      </c>
      <c r="T103" s="158">
        <f t="shared" si="120"/>
        <v>0</v>
      </c>
      <c r="U103" s="158">
        <f>VLOOKUP($A103,'Over Under Bill 1 COPY 到CO欄位'!$1:$1048576,'Over Under Bill 1 COPY 到CO欄位'!U$1,0)-VLOOKUP($A103,'Over Under Bill 1 COPY 到CO欄位'!$1:$1048576,'Over Under Bill 1 COPY 到CO欄位'!P$1,0)</f>
        <v>0</v>
      </c>
      <c r="V103" s="158">
        <f t="shared" si="121"/>
        <v>0</v>
      </c>
      <c r="W103" s="157">
        <f>VLOOKUP($A103,'Over Under Bill 1 COPY 到CO欄位'!$1:$1048576,'Over Under Bill 1 COPY 到CO欄位'!W$1,0)-VLOOKUP($A103,'Over Under Bill 1 COPY 到CO欄位'!$1:$1048576,'Over Under Bill 1 COPY 到CO欄位'!R$1,0)</f>
        <v>0</v>
      </c>
      <c r="X103" s="157">
        <f>VLOOKUP($A103,'Over Under Bill 1 COPY 到CO欄位'!$1:$1048576,'Over Under Bill 1 COPY 到CO欄位'!X$1,0)-VLOOKUP($A103,'Over Under Bill 1 COPY 到CO欄位'!$1:$1048576,'Over Under Bill 1 COPY 到CO欄位'!S$1,0)</f>
        <v>0</v>
      </c>
      <c r="Y103" s="157">
        <f t="shared" si="122"/>
        <v>0</v>
      </c>
      <c r="Z103" s="157">
        <f>VLOOKUP($A103,'Over Under Bill 1 COPY 到CO欄位'!$1:$1048576,'Over Under Bill 1 COPY 到CO欄位'!Z$1,0)-VLOOKUP($A103,'Over Under Bill 1 COPY 到CO欄位'!$1:$1048576,'Over Under Bill 1 COPY 到CO欄位'!U$1,0)</f>
        <v>0</v>
      </c>
      <c r="AA103" s="157">
        <f t="shared" si="123"/>
        <v>0</v>
      </c>
      <c r="AB103" s="158">
        <f>VLOOKUP($A103,'Over Under Bill 1 COPY 到CO欄位'!$1:$1048576,'Over Under Bill 1 COPY 到CO欄位'!AB$1,0)-VLOOKUP($A103,'Over Under Bill 1 COPY 到CO欄位'!$1:$1048576,'Over Under Bill 1 COPY 到CO欄位'!W$1,0)</f>
        <v>0</v>
      </c>
      <c r="AC103" s="158">
        <f>VLOOKUP($A103,'Over Under Bill 1 COPY 到CO欄位'!$1:$1048576,'Over Under Bill 1 COPY 到CO欄位'!AC$1,0)-VLOOKUP($A103,'Over Under Bill 1 COPY 到CO欄位'!$1:$1048576,'Over Under Bill 1 COPY 到CO欄位'!X$1,0)</f>
        <v>0</v>
      </c>
      <c r="AD103" s="158">
        <f t="shared" si="124"/>
        <v>0</v>
      </c>
      <c r="AE103" s="158">
        <f>VLOOKUP($A103,'Over Under Bill 1 COPY 到CO欄位'!$1:$1048576,'Over Under Bill 1 COPY 到CO欄位'!AE$1,0)-VLOOKUP($A103,'Over Under Bill 1 COPY 到CO欄位'!$1:$1048576,'Over Under Bill 1 COPY 到CO欄位'!Z$1,0)</f>
        <v>0</v>
      </c>
      <c r="AF103" s="158">
        <f t="shared" si="125"/>
        <v>0</v>
      </c>
      <c r="AG103" s="157">
        <f>VLOOKUP($A103,'Over Under Bill 1 COPY 到CO欄位'!$1:$1048576,'Over Under Bill 1 COPY 到CO欄位'!AG$1,0)-VLOOKUP($A103,'Over Under Bill 1 COPY 到CO欄位'!$1:$1048576,'Over Under Bill 1 COPY 到CO欄位'!AB$1,0)</f>
        <v>0</v>
      </c>
      <c r="AH103" s="157">
        <f>VLOOKUP($A103,'Over Under Bill 1 COPY 到CO欄位'!$1:$1048576,'Over Under Bill 1 COPY 到CO欄位'!AH$1,0)-VLOOKUP($A103,'Over Under Bill 1 COPY 到CO欄位'!$1:$1048576,'Over Under Bill 1 COPY 到CO欄位'!AC$1,0)</f>
        <v>0</v>
      </c>
      <c r="AI103" s="157">
        <f t="shared" si="126"/>
        <v>0</v>
      </c>
      <c r="AJ103" s="157">
        <f>VLOOKUP($A103,'Over Under Bill 1 COPY 到CO欄位'!$1:$1048576,'Over Under Bill 1 COPY 到CO欄位'!AJ$1,0)-VLOOKUP($A103,'Over Under Bill 1 COPY 到CO欄位'!$1:$1048576,'Over Under Bill 1 COPY 到CO欄位'!AE$1,0)</f>
        <v>0</v>
      </c>
      <c r="AK103" s="157">
        <f t="shared" si="127"/>
        <v>0</v>
      </c>
      <c r="AL103" s="158">
        <f>VLOOKUP($A103,'Over Under Bill 1 COPY 到CO欄位'!$1:$1048576,'Over Under Bill 1 COPY 到CO欄位'!AL$1,0)-VLOOKUP($A103,'Over Under Bill 1 COPY 到CO欄位'!$1:$1048576,'Over Under Bill 1 COPY 到CO欄位'!AG$1,0)</f>
        <v>0</v>
      </c>
      <c r="AM103" s="158">
        <f>VLOOKUP($A103,'Over Under Bill 1 COPY 到CO欄位'!$1:$1048576,'Over Under Bill 1 COPY 到CO欄位'!AM$1,0)-VLOOKUP($A103,'Over Under Bill 1 COPY 到CO欄位'!$1:$1048576,'Over Under Bill 1 COPY 到CO欄位'!AH$1,0)</f>
        <v>0</v>
      </c>
      <c r="AN103" s="158">
        <f t="shared" si="128"/>
        <v>0</v>
      </c>
      <c r="AO103" s="158">
        <f>VLOOKUP($A103,'Over Under Bill 1 COPY 到CO欄位'!$1:$1048576,'Over Under Bill 1 COPY 到CO欄位'!AO$1,0)-VLOOKUP($A103,'Over Under Bill 1 COPY 到CO欄位'!$1:$1048576,'Over Under Bill 1 COPY 到CO欄位'!AJ$1,0)</f>
        <v>0</v>
      </c>
      <c r="AP103" s="158">
        <f t="shared" si="129"/>
        <v>0</v>
      </c>
      <c r="AQ103" s="157">
        <f>VLOOKUP($A103,'Over Under Bill 1 COPY 到CO欄位'!$1:$1048576,'Over Under Bill 1 COPY 到CO欄位'!AQ$1,0)-VLOOKUP($A103,'Over Under Bill 1 COPY 到CO欄位'!$1:$1048576,'Over Under Bill 1 COPY 到CO欄位'!AL$1,0)</f>
        <v>0</v>
      </c>
      <c r="AR103" s="157">
        <f>VLOOKUP($A103,'Over Under Bill 1 COPY 到CO欄位'!$1:$1048576,'Over Under Bill 1 COPY 到CO欄位'!AR$1,0)-VLOOKUP($A103,'Over Under Bill 1 COPY 到CO欄位'!$1:$1048576,'Over Under Bill 1 COPY 到CO欄位'!AM$1,0)</f>
        <v>0</v>
      </c>
      <c r="AS103" s="157">
        <f t="shared" si="130"/>
        <v>0</v>
      </c>
      <c r="AT103" s="157">
        <f>VLOOKUP($A103,'Over Under Bill 1 COPY 到CO欄位'!$1:$1048576,'Over Under Bill 1 COPY 到CO欄位'!AT$1,0)-VLOOKUP($A103,'Over Under Bill 1 COPY 到CO欄位'!$1:$1048576,'Over Under Bill 1 COPY 到CO欄位'!AO$1,0)</f>
        <v>0</v>
      </c>
      <c r="AU103" s="157">
        <f t="shared" si="131"/>
        <v>0</v>
      </c>
      <c r="AV103" s="158">
        <f>VLOOKUP($A103,'Over Under Bill 1 COPY 到CO欄位'!$1:$1048576,'Over Under Bill 1 COPY 到CO欄位'!AV$1,0)-VLOOKUP($A103,'Over Under Bill 1 COPY 到CO欄位'!$1:$1048576,'Over Under Bill 1 COPY 到CO欄位'!AQ$1,0)</f>
        <v>0</v>
      </c>
      <c r="AW103" s="158">
        <f>VLOOKUP($A103,'Over Under Bill 1 COPY 到CO欄位'!$1:$1048576,'Over Under Bill 1 COPY 到CO欄位'!AW$1,0)-VLOOKUP($A103,'Over Under Bill 1 COPY 到CO欄位'!$1:$1048576,'Over Under Bill 1 COPY 到CO欄位'!AR$1,0)</f>
        <v>0</v>
      </c>
      <c r="AX103" s="158">
        <f t="shared" si="132"/>
        <v>0</v>
      </c>
      <c r="AY103" s="158">
        <f>VLOOKUP($A103,'Over Under Bill 1 COPY 到CO欄位'!$1:$1048576,'Over Under Bill 1 COPY 到CO欄位'!AY$1,0)-VLOOKUP($A103,'Over Under Bill 1 COPY 到CO欄位'!$1:$1048576,'Over Under Bill 1 COPY 到CO欄位'!AT$1,0)</f>
        <v>0</v>
      </c>
      <c r="AZ103" s="158">
        <f t="shared" si="133"/>
        <v>0</v>
      </c>
      <c r="BA103" s="157">
        <f>VLOOKUP($A103,'Over Under Bill 1 COPY 到CO欄位'!$1:$1048576,'Over Under Bill 1 COPY 到CO欄位'!BA$1,0)-VLOOKUP($A103,'Over Under Bill 1 COPY 到CO欄位'!$1:$1048576,'Over Under Bill 1 COPY 到CO欄位'!AV$1,0)</f>
        <v>0</v>
      </c>
      <c r="BB103" s="157">
        <f>VLOOKUP($A103,'Over Under Bill 1 COPY 到CO欄位'!$1:$1048576,'Over Under Bill 1 COPY 到CO欄位'!BB$1,0)-VLOOKUP($A103,'Over Under Bill 1 COPY 到CO欄位'!$1:$1048576,'Over Under Bill 1 COPY 到CO欄位'!AW$1,0)</f>
        <v>0</v>
      </c>
      <c r="BC103" s="157">
        <f t="shared" si="134"/>
        <v>0</v>
      </c>
      <c r="BD103" s="157">
        <f>VLOOKUP($A103,'Over Under Bill 1 COPY 到CO欄位'!$1:$1048576,'Over Under Bill 1 COPY 到CO欄位'!BD$1,0)-VLOOKUP($A103,'Over Under Bill 1 COPY 到CO欄位'!$1:$1048576,'Over Under Bill 1 COPY 到CO欄位'!AY$1,0)</f>
        <v>0</v>
      </c>
      <c r="BE103" s="157">
        <f t="shared" si="135"/>
        <v>0</v>
      </c>
      <c r="BF103" s="158">
        <f>VLOOKUP($A103,'Over Under Bill 1 COPY 到CO欄位'!$1:$1048576,'Over Under Bill 1 COPY 到CO欄位'!BF$1,0)-VLOOKUP($A103,'Over Under Bill 1 COPY 到CO欄位'!$1:$1048576,'Over Under Bill 1 COPY 到CO欄位'!BA$1,0)</f>
        <v>0</v>
      </c>
      <c r="BG103" s="158">
        <f>VLOOKUP($A103,'Over Under Bill 1 COPY 到CO欄位'!$1:$1048576,'Over Under Bill 1 COPY 到CO欄位'!BG$1,0)-VLOOKUP($A103,'Over Under Bill 1 COPY 到CO欄位'!$1:$1048576,'Over Under Bill 1 COPY 到CO欄位'!BB$1,0)</f>
        <v>0</v>
      </c>
      <c r="BH103" s="158">
        <f t="shared" si="136"/>
        <v>0</v>
      </c>
      <c r="BI103" s="158">
        <f>VLOOKUP($A103,'Over Under Bill 1 COPY 到CO欄位'!$1:$1048576,'Over Under Bill 1 COPY 到CO欄位'!BI$1,0)-VLOOKUP($A103,'Over Under Bill 1 COPY 到CO欄位'!$1:$1048576,'Over Under Bill 1 COPY 到CO欄位'!BD$1,0)</f>
        <v>0</v>
      </c>
      <c r="BJ103" s="158">
        <f t="shared" si="137"/>
        <v>0</v>
      </c>
      <c r="BK103" s="157">
        <f>VLOOKUP($A103,'Over Under Bill 1 COPY 到CO欄位'!$1:$1048576,'Over Under Bill 1 COPY 到CO欄位'!BK$1,0)-VLOOKUP($A103,'Over Under Bill 1 COPY 到CO欄位'!$1:$1048576,'Over Under Bill 1 COPY 到CO欄位'!BF$1,0)</f>
        <v>0</v>
      </c>
      <c r="BL103" s="157">
        <f>VLOOKUP($A103,'Over Under Bill 1 COPY 到CO欄位'!$1:$1048576,'Over Under Bill 1 COPY 到CO欄位'!BL$1,0)-VLOOKUP($A103,'Over Under Bill 1 COPY 到CO欄位'!$1:$1048576,'Over Under Bill 1 COPY 到CO欄位'!BG$1,0)</f>
        <v>0</v>
      </c>
      <c r="BM103" s="157">
        <f t="shared" si="138"/>
        <v>0</v>
      </c>
      <c r="BN103" s="157">
        <f>VLOOKUP($A103,'Over Under Bill 1 COPY 到CO欄位'!$1:$1048576,'Over Under Bill 1 COPY 到CO欄位'!BN$1,0)-VLOOKUP($A103,'Over Under Bill 1 COPY 到CO欄位'!$1:$1048576,'Over Under Bill 1 COPY 到CO欄位'!BI$1,0)</f>
        <v>0</v>
      </c>
      <c r="BO103" s="157">
        <f t="shared" si="139"/>
        <v>0</v>
      </c>
      <c r="BP103" s="158">
        <f>VLOOKUP($A103,'Over Under Bill 1 COPY 到CO欄位'!$1:$1048576,'Over Under Bill 1 COPY 到CO欄位'!BP$1,0)-VLOOKUP($A103,'Over Under Bill 1 COPY 到CO欄位'!$1:$1048576,'Over Under Bill 1 COPY 到CO欄位'!BK$1,0)</f>
        <v>0</v>
      </c>
      <c r="BQ103" s="158">
        <f>VLOOKUP($A103,'Over Under Bill 1 COPY 到CO欄位'!$1:$1048576,'Over Under Bill 1 COPY 到CO欄位'!BQ$1,0)-VLOOKUP($A103,'Over Under Bill 1 COPY 到CO欄位'!$1:$1048576,'Over Under Bill 1 COPY 到CO欄位'!BL$1,0)</f>
        <v>0</v>
      </c>
      <c r="BR103" s="158">
        <f t="shared" si="140"/>
        <v>0</v>
      </c>
      <c r="BS103" s="158">
        <f>VLOOKUP($A103,'Over Under Bill 1 COPY 到CO欄位'!$1:$1048576,'Over Under Bill 1 COPY 到CO欄位'!BS$1,0)-VLOOKUP($A103,'Over Under Bill 1 COPY 到CO欄位'!$1:$1048576,'Over Under Bill 1 COPY 到CO欄位'!BN$1,0)</f>
        <v>0</v>
      </c>
      <c r="BT103" s="158">
        <f t="shared" si="141"/>
        <v>0</v>
      </c>
      <c r="BU103" s="157">
        <f>VLOOKUP($A103,'Over Under Bill 1 COPY 到CO欄位'!$1:$1048576,'Over Under Bill 1 COPY 到CO欄位'!BP$1,0)-VLOOKUP($A103,'Over Under Bill 1 COPY 到CO欄位'!$1:$1048576,'Over Under Bill 1 COPY 到CO欄位'!H$1,0)</f>
        <v>0</v>
      </c>
      <c r="BV103" s="157">
        <f>VLOOKUP($A103,'Over Under Bill 1 COPY 到CO欄位'!$1:$1048576,'Over Under Bill 1 COPY 到CO欄位'!BQ$1,0)-VLOOKUP($A103,'Over Under Bill 1 COPY 到CO欄位'!$1:$1048576,'Over Under Bill 1 COPY 到CO欄位'!I$1,0)</f>
        <v>0</v>
      </c>
      <c r="BW103" s="157">
        <f t="shared" si="142"/>
        <v>0</v>
      </c>
      <c r="BX103" s="157">
        <f>VLOOKUP($A103,'Over Under Bill 1 COPY 到CO欄位'!$1:$1048576,'Over Under Bill 1 COPY 到CO欄位'!BS$1,0)-VLOOKUP($A103,'Over Under Bill 1 COPY 到CO欄位'!$1:$1048576,'Over Under Bill 1 COPY 到CO欄位'!K$1,0)</f>
        <v>0</v>
      </c>
      <c r="BY103" s="157">
        <f t="shared" si="143"/>
        <v>0</v>
      </c>
      <c r="BZ103" s="158">
        <f>VLOOKUP($A103,'Over Under Bill 1 COPY 到CO欄位'!$1:$1048576,'Over Under Bill 1 COPY 到CO欄位'!BU$1,0)-VLOOKUP($A103,'Over Under Bill 1 COPY 到CO欄位'!$1:$1048576,'Over Under Bill 1 COPY 到CO欄位'!BP$1,0)</f>
        <v>0</v>
      </c>
      <c r="CA103" s="158">
        <f>VLOOKUP($A103,'Over Under Bill 1 COPY 到CO欄位'!$1:$1048576,'Over Under Bill 1 COPY 到CO欄位'!BV$1,0)-VLOOKUP($A103,'Over Under Bill 1 COPY 到CO欄位'!$1:$1048576,'Over Under Bill 1 COPY 到CO欄位'!BQ$1,0)</f>
        <v>0</v>
      </c>
      <c r="CB103" s="158">
        <f t="shared" si="144"/>
        <v>0</v>
      </c>
      <c r="CC103" s="158">
        <f>VLOOKUP($A103,'Over Under Bill 1 COPY 到CO欄位'!$1:$1048576,'Over Under Bill 1 COPY 到CO欄位'!BX$1,0)-VLOOKUP($A103,'Over Under Bill 1 COPY 到CO欄位'!$1:$1048576,'Over Under Bill 1 COPY 到CO欄位'!BS$1,0)</f>
        <v>0</v>
      </c>
      <c r="CD103" s="158">
        <f t="shared" si="145"/>
        <v>0</v>
      </c>
      <c r="CE103" s="157">
        <f>VLOOKUP($A103,'Over Under Bill 1 COPY 到CO欄位'!$1:$1048576,'Over Under Bill 1 COPY 到CO欄位'!BZ$1,0)-VLOOKUP($A103,'Over Under Bill 1 COPY 到CO欄位'!$1:$1048576,'Over Under Bill 1 COPY 到CO欄位'!BU$1,0)</f>
        <v>0</v>
      </c>
      <c r="CF103" s="157">
        <f>VLOOKUP($A103,'Over Under Bill 1 COPY 到CO欄位'!$1:$1048576,'Over Under Bill 1 COPY 到CO欄位'!CA$1,0)-VLOOKUP($A103,'Over Under Bill 1 COPY 到CO欄位'!$1:$1048576,'Over Under Bill 1 COPY 到CO欄位'!BV$1,0)</f>
        <v>0</v>
      </c>
      <c r="CG103" s="157">
        <f t="shared" si="146"/>
        <v>0</v>
      </c>
      <c r="CH103" s="157">
        <f>VLOOKUP($A103,'Over Under Bill 1 COPY 到CO欄位'!$1:$1048576,'Over Under Bill 1 COPY 到CO欄位'!CC$1,0)-VLOOKUP($A103,'Over Under Bill 1 COPY 到CO欄位'!$1:$1048576,'Over Under Bill 1 COPY 到CO欄位'!BX$1,0)</f>
        <v>0</v>
      </c>
      <c r="CI103" s="157">
        <f t="shared" si="147"/>
        <v>0</v>
      </c>
      <c r="CJ103" s="158">
        <f>VLOOKUP($A103,'Over Under Bill 1 COPY 到CO欄位'!$1:$1048576,'Over Under Bill 1 COPY 到CO欄位'!CE$1,0)-VLOOKUP($A103,'Over Under Bill 1 COPY 到CO欄位'!$1:$1048576,'Over Under Bill 1 COPY 到CO欄位'!BZ$1,0)</f>
        <v>0</v>
      </c>
      <c r="CK103" s="158">
        <f>VLOOKUP($A103,'Over Under Bill 1 COPY 到CO欄位'!$1:$1048576,'Over Under Bill 1 COPY 到CO欄位'!CF$1,0)-VLOOKUP($A103,'Over Under Bill 1 COPY 到CO欄位'!$1:$1048576,'Over Under Bill 1 COPY 到CO欄位'!CA$1,0)</f>
        <v>0</v>
      </c>
      <c r="CL103" s="158">
        <f t="shared" si="148"/>
        <v>0</v>
      </c>
      <c r="CM103" s="158">
        <f>VLOOKUP($A103,'Over Under Bill 1 COPY 到CO欄位'!$1:$1048576,'Over Under Bill 1 COPY 到CO欄位'!CH$1,0)-VLOOKUP($A103,'Over Under Bill 1 COPY 到CO欄位'!$1:$1048576,'Over Under Bill 1 COPY 到CO欄位'!CC$1,0)</f>
        <v>0</v>
      </c>
      <c r="CN103" s="158">
        <f t="shared" si="149"/>
        <v>0</v>
      </c>
      <c r="CO103" s="157">
        <f>VLOOKUP($A103,'Over Under Bill 1 COPY 到CO欄位'!$1:$1048576,'Over Under Bill 1 COPY 到CO欄位'!CJ$1,0)-VLOOKUP($A103,'Over Under Bill 1 COPY 到CO欄位'!$1:$1048576,'Over Under Bill 1 COPY 到CO欄位'!CE$1,0)</f>
        <v>0</v>
      </c>
      <c r="CP103" s="157">
        <f>VLOOKUP($A103,'Over Under Bill 1 COPY 到CO欄位'!$1:$1048576,'Over Under Bill 1 COPY 到CO欄位'!CK$1,0)-VLOOKUP($A103,'Over Under Bill 1 COPY 到CO欄位'!$1:$1048576,'Over Under Bill 1 COPY 到CO欄位'!CF$1,0)</f>
        <v>0</v>
      </c>
      <c r="CQ103" s="157">
        <f t="shared" si="150"/>
        <v>0</v>
      </c>
      <c r="CR103" s="157">
        <f>VLOOKUP($A103,'Over Under Bill 1 COPY 到CO欄位'!$1:$1048576,'Over Under Bill 1 COPY 到CO欄位'!CM$1,0)-VLOOKUP($A103,'Over Under Bill 1 COPY 到CO欄位'!$1:$1048576,'Over Under Bill 1 COPY 到CO欄位'!CH$1,0)</f>
        <v>0</v>
      </c>
      <c r="CS103" s="157">
        <f t="shared" si="151"/>
        <v>0</v>
      </c>
    </row>
    <row r="104" spans="1:97">
      <c r="A104" s="179" t="s">
        <v>493</v>
      </c>
      <c r="B104" s="172" t="s">
        <v>346</v>
      </c>
      <c r="C104" s="157">
        <f>IFERROR(VLOOKUP($A104,'A0 BS 1240在建'!$1:$1048576,5,0),0)</f>
        <v>0</v>
      </c>
      <c r="D104" s="157">
        <f>IFERROR(VLOOKUP($A104,'B0 2264預收'!$1:$1048576,5,0),0)</f>
        <v>0</v>
      </c>
      <c r="E104" s="157">
        <f t="shared" si="114"/>
        <v>0</v>
      </c>
      <c r="F104" s="157">
        <f>IFERROR(VLOOKUP($A104,'B0 2264預收'!$1:$1048576,6,0),0)</f>
        <v>0</v>
      </c>
      <c r="G104" s="157">
        <f t="shared" si="115"/>
        <v>0</v>
      </c>
      <c r="H104" s="158">
        <f>IFERROR(VLOOKUP($A104,'A0 BS 1240在建'!$1:$1048576,13,0),0)-C104</f>
        <v>0</v>
      </c>
      <c r="I104" s="158">
        <f>IFERROR(VLOOKUP($A104,'B0 2264預收'!$1:$1048576,13,0),0)-D104</f>
        <v>0</v>
      </c>
      <c r="J104" s="158">
        <f t="shared" si="116"/>
        <v>0</v>
      </c>
      <c r="K104" s="158">
        <f>IFERROR(VLOOKUP($A104,'B0 2264預收'!$1:$1048576,14,0),0)-F104</f>
        <v>0</v>
      </c>
      <c r="L104" s="158">
        <f t="shared" si="117"/>
        <v>0</v>
      </c>
      <c r="M104" s="157">
        <f>VLOOKUP($A104,'Over Under Bill 1 COPY 到CO欄位'!$1:$1048576,'Over Under Bill 1 COPY 到CO欄位'!M$1,0)-VLOOKUP($A104,'Over Under Bill 1 COPY 到CO欄位'!$1:$1048576,'Over Under Bill 1 COPY 到CO欄位'!H$1,0)</f>
        <v>0</v>
      </c>
      <c r="N104" s="157">
        <f>VLOOKUP($A104,'Over Under Bill 1 COPY 到CO欄位'!$1:$1048576,'Over Under Bill 1 COPY 到CO欄位'!N$1,0)-VLOOKUP($A104,'Over Under Bill 1 COPY 到CO欄位'!$1:$1048576,'Over Under Bill 1 COPY 到CO欄位'!I$1,0)</f>
        <v>0</v>
      </c>
      <c r="O104" s="157">
        <f t="shared" si="118"/>
        <v>0</v>
      </c>
      <c r="P104" s="157">
        <f>VLOOKUP($A104,'Over Under Bill 1 COPY 到CO欄位'!$1:$1048576,'Over Under Bill 1 COPY 到CO欄位'!P$1,0)-VLOOKUP($A104,'Over Under Bill 1 COPY 到CO欄位'!$1:$1048576,'Over Under Bill 1 COPY 到CO欄位'!K$1,0)</f>
        <v>0</v>
      </c>
      <c r="Q104" s="157">
        <f t="shared" si="119"/>
        <v>0</v>
      </c>
      <c r="R104" s="158">
        <f>VLOOKUP($A104,'Over Under Bill 1 COPY 到CO欄位'!$1:$1048576,'Over Under Bill 1 COPY 到CO欄位'!R$1,0)-VLOOKUP($A104,'Over Under Bill 1 COPY 到CO欄位'!$1:$1048576,'Over Under Bill 1 COPY 到CO欄位'!M$1,0)</f>
        <v>0</v>
      </c>
      <c r="S104" s="158">
        <f>VLOOKUP($A104,'Over Under Bill 1 COPY 到CO欄位'!$1:$1048576,'Over Under Bill 1 COPY 到CO欄位'!S$1,0)-VLOOKUP($A104,'Over Under Bill 1 COPY 到CO欄位'!$1:$1048576,'Over Under Bill 1 COPY 到CO欄位'!N$1,0)</f>
        <v>0</v>
      </c>
      <c r="T104" s="158">
        <f t="shared" si="120"/>
        <v>0</v>
      </c>
      <c r="U104" s="158">
        <f>VLOOKUP($A104,'Over Under Bill 1 COPY 到CO欄位'!$1:$1048576,'Over Under Bill 1 COPY 到CO欄位'!U$1,0)-VLOOKUP($A104,'Over Under Bill 1 COPY 到CO欄位'!$1:$1048576,'Over Under Bill 1 COPY 到CO欄位'!P$1,0)</f>
        <v>0</v>
      </c>
      <c r="V104" s="158">
        <f t="shared" si="121"/>
        <v>0</v>
      </c>
      <c r="W104" s="157">
        <f>VLOOKUP($A104,'Over Under Bill 1 COPY 到CO欄位'!$1:$1048576,'Over Under Bill 1 COPY 到CO欄位'!W$1,0)-VLOOKUP($A104,'Over Under Bill 1 COPY 到CO欄位'!$1:$1048576,'Over Under Bill 1 COPY 到CO欄位'!R$1,0)</f>
        <v>0</v>
      </c>
      <c r="X104" s="157">
        <f>VLOOKUP($A104,'Over Under Bill 1 COPY 到CO欄位'!$1:$1048576,'Over Under Bill 1 COPY 到CO欄位'!X$1,0)-VLOOKUP($A104,'Over Under Bill 1 COPY 到CO欄位'!$1:$1048576,'Over Under Bill 1 COPY 到CO欄位'!S$1,0)</f>
        <v>0</v>
      </c>
      <c r="Y104" s="157">
        <f t="shared" si="122"/>
        <v>0</v>
      </c>
      <c r="Z104" s="157">
        <f>VLOOKUP($A104,'Over Under Bill 1 COPY 到CO欄位'!$1:$1048576,'Over Under Bill 1 COPY 到CO欄位'!Z$1,0)-VLOOKUP($A104,'Over Under Bill 1 COPY 到CO欄位'!$1:$1048576,'Over Under Bill 1 COPY 到CO欄位'!U$1,0)</f>
        <v>0</v>
      </c>
      <c r="AA104" s="157">
        <f t="shared" si="123"/>
        <v>0</v>
      </c>
      <c r="AB104" s="158">
        <f>VLOOKUP($A104,'Over Under Bill 1 COPY 到CO欄位'!$1:$1048576,'Over Under Bill 1 COPY 到CO欄位'!AB$1,0)-VLOOKUP($A104,'Over Under Bill 1 COPY 到CO欄位'!$1:$1048576,'Over Under Bill 1 COPY 到CO欄位'!W$1,0)</f>
        <v>0</v>
      </c>
      <c r="AC104" s="158">
        <f>VLOOKUP($A104,'Over Under Bill 1 COPY 到CO欄位'!$1:$1048576,'Over Under Bill 1 COPY 到CO欄位'!AC$1,0)-VLOOKUP($A104,'Over Under Bill 1 COPY 到CO欄位'!$1:$1048576,'Over Under Bill 1 COPY 到CO欄位'!X$1,0)</f>
        <v>0</v>
      </c>
      <c r="AD104" s="158">
        <f t="shared" si="124"/>
        <v>0</v>
      </c>
      <c r="AE104" s="158">
        <f>VLOOKUP($A104,'Over Under Bill 1 COPY 到CO欄位'!$1:$1048576,'Over Under Bill 1 COPY 到CO欄位'!AE$1,0)-VLOOKUP($A104,'Over Under Bill 1 COPY 到CO欄位'!$1:$1048576,'Over Under Bill 1 COPY 到CO欄位'!Z$1,0)</f>
        <v>0</v>
      </c>
      <c r="AF104" s="158">
        <f t="shared" si="125"/>
        <v>0</v>
      </c>
      <c r="AG104" s="157">
        <f>VLOOKUP($A104,'Over Under Bill 1 COPY 到CO欄位'!$1:$1048576,'Over Under Bill 1 COPY 到CO欄位'!AG$1,0)-VLOOKUP($A104,'Over Under Bill 1 COPY 到CO欄位'!$1:$1048576,'Over Under Bill 1 COPY 到CO欄位'!AB$1,0)</f>
        <v>0</v>
      </c>
      <c r="AH104" s="157">
        <f>VLOOKUP($A104,'Over Under Bill 1 COPY 到CO欄位'!$1:$1048576,'Over Under Bill 1 COPY 到CO欄位'!AH$1,0)-VLOOKUP($A104,'Over Under Bill 1 COPY 到CO欄位'!$1:$1048576,'Over Under Bill 1 COPY 到CO欄位'!AC$1,0)</f>
        <v>0</v>
      </c>
      <c r="AI104" s="157">
        <f t="shared" si="126"/>
        <v>0</v>
      </c>
      <c r="AJ104" s="157">
        <f>VLOOKUP($A104,'Over Under Bill 1 COPY 到CO欄位'!$1:$1048576,'Over Under Bill 1 COPY 到CO欄位'!AJ$1,0)-VLOOKUP($A104,'Over Under Bill 1 COPY 到CO欄位'!$1:$1048576,'Over Under Bill 1 COPY 到CO欄位'!AE$1,0)</f>
        <v>0</v>
      </c>
      <c r="AK104" s="157">
        <f t="shared" si="127"/>
        <v>0</v>
      </c>
      <c r="AL104" s="158">
        <f>VLOOKUP($A104,'Over Under Bill 1 COPY 到CO欄位'!$1:$1048576,'Over Under Bill 1 COPY 到CO欄位'!AL$1,0)-VLOOKUP($A104,'Over Under Bill 1 COPY 到CO欄位'!$1:$1048576,'Over Under Bill 1 COPY 到CO欄位'!AG$1,0)</f>
        <v>0</v>
      </c>
      <c r="AM104" s="158">
        <f>VLOOKUP($A104,'Over Under Bill 1 COPY 到CO欄位'!$1:$1048576,'Over Under Bill 1 COPY 到CO欄位'!AM$1,0)-VLOOKUP($A104,'Over Under Bill 1 COPY 到CO欄位'!$1:$1048576,'Over Under Bill 1 COPY 到CO欄位'!AH$1,0)</f>
        <v>0</v>
      </c>
      <c r="AN104" s="158">
        <f t="shared" si="128"/>
        <v>0</v>
      </c>
      <c r="AO104" s="158">
        <f>VLOOKUP($A104,'Over Under Bill 1 COPY 到CO欄位'!$1:$1048576,'Over Under Bill 1 COPY 到CO欄位'!AO$1,0)-VLOOKUP($A104,'Over Under Bill 1 COPY 到CO欄位'!$1:$1048576,'Over Under Bill 1 COPY 到CO欄位'!AJ$1,0)</f>
        <v>0</v>
      </c>
      <c r="AP104" s="158">
        <f t="shared" si="129"/>
        <v>0</v>
      </c>
      <c r="AQ104" s="157">
        <f>VLOOKUP($A104,'Over Under Bill 1 COPY 到CO欄位'!$1:$1048576,'Over Under Bill 1 COPY 到CO欄位'!AQ$1,0)-VLOOKUP($A104,'Over Under Bill 1 COPY 到CO欄位'!$1:$1048576,'Over Under Bill 1 COPY 到CO欄位'!AL$1,0)</f>
        <v>0</v>
      </c>
      <c r="AR104" s="157">
        <f>VLOOKUP($A104,'Over Under Bill 1 COPY 到CO欄位'!$1:$1048576,'Over Under Bill 1 COPY 到CO欄位'!AR$1,0)-VLOOKUP($A104,'Over Under Bill 1 COPY 到CO欄位'!$1:$1048576,'Over Under Bill 1 COPY 到CO欄位'!AM$1,0)</f>
        <v>0</v>
      </c>
      <c r="AS104" s="157">
        <f t="shared" si="130"/>
        <v>0</v>
      </c>
      <c r="AT104" s="157">
        <f>VLOOKUP($A104,'Over Under Bill 1 COPY 到CO欄位'!$1:$1048576,'Over Under Bill 1 COPY 到CO欄位'!AT$1,0)-VLOOKUP($A104,'Over Under Bill 1 COPY 到CO欄位'!$1:$1048576,'Over Under Bill 1 COPY 到CO欄位'!AO$1,0)</f>
        <v>0</v>
      </c>
      <c r="AU104" s="157">
        <f t="shared" si="131"/>
        <v>0</v>
      </c>
      <c r="AV104" s="158">
        <f>VLOOKUP($A104,'Over Under Bill 1 COPY 到CO欄位'!$1:$1048576,'Over Under Bill 1 COPY 到CO欄位'!AV$1,0)-VLOOKUP($A104,'Over Under Bill 1 COPY 到CO欄位'!$1:$1048576,'Over Under Bill 1 COPY 到CO欄位'!AQ$1,0)</f>
        <v>0</v>
      </c>
      <c r="AW104" s="158">
        <f>VLOOKUP($A104,'Over Under Bill 1 COPY 到CO欄位'!$1:$1048576,'Over Under Bill 1 COPY 到CO欄位'!AW$1,0)-VLOOKUP($A104,'Over Under Bill 1 COPY 到CO欄位'!$1:$1048576,'Over Under Bill 1 COPY 到CO欄位'!AR$1,0)</f>
        <v>0</v>
      </c>
      <c r="AX104" s="158">
        <f t="shared" si="132"/>
        <v>0</v>
      </c>
      <c r="AY104" s="158">
        <f>VLOOKUP($A104,'Over Under Bill 1 COPY 到CO欄位'!$1:$1048576,'Over Under Bill 1 COPY 到CO欄位'!AY$1,0)-VLOOKUP($A104,'Over Under Bill 1 COPY 到CO欄位'!$1:$1048576,'Over Under Bill 1 COPY 到CO欄位'!AT$1,0)</f>
        <v>0</v>
      </c>
      <c r="AZ104" s="158">
        <f t="shared" si="133"/>
        <v>0</v>
      </c>
      <c r="BA104" s="157">
        <f>VLOOKUP($A104,'Over Under Bill 1 COPY 到CO欄位'!$1:$1048576,'Over Under Bill 1 COPY 到CO欄位'!BA$1,0)-VLOOKUP($A104,'Over Under Bill 1 COPY 到CO欄位'!$1:$1048576,'Over Under Bill 1 COPY 到CO欄位'!AV$1,0)</f>
        <v>0</v>
      </c>
      <c r="BB104" s="157">
        <f>VLOOKUP($A104,'Over Under Bill 1 COPY 到CO欄位'!$1:$1048576,'Over Under Bill 1 COPY 到CO欄位'!BB$1,0)-VLOOKUP($A104,'Over Under Bill 1 COPY 到CO欄位'!$1:$1048576,'Over Under Bill 1 COPY 到CO欄位'!AW$1,0)</f>
        <v>0</v>
      </c>
      <c r="BC104" s="157">
        <f t="shared" si="134"/>
        <v>0</v>
      </c>
      <c r="BD104" s="157">
        <f>VLOOKUP($A104,'Over Under Bill 1 COPY 到CO欄位'!$1:$1048576,'Over Under Bill 1 COPY 到CO欄位'!BD$1,0)-VLOOKUP($A104,'Over Under Bill 1 COPY 到CO欄位'!$1:$1048576,'Over Under Bill 1 COPY 到CO欄位'!AY$1,0)</f>
        <v>0</v>
      </c>
      <c r="BE104" s="157">
        <f t="shared" si="135"/>
        <v>0</v>
      </c>
      <c r="BF104" s="158">
        <f>VLOOKUP($A104,'Over Under Bill 1 COPY 到CO欄位'!$1:$1048576,'Over Under Bill 1 COPY 到CO欄位'!BF$1,0)-VLOOKUP($A104,'Over Under Bill 1 COPY 到CO欄位'!$1:$1048576,'Over Under Bill 1 COPY 到CO欄位'!BA$1,0)</f>
        <v>0</v>
      </c>
      <c r="BG104" s="158">
        <f>VLOOKUP($A104,'Over Under Bill 1 COPY 到CO欄位'!$1:$1048576,'Over Under Bill 1 COPY 到CO欄位'!BG$1,0)-VLOOKUP($A104,'Over Under Bill 1 COPY 到CO欄位'!$1:$1048576,'Over Under Bill 1 COPY 到CO欄位'!BB$1,0)</f>
        <v>0</v>
      </c>
      <c r="BH104" s="158">
        <f t="shared" si="136"/>
        <v>0</v>
      </c>
      <c r="BI104" s="158">
        <f>VLOOKUP($A104,'Over Under Bill 1 COPY 到CO欄位'!$1:$1048576,'Over Under Bill 1 COPY 到CO欄位'!BI$1,0)-VLOOKUP($A104,'Over Under Bill 1 COPY 到CO欄位'!$1:$1048576,'Over Under Bill 1 COPY 到CO欄位'!BD$1,0)</f>
        <v>0</v>
      </c>
      <c r="BJ104" s="158">
        <f t="shared" si="137"/>
        <v>0</v>
      </c>
      <c r="BK104" s="157">
        <f>VLOOKUP($A104,'Over Under Bill 1 COPY 到CO欄位'!$1:$1048576,'Over Under Bill 1 COPY 到CO欄位'!BK$1,0)-VLOOKUP($A104,'Over Under Bill 1 COPY 到CO欄位'!$1:$1048576,'Over Under Bill 1 COPY 到CO欄位'!BF$1,0)</f>
        <v>0</v>
      </c>
      <c r="BL104" s="157">
        <f>VLOOKUP($A104,'Over Under Bill 1 COPY 到CO欄位'!$1:$1048576,'Over Under Bill 1 COPY 到CO欄位'!BL$1,0)-VLOOKUP($A104,'Over Under Bill 1 COPY 到CO欄位'!$1:$1048576,'Over Under Bill 1 COPY 到CO欄位'!BG$1,0)</f>
        <v>0</v>
      </c>
      <c r="BM104" s="157">
        <f t="shared" si="138"/>
        <v>0</v>
      </c>
      <c r="BN104" s="157">
        <f>VLOOKUP($A104,'Over Under Bill 1 COPY 到CO欄位'!$1:$1048576,'Over Under Bill 1 COPY 到CO欄位'!BN$1,0)-VLOOKUP($A104,'Over Under Bill 1 COPY 到CO欄位'!$1:$1048576,'Over Under Bill 1 COPY 到CO欄位'!BI$1,0)</f>
        <v>0</v>
      </c>
      <c r="BO104" s="157">
        <f t="shared" si="139"/>
        <v>0</v>
      </c>
      <c r="BP104" s="158">
        <f>VLOOKUP($A104,'Over Under Bill 1 COPY 到CO欄位'!$1:$1048576,'Over Under Bill 1 COPY 到CO欄位'!BP$1,0)-VLOOKUP($A104,'Over Under Bill 1 COPY 到CO欄位'!$1:$1048576,'Over Under Bill 1 COPY 到CO欄位'!BK$1,0)</f>
        <v>0</v>
      </c>
      <c r="BQ104" s="158">
        <f>VLOOKUP($A104,'Over Under Bill 1 COPY 到CO欄位'!$1:$1048576,'Over Under Bill 1 COPY 到CO欄位'!BQ$1,0)-VLOOKUP($A104,'Over Under Bill 1 COPY 到CO欄位'!$1:$1048576,'Over Under Bill 1 COPY 到CO欄位'!BL$1,0)</f>
        <v>0</v>
      </c>
      <c r="BR104" s="158">
        <f t="shared" si="140"/>
        <v>0</v>
      </c>
      <c r="BS104" s="158">
        <f>VLOOKUP($A104,'Over Under Bill 1 COPY 到CO欄位'!$1:$1048576,'Over Under Bill 1 COPY 到CO欄位'!BS$1,0)-VLOOKUP($A104,'Over Under Bill 1 COPY 到CO欄位'!$1:$1048576,'Over Under Bill 1 COPY 到CO欄位'!BN$1,0)</f>
        <v>0</v>
      </c>
      <c r="BT104" s="158">
        <f t="shared" si="141"/>
        <v>0</v>
      </c>
      <c r="BU104" s="157">
        <f>VLOOKUP($A104,'Over Under Bill 1 COPY 到CO欄位'!$1:$1048576,'Over Under Bill 1 COPY 到CO欄位'!BP$1,0)-VLOOKUP($A104,'Over Under Bill 1 COPY 到CO欄位'!$1:$1048576,'Over Under Bill 1 COPY 到CO欄位'!H$1,0)</f>
        <v>0</v>
      </c>
      <c r="BV104" s="157">
        <f>VLOOKUP($A104,'Over Under Bill 1 COPY 到CO欄位'!$1:$1048576,'Over Under Bill 1 COPY 到CO欄位'!BQ$1,0)-VLOOKUP($A104,'Over Under Bill 1 COPY 到CO欄位'!$1:$1048576,'Over Under Bill 1 COPY 到CO欄位'!I$1,0)</f>
        <v>0</v>
      </c>
      <c r="BW104" s="157">
        <f t="shared" si="142"/>
        <v>0</v>
      </c>
      <c r="BX104" s="157">
        <f>VLOOKUP($A104,'Over Under Bill 1 COPY 到CO欄位'!$1:$1048576,'Over Under Bill 1 COPY 到CO欄位'!BS$1,0)-VLOOKUP($A104,'Over Under Bill 1 COPY 到CO欄位'!$1:$1048576,'Over Under Bill 1 COPY 到CO欄位'!K$1,0)</f>
        <v>0</v>
      </c>
      <c r="BY104" s="157">
        <f t="shared" si="143"/>
        <v>0</v>
      </c>
      <c r="BZ104" s="158">
        <f>VLOOKUP($A104,'Over Under Bill 1 COPY 到CO欄位'!$1:$1048576,'Over Under Bill 1 COPY 到CO欄位'!BU$1,0)-VLOOKUP($A104,'Over Under Bill 1 COPY 到CO欄位'!$1:$1048576,'Over Under Bill 1 COPY 到CO欄位'!BP$1,0)</f>
        <v>0</v>
      </c>
      <c r="CA104" s="158">
        <f>VLOOKUP($A104,'Over Under Bill 1 COPY 到CO欄位'!$1:$1048576,'Over Under Bill 1 COPY 到CO欄位'!BV$1,0)-VLOOKUP($A104,'Over Under Bill 1 COPY 到CO欄位'!$1:$1048576,'Over Under Bill 1 COPY 到CO欄位'!BQ$1,0)</f>
        <v>0</v>
      </c>
      <c r="CB104" s="158">
        <f t="shared" si="144"/>
        <v>0</v>
      </c>
      <c r="CC104" s="158">
        <f>VLOOKUP($A104,'Over Under Bill 1 COPY 到CO欄位'!$1:$1048576,'Over Under Bill 1 COPY 到CO欄位'!BX$1,0)-VLOOKUP($A104,'Over Under Bill 1 COPY 到CO欄位'!$1:$1048576,'Over Under Bill 1 COPY 到CO欄位'!BS$1,0)</f>
        <v>0</v>
      </c>
      <c r="CD104" s="158">
        <f t="shared" si="145"/>
        <v>0</v>
      </c>
      <c r="CE104" s="157">
        <f>VLOOKUP($A104,'Over Under Bill 1 COPY 到CO欄位'!$1:$1048576,'Over Under Bill 1 COPY 到CO欄位'!BZ$1,0)-VLOOKUP($A104,'Over Under Bill 1 COPY 到CO欄位'!$1:$1048576,'Over Under Bill 1 COPY 到CO欄位'!BU$1,0)</f>
        <v>0</v>
      </c>
      <c r="CF104" s="157">
        <f>VLOOKUP($A104,'Over Under Bill 1 COPY 到CO欄位'!$1:$1048576,'Over Under Bill 1 COPY 到CO欄位'!CA$1,0)-VLOOKUP($A104,'Over Under Bill 1 COPY 到CO欄位'!$1:$1048576,'Over Under Bill 1 COPY 到CO欄位'!BV$1,0)</f>
        <v>0</v>
      </c>
      <c r="CG104" s="157">
        <f t="shared" si="146"/>
        <v>0</v>
      </c>
      <c r="CH104" s="157">
        <f>VLOOKUP($A104,'Over Under Bill 1 COPY 到CO欄位'!$1:$1048576,'Over Under Bill 1 COPY 到CO欄位'!CC$1,0)-VLOOKUP($A104,'Over Under Bill 1 COPY 到CO欄位'!$1:$1048576,'Over Under Bill 1 COPY 到CO欄位'!BX$1,0)</f>
        <v>0</v>
      </c>
      <c r="CI104" s="157">
        <f t="shared" si="147"/>
        <v>0</v>
      </c>
      <c r="CJ104" s="158">
        <f>VLOOKUP($A104,'Over Under Bill 1 COPY 到CO欄位'!$1:$1048576,'Over Under Bill 1 COPY 到CO欄位'!CE$1,0)-VLOOKUP($A104,'Over Under Bill 1 COPY 到CO欄位'!$1:$1048576,'Over Under Bill 1 COPY 到CO欄位'!BZ$1,0)</f>
        <v>0</v>
      </c>
      <c r="CK104" s="158">
        <f>VLOOKUP($A104,'Over Under Bill 1 COPY 到CO欄位'!$1:$1048576,'Over Under Bill 1 COPY 到CO欄位'!CF$1,0)-VLOOKUP($A104,'Over Under Bill 1 COPY 到CO欄位'!$1:$1048576,'Over Under Bill 1 COPY 到CO欄位'!CA$1,0)</f>
        <v>0</v>
      </c>
      <c r="CL104" s="158">
        <f t="shared" si="148"/>
        <v>0</v>
      </c>
      <c r="CM104" s="158">
        <f>VLOOKUP($A104,'Over Under Bill 1 COPY 到CO欄位'!$1:$1048576,'Over Under Bill 1 COPY 到CO欄位'!CH$1,0)-VLOOKUP($A104,'Over Under Bill 1 COPY 到CO欄位'!$1:$1048576,'Over Under Bill 1 COPY 到CO欄位'!CC$1,0)</f>
        <v>0</v>
      </c>
      <c r="CN104" s="158">
        <f t="shared" si="149"/>
        <v>0</v>
      </c>
      <c r="CO104" s="157">
        <f>VLOOKUP($A104,'Over Under Bill 1 COPY 到CO欄位'!$1:$1048576,'Over Under Bill 1 COPY 到CO欄位'!CJ$1,0)-VLOOKUP($A104,'Over Under Bill 1 COPY 到CO欄位'!$1:$1048576,'Over Under Bill 1 COPY 到CO欄位'!CE$1,0)</f>
        <v>0</v>
      </c>
      <c r="CP104" s="157">
        <f>VLOOKUP($A104,'Over Under Bill 1 COPY 到CO欄位'!$1:$1048576,'Over Under Bill 1 COPY 到CO欄位'!CK$1,0)-VLOOKUP($A104,'Over Under Bill 1 COPY 到CO欄位'!$1:$1048576,'Over Under Bill 1 COPY 到CO欄位'!CF$1,0)</f>
        <v>0</v>
      </c>
      <c r="CQ104" s="157">
        <f t="shared" si="150"/>
        <v>0</v>
      </c>
      <c r="CR104" s="157">
        <f>VLOOKUP($A104,'Over Under Bill 1 COPY 到CO欄位'!$1:$1048576,'Over Under Bill 1 COPY 到CO欄位'!CM$1,0)-VLOOKUP($A104,'Over Under Bill 1 COPY 到CO欄位'!$1:$1048576,'Over Under Bill 1 COPY 到CO欄位'!CH$1,0)</f>
        <v>0</v>
      </c>
      <c r="CS104" s="157">
        <f t="shared" si="151"/>
        <v>0</v>
      </c>
    </row>
    <row r="105" spans="1:97">
      <c r="A105" s="179" t="s">
        <v>494</v>
      </c>
      <c r="B105" s="172" t="s">
        <v>348</v>
      </c>
      <c r="C105" s="157">
        <f>IFERROR(VLOOKUP($A105,'A0 BS 1240在建'!$1:$1048576,5,0),0)</f>
        <v>0</v>
      </c>
      <c r="D105" s="157">
        <f>IFERROR(VLOOKUP($A105,'B0 2264預收'!$1:$1048576,5,0),0)</f>
        <v>0</v>
      </c>
      <c r="E105" s="157">
        <f t="shared" si="114"/>
        <v>0</v>
      </c>
      <c r="F105" s="157">
        <f>IFERROR(VLOOKUP($A105,'B0 2264預收'!$1:$1048576,6,0),0)</f>
        <v>0</v>
      </c>
      <c r="G105" s="157">
        <f t="shared" si="115"/>
        <v>0</v>
      </c>
      <c r="H105" s="158">
        <f>IFERROR(VLOOKUP($A105,'A0 BS 1240在建'!$1:$1048576,13,0),0)-C105</f>
        <v>0</v>
      </c>
      <c r="I105" s="158">
        <f>IFERROR(VLOOKUP($A105,'B0 2264預收'!$1:$1048576,13,0),0)-D105</f>
        <v>0</v>
      </c>
      <c r="J105" s="158">
        <f t="shared" si="116"/>
        <v>0</v>
      </c>
      <c r="K105" s="158">
        <f>IFERROR(VLOOKUP($A105,'B0 2264預收'!$1:$1048576,14,0),0)-F105</f>
        <v>0</v>
      </c>
      <c r="L105" s="158">
        <f t="shared" si="117"/>
        <v>0</v>
      </c>
      <c r="M105" s="157">
        <f>VLOOKUP($A105,'Over Under Bill 1 COPY 到CO欄位'!$1:$1048576,'Over Under Bill 1 COPY 到CO欄位'!M$1,0)-VLOOKUP($A105,'Over Under Bill 1 COPY 到CO欄位'!$1:$1048576,'Over Under Bill 1 COPY 到CO欄位'!H$1,0)</f>
        <v>0</v>
      </c>
      <c r="N105" s="157">
        <f>VLOOKUP($A105,'Over Under Bill 1 COPY 到CO欄位'!$1:$1048576,'Over Under Bill 1 COPY 到CO欄位'!N$1,0)-VLOOKUP($A105,'Over Under Bill 1 COPY 到CO欄位'!$1:$1048576,'Over Under Bill 1 COPY 到CO欄位'!I$1,0)</f>
        <v>0</v>
      </c>
      <c r="O105" s="157">
        <f t="shared" si="118"/>
        <v>0</v>
      </c>
      <c r="P105" s="157">
        <f>VLOOKUP($A105,'Over Under Bill 1 COPY 到CO欄位'!$1:$1048576,'Over Under Bill 1 COPY 到CO欄位'!P$1,0)-VLOOKUP($A105,'Over Under Bill 1 COPY 到CO欄位'!$1:$1048576,'Over Under Bill 1 COPY 到CO欄位'!K$1,0)</f>
        <v>0</v>
      </c>
      <c r="Q105" s="157">
        <f t="shared" si="119"/>
        <v>0</v>
      </c>
      <c r="R105" s="158">
        <f>VLOOKUP($A105,'Over Under Bill 1 COPY 到CO欄位'!$1:$1048576,'Over Under Bill 1 COPY 到CO欄位'!R$1,0)-VLOOKUP($A105,'Over Under Bill 1 COPY 到CO欄位'!$1:$1048576,'Over Under Bill 1 COPY 到CO欄位'!M$1,0)</f>
        <v>0</v>
      </c>
      <c r="S105" s="158">
        <f>VLOOKUP($A105,'Over Under Bill 1 COPY 到CO欄位'!$1:$1048576,'Over Under Bill 1 COPY 到CO欄位'!S$1,0)-VLOOKUP($A105,'Over Under Bill 1 COPY 到CO欄位'!$1:$1048576,'Over Under Bill 1 COPY 到CO欄位'!N$1,0)</f>
        <v>0</v>
      </c>
      <c r="T105" s="158">
        <f t="shared" si="120"/>
        <v>0</v>
      </c>
      <c r="U105" s="158">
        <f>VLOOKUP($A105,'Over Under Bill 1 COPY 到CO欄位'!$1:$1048576,'Over Under Bill 1 COPY 到CO欄位'!U$1,0)-VLOOKUP($A105,'Over Under Bill 1 COPY 到CO欄位'!$1:$1048576,'Over Under Bill 1 COPY 到CO欄位'!P$1,0)</f>
        <v>0</v>
      </c>
      <c r="V105" s="158">
        <f t="shared" si="121"/>
        <v>0</v>
      </c>
      <c r="W105" s="157">
        <f>VLOOKUP($A105,'Over Under Bill 1 COPY 到CO欄位'!$1:$1048576,'Over Under Bill 1 COPY 到CO欄位'!W$1,0)-VLOOKUP($A105,'Over Under Bill 1 COPY 到CO欄位'!$1:$1048576,'Over Under Bill 1 COPY 到CO欄位'!R$1,0)</f>
        <v>0</v>
      </c>
      <c r="X105" s="157">
        <f>VLOOKUP($A105,'Over Under Bill 1 COPY 到CO欄位'!$1:$1048576,'Over Under Bill 1 COPY 到CO欄位'!X$1,0)-VLOOKUP($A105,'Over Under Bill 1 COPY 到CO欄位'!$1:$1048576,'Over Under Bill 1 COPY 到CO欄位'!S$1,0)</f>
        <v>0</v>
      </c>
      <c r="Y105" s="157">
        <f t="shared" si="122"/>
        <v>0</v>
      </c>
      <c r="Z105" s="157">
        <f>VLOOKUP($A105,'Over Under Bill 1 COPY 到CO欄位'!$1:$1048576,'Over Under Bill 1 COPY 到CO欄位'!Z$1,0)-VLOOKUP($A105,'Over Under Bill 1 COPY 到CO欄位'!$1:$1048576,'Over Under Bill 1 COPY 到CO欄位'!U$1,0)</f>
        <v>0</v>
      </c>
      <c r="AA105" s="157">
        <f t="shared" si="123"/>
        <v>0</v>
      </c>
      <c r="AB105" s="158">
        <f>VLOOKUP($A105,'Over Under Bill 1 COPY 到CO欄位'!$1:$1048576,'Over Under Bill 1 COPY 到CO欄位'!AB$1,0)-VLOOKUP($A105,'Over Under Bill 1 COPY 到CO欄位'!$1:$1048576,'Over Under Bill 1 COPY 到CO欄位'!W$1,0)</f>
        <v>0</v>
      </c>
      <c r="AC105" s="158">
        <f>VLOOKUP($A105,'Over Under Bill 1 COPY 到CO欄位'!$1:$1048576,'Over Under Bill 1 COPY 到CO欄位'!AC$1,0)-VLOOKUP($A105,'Over Under Bill 1 COPY 到CO欄位'!$1:$1048576,'Over Under Bill 1 COPY 到CO欄位'!X$1,0)</f>
        <v>0</v>
      </c>
      <c r="AD105" s="158">
        <f t="shared" si="124"/>
        <v>0</v>
      </c>
      <c r="AE105" s="158">
        <f>VLOOKUP($A105,'Over Under Bill 1 COPY 到CO欄位'!$1:$1048576,'Over Under Bill 1 COPY 到CO欄位'!AE$1,0)-VLOOKUP($A105,'Over Under Bill 1 COPY 到CO欄位'!$1:$1048576,'Over Under Bill 1 COPY 到CO欄位'!Z$1,0)</f>
        <v>0</v>
      </c>
      <c r="AF105" s="158">
        <f t="shared" si="125"/>
        <v>0</v>
      </c>
      <c r="AG105" s="157">
        <f>VLOOKUP($A105,'Over Under Bill 1 COPY 到CO欄位'!$1:$1048576,'Over Under Bill 1 COPY 到CO欄位'!AG$1,0)-VLOOKUP($A105,'Over Under Bill 1 COPY 到CO欄位'!$1:$1048576,'Over Under Bill 1 COPY 到CO欄位'!AB$1,0)</f>
        <v>0</v>
      </c>
      <c r="AH105" s="157">
        <f>VLOOKUP($A105,'Over Under Bill 1 COPY 到CO欄位'!$1:$1048576,'Over Under Bill 1 COPY 到CO欄位'!AH$1,0)-VLOOKUP($A105,'Over Under Bill 1 COPY 到CO欄位'!$1:$1048576,'Over Under Bill 1 COPY 到CO欄位'!AC$1,0)</f>
        <v>0</v>
      </c>
      <c r="AI105" s="157">
        <f t="shared" si="126"/>
        <v>0</v>
      </c>
      <c r="AJ105" s="157">
        <f>VLOOKUP($A105,'Over Under Bill 1 COPY 到CO欄位'!$1:$1048576,'Over Under Bill 1 COPY 到CO欄位'!AJ$1,0)-VLOOKUP($A105,'Over Under Bill 1 COPY 到CO欄位'!$1:$1048576,'Over Under Bill 1 COPY 到CO欄位'!AE$1,0)</f>
        <v>0</v>
      </c>
      <c r="AK105" s="157">
        <f t="shared" si="127"/>
        <v>0</v>
      </c>
      <c r="AL105" s="158">
        <f>VLOOKUP($A105,'Over Under Bill 1 COPY 到CO欄位'!$1:$1048576,'Over Under Bill 1 COPY 到CO欄位'!AL$1,0)-VLOOKUP($A105,'Over Under Bill 1 COPY 到CO欄位'!$1:$1048576,'Over Under Bill 1 COPY 到CO欄位'!AG$1,0)</f>
        <v>0</v>
      </c>
      <c r="AM105" s="158">
        <f>VLOOKUP($A105,'Over Under Bill 1 COPY 到CO欄位'!$1:$1048576,'Over Under Bill 1 COPY 到CO欄位'!AM$1,0)-VLOOKUP($A105,'Over Under Bill 1 COPY 到CO欄位'!$1:$1048576,'Over Under Bill 1 COPY 到CO欄位'!AH$1,0)</f>
        <v>0</v>
      </c>
      <c r="AN105" s="158">
        <f t="shared" si="128"/>
        <v>0</v>
      </c>
      <c r="AO105" s="158">
        <f>VLOOKUP($A105,'Over Under Bill 1 COPY 到CO欄位'!$1:$1048576,'Over Under Bill 1 COPY 到CO欄位'!AO$1,0)-VLOOKUP($A105,'Over Under Bill 1 COPY 到CO欄位'!$1:$1048576,'Over Under Bill 1 COPY 到CO欄位'!AJ$1,0)</f>
        <v>0</v>
      </c>
      <c r="AP105" s="158">
        <f t="shared" si="129"/>
        <v>0</v>
      </c>
      <c r="AQ105" s="157">
        <f>VLOOKUP($A105,'Over Under Bill 1 COPY 到CO欄位'!$1:$1048576,'Over Under Bill 1 COPY 到CO欄位'!AQ$1,0)-VLOOKUP($A105,'Over Under Bill 1 COPY 到CO欄位'!$1:$1048576,'Over Under Bill 1 COPY 到CO欄位'!AL$1,0)</f>
        <v>0</v>
      </c>
      <c r="AR105" s="157">
        <f>VLOOKUP($A105,'Over Under Bill 1 COPY 到CO欄位'!$1:$1048576,'Over Under Bill 1 COPY 到CO欄位'!AR$1,0)-VLOOKUP($A105,'Over Under Bill 1 COPY 到CO欄位'!$1:$1048576,'Over Under Bill 1 COPY 到CO欄位'!AM$1,0)</f>
        <v>0</v>
      </c>
      <c r="AS105" s="157">
        <f t="shared" si="130"/>
        <v>0</v>
      </c>
      <c r="AT105" s="157">
        <f>VLOOKUP($A105,'Over Under Bill 1 COPY 到CO欄位'!$1:$1048576,'Over Under Bill 1 COPY 到CO欄位'!AT$1,0)-VLOOKUP($A105,'Over Under Bill 1 COPY 到CO欄位'!$1:$1048576,'Over Under Bill 1 COPY 到CO欄位'!AO$1,0)</f>
        <v>0</v>
      </c>
      <c r="AU105" s="157">
        <f t="shared" si="131"/>
        <v>0</v>
      </c>
      <c r="AV105" s="158">
        <f>VLOOKUP($A105,'Over Under Bill 1 COPY 到CO欄位'!$1:$1048576,'Over Under Bill 1 COPY 到CO欄位'!AV$1,0)-VLOOKUP($A105,'Over Under Bill 1 COPY 到CO欄位'!$1:$1048576,'Over Under Bill 1 COPY 到CO欄位'!AQ$1,0)</f>
        <v>0</v>
      </c>
      <c r="AW105" s="158">
        <f>VLOOKUP($A105,'Over Under Bill 1 COPY 到CO欄位'!$1:$1048576,'Over Under Bill 1 COPY 到CO欄位'!AW$1,0)-VLOOKUP($A105,'Over Under Bill 1 COPY 到CO欄位'!$1:$1048576,'Over Under Bill 1 COPY 到CO欄位'!AR$1,0)</f>
        <v>0</v>
      </c>
      <c r="AX105" s="158">
        <f t="shared" si="132"/>
        <v>0</v>
      </c>
      <c r="AY105" s="158">
        <f>VLOOKUP($A105,'Over Under Bill 1 COPY 到CO欄位'!$1:$1048576,'Over Under Bill 1 COPY 到CO欄位'!AY$1,0)-VLOOKUP($A105,'Over Under Bill 1 COPY 到CO欄位'!$1:$1048576,'Over Under Bill 1 COPY 到CO欄位'!AT$1,0)</f>
        <v>0</v>
      </c>
      <c r="AZ105" s="158">
        <f t="shared" si="133"/>
        <v>0</v>
      </c>
      <c r="BA105" s="157">
        <f>VLOOKUP($A105,'Over Under Bill 1 COPY 到CO欄位'!$1:$1048576,'Over Under Bill 1 COPY 到CO欄位'!BA$1,0)-VLOOKUP($A105,'Over Under Bill 1 COPY 到CO欄位'!$1:$1048576,'Over Under Bill 1 COPY 到CO欄位'!AV$1,0)</f>
        <v>0</v>
      </c>
      <c r="BB105" s="157">
        <f>VLOOKUP($A105,'Over Under Bill 1 COPY 到CO欄位'!$1:$1048576,'Over Under Bill 1 COPY 到CO欄位'!BB$1,0)-VLOOKUP($A105,'Over Under Bill 1 COPY 到CO欄位'!$1:$1048576,'Over Under Bill 1 COPY 到CO欄位'!AW$1,0)</f>
        <v>0</v>
      </c>
      <c r="BC105" s="157">
        <f t="shared" si="134"/>
        <v>0</v>
      </c>
      <c r="BD105" s="157">
        <f>VLOOKUP($A105,'Over Under Bill 1 COPY 到CO欄位'!$1:$1048576,'Over Under Bill 1 COPY 到CO欄位'!BD$1,0)-VLOOKUP($A105,'Over Under Bill 1 COPY 到CO欄位'!$1:$1048576,'Over Under Bill 1 COPY 到CO欄位'!AY$1,0)</f>
        <v>0</v>
      </c>
      <c r="BE105" s="157">
        <f t="shared" si="135"/>
        <v>0</v>
      </c>
      <c r="BF105" s="158">
        <f>VLOOKUP($A105,'Over Under Bill 1 COPY 到CO欄位'!$1:$1048576,'Over Under Bill 1 COPY 到CO欄位'!BF$1,0)-VLOOKUP($A105,'Over Under Bill 1 COPY 到CO欄位'!$1:$1048576,'Over Under Bill 1 COPY 到CO欄位'!BA$1,0)</f>
        <v>0</v>
      </c>
      <c r="BG105" s="158">
        <f>VLOOKUP($A105,'Over Under Bill 1 COPY 到CO欄位'!$1:$1048576,'Over Under Bill 1 COPY 到CO欄位'!BG$1,0)-VLOOKUP($A105,'Over Under Bill 1 COPY 到CO欄位'!$1:$1048576,'Over Under Bill 1 COPY 到CO欄位'!BB$1,0)</f>
        <v>0</v>
      </c>
      <c r="BH105" s="158">
        <f t="shared" si="136"/>
        <v>0</v>
      </c>
      <c r="BI105" s="158">
        <f>VLOOKUP($A105,'Over Under Bill 1 COPY 到CO欄位'!$1:$1048576,'Over Under Bill 1 COPY 到CO欄位'!BI$1,0)-VLOOKUP($A105,'Over Under Bill 1 COPY 到CO欄位'!$1:$1048576,'Over Under Bill 1 COPY 到CO欄位'!BD$1,0)</f>
        <v>0</v>
      </c>
      <c r="BJ105" s="158">
        <f t="shared" si="137"/>
        <v>0</v>
      </c>
      <c r="BK105" s="157">
        <f>VLOOKUP($A105,'Over Under Bill 1 COPY 到CO欄位'!$1:$1048576,'Over Under Bill 1 COPY 到CO欄位'!BK$1,0)-VLOOKUP($A105,'Over Under Bill 1 COPY 到CO欄位'!$1:$1048576,'Over Under Bill 1 COPY 到CO欄位'!BF$1,0)</f>
        <v>0</v>
      </c>
      <c r="BL105" s="157">
        <f>VLOOKUP($A105,'Over Under Bill 1 COPY 到CO欄位'!$1:$1048576,'Over Under Bill 1 COPY 到CO欄位'!BL$1,0)-VLOOKUP($A105,'Over Under Bill 1 COPY 到CO欄位'!$1:$1048576,'Over Under Bill 1 COPY 到CO欄位'!BG$1,0)</f>
        <v>0</v>
      </c>
      <c r="BM105" s="157">
        <f t="shared" si="138"/>
        <v>0</v>
      </c>
      <c r="BN105" s="157">
        <f>VLOOKUP($A105,'Over Under Bill 1 COPY 到CO欄位'!$1:$1048576,'Over Under Bill 1 COPY 到CO欄位'!BN$1,0)-VLOOKUP($A105,'Over Under Bill 1 COPY 到CO欄位'!$1:$1048576,'Over Under Bill 1 COPY 到CO欄位'!BI$1,0)</f>
        <v>0</v>
      </c>
      <c r="BO105" s="157">
        <f t="shared" si="139"/>
        <v>0</v>
      </c>
      <c r="BP105" s="158">
        <f>VLOOKUP($A105,'Over Under Bill 1 COPY 到CO欄位'!$1:$1048576,'Over Under Bill 1 COPY 到CO欄位'!BP$1,0)-VLOOKUP($A105,'Over Under Bill 1 COPY 到CO欄位'!$1:$1048576,'Over Under Bill 1 COPY 到CO欄位'!BK$1,0)</f>
        <v>0</v>
      </c>
      <c r="BQ105" s="158">
        <f>VLOOKUP($A105,'Over Under Bill 1 COPY 到CO欄位'!$1:$1048576,'Over Under Bill 1 COPY 到CO欄位'!BQ$1,0)-VLOOKUP($A105,'Over Under Bill 1 COPY 到CO欄位'!$1:$1048576,'Over Under Bill 1 COPY 到CO欄位'!BL$1,0)</f>
        <v>0</v>
      </c>
      <c r="BR105" s="158">
        <f t="shared" si="140"/>
        <v>0</v>
      </c>
      <c r="BS105" s="158">
        <f>VLOOKUP($A105,'Over Under Bill 1 COPY 到CO欄位'!$1:$1048576,'Over Under Bill 1 COPY 到CO欄位'!BS$1,0)-VLOOKUP($A105,'Over Under Bill 1 COPY 到CO欄位'!$1:$1048576,'Over Under Bill 1 COPY 到CO欄位'!BN$1,0)</f>
        <v>0</v>
      </c>
      <c r="BT105" s="158">
        <f t="shared" si="141"/>
        <v>0</v>
      </c>
      <c r="BU105" s="157">
        <f>VLOOKUP($A105,'Over Under Bill 1 COPY 到CO欄位'!$1:$1048576,'Over Under Bill 1 COPY 到CO欄位'!BP$1,0)-VLOOKUP($A105,'Over Under Bill 1 COPY 到CO欄位'!$1:$1048576,'Over Under Bill 1 COPY 到CO欄位'!H$1,0)</f>
        <v>0</v>
      </c>
      <c r="BV105" s="157">
        <f>VLOOKUP($A105,'Over Under Bill 1 COPY 到CO欄位'!$1:$1048576,'Over Under Bill 1 COPY 到CO欄位'!BQ$1,0)-VLOOKUP($A105,'Over Under Bill 1 COPY 到CO欄位'!$1:$1048576,'Over Under Bill 1 COPY 到CO欄位'!I$1,0)</f>
        <v>0</v>
      </c>
      <c r="BW105" s="157">
        <f t="shared" si="142"/>
        <v>0</v>
      </c>
      <c r="BX105" s="157">
        <f>VLOOKUP($A105,'Over Under Bill 1 COPY 到CO欄位'!$1:$1048576,'Over Under Bill 1 COPY 到CO欄位'!BS$1,0)-VLOOKUP($A105,'Over Under Bill 1 COPY 到CO欄位'!$1:$1048576,'Over Under Bill 1 COPY 到CO欄位'!K$1,0)</f>
        <v>0</v>
      </c>
      <c r="BY105" s="157">
        <f t="shared" si="143"/>
        <v>0</v>
      </c>
      <c r="BZ105" s="158">
        <f>VLOOKUP($A105,'Over Under Bill 1 COPY 到CO欄位'!$1:$1048576,'Over Under Bill 1 COPY 到CO欄位'!BU$1,0)-VLOOKUP($A105,'Over Under Bill 1 COPY 到CO欄位'!$1:$1048576,'Over Under Bill 1 COPY 到CO欄位'!BP$1,0)</f>
        <v>0</v>
      </c>
      <c r="CA105" s="158">
        <f>VLOOKUP($A105,'Over Under Bill 1 COPY 到CO欄位'!$1:$1048576,'Over Under Bill 1 COPY 到CO欄位'!BV$1,0)-VLOOKUP($A105,'Over Under Bill 1 COPY 到CO欄位'!$1:$1048576,'Over Under Bill 1 COPY 到CO欄位'!BQ$1,0)</f>
        <v>0</v>
      </c>
      <c r="CB105" s="158">
        <f t="shared" si="144"/>
        <v>0</v>
      </c>
      <c r="CC105" s="158">
        <f>VLOOKUP($A105,'Over Under Bill 1 COPY 到CO欄位'!$1:$1048576,'Over Under Bill 1 COPY 到CO欄位'!BX$1,0)-VLOOKUP($A105,'Over Under Bill 1 COPY 到CO欄位'!$1:$1048576,'Over Under Bill 1 COPY 到CO欄位'!BS$1,0)</f>
        <v>0</v>
      </c>
      <c r="CD105" s="158">
        <f t="shared" si="145"/>
        <v>0</v>
      </c>
      <c r="CE105" s="157">
        <f>VLOOKUP($A105,'Over Under Bill 1 COPY 到CO欄位'!$1:$1048576,'Over Under Bill 1 COPY 到CO欄位'!BZ$1,0)-VLOOKUP($A105,'Over Under Bill 1 COPY 到CO欄位'!$1:$1048576,'Over Under Bill 1 COPY 到CO欄位'!BU$1,0)</f>
        <v>0</v>
      </c>
      <c r="CF105" s="157">
        <f>VLOOKUP($A105,'Over Under Bill 1 COPY 到CO欄位'!$1:$1048576,'Over Under Bill 1 COPY 到CO欄位'!CA$1,0)-VLOOKUP($A105,'Over Under Bill 1 COPY 到CO欄位'!$1:$1048576,'Over Under Bill 1 COPY 到CO欄位'!BV$1,0)</f>
        <v>0</v>
      </c>
      <c r="CG105" s="157">
        <f t="shared" si="146"/>
        <v>0</v>
      </c>
      <c r="CH105" s="157">
        <f>VLOOKUP($A105,'Over Under Bill 1 COPY 到CO欄位'!$1:$1048576,'Over Under Bill 1 COPY 到CO欄位'!CC$1,0)-VLOOKUP($A105,'Over Under Bill 1 COPY 到CO欄位'!$1:$1048576,'Over Under Bill 1 COPY 到CO欄位'!BX$1,0)</f>
        <v>0</v>
      </c>
      <c r="CI105" s="157">
        <f t="shared" si="147"/>
        <v>0</v>
      </c>
      <c r="CJ105" s="158">
        <f>VLOOKUP($A105,'Over Under Bill 1 COPY 到CO欄位'!$1:$1048576,'Over Under Bill 1 COPY 到CO欄位'!CE$1,0)-VLOOKUP($A105,'Over Under Bill 1 COPY 到CO欄位'!$1:$1048576,'Over Under Bill 1 COPY 到CO欄位'!BZ$1,0)</f>
        <v>0</v>
      </c>
      <c r="CK105" s="158">
        <f>VLOOKUP($A105,'Over Under Bill 1 COPY 到CO欄位'!$1:$1048576,'Over Under Bill 1 COPY 到CO欄位'!CF$1,0)-VLOOKUP($A105,'Over Under Bill 1 COPY 到CO欄位'!$1:$1048576,'Over Under Bill 1 COPY 到CO欄位'!CA$1,0)</f>
        <v>0</v>
      </c>
      <c r="CL105" s="158">
        <f t="shared" si="148"/>
        <v>0</v>
      </c>
      <c r="CM105" s="158">
        <f>VLOOKUP($A105,'Over Under Bill 1 COPY 到CO欄位'!$1:$1048576,'Over Under Bill 1 COPY 到CO欄位'!CH$1,0)-VLOOKUP($A105,'Over Under Bill 1 COPY 到CO欄位'!$1:$1048576,'Over Under Bill 1 COPY 到CO欄位'!CC$1,0)</f>
        <v>0</v>
      </c>
      <c r="CN105" s="158">
        <f t="shared" si="149"/>
        <v>0</v>
      </c>
      <c r="CO105" s="157">
        <f>VLOOKUP($A105,'Over Under Bill 1 COPY 到CO欄位'!$1:$1048576,'Over Under Bill 1 COPY 到CO欄位'!CJ$1,0)-VLOOKUP($A105,'Over Under Bill 1 COPY 到CO欄位'!$1:$1048576,'Over Under Bill 1 COPY 到CO欄位'!CE$1,0)</f>
        <v>0</v>
      </c>
      <c r="CP105" s="157">
        <f>VLOOKUP($A105,'Over Under Bill 1 COPY 到CO欄位'!$1:$1048576,'Over Under Bill 1 COPY 到CO欄位'!CK$1,0)-VLOOKUP($A105,'Over Under Bill 1 COPY 到CO欄位'!$1:$1048576,'Over Under Bill 1 COPY 到CO欄位'!CF$1,0)</f>
        <v>0</v>
      </c>
      <c r="CQ105" s="157">
        <f t="shared" si="150"/>
        <v>0</v>
      </c>
      <c r="CR105" s="157">
        <f>VLOOKUP($A105,'Over Under Bill 1 COPY 到CO欄位'!$1:$1048576,'Over Under Bill 1 COPY 到CO欄位'!CM$1,0)-VLOOKUP($A105,'Over Under Bill 1 COPY 到CO欄位'!$1:$1048576,'Over Under Bill 1 COPY 到CO欄位'!CH$1,0)</f>
        <v>0</v>
      </c>
      <c r="CS105" s="157">
        <f t="shared" si="151"/>
        <v>0</v>
      </c>
    </row>
    <row r="106" spans="1:97">
      <c r="A106" s="179" t="s">
        <v>495</v>
      </c>
      <c r="B106" s="172" t="s">
        <v>350</v>
      </c>
      <c r="C106" s="157">
        <f>IFERROR(VLOOKUP($A106,'A0 BS 1240在建'!$1:$1048576,5,0),0)</f>
        <v>0</v>
      </c>
      <c r="D106" s="157">
        <f>IFERROR(VLOOKUP($A106,'B0 2264預收'!$1:$1048576,5,0),0)</f>
        <v>0</v>
      </c>
      <c r="E106" s="157">
        <f t="shared" si="114"/>
        <v>0</v>
      </c>
      <c r="F106" s="157">
        <f>IFERROR(VLOOKUP($A106,'B0 2264預收'!$1:$1048576,6,0),0)</f>
        <v>0</v>
      </c>
      <c r="G106" s="157">
        <f t="shared" si="115"/>
        <v>0</v>
      </c>
      <c r="H106" s="158">
        <f>IFERROR(VLOOKUP($A106,'A0 BS 1240在建'!$1:$1048576,13,0),0)-C106</f>
        <v>0</v>
      </c>
      <c r="I106" s="158">
        <f>IFERROR(VLOOKUP($A106,'B0 2264預收'!$1:$1048576,13,0),0)-D106</f>
        <v>0</v>
      </c>
      <c r="J106" s="158">
        <f t="shared" si="116"/>
        <v>0</v>
      </c>
      <c r="K106" s="158">
        <f>IFERROR(VLOOKUP($A106,'B0 2264預收'!$1:$1048576,14,0),0)-F106</f>
        <v>0</v>
      </c>
      <c r="L106" s="158">
        <f t="shared" si="117"/>
        <v>0</v>
      </c>
      <c r="M106" s="157">
        <f>VLOOKUP($A106,'Over Under Bill 1 COPY 到CO欄位'!$1:$1048576,'Over Under Bill 1 COPY 到CO欄位'!M$1,0)-VLOOKUP($A106,'Over Under Bill 1 COPY 到CO欄位'!$1:$1048576,'Over Under Bill 1 COPY 到CO欄位'!H$1,0)</f>
        <v>0</v>
      </c>
      <c r="N106" s="157">
        <f>VLOOKUP($A106,'Over Under Bill 1 COPY 到CO欄位'!$1:$1048576,'Over Under Bill 1 COPY 到CO欄位'!N$1,0)-VLOOKUP($A106,'Over Under Bill 1 COPY 到CO欄位'!$1:$1048576,'Over Under Bill 1 COPY 到CO欄位'!I$1,0)</f>
        <v>0</v>
      </c>
      <c r="O106" s="157">
        <f t="shared" si="118"/>
        <v>0</v>
      </c>
      <c r="P106" s="157">
        <f>VLOOKUP($A106,'Over Under Bill 1 COPY 到CO欄位'!$1:$1048576,'Over Under Bill 1 COPY 到CO欄位'!P$1,0)-VLOOKUP($A106,'Over Under Bill 1 COPY 到CO欄位'!$1:$1048576,'Over Under Bill 1 COPY 到CO欄位'!K$1,0)</f>
        <v>0</v>
      </c>
      <c r="Q106" s="157">
        <f t="shared" si="119"/>
        <v>0</v>
      </c>
      <c r="R106" s="158">
        <f>VLOOKUP($A106,'Over Under Bill 1 COPY 到CO欄位'!$1:$1048576,'Over Under Bill 1 COPY 到CO欄位'!R$1,0)-VLOOKUP($A106,'Over Under Bill 1 COPY 到CO欄位'!$1:$1048576,'Over Under Bill 1 COPY 到CO欄位'!M$1,0)</f>
        <v>0</v>
      </c>
      <c r="S106" s="158">
        <f>VLOOKUP($A106,'Over Under Bill 1 COPY 到CO欄位'!$1:$1048576,'Over Under Bill 1 COPY 到CO欄位'!S$1,0)-VLOOKUP($A106,'Over Under Bill 1 COPY 到CO欄位'!$1:$1048576,'Over Under Bill 1 COPY 到CO欄位'!N$1,0)</f>
        <v>0</v>
      </c>
      <c r="T106" s="158">
        <f t="shared" si="120"/>
        <v>0</v>
      </c>
      <c r="U106" s="158">
        <f>VLOOKUP($A106,'Over Under Bill 1 COPY 到CO欄位'!$1:$1048576,'Over Under Bill 1 COPY 到CO欄位'!U$1,0)-VLOOKUP($A106,'Over Under Bill 1 COPY 到CO欄位'!$1:$1048576,'Over Under Bill 1 COPY 到CO欄位'!P$1,0)</f>
        <v>0</v>
      </c>
      <c r="V106" s="158">
        <f t="shared" si="121"/>
        <v>0</v>
      </c>
      <c r="W106" s="157">
        <f>VLOOKUP($A106,'Over Under Bill 1 COPY 到CO欄位'!$1:$1048576,'Over Under Bill 1 COPY 到CO欄位'!W$1,0)-VLOOKUP($A106,'Over Under Bill 1 COPY 到CO欄位'!$1:$1048576,'Over Under Bill 1 COPY 到CO欄位'!R$1,0)</f>
        <v>0</v>
      </c>
      <c r="X106" s="157">
        <f>VLOOKUP($A106,'Over Under Bill 1 COPY 到CO欄位'!$1:$1048576,'Over Under Bill 1 COPY 到CO欄位'!X$1,0)-VLOOKUP($A106,'Over Under Bill 1 COPY 到CO欄位'!$1:$1048576,'Over Under Bill 1 COPY 到CO欄位'!S$1,0)</f>
        <v>0</v>
      </c>
      <c r="Y106" s="157">
        <f t="shared" si="122"/>
        <v>0</v>
      </c>
      <c r="Z106" s="157">
        <f>VLOOKUP($A106,'Over Under Bill 1 COPY 到CO欄位'!$1:$1048576,'Over Under Bill 1 COPY 到CO欄位'!Z$1,0)-VLOOKUP($A106,'Over Under Bill 1 COPY 到CO欄位'!$1:$1048576,'Over Under Bill 1 COPY 到CO欄位'!U$1,0)</f>
        <v>0</v>
      </c>
      <c r="AA106" s="157">
        <f t="shared" si="123"/>
        <v>0</v>
      </c>
      <c r="AB106" s="158">
        <f>VLOOKUP($A106,'Over Under Bill 1 COPY 到CO欄位'!$1:$1048576,'Over Under Bill 1 COPY 到CO欄位'!AB$1,0)-VLOOKUP($A106,'Over Under Bill 1 COPY 到CO欄位'!$1:$1048576,'Over Under Bill 1 COPY 到CO欄位'!W$1,0)</f>
        <v>0</v>
      </c>
      <c r="AC106" s="158">
        <f>VLOOKUP($A106,'Over Under Bill 1 COPY 到CO欄位'!$1:$1048576,'Over Under Bill 1 COPY 到CO欄位'!AC$1,0)-VLOOKUP($A106,'Over Under Bill 1 COPY 到CO欄位'!$1:$1048576,'Over Under Bill 1 COPY 到CO欄位'!X$1,0)</f>
        <v>0</v>
      </c>
      <c r="AD106" s="158">
        <f t="shared" si="124"/>
        <v>0</v>
      </c>
      <c r="AE106" s="158">
        <f>VLOOKUP($A106,'Over Under Bill 1 COPY 到CO欄位'!$1:$1048576,'Over Under Bill 1 COPY 到CO欄位'!AE$1,0)-VLOOKUP($A106,'Over Under Bill 1 COPY 到CO欄位'!$1:$1048576,'Over Under Bill 1 COPY 到CO欄位'!Z$1,0)</f>
        <v>0</v>
      </c>
      <c r="AF106" s="158">
        <f t="shared" si="125"/>
        <v>0</v>
      </c>
      <c r="AG106" s="157">
        <f>VLOOKUP($A106,'Over Under Bill 1 COPY 到CO欄位'!$1:$1048576,'Over Under Bill 1 COPY 到CO欄位'!AG$1,0)-VLOOKUP($A106,'Over Under Bill 1 COPY 到CO欄位'!$1:$1048576,'Over Under Bill 1 COPY 到CO欄位'!AB$1,0)</f>
        <v>0</v>
      </c>
      <c r="AH106" s="157">
        <f>VLOOKUP($A106,'Over Under Bill 1 COPY 到CO欄位'!$1:$1048576,'Over Under Bill 1 COPY 到CO欄位'!AH$1,0)-VLOOKUP($A106,'Over Under Bill 1 COPY 到CO欄位'!$1:$1048576,'Over Under Bill 1 COPY 到CO欄位'!AC$1,0)</f>
        <v>0</v>
      </c>
      <c r="AI106" s="157">
        <f t="shared" si="126"/>
        <v>0</v>
      </c>
      <c r="AJ106" s="157">
        <f>VLOOKUP($A106,'Over Under Bill 1 COPY 到CO欄位'!$1:$1048576,'Over Under Bill 1 COPY 到CO欄位'!AJ$1,0)-VLOOKUP($A106,'Over Under Bill 1 COPY 到CO欄位'!$1:$1048576,'Over Under Bill 1 COPY 到CO欄位'!AE$1,0)</f>
        <v>0</v>
      </c>
      <c r="AK106" s="157">
        <f t="shared" si="127"/>
        <v>0</v>
      </c>
      <c r="AL106" s="158">
        <f>VLOOKUP($A106,'Over Under Bill 1 COPY 到CO欄位'!$1:$1048576,'Over Under Bill 1 COPY 到CO欄位'!AL$1,0)-VLOOKUP($A106,'Over Under Bill 1 COPY 到CO欄位'!$1:$1048576,'Over Under Bill 1 COPY 到CO欄位'!AG$1,0)</f>
        <v>0</v>
      </c>
      <c r="AM106" s="158">
        <f>VLOOKUP($A106,'Over Under Bill 1 COPY 到CO欄位'!$1:$1048576,'Over Under Bill 1 COPY 到CO欄位'!AM$1,0)-VLOOKUP($A106,'Over Under Bill 1 COPY 到CO欄位'!$1:$1048576,'Over Under Bill 1 COPY 到CO欄位'!AH$1,0)</f>
        <v>0</v>
      </c>
      <c r="AN106" s="158">
        <f t="shared" si="128"/>
        <v>0</v>
      </c>
      <c r="AO106" s="158">
        <f>VLOOKUP($A106,'Over Under Bill 1 COPY 到CO欄位'!$1:$1048576,'Over Under Bill 1 COPY 到CO欄位'!AO$1,0)-VLOOKUP($A106,'Over Under Bill 1 COPY 到CO欄位'!$1:$1048576,'Over Under Bill 1 COPY 到CO欄位'!AJ$1,0)</f>
        <v>0</v>
      </c>
      <c r="AP106" s="158">
        <f t="shared" si="129"/>
        <v>0</v>
      </c>
      <c r="AQ106" s="157">
        <f>VLOOKUP($A106,'Over Under Bill 1 COPY 到CO欄位'!$1:$1048576,'Over Under Bill 1 COPY 到CO欄位'!AQ$1,0)-VLOOKUP($A106,'Over Under Bill 1 COPY 到CO欄位'!$1:$1048576,'Over Under Bill 1 COPY 到CO欄位'!AL$1,0)</f>
        <v>0</v>
      </c>
      <c r="AR106" s="157">
        <f>VLOOKUP($A106,'Over Under Bill 1 COPY 到CO欄位'!$1:$1048576,'Over Under Bill 1 COPY 到CO欄位'!AR$1,0)-VLOOKUP($A106,'Over Under Bill 1 COPY 到CO欄位'!$1:$1048576,'Over Under Bill 1 COPY 到CO欄位'!AM$1,0)</f>
        <v>0</v>
      </c>
      <c r="AS106" s="157">
        <f t="shared" si="130"/>
        <v>0</v>
      </c>
      <c r="AT106" s="157">
        <f>VLOOKUP($A106,'Over Under Bill 1 COPY 到CO欄位'!$1:$1048576,'Over Under Bill 1 COPY 到CO欄位'!AT$1,0)-VLOOKUP($A106,'Over Under Bill 1 COPY 到CO欄位'!$1:$1048576,'Over Under Bill 1 COPY 到CO欄位'!AO$1,0)</f>
        <v>0</v>
      </c>
      <c r="AU106" s="157">
        <f t="shared" si="131"/>
        <v>0</v>
      </c>
      <c r="AV106" s="158">
        <f>VLOOKUP($A106,'Over Under Bill 1 COPY 到CO欄位'!$1:$1048576,'Over Under Bill 1 COPY 到CO欄位'!AV$1,0)-VLOOKUP($A106,'Over Under Bill 1 COPY 到CO欄位'!$1:$1048576,'Over Under Bill 1 COPY 到CO欄位'!AQ$1,0)</f>
        <v>0</v>
      </c>
      <c r="AW106" s="158">
        <f>VLOOKUP($A106,'Over Under Bill 1 COPY 到CO欄位'!$1:$1048576,'Over Under Bill 1 COPY 到CO欄位'!AW$1,0)-VLOOKUP($A106,'Over Under Bill 1 COPY 到CO欄位'!$1:$1048576,'Over Under Bill 1 COPY 到CO欄位'!AR$1,0)</f>
        <v>0</v>
      </c>
      <c r="AX106" s="158">
        <f t="shared" si="132"/>
        <v>0</v>
      </c>
      <c r="AY106" s="158">
        <f>VLOOKUP($A106,'Over Under Bill 1 COPY 到CO欄位'!$1:$1048576,'Over Under Bill 1 COPY 到CO欄位'!AY$1,0)-VLOOKUP($A106,'Over Under Bill 1 COPY 到CO欄位'!$1:$1048576,'Over Under Bill 1 COPY 到CO欄位'!AT$1,0)</f>
        <v>0</v>
      </c>
      <c r="AZ106" s="158">
        <f t="shared" si="133"/>
        <v>0</v>
      </c>
      <c r="BA106" s="157">
        <f>VLOOKUP($A106,'Over Under Bill 1 COPY 到CO欄位'!$1:$1048576,'Over Under Bill 1 COPY 到CO欄位'!BA$1,0)-VLOOKUP($A106,'Over Under Bill 1 COPY 到CO欄位'!$1:$1048576,'Over Under Bill 1 COPY 到CO欄位'!AV$1,0)</f>
        <v>0</v>
      </c>
      <c r="BB106" s="157">
        <f>VLOOKUP($A106,'Over Under Bill 1 COPY 到CO欄位'!$1:$1048576,'Over Under Bill 1 COPY 到CO欄位'!BB$1,0)-VLOOKUP($A106,'Over Under Bill 1 COPY 到CO欄位'!$1:$1048576,'Over Under Bill 1 COPY 到CO欄位'!AW$1,0)</f>
        <v>0</v>
      </c>
      <c r="BC106" s="157">
        <f t="shared" si="134"/>
        <v>0</v>
      </c>
      <c r="BD106" s="157">
        <f>VLOOKUP($A106,'Over Under Bill 1 COPY 到CO欄位'!$1:$1048576,'Over Under Bill 1 COPY 到CO欄位'!BD$1,0)-VLOOKUP($A106,'Over Under Bill 1 COPY 到CO欄位'!$1:$1048576,'Over Under Bill 1 COPY 到CO欄位'!AY$1,0)</f>
        <v>0</v>
      </c>
      <c r="BE106" s="157">
        <f t="shared" si="135"/>
        <v>0</v>
      </c>
      <c r="BF106" s="158">
        <f>VLOOKUP($A106,'Over Under Bill 1 COPY 到CO欄位'!$1:$1048576,'Over Under Bill 1 COPY 到CO欄位'!BF$1,0)-VLOOKUP($A106,'Over Under Bill 1 COPY 到CO欄位'!$1:$1048576,'Over Under Bill 1 COPY 到CO欄位'!BA$1,0)</f>
        <v>0</v>
      </c>
      <c r="BG106" s="158">
        <f>VLOOKUP($A106,'Over Under Bill 1 COPY 到CO欄位'!$1:$1048576,'Over Under Bill 1 COPY 到CO欄位'!BG$1,0)-VLOOKUP($A106,'Over Under Bill 1 COPY 到CO欄位'!$1:$1048576,'Over Under Bill 1 COPY 到CO欄位'!BB$1,0)</f>
        <v>0</v>
      </c>
      <c r="BH106" s="158">
        <f t="shared" si="136"/>
        <v>0</v>
      </c>
      <c r="BI106" s="158">
        <f>VLOOKUP($A106,'Over Under Bill 1 COPY 到CO欄位'!$1:$1048576,'Over Under Bill 1 COPY 到CO欄位'!BI$1,0)-VLOOKUP($A106,'Over Under Bill 1 COPY 到CO欄位'!$1:$1048576,'Over Under Bill 1 COPY 到CO欄位'!BD$1,0)</f>
        <v>0</v>
      </c>
      <c r="BJ106" s="158">
        <f t="shared" si="137"/>
        <v>0</v>
      </c>
      <c r="BK106" s="157">
        <f>VLOOKUP($A106,'Over Under Bill 1 COPY 到CO欄位'!$1:$1048576,'Over Under Bill 1 COPY 到CO欄位'!BK$1,0)-VLOOKUP($A106,'Over Under Bill 1 COPY 到CO欄位'!$1:$1048576,'Over Under Bill 1 COPY 到CO欄位'!BF$1,0)</f>
        <v>0</v>
      </c>
      <c r="BL106" s="157">
        <f>VLOOKUP($A106,'Over Under Bill 1 COPY 到CO欄位'!$1:$1048576,'Over Under Bill 1 COPY 到CO欄位'!BL$1,0)-VLOOKUP($A106,'Over Under Bill 1 COPY 到CO欄位'!$1:$1048576,'Over Under Bill 1 COPY 到CO欄位'!BG$1,0)</f>
        <v>0</v>
      </c>
      <c r="BM106" s="157">
        <f t="shared" si="138"/>
        <v>0</v>
      </c>
      <c r="BN106" s="157">
        <f>VLOOKUP($A106,'Over Under Bill 1 COPY 到CO欄位'!$1:$1048576,'Over Under Bill 1 COPY 到CO欄位'!BN$1,0)-VLOOKUP($A106,'Over Under Bill 1 COPY 到CO欄位'!$1:$1048576,'Over Under Bill 1 COPY 到CO欄位'!BI$1,0)</f>
        <v>0</v>
      </c>
      <c r="BO106" s="157">
        <f t="shared" si="139"/>
        <v>0</v>
      </c>
      <c r="BP106" s="158">
        <f>VLOOKUP($A106,'Over Under Bill 1 COPY 到CO欄位'!$1:$1048576,'Over Under Bill 1 COPY 到CO欄位'!BP$1,0)-VLOOKUP($A106,'Over Under Bill 1 COPY 到CO欄位'!$1:$1048576,'Over Under Bill 1 COPY 到CO欄位'!BK$1,0)</f>
        <v>0</v>
      </c>
      <c r="BQ106" s="158">
        <f>VLOOKUP($A106,'Over Under Bill 1 COPY 到CO欄位'!$1:$1048576,'Over Under Bill 1 COPY 到CO欄位'!BQ$1,0)-VLOOKUP($A106,'Over Under Bill 1 COPY 到CO欄位'!$1:$1048576,'Over Under Bill 1 COPY 到CO欄位'!BL$1,0)</f>
        <v>0</v>
      </c>
      <c r="BR106" s="158">
        <f t="shared" si="140"/>
        <v>0</v>
      </c>
      <c r="BS106" s="158">
        <f>VLOOKUP($A106,'Over Under Bill 1 COPY 到CO欄位'!$1:$1048576,'Over Under Bill 1 COPY 到CO欄位'!BS$1,0)-VLOOKUP($A106,'Over Under Bill 1 COPY 到CO欄位'!$1:$1048576,'Over Under Bill 1 COPY 到CO欄位'!BN$1,0)</f>
        <v>0</v>
      </c>
      <c r="BT106" s="158">
        <f t="shared" si="141"/>
        <v>0</v>
      </c>
      <c r="BU106" s="157">
        <f>VLOOKUP($A106,'Over Under Bill 1 COPY 到CO欄位'!$1:$1048576,'Over Under Bill 1 COPY 到CO欄位'!BP$1,0)-VLOOKUP($A106,'Over Under Bill 1 COPY 到CO欄位'!$1:$1048576,'Over Under Bill 1 COPY 到CO欄位'!H$1,0)</f>
        <v>0</v>
      </c>
      <c r="BV106" s="157">
        <f>VLOOKUP($A106,'Over Under Bill 1 COPY 到CO欄位'!$1:$1048576,'Over Under Bill 1 COPY 到CO欄位'!BQ$1,0)-VLOOKUP($A106,'Over Under Bill 1 COPY 到CO欄位'!$1:$1048576,'Over Under Bill 1 COPY 到CO欄位'!I$1,0)</f>
        <v>0</v>
      </c>
      <c r="BW106" s="157">
        <f t="shared" si="142"/>
        <v>0</v>
      </c>
      <c r="BX106" s="157">
        <f>VLOOKUP($A106,'Over Under Bill 1 COPY 到CO欄位'!$1:$1048576,'Over Under Bill 1 COPY 到CO欄位'!BS$1,0)-VLOOKUP($A106,'Over Under Bill 1 COPY 到CO欄位'!$1:$1048576,'Over Under Bill 1 COPY 到CO欄位'!K$1,0)</f>
        <v>0</v>
      </c>
      <c r="BY106" s="157">
        <f t="shared" si="143"/>
        <v>0</v>
      </c>
      <c r="BZ106" s="158">
        <f>VLOOKUP($A106,'Over Under Bill 1 COPY 到CO欄位'!$1:$1048576,'Over Under Bill 1 COPY 到CO欄位'!BU$1,0)-VLOOKUP($A106,'Over Under Bill 1 COPY 到CO欄位'!$1:$1048576,'Over Under Bill 1 COPY 到CO欄位'!BP$1,0)</f>
        <v>0</v>
      </c>
      <c r="CA106" s="158">
        <f>VLOOKUP($A106,'Over Under Bill 1 COPY 到CO欄位'!$1:$1048576,'Over Under Bill 1 COPY 到CO欄位'!BV$1,0)-VLOOKUP($A106,'Over Under Bill 1 COPY 到CO欄位'!$1:$1048576,'Over Under Bill 1 COPY 到CO欄位'!BQ$1,0)</f>
        <v>0</v>
      </c>
      <c r="CB106" s="158">
        <f t="shared" si="144"/>
        <v>0</v>
      </c>
      <c r="CC106" s="158">
        <f>VLOOKUP($A106,'Over Under Bill 1 COPY 到CO欄位'!$1:$1048576,'Over Under Bill 1 COPY 到CO欄位'!BX$1,0)-VLOOKUP($A106,'Over Under Bill 1 COPY 到CO欄位'!$1:$1048576,'Over Under Bill 1 COPY 到CO欄位'!BS$1,0)</f>
        <v>0</v>
      </c>
      <c r="CD106" s="158">
        <f t="shared" si="145"/>
        <v>0</v>
      </c>
      <c r="CE106" s="157">
        <f>VLOOKUP($A106,'Over Under Bill 1 COPY 到CO欄位'!$1:$1048576,'Over Under Bill 1 COPY 到CO欄位'!BZ$1,0)-VLOOKUP($A106,'Over Under Bill 1 COPY 到CO欄位'!$1:$1048576,'Over Under Bill 1 COPY 到CO欄位'!BU$1,0)</f>
        <v>0</v>
      </c>
      <c r="CF106" s="157">
        <f>VLOOKUP($A106,'Over Under Bill 1 COPY 到CO欄位'!$1:$1048576,'Over Under Bill 1 COPY 到CO欄位'!CA$1,0)-VLOOKUP($A106,'Over Under Bill 1 COPY 到CO欄位'!$1:$1048576,'Over Under Bill 1 COPY 到CO欄位'!BV$1,0)</f>
        <v>0</v>
      </c>
      <c r="CG106" s="157">
        <f t="shared" si="146"/>
        <v>0</v>
      </c>
      <c r="CH106" s="157">
        <f>VLOOKUP($A106,'Over Under Bill 1 COPY 到CO欄位'!$1:$1048576,'Over Under Bill 1 COPY 到CO欄位'!CC$1,0)-VLOOKUP($A106,'Over Under Bill 1 COPY 到CO欄位'!$1:$1048576,'Over Under Bill 1 COPY 到CO欄位'!BX$1,0)</f>
        <v>0</v>
      </c>
      <c r="CI106" s="157">
        <f t="shared" si="147"/>
        <v>0</v>
      </c>
      <c r="CJ106" s="158">
        <f>VLOOKUP($A106,'Over Under Bill 1 COPY 到CO欄位'!$1:$1048576,'Over Under Bill 1 COPY 到CO欄位'!CE$1,0)-VLOOKUP($A106,'Over Under Bill 1 COPY 到CO欄位'!$1:$1048576,'Over Under Bill 1 COPY 到CO欄位'!BZ$1,0)</f>
        <v>0</v>
      </c>
      <c r="CK106" s="158">
        <f>VLOOKUP($A106,'Over Under Bill 1 COPY 到CO欄位'!$1:$1048576,'Over Under Bill 1 COPY 到CO欄位'!CF$1,0)-VLOOKUP($A106,'Over Under Bill 1 COPY 到CO欄位'!$1:$1048576,'Over Under Bill 1 COPY 到CO欄位'!CA$1,0)</f>
        <v>0</v>
      </c>
      <c r="CL106" s="158">
        <f t="shared" si="148"/>
        <v>0</v>
      </c>
      <c r="CM106" s="158">
        <f>VLOOKUP($A106,'Over Under Bill 1 COPY 到CO欄位'!$1:$1048576,'Over Under Bill 1 COPY 到CO欄位'!CH$1,0)-VLOOKUP($A106,'Over Under Bill 1 COPY 到CO欄位'!$1:$1048576,'Over Under Bill 1 COPY 到CO欄位'!CC$1,0)</f>
        <v>0</v>
      </c>
      <c r="CN106" s="158">
        <f t="shared" si="149"/>
        <v>0</v>
      </c>
      <c r="CO106" s="157">
        <f>VLOOKUP($A106,'Over Under Bill 1 COPY 到CO欄位'!$1:$1048576,'Over Under Bill 1 COPY 到CO欄位'!CJ$1,0)-VLOOKUP($A106,'Over Under Bill 1 COPY 到CO欄位'!$1:$1048576,'Over Under Bill 1 COPY 到CO欄位'!CE$1,0)</f>
        <v>0</v>
      </c>
      <c r="CP106" s="157">
        <f>VLOOKUP($A106,'Over Under Bill 1 COPY 到CO欄位'!$1:$1048576,'Over Under Bill 1 COPY 到CO欄位'!CK$1,0)-VLOOKUP($A106,'Over Under Bill 1 COPY 到CO欄位'!$1:$1048576,'Over Under Bill 1 COPY 到CO欄位'!CF$1,0)</f>
        <v>0</v>
      </c>
      <c r="CQ106" s="157">
        <f t="shared" si="150"/>
        <v>0</v>
      </c>
      <c r="CR106" s="157">
        <f>VLOOKUP($A106,'Over Under Bill 1 COPY 到CO欄位'!$1:$1048576,'Over Under Bill 1 COPY 到CO欄位'!CM$1,0)-VLOOKUP($A106,'Over Under Bill 1 COPY 到CO欄位'!$1:$1048576,'Over Under Bill 1 COPY 到CO欄位'!CH$1,0)</f>
        <v>0</v>
      </c>
      <c r="CS106" s="157">
        <f t="shared" si="151"/>
        <v>0</v>
      </c>
    </row>
    <row r="107" spans="1:97">
      <c r="A107" s="179" t="s">
        <v>496</v>
      </c>
      <c r="B107" s="172" t="s">
        <v>352</v>
      </c>
      <c r="C107" s="157">
        <f>IFERROR(VLOOKUP($A107,'A0 BS 1240在建'!$1:$1048576,5,0),0)</f>
        <v>0</v>
      </c>
      <c r="D107" s="157">
        <f>IFERROR(VLOOKUP($A107,'B0 2264預收'!$1:$1048576,5,0),0)</f>
        <v>0</v>
      </c>
      <c r="E107" s="157">
        <f t="shared" si="114"/>
        <v>0</v>
      </c>
      <c r="F107" s="157">
        <f>IFERROR(VLOOKUP($A107,'B0 2264預收'!$1:$1048576,6,0),0)</f>
        <v>0</v>
      </c>
      <c r="G107" s="157">
        <f t="shared" si="115"/>
        <v>0</v>
      </c>
      <c r="H107" s="158">
        <f>IFERROR(VLOOKUP($A107,'A0 BS 1240在建'!$1:$1048576,13,0),0)-C107</f>
        <v>0</v>
      </c>
      <c r="I107" s="158">
        <f>IFERROR(VLOOKUP($A107,'B0 2264預收'!$1:$1048576,13,0),0)-D107</f>
        <v>0</v>
      </c>
      <c r="J107" s="158">
        <f t="shared" si="116"/>
        <v>0</v>
      </c>
      <c r="K107" s="158">
        <f>IFERROR(VLOOKUP($A107,'B0 2264預收'!$1:$1048576,14,0),0)-F107</f>
        <v>0</v>
      </c>
      <c r="L107" s="158">
        <f t="shared" si="117"/>
        <v>0</v>
      </c>
      <c r="M107" s="157">
        <f>VLOOKUP($A107,'Over Under Bill 1 COPY 到CO欄位'!$1:$1048576,'Over Under Bill 1 COPY 到CO欄位'!M$1,0)-VLOOKUP($A107,'Over Under Bill 1 COPY 到CO欄位'!$1:$1048576,'Over Under Bill 1 COPY 到CO欄位'!H$1,0)</f>
        <v>0</v>
      </c>
      <c r="N107" s="157">
        <f>VLOOKUP($A107,'Over Under Bill 1 COPY 到CO欄位'!$1:$1048576,'Over Under Bill 1 COPY 到CO欄位'!N$1,0)-VLOOKUP($A107,'Over Under Bill 1 COPY 到CO欄位'!$1:$1048576,'Over Under Bill 1 COPY 到CO欄位'!I$1,0)</f>
        <v>0</v>
      </c>
      <c r="O107" s="157">
        <f t="shared" si="118"/>
        <v>0</v>
      </c>
      <c r="P107" s="157">
        <f>VLOOKUP($A107,'Over Under Bill 1 COPY 到CO欄位'!$1:$1048576,'Over Under Bill 1 COPY 到CO欄位'!P$1,0)-VLOOKUP($A107,'Over Under Bill 1 COPY 到CO欄位'!$1:$1048576,'Over Under Bill 1 COPY 到CO欄位'!K$1,0)</f>
        <v>0</v>
      </c>
      <c r="Q107" s="157">
        <f t="shared" si="119"/>
        <v>0</v>
      </c>
      <c r="R107" s="158">
        <f>VLOOKUP($A107,'Over Under Bill 1 COPY 到CO欄位'!$1:$1048576,'Over Under Bill 1 COPY 到CO欄位'!R$1,0)-VLOOKUP($A107,'Over Under Bill 1 COPY 到CO欄位'!$1:$1048576,'Over Under Bill 1 COPY 到CO欄位'!M$1,0)</f>
        <v>0</v>
      </c>
      <c r="S107" s="158">
        <f>VLOOKUP($A107,'Over Under Bill 1 COPY 到CO欄位'!$1:$1048576,'Over Under Bill 1 COPY 到CO欄位'!S$1,0)-VLOOKUP($A107,'Over Under Bill 1 COPY 到CO欄位'!$1:$1048576,'Over Under Bill 1 COPY 到CO欄位'!N$1,0)</f>
        <v>0</v>
      </c>
      <c r="T107" s="158">
        <f t="shared" si="120"/>
        <v>0</v>
      </c>
      <c r="U107" s="158">
        <f>VLOOKUP($A107,'Over Under Bill 1 COPY 到CO欄位'!$1:$1048576,'Over Under Bill 1 COPY 到CO欄位'!U$1,0)-VLOOKUP($A107,'Over Under Bill 1 COPY 到CO欄位'!$1:$1048576,'Over Under Bill 1 COPY 到CO欄位'!P$1,0)</f>
        <v>0</v>
      </c>
      <c r="V107" s="158">
        <f t="shared" si="121"/>
        <v>0</v>
      </c>
      <c r="W107" s="157">
        <f>VLOOKUP($A107,'Over Under Bill 1 COPY 到CO欄位'!$1:$1048576,'Over Under Bill 1 COPY 到CO欄位'!W$1,0)-VLOOKUP($A107,'Over Under Bill 1 COPY 到CO欄位'!$1:$1048576,'Over Under Bill 1 COPY 到CO欄位'!R$1,0)</f>
        <v>0</v>
      </c>
      <c r="X107" s="157">
        <f>VLOOKUP($A107,'Over Under Bill 1 COPY 到CO欄位'!$1:$1048576,'Over Under Bill 1 COPY 到CO欄位'!X$1,0)-VLOOKUP($A107,'Over Under Bill 1 COPY 到CO欄位'!$1:$1048576,'Over Under Bill 1 COPY 到CO欄位'!S$1,0)</f>
        <v>0</v>
      </c>
      <c r="Y107" s="157">
        <f t="shared" si="122"/>
        <v>0</v>
      </c>
      <c r="Z107" s="157">
        <f>VLOOKUP($A107,'Over Under Bill 1 COPY 到CO欄位'!$1:$1048576,'Over Under Bill 1 COPY 到CO欄位'!Z$1,0)-VLOOKUP($A107,'Over Under Bill 1 COPY 到CO欄位'!$1:$1048576,'Over Under Bill 1 COPY 到CO欄位'!U$1,0)</f>
        <v>0</v>
      </c>
      <c r="AA107" s="157">
        <f t="shared" si="123"/>
        <v>0</v>
      </c>
      <c r="AB107" s="158">
        <f>VLOOKUP($A107,'Over Under Bill 1 COPY 到CO欄位'!$1:$1048576,'Over Under Bill 1 COPY 到CO欄位'!AB$1,0)-VLOOKUP($A107,'Over Under Bill 1 COPY 到CO欄位'!$1:$1048576,'Over Under Bill 1 COPY 到CO欄位'!W$1,0)</f>
        <v>0</v>
      </c>
      <c r="AC107" s="158">
        <f>VLOOKUP($A107,'Over Under Bill 1 COPY 到CO欄位'!$1:$1048576,'Over Under Bill 1 COPY 到CO欄位'!AC$1,0)-VLOOKUP($A107,'Over Under Bill 1 COPY 到CO欄位'!$1:$1048576,'Over Under Bill 1 COPY 到CO欄位'!X$1,0)</f>
        <v>0</v>
      </c>
      <c r="AD107" s="158">
        <f t="shared" si="124"/>
        <v>0</v>
      </c>
      <c r="AE107" s="158">
        <f>VLOOKUP($A107,'Over Under Bill 1 COPY 到CO欄位'!$1:$1048576,'Over Under Bill 1 COPY 到CO欄位'!AE$1,0)-VLOOKUP($A107,'Over Under Bill 1 COPY 到CO欄位'!$1:$1048576,'Over Under Bill 1 COPY 到CO欄位'!Z$1,0)</f>
        <v>0</v>
      </c>
      <c r="AF107" s="158">
        <f t="shared" si="125"/>
        <v>0</v>
      </c>
      <c r="AG107" s="157">
        <f>VLOOKUP($A107,'Over Under Bill 1 COPY 到CO欄位'!$1:$1048576,'Over Under Bill 1 COPY 到CO欄位'!AG$1,0)-VLOOKUP($A107,'Over Under Bill 1 COPY 到CO欄位'!$1:$1048576,'Over Under Bill 1 COPY 到CO欄位'!AB$1,0)</f>
        <v>0</v>
      </c>
      <c r="AH107" s="157">
        <f>VLOOKUP($A107,'Over Under Bill 1 COPY 到CO欄位'!$1:$1048576,'Over Under Bill 1 COPY 到CO欄位'!AH$1,0)-VLOOKUP($A107,'Over Under Bill 1 COPY 到CO欄位'!$1:$1048576,'Over Under Bill 1 COPY 到CO欄位'!AC$1,0)</f>
        <v>0</v>
      </c>
      <c r="AI107" s="157">
        <f t="shared" si="126"/>
        <v>0</v>
      </c>
      <c r="AJ107" s="157">
        <f>VLOOKUP($A107,'Over Under Bill 1 COPY 到CO欄位'!$1:$1048576,'Over Under Bill 1 COPY 到CO欄位'!AJ$1,0)-VLOOKUP($A107,'Over Under Bill 1 COPY 到CO欄位'!$1:$1048576,'Over Under Bill 1 COPY 到CO欄位'!AE$1,0)</f>
        <v>0</v>
      </c>
      <c r="AK107" s="157">
        <f t="shared" si="127"/>
        <v>0</v>
      </c>
      <c r="AL107" s="158">
        <f>VLOOKUP($A107,'Over Under Bill 1 COPY 到CO欄位'!$1:$1048576,'Over Under Bill 1 COPY 到CO欄位'!AL$1,0)-VLOOKUP($A107,'Over Under Bill 1 COPY 到CO欄位'!$1:$1048576,'Over Under Bill 1 COPY 到CO欄位'!AG$1,0)</f>
        <v>0</v>
      </c>
      <c r="AM107" s="158">
        <f>VLOOKUP($A107,'Over Under Bill 1 COPY 到CO欄位'!$1:$1048576,'Over Under Bill 1 COPY 到CO欄位'!AM$1,0)-VLOOKUP($A107,'Over Under Bill 1 COPY 到CO欄位'!$1:$1048576,'Over Under Bill 1 COPY 到CO欄位'!AH$1,0)</f>
        <v>0</v>
      </c>
      <c r="AN107" s="158">
        <f t="shared" si="128"/>
        <v>0</v>
      </c>
      <c r="AO107" s="158">
        <f>VLOOKUP($A107,'Over Under Bill 1 COPY 到CO欄位'!$1:$1048576,'Over Under Bill 1 COPY 到CO欄位'!AO$1,0)-VLOOKUP($A107,'Over Under Bill 1 COPY 到CO欄位'!$1:$1048576,'Over Under Bill 1 COPY 到CO欄位'!AJ$1,0)</f>
        <v>0</v>
      </c>
      <c r="AP107" s="158">
        <f t="shared" si="129"/>
        <v>0</v>
      </c>
      <c r="AQ107" s="157">
        <f>VLOOKUP($A107,'Over Under Bill 1 COPY 到CO欄位'!$1:$1048576,'Over Under Bill 1 COPY 到CO欄位'!AQ$1,0)-VLOOKUP($A107,'Over Under Bill 1 COPY 到CO欄位'!$1:$1048576,'Over Under Bill 1 COPY 到CO欄位'!AL$1,0)</f>
        <v>0</v>
      </c>
      <c r="AR107" s="157">
        <f>VLOOKUP($A107,'Over Under Bill 1 COPY 到CO欄位'!$1:$1048576,'Over Under Bill 1 COPY 到CO欄位'!AR$1,0)-VLOOKUP($A107,'Over Under Bill 1 COPY 到CO欄位'!$1:$1048576,'Over Under Bill 1 COPY 到CO欄位'!AM$1,0)</f>
        <v>0</v>
      </c>
      <c r="AS107" s="157">
        <f t="shared" si="130"/>
        <v>0</v>
      </c>
      <c r="AT107" s="157">
        <f>VLOOKUP($A107,'Over Under Bill 1 COPY 到CO欄位'!$1:$1048576,'Over Under Bill 1 COPY 到CO欄位'!AT$1,0)-VLOOKUP($A107,'Over Under Bill 1 COPY 到CO欄位'!$1:$1048576,'Over Under Bill 1 COPY 到CO欄位'!AO$1,0)</f>
        <v>0</v>
      </c>
      <c r="AU107" s="157">
        <f t="shared" si="131"/>
        <v>0</v>
      </c>
      <c r="AV107" s="158">
        <f>VLOOKUP($A107,'Over Under Bill 1 COPY 到CO欄位'!$1:$1048576,'Over Under Bill 1 COPY 到CO欄位'!AV$1,0)-VLOOKUP($A107,'Over Under Bill 1 COPY 到CO欄位'!$1:$1048576,'Over Under Bill 1 COPY 到CO欄位'!AQ$1,0)</f>
        <v>0</v>
      </c>
      <c r="AW107" s="158">
        <f>VLOOKUP($A107,'Over Under Bill 1 COPY 到CO欄位'!$1:$1048576,'Over Under Bill 1 COPY 到CO欄位'!AW$1,0)-VLOOKUP($A107,'Over Under Bill 1 COPY 到CO欄位'!$1:$1048576,'Over Under Bill 1 COPY 到CO欄位'!AR$1,0)</f>
        <v>0</v>
      </c>
      <c r="AX107" s="158">
        <f t="shared" si="132"/>
        <v>0</v>
      </c>
      <c r="AY107" s="158">
        <f>VLOOKUP($A107,'Over Under Bill 1 COPY 到CO欄位'!$1:$1048576,'Over Under Bill 1 COPY 到CO欄位'!AY$1,0)-VLOOKUP($A107,'Over Under Bill 1 COPY 到CO欄位'!$1:$1048576,'Over Under Bill 1 COPY 到CO欄位'!AT$1,0)</f>
        <v>0</v>
      </c>
      <c r="AZ107" s="158">
        <f t="shared" si="133"/>
        <v>0</v>
      </c>
      <c r="BA107" s="157">
        <f>VLOOKUP($A107,'Over Under Bill 1 COPY 到CO欄位'!$1:$1048576,'Over Under Bill 1 COPY 到CO欄位'!BA$1,0)-VLOOKUP($A107,'Over Under Bill 1 COPY 到CO欄位'!$1:$1048576,'Over Under Bill 1 COPY 到CO欄位'!AV$1,0)</f>
        <v>0</v>
      </c>
      <c r="BB107" s="157">
        <f>VLOOKUP($A107,'Over Under Bill 1 COPY 到CO欄位'!$1:$1048576,'Over Under Bill 1 COPY 到CO欄位'!BB$1,0)-VLOOKUP($A107,'Over Under Bill 1 COPY 到CO欄位'!$1:$1048576,'Over Under Bill 1 COPY 到CO欄位'!AW$1,0)</f>
        <v>0</v>
      </c>
      <c r="BC107" s="157">
        <f t="shared" si="134"/>
        <v>0</v>
      </c>
      <c r="BD107" s="157">
        <f>VLOOKUP($A107,'Over Under Bill 1 COPY 到CO欄位'!$1:$1048576,'Over Under Bill 1 COPY 到CO欄位'!BD$1,0)-VLOOKUP($A107,'Over Under Bill 1 COPY 到CO欄位'!$1:$1048576,'Over Under Bill 1 COPY 到CO欄位'!AY$1,0)</f>
        <v>0</v>
      </c>
      <c r="BE107" s="157">
        <f t="shared" si="135"/>
        <v>0</v>
      </c>
      <c r="BF107" s="158">
        <f>VLOOKUP($A107,'Over Under Bill 1 COPY 到CO欄位'!$1:$1048576,'Over Under Bill 1 COPY 到CO欄位'!BF$1,0)-VLOOKUP($A107,'Over Under Bill 1 COPY 到CO欄位'!$1:$1048576,'Over Under Bill 1 COPY 到CO欄位'!BA$1,0)</f>
        <v>0</v>
      </c>
      <c r="BG107" s="158">
        <f>VLOOKUP($A107,'Over Under Bill 1 COPY 到CO欄位'!$1:$1048576,'Over Under Bill 1 COPY 到CO欄位'!BG$1,0)-VLOOKUP($A107,'Over Under Bill 1 COPY 到CO欄位'!$1:$1048576,'Over Under Bill 1 COPY 到CO欄位'!BB$1,0)</f>
        <v>0</v>
      </c>
      <c r="BH107" s="158">
        <f t="shared" si="136"/>
        <v>0</v>
      </c>
      <c r="BI107" s="158">
        <f>VLOOKUP($A107,'Over Under Bill 1 COPY 到CO欄位'!$1:$1048576,'Over Under Bill 1 COPY 到CO欄位'!BI$1,0)-VLOOKUP($A107,'Over Under Bill 1 COPY 到CO欄位'!$1:$1048576,'Over Under Bill 1 COPY 到CO欄位'!BD$1,0)</f>
        <v>0</v>
      </c>
      <c r="BJ107" s="158">
        <f t="shared" si="137"/>
        <v>0</v>
      </c>
      <c r="BK107" s="157">
        <f>VLOOKUP($A107,'Over Under Bill 1 COPY 到CO欄位'!$1:$1048576,'Over Under Bill 1 COPY 到CO欄位'!BK$1,0)-VLOOKUP($A107,'Over Under Bill 1 COPY 到CO欄位'!$1:$1048576,'Over Under Bill 1 COPY 到CO欄位'!BF$1,0)</f>
        <v>0</v>
      </c>
      <c r="BL107" s="157">
        <f>VLOOKUP($A107,'Over Under Bill 1 COPY 到CO欄位'!$1:$1048576,'Over Under Bill 1 COPY 到CO欄位'!BL$1,0)-VLOOKUP($A107,'Over Under Bill 1 COPY 到CO欄位'!$1:$1048576,'Over Under Bill 1 COPY 到CO欄位'!BG$1,0)</f>
        <v>0</v>
      </c>
      <c r="BM107" s="157">
        <f t="shared" si="138"/>
        <v>0</v>
      </c>
      <c r="BN107" s="157">
        <f>VLOOKUP($A107,'Over Under Bill 1 COPY 到CO欄位'!$1:$1048576,'Over Under Bill 1 COPY 到CO欄位'!BN$1,0)-VLOOKUP($A107,'Over Under Bill 1 COPY 到CO欄位'!$1:$1048576,'Over Under Bill 1 COPY 到CO欄位'!BI$1,0)</f>
        <v>0</v>
      </c>
      <c r="BO107" s="157">
        <f t="shared" si="139"/>
        <v>0</v>
      </c>
      <c r="BP107" s="158">
        <f>VLOOKUP($A107,'Over Under Bill 1 COPY 到CO欄位'!$1:$1048576,'Over Under Bill 1 COPY 到CO欄位'!BP$1,0)-VLOOKUP($A107,'Over Under Bill 1 COPY 到CO欄位'!$1:$1048576,'Over Under Bill 1 COPY 到CO欄位'!BK$1,0)</f>
        <v>0</v>
      </c>
      <c r="BQ107" s="158">
        <f>VLOOKUP($A107,'Over Under Bill 1 COPY 到CO欄位'!$1:$1048576,'Over Under Bill 1 COPY 到CO欄位'!BQ$1,0)-VLOOKUP($A107,'Over Under Bill 1 COPY 到CO欄位'!$1:$1048576,'Over Under Bill 1 COPY 到CO欄位'!BL$1,0)</f>
        <v>0</v>
      </c>
      <c r="BR107" s="158">
        <f t="shared" si="140"/>
        <v>0</v>
      </c>
      <c r="BS107" s="158">
        <f>VLOOKUP($A107,'Over Under Bill 1 COPY 到CO欄位'!$1:$1048576,'Over Under Bill 1 COPY 到CO欄位'!BS$1,0)-VLOOKUP($A107,'Over Under Bill 1 COPY 到CO欄位'!$1:$1048576,'Over Under Bill 1 COPY 到CO欄位'!BN$1,0)</f>
        <v>0</v>
      </c>
      <c r="BT107" s="158">
        <f t="shared" si="141"/>
        <v>0</v>
      </c>
      <c r="BU107" s="157">
        <f>VLOOKUP($A107,'Over Under Bill 1 COPY 到CO欄位'!$1:$1048576,'Over Under Bill 1 COPY 到CO欄位'!BP$1,0)-VLOOKUP($A107,'Over Under Bill 1 COPY 到CO欄位'!$1:$1048576,'Over Under Bill 1 COPY 到CO欄位'!H$1,0)</f>
        <v>0</v>
      </c>
      <c r="BV107" s="157">
        <f>VLOOKUP($A107,'Over Under Bill 1 COPY 到CO欄位'!$1:$1048576,'Over Under Bill 1 COPY 到CO欄位'!BQ$1,0)-VLOOKUP($A107,'Over Under Bill 1 COPY 到CO欄位'!$1:$1048576,'Over Under Bill 1 COPY 到CO欄位'!I$1,0)</f>
        <v>0</v>
      </c>
      <c r="BW107" s="157">
        <f t="shared" si="142"/>
        <v>0</v>
      </c>
      <c r="BX107" s="157">
        <f>VLOOKUP($A107,'Over Under Bill 1 COPY 到CO欄位'!$1:$1048576,'Over Under Bill 1 COPY 到CO欄位'!BS$1,0)-VLOOKUP($A107,'Over Under Bill 1 COPY 到CO欄位'!$1:$1048576,'Over Under Bill 1 COPY 到CO欄位'!K$1,0)</f>
        <v>0</v>
      </c>
      <c r="BY107" s="157">
        <f t="shared" si="143"/>
        <v>0</v>
      </c>
      <c r="BZ107" s="158">
        <f>VLOOKUP($A107,'Over Under Bill 1 COPY 到CO欄位'!$1:$1048576,'Over Under Bill 1 COPY 到CO欄位'!BU$1,0)-VLOOKUP($A107,'Over Under Bill 1 COPY 到CO欄位'!$1:$1048576,'Over Under Bill 1 COPY 到CO欄位'!BP$1,0)</f>
        <v>0</v>
      </c>
      <c r="CA107" s="158">
        <f>VLOOKUP($A107,'Over Under Bill 1 COPY 到CO欄位'!$1:$1048576,'Over Under Bill 1 COPY 到CO欄位'!BV$1,0)-VLOOKUP($A107,'Over Under Bill 1 COPY 到CO欄位'!$1:$1048576,'Over Under Bill 1 COPY 到CO欄位'!BQ$1,0)</f>
        <v>0</v>
      </c>
      <c r="CB107" s="158">
        <f t="shared" si="144"/>
        <v>0</v>
      </c>
      <c r="CC107" s="158">
        <f>VLOOKUP($A107,'Over Under Bill 1 COPY 到CO欄位'!$1:$1048576,'Over Under Bill 1 COPY 到CO欄位'!BX$1,0)-VLOOKUP($A107,'Over Under Bill 1 COPY 到CO欄位'!$1:$1048576,'Over Under Bill 1 COPY 到CO欄位'!BS$1,0)</f>
        <v>0</v>
      </c>
      <c r="CD107" s="158">
        <f t="shared" si="145"/>
        <v>0</v>
      </c>
      <c r="CE107" s="157">
        <f>VLOOKUP($A107,'Over Under Bill 1 COPY 到CO欄位'!$1:$1048576,'Over Under Bill 1 COPY 到CO欄位'!BZ$1,0)-VLOOKUP($A107,'Over Under Bill 1 COPY 到CO欄位'!$1:$1048576,'Over Under Bill 1 COPY 到CO欄位'!BU$1,0)</f>
        <v>0</v>
      </c>
      <c r="CF107" s="157">
        <f>VLOOKUP($A107,'Over Under Bill 1 COPY 到CO欄位'!$1:$1048576,'Over Under Bill 1 COPY 到CO欄位'!CA$1,0)-VLOOKUP($A107,'Over Under Bill 1 COPY 到CO欄位'!$1:$1048576,'Over Under Bill 1 COPY 到CO欄位'!BV$1,0)</f>
        <v>0</v>
      </c>
      <c r="CG107" s="157">
        <f t="shared" si="146"/>
        <v>0</v>
      </c>
      <c r="CH107" s="157">
        <f>VLOOKUP($A107,'Over Under Bill 1 COPY 到CO欄位'!$1:$1048576,'Over Under Bill 1 COPY 到CO欄位'!CC$1,0)-VLOOKUP($A107,'Over Under Bill 1 COPY 到CO欄位'!$1:$1048576,'Over Under Bill 1 COPY 到CO欄位'!BX$1,0)</f>
        <v>0</v>
      </c>
      <c r="CI107" s="157">
        <f t="shared" si="147"/>
        <v>0</v>
      </c>
      <c r="CJ107" s="158">
        <f>VLOOKUP($A107,'Over Under Bill 1 COPY 到CO欄位'!$1:$1048576,'Over Under Bill 1 COPY 到CO欄位'!CE$1,0)-VLOOKUP($A107,'Over Under Bill 1 COPY 到CO欄位'!$1:$1048576,'Over Under Bill 1 COPY 到CO欄位'!BZ$1,0)</f>
        <v>0</v>
      </c>
      <c r="CK107" s="158">
        <f>VLOOKUP($A107,'Over Under Bill 1 COPY 到CO欄位'!$1:$1048576,'Over Under Bill 1 COPY 到CO欄位'!CF$1,0)-VLOOKUP($A107,'Over Under Bill 1 COPY 到CO欄位'!$1:$1048576,'Over Under Bill 1 COPY 到CO欄位'!CA$1,0)</f>
        <v>0</v>
      </c>
      <c r="CL107" s="158">
        <f t="shared" si="148"/>
        <v>0</v>
      </c>
      <c r="CM107" s="158">
        <f>VLOOKUP($A107,'Over Under Bill 1 COPY 到CO欄位'!$1:$1048576,'Over Under Bill 1 COPY 到CO欄位'!CH$1,0)-VLOOKUP($A107,'Over Under Bill 1 COPY 到CO欄位'!$1:$1048576,'Over Under Bill 1 COPY 到CO欄位'!CC$1,0)</f>
        <v>0</v>
      </c>
      <c r="CN107" s="158">
        <f t="shared" si="149"/>
        <v>0</v>
      </c>
      <c r="CO107" s="157">
        <f>VLOOKUP($A107,'Over Under Bill 1 COPY 到CO欄位'!$1:$1048576,'Over Under Bill 1 COPY 到CO欄位'!CJ$1,0)-VLOOKUP($A107,'Over Under Bill 1 COPY 到CO欄位'!$1:$1048576,'Over Under Bill 1 COPY 到CO欄位'!CE$1,0)</f>
        <v>0</v>
      </c>
      <c r="CP107" s="157">
        <f>VLOOKUP($A107,'Over Under Bill 1 COPY 到CO欄位'!$1:$1048576,'Over Under Bill 1 COPY 到CO欄位'!CK$1,0)-VLOOKUP($A107,'Over Under Bill 1 COPY 到CO欄位'!$1:$1048576,'Over Under Bill 1 COPY 到CO欄位'!CF$1,0)</f>
        <v>0</v>
      </c>
      <c r="CQ107" s="157">
        <f t="shared" si="150"/>
        <v>0</v>
      </c>
      <c r="CR107" s="157">
        <f>VLOOKUP($A107,'Over Under Bill 1 COPY 到CO欄位'!$1:$1048576,'Over Under Bill 1 COPY 到CO欄位'!CM$1,0)-VLOOKUP($A107,'Over Under Bill 1 COPY 到CO欄位'!$1:$1048576,'Over Under Bill 1 COPY 到CO欄位'!CH$1,0)</f>
        <v>0</v>
      </c>
      <c r="CS107" s="157">
        <f t="shared" si="151"/>
        <v>0</v>
      </c>
    </row>
    <row r="108" spans="1:97">
      <c r="A108" s="175" t="s">
        <v>497</v>
      </c>
      <c r="B108" s="175" t="s">
        <v>498</v>
      </c>
      <c r="C108" s="157">
        <f>IFERROR(VLOOKUP($A108,'A0 BS 1240在建'!$1:$1048576,5,0),0)</f>
        <v>0</v>
      </c>
      <c r="D108" s="157">
        <f>IFERROR(VLOOKUP($A108,'B0 2264預收'!$1:$1048576,5,0),0)</f>
        <v>0</v>
      </c>
      <c r="E108" s="157">
        <f t="shared" si="114"/>
        <v>0</v>
      </c>
      <c r="F108" s="157">
        <f>IFERROR(VLOOKUP($A108,'B0 2264預收'!$1:$1048576,6,0),0)</f>
        <v>0</v>
      </c>
      <c r="G108" s="157">
        <f t="shared" si="115"/>
        <v>0</v>
      </c>
      <c r="H108" s="158">
        <f>IFERROR(VLOOKUP($A108,'A0 BS 1240在建'!$1:$1048576,13,0),0)-C108</f>
        <v>0</v>
      </c>
      <c r="I108" s="158">
        <f>IFERROR(VLOOKUP($A108,'B0 2264預收'!$1:$1048576,13,0),0)-D108</f>
        <v>0</v>
      </c>
      <c r="J108" s="158">
        <f t="shared" si="116"/>
        <v>0</v>
      </c>
      <c r="K108" s="158">
        <f>IFERROR(VLOOKUP($A108,'B0 2264預收'!$1:$1048576,14,0),0)-F108</f>
        <v>0</v>
      </c>
      <c r="L108" s="158">
        <f t="shared" si="117"/>
        <v>0</v>
      </c>
      <c r="M108" s="157">
        <f>VLOOKUP($A108,'Over Under Bill 1 COPY 到CO欄位'!$1:$1048576,'Over Under Bill 1 COPY 到CO欄位'!M$1,0)-VLOOKUP($A108,'Over Under Bill 1 COPY 到CO欄位'!$1:$1048576,'Over Under Bill 1 COPY 到CO欄位'!H$1,0)</f>
        <v>0</v>
      </c>
      <c r="N108" s="157">
        <f>VLOOKUP($A108,'Over Under Bill 1 COPY 到CO欄位'!$1:$1048576,'Over Under Bill 1 COPY 到CO欄位'!N$1,0)-VLOOKUP($A108,'Over Under Bill 1 COPY 到CO欄位'!$1:$1048576,'Over Under Bill 1 COPY 到CO欄位'!I$1,0)</f>
        <v>0</v>
      </c>
      <c r="O108" s="157">
        <f t="shared" si="118"/>
        <v>0</v>
      </c>
      <c r="P108" s="157">
        <f>VLOOKUP($A108,'Over Under Bill 1 COPY 到CO欄位'!$1:$1048576,'Over Under Bill 1 COPY 到CO欄位'!P$1,0)-VLOOKUP($A108,'Over Under Bill 1 COPY 到CO欄位'!$1:$1048576,'Over Under Bill 1 COPY 到CO欄位'!K$1,0)</f>
        <v>0</v>
      </c>
      <c r="Q108" s="157">
        <f t="shared" si="119"/>
        <v>0</v>
      </c>
      <c r="R108" s="158">
        <f>VLOOKUP($A108,'Over Under Bill 1 COPY 到CO欄位'!$1:$1048576,'Over Under Bill 1 COPY 到CO欄位'!R$1,0)-VLOOKUP($A108,'Over Under Bill 1 COPY 到CO欄位'!$1:$1048576,'Over Under Bill 1 COPY 到CO欄位'!M$1,0)</f>
        <v>0</v>
      </c>
      <c r="S108" s="158">
        <f>VLOOKUP($A108,'Over Under Bill 1 COPY 到CO欄位'!$1:$1048576,'Over Under Bill 1 COPY 到CO欄位'!S$1,0)-VLOOKUP($A108,'Over Under Bill 1 COPY 到CO欄位'!$1:$1048576,'Over Under Bill 1 COPY 到CO欄位'!N$1,0)</f>
        <v>0</v>
      </c>
      <c r="T108" s="158">
        <f t="shared" si="120"/>
        <v>0</v>
      </c>
      <c r="U108" s="158">
        <f>VLOOKUP($A108,'Over Under Bill 1 COPY 到CO欄位'!$1:$1048576,'Over Under Bill 1 COPY 到CO欄位'!U$1,0)-VLOOKUP($A108,'Over Under Bill 1 COPY 到CO欄位'!$1:$1048576,'Over Under Bill 1 COPY 到CO欄位'!P$1,0)</f>
        <v>0</v>
      </c>
      <c r="V108" s="158">
        <f t="shared" si="121"/>
        <v>0</v>
      </c>
      <c r="W108" s="157">
        <f>VLOOKUP($A108,'Over Under Bill 1 COPY 到CO欄位'!$1:$1048576,'Over Under Bill 1 COPY 到CO欄位'!W$1,0)-VLOOKUP($A108,'Over Under Bill 1 COPY 到CO欄位'!$1:$1048576,'Over Under Bill 1 COPY 到CO欄位'!R$1,0)</f>
        <v>0</v>
      </c>
      <c r="X108" s="157">
        <f>VLOOKUP($A108,'Over Under Bill 1 COPY 到CO欄位'!$1:$1048576,'Over Under Bill 1 COPY 到CO欄位'!X$1,0)-VLOOKUP($A108,'Over Under Bill 1 COPY 到CO欄位'!$1:$1048576,'Over Under Bill 1 COPY 到CO欄位'!S$1,0)</f>
        <v>0</v>
      </c>
      <c r="Y108" s="157">
        <f t="shared" si="122"/>
        <v>0</v>
      </c>
      <c r="Z108" s="157">
        <f>VLOOKUP($A108,'Over Under Bill 1 COPY 到CO欄位'!$1:$1048576,'Over Under Bill 1 COPY 到CO欄位'!Z$1,0)-VLOOKUP($A108,'Over Under Bill 1 COPY 到CO欄位'!$1:$1048576,'Over Under Bill 1 COPY 到CO欄位'!U$1,0)</f>
        <v>0</v>
      </c>
      <c r="AA108" s="157">
        <f t="shared" si="123"/>
        <v>0</v>
      </c>
      <c r="AB108" s="158">
        <f>VLOOKUP($A108,'Over Under Bill 1 COPY 到CO欄位'!$1:$1048576,'Over Under Bill 1 COPY 到CO欄位'!AB$1,0)-VLOOKUP($A108,'Over Under Bill 1 COPY 到CO欄位'!$1:$1048576,'Over Under Bill 1 COPY 到CO欄位'!W$1,0)</f>
        <v>0</v>
      </c>
      <c r="AC108" s="158">
        <f>VLOOKUP($A108,'Over Under Bill 1 COPY 到CO欄位'!$1:$1048576,'Over Under Bill 1 COPY 到CO欄位'!AC$1,0)-VLOOKUP($A108,'Over Under Bill 1 COPY 到CO欄位'!$1:$1048576,'Over Under Bill 1 COPY 到CO欄位'!X$1,0)</f>
        <v>0</v>
      </c>
      <c r="AD108" s="158">
        <f t="shared" si="124"/>
        <v>0</v>
      </c>
      <c r="AE108" s="158">
        <f>VLOOKUP($A108,'Over Under Bill 1 COPY 到CO欄位'!$1:$1048576,'Over Under Bill 1 COPY 到CO欄位'!AE$1,0)-VLOOKUP($A108,'Over Under Bill 1 COPY 到CO欄位'!$1:$1048576,'Over Under Bill 1 COPY 到CO欄位'!Z$1,0)</f>
        <v>0</v>
      </c>
      <c r="AF108" s="158">
        <f t="shared" si="125"/>
        <v>0</v>
      </c>
      <c r="AG108" s="157">
        <f>VLOOKUP($A108,'Over Under Bill 1 COPY 到CO欄位'!$1:$1048576,'Over Under Bill 1 COPY 到CO欄位'!AG$1,0)-VLOOKUP($A108,'Over Under Bill 1 COPY 到CO欄位'!$1:$1048576,'Over Under Bill 1 COPY 到CO欄位'!AB$1,0)</f>
        <v>0</v>
      </c>
      <c r="AH108" s="157">
        <f>VLOOKUP($A108,'Over Under Bill 1 COPY 到CO欄位'!$1:$1048576,'Over Under Bill 1 COPY 到CO欄位'!AH$1,0)-VLOOKUP($A108,'Over Under Bill 1 COPY 到CO欄位'!$1:$1048576,'Over Under Bill 1 COPY 到CO欄位'!AC$1,0)</f>
        <v>0</v>
      </c>
      <c r="AI108" s="157">
        <f t="shared" si="126"/>
        <v>0</v>
      </c>
      <c r="AJ108" s="157">
        <f>VLOOKUP($A108,'Over Under Bill 1 COPY 到CO欄位'!$1:$1048576,'Over Under Bill 1 COPY 到CO欄位'!AJ$1,0)-VLOOKUP($A108,'Over Under Bill 1 COPY 到CO欄位'!$1:$1048576,'Over Under Bill 1 COPY 到CO欄位'!AE$1,0)</f>
        <v>0</v>
      </c>
      <c r="AK108" s="157">
        <f t="shared" si="127"/>
        <v>0</v>
      </c>
      <c r="AL108" s="158">
        <f>VLOOKUP($A108,'Over Under Bill 1 COPY 到CO欄位'!$1:$1048576,'Over Under Bill 1 COPY 到CO欄位'!AL$1,0)-VLOOKUP($A108,'Over Under Bill 1 COPY 到CO欄位'!$1:$1048576,'Over Under Bill 1 COPY 到CO欄位'!AG$1,0)</f>
        <v>0</v>
      </c>
      <c r="AM108" s="158">
        <f>VLOOKUP($A108,'Over Under Bill 1 COPY 到CO欄位'!$1:$1048576,'Over Under Bill 1 COPY 到CO欄位'!AM$1,0)-VLOOKUP($A108,'Over Under Bill 1 COPY 到CO欄位'!$1:$1048576,'Over Under Bill 1 COPY 到CO欄位'!AH$1,0)</f>
        <v>0</v>
      </c>
      <c r="AN108" s="158">
        <f t="shared" si="128"/>
        <v>0</v>
      </c>
      <c r="AO108" s="158">
        <f>VLOOKUP($A108,'Over Under Bill 1 COPY 到CO欄位'!$1:$1048576,'Over Under Bill 1 COPY 到CO欄位'!AO$1,0)-VLOOKUP($A108,'Over Under Bill 1 COPY 到CO欄位'!$1:$1048576,'Over Under Bill 1 COPY 到CO欄位'!AJ$1,0)</f>
        <v>0</v>
      </c>
      <c r="AP108" s="158">
        <f t="shared" si="129"/>
        <v>0</v>
      </c>
      <c r="AQ108" s="157">
        <f>VLOOKUP($A108,'Over Under Bill 1 COPY 到CO欄位'!$1:$1048576,'Over Under Bill 1 COPY 到CO欄位'!AQ$1,0)-VLOOKUP($A108,'Over Under Bill 1 COPY 到CO欄位'!$1:$1048576,'Over Under Bill 1 COPY 到CO欄位'!AL$1,0)</f>
        <v>0</v>
      </c>
      <c r="AR108" s="157">
        <f>VLOOKUP($A108,'Over Under Bill 1 COPY 到CO欄位'!$1:$1048576,'Over Under Bill 1 COPY 到CO欄位'!AR$1,0)-VLOOKUP($A108,'Over Under Bill 1 COPY 到CO欄位'!$1:$1048576,'Over Under Bill 1 COPY 到CO欄位'!AM$1,0)</f>
        <v>0</v>
      </c>
      <c r="AS108" s="157">
        <f t="shared" si="130"/>
        <v>0</v>
      </c>
      <c r="AT108" s="157">
        <f>VLOOKUP($A108,'Over Under Bill 1 COPY 到CO欄位'!$1:$1048576,'Over Under Bill 1 COPY 到CO欄位'!AT$1,0)-VLOOKUP($A108,'Over Under Bill 1 COPY 到CO欄位'!$1:$1048576,'Over Under Bill 1 COPY 到CO欄位'!AO$1,0)</f>
        <v>0</v>
      </c>
      <c r="AU108" s="157">
        <f t="shared" si="131"/>
        <v>0</v>
      </c>
      <c r="AV108" s="158">
        <f>VLOOKUP($A108,'Over Under Bill 1 COPY 到CO欄位'!$1:$1048576,'Over Under Bill 1 COPY 到CO欄位'!AV$1,0)-VLOOKUP($A108,'Over Under Bill 1 COPY 到CO欄位'!$1:$1048576,'Over Under Bill 1 COPY 到CO欄位'!AQ$1,0)</f>
        <v>0</v>
      </c>
      <c r="AW108" s="158">
        <f>VLOOKUP($A108,'Over Under Bill 1 COPY 到CO欄位'!$1:$1048576,'Over Under Bill 1 COPY 到CO欄位'!AW$1,0)-VLOOKUP($A108,'Over Under Bill 1 COPY 到CO欄位'!$1:$1048576,'Over Under Bill 1 COPY 到CO欄位'!AR$1,0)</f>
        <v>0</v>
      </c>
      <c r="AX108" s="158">
        <f t="shared" si="132"/>
        <v>0</v>
      </c>
      <c r="AY108" s="158">
        <f>VLOOKUP($A108,'Over Under Bill 1 COPY 到CO欄位'!$1:$1048576,'Over Under Bill 1 COPY 到CO欄位'!AY$1,0)-VLOOKUP($A108,'Over Under Bill 1 COPY 到CO欄位'!$1:$1048576,'Over Under Bill 1 COPY 到CO欄位'!AT$1,0)</f>
        <v>0</v>
      </c>
      <c r="AZ108" s="158">
        <f t="shared" si="133"/>
        <v>0</v>
      </c>
      <c r="BA108" s="157">
        <f>VLOOKUP($A108,'Over Under Bill 1 COPY 到CO欄位'!$1:$1048576,'Over Under Bill 1 COPY 到CO欄位'!BA$1,0)-VLOOKUP($A108,'Over Under Bill 1 COPY 到CO欄位'!$1:$1048576,'Over Under Bill 1 COPY 到CO欄位'!AV$1,0)</f>
        <v>0</v>
      </c>
      <c r="BB108" s="157">
        <f>VLOOKUP($A108,'Over Under Bill 1 COPY 到CO欄位'!$1:$1048576,'Over Under Bill 1 COPY 到CO欄位'!BB$1,0)-VLOOKUP($A108,'Over Under Bill 1 COPY 到CO欄位'!$1:$1048576,'Over Under Bill 1 COPY 到CO欄位'!AW$1,0)</f>
        <v>0</v>
      </c>
      <c r="BC108" s="157">
        <f t="shared" si="134"/>
        <v>0</v>
      </c>
      <c r="BD108" s="157">
        <f>VLOOKUP($A108,'Over Under Bill 1 COPY 到CO欄位'!$1:$1048576,'Over Under Bill 1 COPY 到CO欄位'!BD$1,0)-VLOOKUP($A108,'Over Under Bill 1 COPY 到CO欄位'!$1:$1048576,'Over Under Bill 1 COPY 到CO欄位'!AY$1,0)</f>
        <v>0</v>
      </c>
      <c r="BE108" s="157">
        <f t="shared" si="135"/>
        <v>0</v>
      </c>
      <c r="BF108" s="158">
        <f>VLOOKUP($A108,'Over Under Bill 1 COPY 到CO欄位'!$1:$1048576,'Over Under Bill 1 COPY 到CO欄位'!BF$1,0)-VLOOKUP($A108,'Over Under Bill 1 COPY 到CO欄位'!$1:$1048576,'Over Under Bill 1 COPY 到CO欄位'!BA$1,0)</f>
        <v>0</v>
      </c>
      <c r="BG108" s="158">
        <f>VLOOKUP($A108,'Over Under Bill 1 COPY 到CO欄位'!$1:$1048576,'Over Under Bill 1 COPY 到CO欄位'!BG$1,0)-VLOOKUP($A108,'Over Under Bill 1 COPY 到CO欄位'!$1:$1048576,'Over Under Bill 1 COPY 到CO欄位'!BB$1,0)</f>
        <v>0</v>
      </c>
      <c r="BH108" s="158">
        <f t="shared" si="136"/>
        <v>0</v>
      </c>
      <c r="BI108" s="158">
        <f>VLOOKUP($A108,'Over Under Bill 1 COPY 到CO欄位'!$1:$1048576,'Over Under Bill 1 COPY 到CO欄位'!BI$1,0)-VLOOKUP($A108,'Over Under Bill 1 COPY 到CO欄位'!$1:$1048576,'Over Under Bill 1 COPY 到CO欄位'!BD$1,0)</f>
        <v>0</v>
      </c>
      <c r="BJ108" s="158">
        <f t="shared" si="137"/>
        <v>0</v>
      </c>
      <c r="BK108" s="157">
        <f>VLOOKUP($A108,'Over Under Bill 1 COPY 到CO欄位'!$1:$1048576,'Over Under Bill 1 COPY 到CO欄位'!BK$1,0)-VLOOKUP($A108,'Over Under Bill 1 COPY 到CO欄位'!$1:$1048576,'Over Under Bill 1 COPY 到CO欄位'!BF$1,0)</f>
        <v>0</v>
      </c>
      <c r="BL108" s="157">
        <f>VLOOKUP($A108,'Over Under Bill 1 COPY 到CO欄位'!$1:$1048576,'Over Under Bill 1 COPY 到CO欄位'!BL$1,0)-VLOOKUP($A108,'Over Under Bill 1 COPY 到CO欄位'!$1:$1048576,'Over Under Bill 1 COPY 到CO欄位'!BG$1,0)</f>
        <v>0</v>
      </c>
      <c r="BM108" s="157">
        <f t="shared" si="138"/>
        <v>0</v>
      </c>
      <c r="BN108" s="157">
        <f>VLOOKUP($A108,'Over Under Bill 1 COPY 到CO欄位'!$1:$1048576,'Over Under Bill 1 COPY 到CO欄位'!BN$1,0)-VLOOKUP($A108,'Over Under Bill 1 COPY 到CO欄位'!$1:$1048576,'Over Under Bill 1 COPY 到CO欄位'!BI$1,0)</f>
        <v>0</v>
      </c>
      <c r="BO108" s="157">
        <f t="shared" si="139"/>
        <v>0</v>
      </c>
      <c r="BP108" s="158">
        <f>VLOOKUP($A108,'Over Under Bill 1 COPY 到CO欄位'!$1:$1048576,'Over Under Bill 1 COPY 到CO欄位'!BP$1,0)-VLOOKUP($A108,'Over Under Bill 1 COPY 到CO欄位'!$1:$1048576,'Over Under Bill 1 COPY 到CO欄位'!BK$1,0)</f>
        <v>0</v>
      </c>
      <c r="BQ108" s="158">
        <f>VLOOKUP($A108,'Over Under Bill 1 COPY 到CO欄位'!$1:$1048576,'Over Under Bill 1 COPY 到CO欄位'!BQ$1,0)-VLOOKUP($A108,'Over Under Bill 1 COPY 到CO欄位'!$1:$1048576,'Over Under Bill 1 COPY 到CO欄位'!BL$1,0)</f>
        <v>0</v>
      </c>
      <c r="BR108" s="158">
        <f t="shared" si="140"/>
        <v>0</v>
      </c>
      <c r="BS108" s="158">
        <f>VLOOKUP($A108,'Over Under Bill 1 COPY 到CO欄位'!$1:$1048576,'Over Under Bill 1 COPY 到CO欄位'!BS$1,0)-VLOOKUP($A108,'Over Under Bill 1 COPY 到CO欄位'!$1:$1048576,'Over Under Bill 1 COPY 到CO欄位'!BN$1,0)</f>
        <v>0</v>
      </c>
      <c r="BT108" s="158">
        <f t="shared" si="141"/>
        <v>0</v>
      </c>
      <c r="BU108" s="157">
        <f>VLOOKUP($A108,'Over Under Bill 1 COPY 到CO欄位'!$1:$1048576,'Over Under Bill 1 COPY 到CO欄位'!BP$1,0)-VLOOKUP($A108,'Over Under Bill 1 COPY 到CO欄位'!$1:$1048576,'Over Under Bill 1 COPY 到CO欄位'!H$1,0)</f>
        <v>0</v>
      </c>
      <c r="BV108" s="157">
        <f>VLOOKUP($A108,'Over Under Bill 1 COPY 到CO欄位'!$1:$1048576,'Over Under Bill 1 COPY 到CO欄位'!BQ$1,0)-VLOOKUP($A108,'Over Under Bill 1 COPY 到CO欄位'!$1:$1048576,'Over Under Bill 1 COPY 到CO欄位'!I$1,0)</f>
        <v>0</v>
      </c>
      <c r="BW108" s="157">
        <f t="shared" si="142"/>
        <v>0</v>
      </c>
      <c r="BX108" s="157">
        <f>VLOOKUP($A108,'Over Under Bill 1 COPY 到CO欄位'!$1:$1048576,'Over Under Bill 1 COPY 到CO欄位'!BS$1,0)-VLOOKUP($A108,'Over Under Bill 1 COPY 到CO欄位'!$1:$1048576,'Over Under Bill 1 COPY 到CO欄位'!K$1,0)</f>
        <v>0</v>
      </c>
      <c r="BY108" s="157">
        <f t="shared" si="143"/>
        <v>0</v>
      </c>
      <c r="BZ108" s="158">
        <f>VLOOKUP($A108,'Over Under Bill 1 COPY 到CO欄位'!$1:$1048576,'Over Under Bill 1 COPY 到CO欄位'!BU$1,0)-VLOOKUP($A108,'Over Under Bill 1 COPY 到CO欄位'!$1:$1048576,'Over Under Bill 1 COPY 到CO欄位'!BP$1,0)</f>
        <v>0</v>
      </c>
      <c r="CA108" s="158">
        <f>VLOOKUP($A108,'Over Under Bill 1 COPY 到CO欄位'!$1:$1048576,'Over Under Bill 1 COPY 到CO欄位'!BV$1,0)-VLOOKUP($A108,'Over Under Bill 1 COPY 到CO欄位'!$1:$1048576,'Over Under Bill 1 COPY 到CO欄位'!BQ$1,0)</f>
        <v>0</v>
      </c>
      <c r="CB108" s="158">
        <f t="shared" si="144"/>
        <v>0</v>
      </c>
      <c r="CC108" s="158">
        <f>VLOOKUP($A108,'Over Under Bill 1 COPY 到CO欄位'!$1:$1048576,'Over Under Bill 1 COPY 到CO欄位'!BX$1,0)-VLOOKUP($A108,'Over Under Bill 1 COPY 到CO欄位'!$1:$1048576,'Over Under Bill 1 COPY 到CO欄位'!BS$1,0)</f>
        <v>0</v>
      </c>
      <c r="CD108" s="158">
        <f t="shared" si="145"/>
        <v>0</v>
      </c>
      <c r="CE108" s="157">
        <f>VLOOKUP($A108,'Over Under Bill 1 COPY 到CO欄位'!$1:$1048576,'Over Under Bill 1 COPY 到CO欄位'!BZ$1,0)-VLOOKUP($A108,'Over Under Bill 1 COPY 到CO欄位'!$1:$1048576,'Over Under Bill 1 COPY 到CO欄位'!BU$1,0)</f>
        <v>0</v>
      </c>
      <c r="CF108" s="157">
        <f>VLOOKUP($A108,'Over Under Bill 1 COPY 到CO欄位'!$1:$1048576,'Over Under Bill 1 COPY 到CO欄位'!CA$1,0)-VLOOKUP($A108,'Over Under Bill 1 COPY 到CO欄位'!$1:$1048576,'Over Under Bill 1 COPY 到CO欄位'!BV$1,0)</f>
        <v>0</v>
      </c>
      <c r="CG108" s="157">
        <f t="shared" si="146"/>
        <v>0</v>
      </c>
      <c r="CH108" s="157">
        <f>VLOOKUP($A108,'Over Under Bill 1 COPY 到CO欄位'!$1:$1048576,'Over Under Bill 1 COPY 到CO欄位'!CC$1,0)-VLOOKUP($A108,'Over Under Bill 1 COPY 到CO欄位'!$1:$1048576,'Over Under Bill 1 COPY 到CO欄位'!BX$1,0)</f>
        <v>0</v>
      </c>
      <c r="CI108" s="157">
        <f t="shared" si="147"/>
        <v>0</v>
      </c>
      <c r="CJ108" s="158">
        <f>VLOOKUP($A108,'Over Under Bill 1 COPY 到CO欄位'!$1:$1048576,'Over Under Bill 1 COPY 到CO欄位'!CE$1,0)-VLOOKUP($A108,'Over Under Bill 1 COPY 到CO欄位'!$1:$1048576,'Over Under Bill 1 COPY 到CO欄位'!BZ$1,0)</f>
        <v>0</v>
      </c>
      <c r="CK108" s="158">
        <f>VLOOKUP($A108,'Over Under Bill 1 COPY 到CO欄位'!$1:$1048576,'Over Under Bill 1 COPY 到CO欄位'!CF$1,0)-VLOOKUP($A108,'Over Under Bill 1 COPY 到CO欄位'!$1:$1048576,'Over Under Bill 1 COPY 到CO欄位'!CA$1,0)</f>
        <v>0</v>
      </c>
      <c r="CL108" s="158">
        <f t="shared" si="148"/>
        <v>0</v>
      </c>
      <c r="CM108" s="158">
        <f>VLOOKUP($A108,'Over Under Bill 1 COPY 到CO欄位'!$1:$1048576,'Over Under Bill 1 COPY 到CO欄位'!CH$1,0)-VLOOKUP($A108,'Over Under Bill 1 COPY 到CO欄位'!$1:$1048576,'Over Under Bill 1 COPY 到CO欄位'!CC$1,0)</f>
        <v>0</v>
      </c>
      <c r="CN108" s="158">
        <f t="shared" si="149"/>
        <v>0</v>
      </c>
      <c r="CO108" s="157">
        <f>VLOOKUP($A108,'Over Under Bill 1 COPY 到CO欄位'!$1:$1048576,'Over Under Bill 1 COPY 到CO欄位'!CJ$1,0)-VLOOKUP($A108,'Over Under Bill 1 COPY 到CO欄位'!$1:$1048576,'Over Under Bill 1 COPY 到CO欄位'!CE$1,0)</f>
        <v>0</v>
      </c>
      <c r="CP108" s="157">
        <f>VLOOKUP($A108,'Over Under Bill 1 COPY 到CO欄位'!$1:$1048576,'Over Under Bill 1 COPY 到CO欄位'!CK$1,0)-VLOOKUP($A108,'Over Under Bill 1 COPY 到CO欄位'!$1:$1048576,'Over Under Bill 1 COPY 到CO欄位'!CF$1,0)</f>
        <v>0</v>
      </c>
      <c r="CQ108" s="157">
        <f t="shared" si="150"/>
        <v>0</v>
      </c>
      <c r="CR108" s="157">
        <f>VLOOKUP($A108,'Over Under Bill 1 COPY 到CO欄位'!$1:$1048576,'Over Under Bill 1 COPY 到CO欄位'!CM$1,0)-VLOOKUP($A108,'Over Under Bill 1 COPY 到CO欄位'!$1:$1048576,'Over Under Bill 1 COPY 到CO欄位'!CH$1,0)</f>
        <v>0</v>
      </c>
      <c r="CS108" s="157">
        <f t="shared" si="151"/>
        <v>0</v>
      </c>
    </row>
    <row r="109" spans="1:97">
      <c r="A109" s="175" t="s">
        <v>499</v>
      </c>
      <c r="B109" s="175" t="s">
        <v>500</v>
      </c>
      <c r="C109" s="157">
        <f>IFERROR(VLOOKUP($A109,'A0 BS 1240在建'!$1:$1048576,5,0),0)</f>
        <v>0</v>
      </c>
      <c r="D109" s="157">
        <f>IFERROR(VLOOKUP($A109,'B0 2264預收'!$1:$1048576,5,0),0)</f>
        <v>0</v>
      </c>
      <c r="E109" s="157">
        <f t="shared" si="114"/>
        <v>0</v>
      </c>
      <c r="F109" s="157">
        <f>IFERROR(VLOOKUP($A109,'B0 2264預收'!$1:$1048576,6,0),0)</f>
        <v>0</v>
      </c>
      <c r="G109" s="157">
        <f t="shared" si="115"/>
        <v>0</v>
      </c>
      <c r="H109" s="158">
        <f>IFERROR(VLOOKUP($A109,'A0 BS 1240在建'!$1:$1048576,13,0),0)-C109</f>
        <v>0</v>
      </c>
      <c r="I109" s="158">
        <f>IFERROR(VLOOKUP($A109,'B0 2264預收'!$1:$1048576,13,0),0)-D109</f>
        <v>0</v>
      </c>
      <c r="J109" s="158">
        <f t="shared" si="116"/>
        <v>0</v>
      </c>
      <c r="K109" s="158">
        <f>IFERROR(VLOOKUP($A109,'B0 2264預收'!$1:$1048576,14,0),0)-F109</f>
        <v>0</v>
      </c>
      <c r="L109" s="158">
        <f t="shared" si="117"/>
        <v>0</v>
      </c>
      <c r="M109" s="157">
        <f>VLOOKUP($A109,'Over Under Bill 1 COPY 到CO欄位'!$1:$1048576,'Over Under Bill 1 COPY 到CO欄位'!M$1,0)-VLOOKUP($A109,'Over Under Bill 1 COPY 到CO欄位'!$1:$1048576,'Over Under Bill 1 COPY 到CO欄位'!H$1,0)</f>
        <v>0</v>
      </c>
      <c r="N109" s="157">
        <f>VLOOKUP($A109,'Over Under Bill 1 COPY 到CO欄位'!$1:$1048576,'Over Under Bill 1 COPY 到CO欄位'!N$1,0)-VLOOKUP($A109,'Over Under Bill 1 COPY 到CO欄位'!$1:$1048576,'Over Under Bill 1 COPY 到CO欄位'!I$1,0)</f>
        <v>0</v>
      </c>
      <c r="O109" s="157">
        <f t="shared" si="118"/>
        <v>0</v>
      </c>
      <c r="P109" s="157">
        <f>VLOOKUP($A109,'Over Under Bill 1 COPY 到CO欄位'!$1:$1048576,'Over Under Bill 1 COPY 到CO欄位'!P$1,0)-VLOOKUP($A109,'Over Under Bill 1 COPY 到CO欄位'!$1:$1048576,'Over Under Bill 1 COPY 到CO欄位'!K$1,0)</f>
        <v>0</v>
      </c>
      <c r="Q109" s="157">
        <f t="shared" si="119"/>
        <v>0</v>
      </c>
      <c r="R109" s="158">
        <f>VLOOKUP($A109,'Over Under Bill 1 COPY 到CO欄位'!$1:$1048576,'Over Under Bill 1 COPY 到CO欄位'!R$1,0)-VLOOKUP($A109,'Over Under Bill 1 COPY 到CO欄位'!$1:$1048576,'Over Under Bill 1 COPY 到CO欄位'!M$1,0)</f>
        <v>0</v>
      </c>
      <c r="S109" s="158">
        <f>VLOOKUP($A109,'Over Under Bill 1 COPY 到CO欄位'!$1:$1048576,'Over Under Bill 1 COPY 到CO欄位'!S$1,0)-VLOOKUP($A109,'Over Under Bill 1 COPY 到CO欄位'!$1:$1048576,'Over Under Bill 1 COPY 到CO欄位'!N$1,0)</f>
        <v>0</v>
      </c>
      <c r="T109" s="158">
        <f t="shared" si="120"/>
        <v>0</v>
      </c>
      <c r="U109" s="158">
        <f>VLOOKUP($A109,'Over Under Bill 1 COPY 到CO欄位'!$1:$1048576,'Over Under Bill 1 COPY 到CO欄位'!U$1,0)-VLOOKUP($A109,'Over Under Bill 1 COPY 到CO欄位'!$1:$1048576,'Over Under Bill 1 COPY 到CO欄位'!P$1,0)</f>
        <v>0</v>
      </c>
      <c r="V109" s="158">
        <f t="shared" si="121"/>
        <v>0</v>
      </c>
      <c r="W109" s="157">
        <f>VLOOKUP($A109,'Over Under Bill 1 COPY 到CO欄位'!$1:$1048576,'Over Under Bill 1 COPY 到CO欄位'!W$1,0)-VLOOKUP($A109,'Over Under Bill 1 COPY 到CO欄位'!$1:$1048576,'Over Under Bill 1 COPY 到CO欄位'!R$1,0)</f>
        <v>0</v>
      </c>
      <c r="X109" s="157">
        <f>VLOOKUP($A109,'Over Under Bill 1 COPY 到CO欄位'!$1:$1048576,'Over Under Bill 1 COPY 到CO欄位'!X$1,0)-VLOOKUP($A109,'Over Under Bill 1 COPY 到CO欄位'!$1:$1048576,'Over Under Bill 1 COPY 到CO欄位'!S$1,0)</f>
        <v>0</v>
      </c>
      <c r="Y109" s="157">
        <f t="shared" si="122"/>
        <v>0</v>
      </c>
      <c r="Z109" s="157">
        <f>VLOOKUP($A109,'Over Under Bill 1 COPY 到CO欄位'!$1:$1048576,'Over Under Bill 1 COPY 到CO欄位'!Z$1,0)-VLOOKUP($A109,'Over Under Bill 1 COPY 到CO欄位'!$1:$1048576,'Over Under Bill 1 COPY 到CO欄位'!U$1,0)</f>
        <v>0</v>
      </c>
      <c r="AA109" s="157">
        <f t="shared" si="123"/>
        <v>0</v>
      </c>
      <c r="AB109" s="158">
        <f>VLOOKUP($A109,'Over Under Bill 1 COPY 到CO欄位'!$1:$1048576,'Over Under Bill 1 COPY 到CO欄位'!AB$1,0)-VLOOKUP($A109,'Over Under Bill 1 COPY 到CO欄位'!$1:$1048576,'Over Under Bill 1 COPY 到CO欄位'!W$1,0)</f>
        <v>0</v>
      </c>
      <c r="AC109" s="158">
        <f>VLOOKUP($A109,'Over Under Bill 1 COPY 到CO欄位'!$1:$1048576,'Over Under Bill 1 COPY 到CO欄位'!AC$1,0)-VLOOKUP($A109,'Over Under Bill 1 COPY 到CO欄位'!$1:$1048576,'Over Under Bill 1 COPY 到CO欄位'!X$1,0)</f>
        <v>0</v>
      </c>
      <c r="AD109" s="158">
        <f t="shared" si="124"/>
        <v>0</v>
      </c>
      <c r="AE109" s="158">
        <f>VLOOKUP($A109,'Over Under Bill 1 COPY 到CO欄位'!$1:$1048576,'Over Under Bill 1 COPY 到CO欄位'!AE$1,0)-VLOOKUP($A109,'Over Under Bill 1 COPY 到CO欄位'!$1:$1048576,'Over Under Bill 1 COPY 到CO欄位'!Z$1,0)</f>
        <v>0</v>
      </c>
      <c r="AF109" s="158">
        <f t="shared" si="125"/>
        <v>0</v>
      </c>
      <c r="AG109" s="157">
        <f>VLOOKUP($A109,'Over Under Bill 1 COPY 到CO欄位'!$1:$1048576,'Over Under Bill 1 COPY 到CO欄位'!AG$1,0)-VLOOKUP($A109,'Over Under Bill 1 COPY 到CO欄位'!$1:$1048576,'Over Under Bill 1 COPY 到CO欄位'!AB$1,0)</f>
        <v>0</v>
      </c>
      <c r="AH109" s="157">
        <f>VLOOKUP($A109,'Over Under Bill 1 COPY 到CO欄位'!$1:$1048576,'Over Under Bill 1 COPY 到CO欄位'!AH$1,0)-VLOOKUP($A109,'Over Under Bill 1 COPY 到CO欄位'!$1:$1048576,'Over Under Bill 1 COPY 到CO欄位'!AC$1,0)</f>
        <v>0</v>
      </c>
      <c r="AI109" s="157">
        <f t="shared" si="126"/>
        <v>0</v>
      </c>
      <c r="AJ109" s="157">
        <f>VLOOKUP($A109,'Over Under Bill 1 COPY 到CO欄位'!$1:$1048576,'Over Under Bill 1 COPY 到CO欄位'!AJ$1,0)-VLOOKUP($A109,'Over Under Bill 1 COPY 到CO欄位'!$1:$1048576,'Over Under Bill 1 COPY 到CO欄位'!AE$1,0)</f>
        <v>0</v>
      </c>
      <c r="AK109" s="157">
        <f t="shared" si="127"/>
        <v>0</v>
      </c>
      <c r="AL109" s="158">
        <f>VLOOKUP($A109,'Over Under Bill 1 COPY 到CO欄位'!$1:$1048576,'Over Under Bill 1 COPY 到CO欄位'!AL$1,0)-VLOOKUP($A109,'Over Under Bill 1 COPY 到CO欄位'!$1:$1048576,'Over Under Bill 1 COPY 到CO欄位'!AG$1,0)</f>
        <v>0</v>
      </c>
      <c r="AM109" s="158">
        <f>VLOOKUP($A109,'Over Under Bill 1 COPY 到CO欄位'!$1:$1048576,'Over Under Bill 1 COPY 到CO欄位'!AM$1,0)-VLOOKUP($A109,'Over Under Bill 1 COPY 到CO欄位'!$1:$1048576,'Over Under Bill 1 COPY 到CO欄位'!AH$1,0)</f>
        <v>0</v>
      </c>
      <c r="AN109" s="158">
        <f t="shared" si="128"/>
        <v>0</v>
      </c>
      <c r="AO109" s="158">
        <f>VLOOKUP($A109,'Over Under Bill 1 COPY 到CO欄位'!$1:$1048576,'Over Under Bill 1 COPY 到CO欄位'!AO$1,0)-VLOOKUP($A109,'Over Under Bill 1 COPY 到CO欄位'!$1:$1048576,'Over Under Bill 1 COPY 到CO欄位'!AJ$1,0)</f>
        <v>0</v>
      </c>
      <c r="AP109" s="158">
        <f t="shared" si="129"/>
        <v>0</v>
      </c>
      <c r="AQ109" s="157">
        <f>VLOOKUP($A109,'Over Under Bill 1 COPY 到CO欄位'!$1:$1048576,'Over Under Bill 1 COPY 到CO欄位'!AQ$1,0)-VLOOKUP($A109,'Over Under Bill 1 COPY 到CO欄位'!$1:$1048576,'Over Under Bill 1 COPY 到CO欄位'!AL$1,0)</f>
        <v>0</v>
      </c>
      <c r="AR109" s="157">
        <f>VLOOKUP($A109,'Over Under Bill 1 COPY 到CO欄位'!$1:$1048576,'Over Under Bill 1 COPY 到CO欄位'!AR$1,0)-VLOOKUP($A109,'Over Under Bill 1 COPY 到CO欄位'!$1:$1048576,'Over Under Bill 1 COPY 到CO欄位'!AM$1,0)</f>
        <v>0</v>
      </c>
      <c r="AS109" s="157">
        <f t="shared" si="130"/>
        <v>0</v>
      </c>
      <c r="AT109" s="157">
        <f>VLOOKUP($A109,'Over Under Bill 1 COPY 到CO欄位'!$1:$1048576,'Over Under Bill 1 COPY 到CO欄位'!AT$1,0)-VLOOKUP($A109,'Over Under Bill 1 COPY 到CO欄位'!$1:$1048576,'Over Under Bill 1 COPY 到CO欄位'!AO$1,0)</f>
        <v>0</v>
      </c>
      <c r="AU109" s="157">
        <f t="shared" si="131"/>
        <v>0</v>
      </c>
      <c r="AV109" s="158">
        <f>VLOOKUP($A109,'Over Under Bill 1 COPY 到CO欄位'!$1:$1048576,'Over Under Bill 1 COPY 到CO欄位'!AV$1,0)-VLOOKUP($A109,'Over Under Bill 1 COPY 到CO欄位'!$1:$1048576,'Over Under Bill 1 COPY 到CO欄位'!AQ$1,0)</f>
        <v>0</v>
      </c>
      <c r="AW109" s="158">
        <f>VLOOKUP($A109,'Over Under Bill 1 COPY 到CO欄位'!$1:$1048576,'Over Under Bill 1 COPY 到CO欄位'!AW$1,0)-VLOOKUP($A109,'Over Under Bill 1 COPY 到CO欄位'!$1:$1048576,'Over Under Bill 1 COPY 到CO欄位'!AR$1,0)</f>
        <v>0</v>
      </c>
      <c r="AX109" s="158">
        <f t="shared" si="132"/>
        <v>0</v>
      </c>
      <c r="AY109" s="158">
        <f>VLOOKUP($A109,'Over Under Bill 1 COPY 到CO欄位'!$1:$1048576,'Over Under Bill 1 COPY 到CO欄位'!AY$1,0)-VLOOKUP($A109,'Over Under Bill 1 COPY 到CO欄位'!$1:$1048576,'Over Under Bill 1 COPY 到CO欄位'!AT$1,0)</f>
        <v>0</v>
      </c>
      <c r="AZ109" s="158">
        <f t="shared" si="133"/>
        <v>0</v>
      </c>
      <c r="BA109" s="157">
        <f>VLOOKUP($A109,'Over Under Bill 1 COPY 到CO欄位'!$1:$1048576,'Over Under Bill 1 COPY 到CO欄位'!BA$1,0)-VLOOKUP($A109,'Over Under Bill 1 COPY 到CO欄位'!$1:$1048576,'Over Under Bill 1 COPY 到CO欄位'!AV$1,0)</f>
        <v>0</v>
      </c>
      <c r="BB109" s="157">
        <f>VLOOKUP($A109,'Over Under Bill 1 COPY 到CO欄位'!$1:$1048576,'Over Under Bill 1 COPY 到CO欄位'!BB$1,0)-VLOOKUP($A109,'Over Under Bill 1 COPY 到CO欄位'!$1:$1048576,'Over Under Bill 1 COPY 到CO欄位'!AW$1,0)</f>
        <v>0</v>
      </c>
      <c r="BC109" s="157">
        <f t="shared" si="134"/>
        <v>0</v>
      </c>
      <c r="BD109" s="157">
        <f>VLOOKUP($A109,'Over Under Bill 1 COPY 到CO欄位'!$1:$1048576,'Over Under Bill 1 COPY 到CO欄位'!BD$1,0)-VLOOKUP($A109,'Over Under Bill 1 COPY 到CO欄位'!$1:$1048576,'Over Under Bill 1 COPY 到CO欄位'!AY$1,0)</f>
        <v>0</v>
      </c>
      <c r="BE109" s="157">
        <f t="shared" si="135"/>
        <v>0</v>
      </c>
      <c r="BF109" s="158">
        <f>VLOOKUP($A109,'Over Under Bill 1 COPY 到CO欄位'!$1:$1048576,'Over Under Bill 1 COPY 到CO欄位'!BF$1,0)-VLOOKUP($A109,'Over Under Bill 1 COPY 到CO欄位'!$1:$1048576,'Over Under Bill 1 COPY 到CO欄位'!BA$1,0)</f>
        <v>0</v>
      </c>
      <c r="BG109" s="158">
        <f>VLOOKUP($A109,'Over Under Bill 1 COPY 到CO欄位'!$1:$1048576,'Over Under Bill 1 COPY 到CO欄位'!BG$1,0)-VLOOKUP($A109,'Over Under Bill 1 COPY 到CO欄位'!$1:$1048576,'Over Under Bill 1 COPY 到CO欄位'!BB$1,0)</f>
        <v>0</v>
      </c>
      <c r="BH109" s="158">
        <f t="shared" si="136"/>
        <v>0</v>
      </c>
      <c r="BI109" s="158">
        <f>VLOOKUP($A109,'Over Under Bill 1 COPY 到CO欄位'!$1:$1048576,'Over Under Bill 1 COPY 到CO欄位'!BI$1,0)-VLOOKUP($A109,'Over Under Bill 1 COPY 到CO欄位'!$1:$1048576,'Over Under Bill 1 COPY 到CO欄位'!BD$1,0)</f>
        <v>0</v>
      </c>
      <c r="BJ109" s="158">
        <f t="shared" si="137"/>
        <v>0</v>
      </c>
      <c r="BK109" s="157">
        <f>VLOOKUP($A109,'Over Under Bill 1 COPY 到CO欄位'!$1:$1048576,'Over Under Bill 1 COPY 到CO欄位'!BK$1,0)-VLOOKUP($A109,'Over Under Bill 1 COPY 到CO欄位'!$1:$1048576,'Over Under Bill 1 COPY 到CO欄位'!BF$1,0)</f>
        <v>0</v>
      </c>
      <c r="BL109" s="157">
        <f>VLOOKUP($A109,'Over Under Bill 1 COPY 到CO欄位'!$1:$1048576,'Over Under Bill 1 COPY 到CO欄位'!BL$1,0)-VLOOKUP($A109,'Over Under Bill 1 COPY 到CO欄位'!$1:$1048576,'Over Under Bill 1 COPY 到CO欄位'!BG$1,0)</f>
        <v>0</v>
      </c>
      <c r="BM109" s="157">
        <f t="shared" si="138"/>
        <v>0</v>
      </c>
      <c r="BN109" s="157">
        <f>VLOOKUP($A109,'Over Under Bill 1 COPY 到CO欄位'!$1:$1048576,'Over Under Bill 1 COPY 到CO欄位'!BN$1,0)-VLOOKUP($A109,'Over Under Bill 1 COPY 到CO欄位'!$1:$1048576,'Over Under Bill 1 COPY 到CO欄位'!BI$1,0)</f>
        <v>0</v>
      </c>
      <c r="BO109" s="157">
        <f t="shared" si="139"/>
        <v>0</v>
      </c>
      <c r="BP109" s="158">
        <f>VLOOKUP($A109,'Over Under Bill 1 COPY 到CO欄位'!$1:$1048576,'Over Under Bill 1 COPY 到CO欄位'!BP$1,0)-VLOOKUP($A109,'Over Under Bill 1 COPY 到CO欄位'!$1:$1048576,'Over Under Bill 1 COPY 到CO欄位'!BK$1,0)</f>
        <v>0</v>
      </c>
      <c r="BQ109" s="158">
        <f>VLOOKUP($A109,'Over Under Bill 1 COPY 到CO欄位'!$1:$1048576,'Over Under Bill 1 COPY 到CO欄位'!BQ$1,0)-VLOOKUP($A109,'Over Under Bill 1 COPY 到CO欄位'!$1:$1048576,'Over Under Bill 1 COPY 到CO欄位'!BL$1,0)</f>
        <v>0</v>
      </c>
      <c r="BR109" s="158">
        <f t="shared" si="140"/>
        <v>0</v>
      </c>
      <c r="BS109" s="158">
        <f>VLOOKUP($A109,'Over Under Bill 1 COPY 到CO欄位'!$1:$1048576,'Over Under Bill 1 COPY 到CO欄位'!BS$1,0)-VLOOKUP($A109,'Over Under Bill 1 COPY 到CO欄位'!$1:$1048576,'Over Under Bill 1 COPY 到CO欄位'!BN$1,0)</f>
        <v>0</v>
      </c>
      <c r="BT109" s="158">
        <f t="shared" si="141"/>
        <v>0</v>
      </c>
      <c r="BU109" s="157">
        <f>VLOOKUP($A109,'Over Under Bill 1 COPY 到CO欄位'!$1:$1048576,'Over Under Bill 1 COPY 到CO欄位'!BP$1,0)-VLOOKUP($A109,'Over Under Bill 1 COPY 到CO欄位'!$1:$1048576,'Over Under Bill 1 COPY 到CO欄位'!H$1,0)</f>
        <v>0</v>
      </c>
      <c r="BV109" s="157">
        <f>VLOOKUP($A109,'Over Under Bill 1 COPY 到CO欄位'!$1:$1048576,'Over Under Bill 1 COPY 到CO欄位'!BQ$1,0)-VLOOKUP($A109,'Over Under Bill 1 COPY 到CO欄位'!$1:$1048576,'Over Under Bill 1 COPY 到CO欄位'!BL$1,0)</f>
        <v>0</v>
      </c>
      <c r="BW109" s="157">
        <f t="shared" si="142"/>
        <v>0</v>
      </c>
      <c r="BX109" s="157">
        <f>VLOOKUP($A109,'Over Under Bill 1 COPY 到CO欄位'!$1:$1048576,'Over Under Bill 1 COPY 到CO欄位'!BS$1,0)-VLOOKUP($A109,'Over Under Bill 1 COPY 到CO欄位'!$1:$1048576,'Over Under Bill 1 COPY 到CO欄位'!K$1,0)</f>
        <v>0</v>
      </c>
      <c r="BY109" s="157">
        <f t="shared" si="143"/>
        <v>0</v>
      </c>
      <c r="BZ109" s="158">
        <f>VLOOKUP($A109,'Over Under Bill 1 COPY 到CO欄位'!$1:$1048576,'Over Under Bill 1 COPY 到CO欄位'!BU$1,0)-VLOOKUP($A109,'Over Under Bill 1 COPY 到CO欄位'!$1:$1048576,'Over Under Bill 1 COPY 到CO欄位'!BP$1,0)</f>
        <v>0</v>
      </c>
      <c r="CA109" s="158">
        <f>VLOOKUP($A109,'Over Under Bill 1 COPY 到CO欄位'!$1:$1048576,'Over Under Bill 1 COPY 到CO欄位'!BV$1,0)-VLOOKUP($A109,'Over Under Bill 1 COPY 到CO欄位'!$1:$1048576,'Over Under Bill 1 COPY 到CO欄位'!BQ$1,0)</f>
        <v>0</v>
      </c>
      <c r="CB109" s="158">
        <f t="shared" si="144"/>
        <v>0</v>
      </c>
      <c r="CC109" s="158">
        <f>VLOOKUP($A109,'Over Under Bill 1 COPY 到CO欄位'!$1:$1048576,'Over Under Bill 1 COPY 到CO欄位'!BX$1,0)-VLOOKUP($A109,'Over Under Bill 1 COPY 到CO欄位'!$1:$1048576,'Over Under Bill 1 COPY 到CO欄位'!BS$1,0)</f>
        <v>0</v>
      </c>
      <c r="CD109" s="158">
        <f t="shared" si="145"/>
        <v>0</v>
      </c>
      <c r="CE109" s="157">
        <f>VLOOKUP($A109,'Over Under Bill 1 COPY 到CO欄位'!$1:$1048576,'Over Under Bill 1 COPY 到CO欄位'!BZ$1,0)-VLOOKUP($A109,'Over Under Bill 1 COPY 到CO欄位'!$1:$1048576,'Over Under Bill 1 COPY 到CO欄位'!BU$1,0)</f>
        <v>0</v>
      </c>
      <c r="CF109" s="157">
        <f>VLOOKUP($A109,'Over Under Bill 1 COPY 到CO欄位'!$1:$1048576,'Over Under Bill 1 COPY 到CO欄位'!CA$1,0)-VLOOKUP($A109,'Over Under Bill 1 COPY 到CO欄位'!$1:$1048576,'Over Under Bill 1 COPY 到CO欄位'!BV$1,0)</f>
        <v>0</v>
      </c>
      <c r="CG109" s="157">
        <f t="shared" si="146"/>
        <v>0</v>
      </c>
      <c r="CH109" s="157">
        <f>VLOOKUP($A109,'Over Under Bill 1 COPY 到CO欄位'!$1:$1048576,'Over Under Bill 1 COPY 到CO欄位'!CC$1,0)-VLOOKUP($A109,'Over Under Bill 1 COPY 到CO欄位'!$1:$1048576,'Over Under Bill 1 COPY 到CO欄位'!BX$1,0)</f>
        <v>0</v>
      </c>
      <c r="CI109" s="157">
        <f t="shared" si="147"/>
        <v>0</v>
      </c>
      <c r="CJ109" s="158">
        <f>VLOOKUP($A109,'Over Under Bill 1 COPY 到CO欄位'!$1:$1048576,'Over Under Bill 1 COPY 到CO欄位'!CE$1,0)-VLOOKUP($A109,'Over Under Bill 1 COPY 到CO欄位'!$1:$1048576,'Over Under Bill 1 COPY 到CO欄位'!BZ$1,0)</f>
        <v>0</v>
      </c>
      <c r="CK109" s="158">
        <f>VLOOKUP($A109,'Over Under Bill 1 COPY 到CO欄位'!$1:$1048576,'Over Under Bill 1 COPY 到CO欄位'!CF$1,0)-VLOOKUP($A109,'Over Under Bill 1 COPY 到CO欄位'!$1:$1048576,'Over Under Bill 1 COPY 到CO欄位'!CA$1,0)</f>
        <v>0</v>
      </c>
      <c r="CL109" s="158">
        <f t="shared" si="148"/>
        <v>0</v>
      </c>
      <c r="CM109" s="158">
        <f>VLOOKUP($A109,'Over Under Bill 1 COPY 到CO欄位'!$1:$1048576,'Over Under Bill 1 COPY 到CO欄位'!CH$1,0)-VLOOKUP($A109,'Over Under Bill 1 COPY 到CO欄位'!$1:$1048576,'Over Under Bill 1 COPY 到CO欄位'!CC$1,0)</f>
        <v>0</v>
      </c>
      <c r="CN109" s="158">
        <f t="shared" si="149"/>
        <v>0</v>
      </c>
      <c r="CO109" s="157">
        <f>VLOOKUP($A109,'Over Under Bill 1 COPY 到CO欄位'!$1:$1048576,'Over Under Bill 1 COPY 到CO欄位'!CJ$1,0)-VLOOKUP($A109,'Over Under Bill 1 COPY 到CO欄位'!$1:$1048576,'Over Under Bill 1 COPY 到CO欄位'!CE$1,0)</f>
        <v>0</v>
      </c>
      <c r="CP109" s="157">
        <f>VLOOKUP($A109,'Over Under Bill 1 COPY 到CO欄位'!$1:$1048576,'Over Under Bill 1 COPY 到CO欄位'!CK$1,0)-VLOOKUP($A109,'Over Under Bill 1 COPY 到CO欄位'!$1:$1048576,'Over Under Bill 1 COPY 到CO欄位'!CF$1,0)</f>
        <v>0</v>
      </c>
      <c r="CQ109" s="157">
        <f t="shared" si="150"/>
        <v>0</v>
      </c>
      <c r="CR109" s="157">
        <f>VLOOKUP($A109,'Over Under Bill 1 COPY 到CO欄位'!$1:$1048576,'Over Under Bill 1 COPY 到CO欄位'!CM$1,0)-VLOOKUP($A109,'Over Under Bill 1 COPY 到CO欄位'!$1:$1048576,'Over Under Bill 1 COPY 到CO欄位'!CH$1,0)</f>
        <v>0</v>
      </c>
      <c r="CS109" s="157">
        <f t="shared" si="151"/>
        <v>0</v>
      </c>
    </row>
    <row r="110" spans="1:97">
      <c r="A110" s="175" t="s">
        <v>501</v>
      </c>
      <c r="B110" s="181" t="s">
        <v>502</v>
      </c>
      <c r="C110" s="157">
        <f>IFERROR(VLOOKUP($A110,'A0 BS 1240在建'!$1:$1048576,5,0),0)</f>
        <v>0</v>
      </c>
      <c r="D110" s="157">
        <f>IFERROR(VLOOKUP($A110,'B0 2264預收'!$1:$1048576,5,0),0)</f>
        <v>0</v>
      </c>
      <c r="E110" s="157">
        <f t="shared" si="114"/>
        <v>0</v>
      </c>
      <c r="F110" s="157">
        <f>IFERROR(VLOOKUP($A110,'B0 2264預收'!$1:$1048576,6,0),0)</f>
        <v>0</v>
      </c>
      <c r="G110" s="157">
        <f t="shared" si="115"/>
        <v>0</v>
      </c>
      <c r="H110" s="158">
        <f>IFERROR(VLOOKUP($A110,'A0 BS 1240在建'!$1:$1048576,13,0),0)-C110</f>
        <v>0</v>
      </c>
      <c r="I110" s="158">
        <f>IFERROR(VLOOKUP($A110,'B0 2264預收'!$1:$1048576,13,0),0)-D110</f>
        <v>0</v>
      </c>
      <c r="J110" s="158">
        <f t="shared" si="116"/>
        <v>0</v>
      </c>
      <c r="K110" s="158">
        <f>IFERROR(VLOOKUP($A110,'B0 2264預收'!$1:$1048576,14,0),0)-F110</f>
        <v>0</v>
      </c>
      <c r="L110" s="158">
        <f t="shared" si="117"/>
        <v>0</v>
      </c>
      <c r="M110" s="157">
        <f>VLOOKUP($A110,'Over Under Bill 1 COPY 到CO欄位'!$1:$1048576,'Over Under Bill 1 COPY 到CO欄位'!M$1,0)-VLOOKUP($A110,'Over Under Bill 1 COPY 到CO欄位'!$1:$1048576,'Over Under Bill 1 COPY 到CO欄位'!H$1,0)</f>
        <v>0</v>
      </c>
      <c r="N110" s="157">
        <f>VLOOKUP($A110,'Over Under Bill 1 COPY 到CO欄位'!$1:$1048576,'Over Under Bill 1 COPY 到CO欄位'!N$1,0)-VLOOKUP($A110,'Over Under Bill 1 COPY 到CO欄位'!$1:$1048576,'Over Under Bill 1 COPY 到CO欄位'!I$1,0)</f>
        <v>0</v>
      </c>
      <c r="O110" s="157">
        <f t="shared" si="118"/>
        <v>0</v>
      </c>
      <c r="P110" s="157">
        <f>VLOOKUP($A110,'Over Under Bill 1 COPY 到CO欄位'!$1:$1048576,'Over Under Bill 1 COPY 到CO欄位'!P$1,0)-VLOOKUP($A110,'Over Under Bill 1 COPY 到CO欄位'!$1:$1048576,'Over Under Bill 1 COPY 到CO欄位'!K$1,0)</f>
        <v>0</v>
      </c>
      <c r="Q110" s="157">
        <f t="shared" si="119"/>
        <v>0</v>
      </c>
      <c r="R110" s="158">
        <f>VLOOKUP($A110,'Over Under Bill 1 COPY 到CO欄位'!$1:$1048576,'Over Under Bill 1 COPY 到CO欄位'!R$1,0)-VLOOKUP($A110,'Over Under Bill 1 COPY 到CO欄位'!$1:$1048576,'Over Under Bill 1 COPY 到CO欄位'!M$1,0)</f>
        <v>0</v>
      </c>
      <c r="S110" s="158">
        <f>VLOOKUP($A110,'Over Under Bill 1 COPY 到CO欄位'!$1:$1048576,'Over Under Bill 1 COPY 到CO欄位'!S$1,0)-VLOOKUP($A110,'Over Under Bill 1 COPY 到CO欄位'!$1:$1048576,'Over Under Bill 1 COPY 到CO欄位'!N$1,0)</f>
        <v>0</v>
      </c>
      <c r="T110" s="158">
        <f t="shared" si="120"/>
        <v>0</v>
      </c>
      <c r="U110" s="158">
        <f>VLOOKUP($A110,'Over Under Bill 1 COPY 到CO欄位'!$1:$1048576,'Over Under Bill 1 COPY 到CO欄位'!U$1,0)-VLOOKUP($A110,'Over Under Bill 1 COPY 到CO欄位'!$1:$1048576,'Over Under Bill 1 COPY 到CO欄位'!P$1,0)</f>
        <v>0</v>
      </c>
      <c r="V110" s="158">
        <f t="shared" si="121"/>
        <v>0</v>
      </c>
      <c r="W110" s="157">
        <f>VLOOKUP($A110,'Over Under Bill 1 COPY 到CO欄位'!$1:$1048576,'Over Under Bill 1 COPY 到CO欄位'!W$1,0)-VLOOKUP($A110,'Over Under Bill 1 COPY 到CO欄位'!$1:$1048576,'Over Under Bill 1 COPY 到CO欄位'!R$1,0)</f>
        <v>0</v>
      </c>
      <c r="X110" s="157">
        <f>VLOOKUP($A110,'Over Under Bill 1 COPY 到CO欄位'!$1:$1048576,'Over Under Bill 1 COPY 到CO欄位'!X$1,0)-VLOOKUP($A110,'Over Under Bill 1 COPY 到CO欄位'!$1:$1048576,'Over Under Bill 1 COPY 到CO欄位'!S$1,0)</f>
        <v>0</v>
      </c>
      <c r="Y110" s="157">
        <f t="shared" si="122"/>
        <v>0</v>
      </c>
      <c r="Z110" s="157">
        <f>VLOOKUP($A110,'Over Under Bill 1 COPY 到CO欄位'!$1:$1048576,'Over Under Bill 1 COPY 到CO欄位'!Z$1,0)-VLOOKUP($A110,'Over Under Bill 1 COPY 到CO欄位'!$1:$1048576,'Over Under Bill 1 COPY 到CO欄位'!U$1,0)</f>
        <v>0</v>
      </c>
      <c r="AA110" s="157">
        <f t="shared" si="123"/>
        <v>0</v>
      </c>
      <c r="AB110" s="158">
        <f>VLOOKUP($A110,'Over Under Bill 1 COPY 到CO欄位'!$1:$1048576,'Over Under Bill 1 COPY 到CO欄位'!AB$1,0)-VLOOKUP($A110,'Over Under Bill 1 COPY 到CO欄位'!$1:$1048576,'Over Under Bill 1 COPY 到CO欄位'!W$1,0)</f>
        <v>0</v>
      </c>
      <c r="AC110" s="158">
        <f>VLOOKUP($A110,'Over Under Bill 1 COPY 到CO欄位'!$1:$1048576,'Over Under Bill 1 COPY 到CO欄位'!AC$1,0)-VLOOKUP($A110,'Over Under Bill 1 COPY 到CO欄位'!$1:$1048576,'Over Under Bill 1 COPY 到CO欄位'!X$1,0)</f>
        <v>0</v>
      </c>
      <c r="AD110" s="158">
        <f t="shared" si="124"/>
        <v>0</v>
      </c>
      <c r="AE110" s="158">
        <f>VLOOKUP($A110,'Over Under Bill 1 COPY 到CO欄位'!$1:$1048576,'Over Under Bill 1 COPY 到CO欄位'!AE$1,0)-VLOOKUP($A110,'Over Under Bill 1 COPY 到CO欄位'!$1:$1048576,'Over Under Bill 1 COPY 到CO欄位'!Z$1,0)</f>
        <v>0</v>
      </c>
      <c r="AF110" s="158">
        <f t="shared" si="125"/>
        <v>0</v>
      </c>
      <c r="AG110" s="157">
        <f>VLOOKUP($A110,'Over Under Bill 1 COPY 到CO欄位'!$1:$1048576,'Over Under Bill 1 COPY 到CO欄位'!AG$1,0)-VLOOKUP($A110,'Over Under Bill 1 COPY 到CO欄位'!$1:$1048576,'Over Under Bill 1 COPY 到CO欄位'!AB$1,0)</f>
        <v>0</v>
      </c>
      <c r="AH110" s="157">
        <f>VLOOKUP($A110,'Over Under Bill 1 COPY 到CO欄位'!$1:$1048576,'Over Under Bill 1 COPY 到CO欄位'!AH$1,0)-VLOOKUP($A110,'Over Under Bill 1 COPY 到CO欄位'!$1:$1048576,'Over Under Bill 1 COPY 到CO欄位'!AC$1,0)</f>
        <v>0</v>
      </c>
      <c r="AI110" s="157">
        <f t="shared" si="126"/>
        <v>0</v>
      </c>
      <c r="AJ110" s="157">
        <f>VLOOKUP($A110,'Over Under Bill 1 COPY 到CO欄位'!$1:$1048576,'Over Under Bill 1 COPY 到CO欄位'!AJ$1,0)-VLOOKUP($A110,'Over Under Bill 1 COPY 到CO欄位'!$1:$1048576,'Over Under Bill 1 COPY 到CO欄位'!AE$1,0)</f>
        <v>0</v>
      </c>
      <c r="AK110" s="157">
        <f t="shared" si="127"/>
        <v>0</v>
      </c>
      <c r="AL110" s="158">
        <f>VLOOKUP($A110,'Over Under Bill 1 COPY 到CO欄位'!$1:$1048576,'Over Under Bill 1 COPY 到CO欄位'!AL$1,0)-VLOOKUP($A110,'Over Under Bill 1 COPY 到CO欄位'!$1:$1048576,'Over Under Bill 1 COPY 到CO欄位'!AG$1,0)</f>
        <v>0</v>
      </c>
      <c r="AM110" s="158">
        <f>VLOOKUP($A110,'Over Under Bill 1 COPY 到CO欄位'!$1:$1048576,'Over Under Bill 1 COPY 到CO欄位'!AM$1,0)-VLOOKUP($A110,'Over Under Bill 1 COPY 到CO欄位'!$1:$1048576,'Over Under Bill 1 COPY 到CO欄位'!AH$1,0)</f>
        <v>0</v>
      </c>
      <c r="AN110" s="158">
        <f t="shared" si="128"/>
        <v>0</v>
      </c>
      <c r="AO110" s="158">
        <f>VLOOKUP($A110,'Over Under Bill 1 COPY 到CO欄位'!$1:$1048576,'Over Under Bill 1 COPY 到CO欄位'!AO$1,0)-VLOOKUP($A110,'Over Under Bill 1 COPY 到CO欄位'!$1:$1048576,'Over Under Bill 1 COPY 到CO欄位'!AJ$1,0)</f>
        <v>0</v>
      </c>
      <c r="AP110" s="158">
        <f t="shared" si="129"/>
        <v>0</v>
      </c>
      <c r="AQ110" s="157">
        <f>VLOOKUP($A110,'Over Under Bill 1 COPY 到CO欄位'!$1:$1048576,'Over Under Bill 1 COPY 到CO欄位'!AQ$1,0)-VLOOKUP($A110,'Over Under Bill 1 COPY 到CO欄位'!$1:$1048576,'Over Under Bill 1 COPY 到CO欄位'!AL$1,0)</f>
        <v>0</v>
      </c>
      <c r="AR110" s="157">
        <f>VLOOKUP($A110,'Over Under Bill 1 COPY 到CO欄位'!$1:$1048576,'Over Under Bill 1 COPY 到CO欄位'!AR$1,0)-VLOOKUP($A110,'Over Under Bill 1 COPY 到CO欄位'!$1:$1048576,'Over Under Bill 1 COPY 到CO欄位'!AM$1,0)</f>
        <v>0</v>
      </c>
      <c r="AS110" s="157">
        <f t="shared" si="130"/>
        <v>0</v>
      </c>
      <c r="AT110" s="157">
        <f>VLOOKUP($A110,'Over Under Bill 1 COPY 到CO欄位'!$1:$1048576,'Over Under Bill 1 COPY 到CO欄位'!AT$1,0)-VLOOKUP($A110,'Over Under Bill 1 COPY 到CO欄位'!$1:$1048576,'Over Under Bill 1 COPY 到CO欄位'!AO$1,0)</f>
        <v>0</v>
      </c>
      <c r="AU110" s="157">
        <f t="shared" si="131"/>
        <v>0</v>
      </c>
      <c r="AV110" s="158">
        <f>VLOOKUP($A110,'Over Under Bill 1 COPY 到CO欄位'!$1:$1048576,'Over Under Bill 1 COPY 到CO欄位'!AV$1,0)-VLOOKUP($A110,'Over Under Bill 1 COPY 到CO欄位'!$1:$1048576,'Over Under Bill 1 COPY 到CO欄位'!AQ$1,0)</f>
        <v>0</v>
      </c>
      <c r="AW110" s="158">
        <f>VLOOKUP($A110,'Over Under Bill 1 COPY 到CO欄位'!$1:$1048576,'Over Under Bill 1 COPY 到CO欄位'!AW$1,0)-VLOOKUP($A110,'Over Under Bill 1 COPY 到CO欄位'!$1:$1048576,'Over Under Bill 1 COPY 到CO欄位'!AR$1,0)</f>
        <v>0</v>
      </c>
      <c r="AX110" s="158">
        <f t="shared" si="132"/>
        <v>0</v>
      </c>
      <c r="AY110" s="158">
        <f>VLOOKUP($A110,'Over Under Bill 1 COPY 到CO欄位'!$1:$1048576,'Over Under Bill 1 COPY 到CO欄位'!AY$1,0)-VLOOKUP($A110,'Over Under Bill 1 COPY 到CO欄位'!$1:$1048576,'Over Under Bill 1 COPY 到CO欄位'!AT$1,0)</f>
        <v>0</v>
      </c>
      <c r="AZ110" s="158">
        <f t="shared" si="133"/>
        <v>0</v>
      </c>
      <c r="BA110" s="157">
        <f>VLOOKUP($A110,'Over Under Bill 1 COPY 到CO欄位'!$1:$1048576,'Over Under Bill 1 COPY 到CO欄位'!BA$1,0)-VLOOKUP($A110,'Over Under Bill 1 COPY 到CO欄位'!$1:$1048576,'Over Under Bill 1 COPY 到CO欄位'!AV$1,0)</f>
        <v>0</v>
      </c>
      <c r="BB110" s="157">
        <f>VLOOKUP($A110,'Over Under Bill 1 COPY 到CO欄位'!$1:$1048576,'Over Under Bill 1 COPY 到CO欄位'!BB$1,0)-VLOOKUP($A110,'Over Under Bill 1 COPY 到CO欄位'!$1:$1048576,'Over Under Bill 1 COPY 到CO欄位'!AW$1,0)</f>
        <v>0</v>
      </c>
      <c r="BC110" s="157">
        <f t="shared" si="134"/>
        <v>0</v>
      </c>
      <c r="BD110" s="157">
        <f>VLOOKUP($A110,'Over Under Bill 1 COPY 到CO欄位'!$1:$1048576,'Over Under Bill 1 COPY 到CO欄位'!BD$1,0)-VLOOKUP($A110,'Over Under Bill 1 COPY 到CO欄位'!$1:$1048576,'Over Under Bill 1 COPY 到CO欄位'!AY$1,0)</f>
        <v>0</v>
      </c>
      <c r="BE110" s="157">
        <f t="shared" si="135"/>
        <v>0</v>
      </c>
      <c r="BF110" s="158">
        <f>VLOOKUP($A110,'Over Under Bill 1 COPY 到CO欄位'!$1:$1048576,'Over Under Bill 1 COPY 到CO欄位'!BF$1,0)-VLOOKUP($A110,'Over Under Bill 1 COPY 到CO欄位'!$1:$1048576,'Over Under Bill 1 COPY 到CO欄位'!BA$1,0)</f>
        <v>0</v>
      </c>
      <c r="BG110" s="158">
        <f>VLOOKUP($A110,'Over Under Bill 1 COPY 到CO欄位'!$1:$1048576,'Over Under Bill 1 COPY 到CO欄位'!BG$1,0)-VLOOKUP($A110,'Over Under Bill 1 COPY 到CO欄位'!$1:$1048576,'Over Under Bill 1 COPY 到CO欄位'!BB$1,0)</f>
        <v>0</v>
      </c>
      <c r="BH110" s="158">
        <f t="shared" si="136"/>
        <v>0</v>
      </c>
      <c r="BI110" s="158">
        <f>VLOOKUP($A110,'Over Under Bill 1 COPY 到CO欄位'!$1:$1048576,'Over Under Bill 1 COPY 到CO欄位'!BI$1,0)-VLOOKUP($A110,'Over Under Bill 1 COPY 到CO欄位'!$1:$1048576,'Over Under Bill 1 COPY 到CO欄位'!BD$1,0)</f>
        <v>0</v>
      </c>
      <c r="BJ110" s="158">
        <f t="shared" si="137"/>
        <v>0</v>
      </c>
      <c r="BK110" s="157">
        <f>VLOOKUP($A110,'Over Under Bill 1 COPY 到CO欄位'!$1:$1048576,'Over Under Bill 1 COPY 到CO欄位'!BK$1,0)-VLOOKUP($A110,'Over Under Bill 1 COPY 到CO欄位'!$1:$1048576,'Over Under Bill 1 COPY 到CO欄位'!BF$1,0)</f>
        <v>0</v>
      </c>
      <c r="BL110" s="157">
        <f>VLOOKUP($A110,'Over Under Bill 1 COPY 到CO欄位'!$1:$1048576,'Over Under Bill 1 COPY 到CO欄位'!BL$1,0)-VLOOKUP($A110,'Over Under Bill 1 COPY 到CO欄位'!$1:$1048576,'Over Under Bill 1 COPY 到CO欄位'!BG$1,0)</f>
        <v>0</v>
      </c>
      <c r="BM110" s="157">
        <f t="shared" si="138"/>
        <v>0</v>
      </c>
      <c r="BN110" s="157">
        <f>VLOOKUP($A110,'Over Under Bill 1 COPY 到CO欄位'!$1:$1048576,'Over Under Bill 1 COPY 到CO欄位'!BN$1,0)-VLOOKUP($A110,'Over Under Bill 1 COPY 到CO欄位'!$1:$1048576,'Over Under Bill 1 COPY 到CO欄位'!BI$1,0)</f>
        <v>0</v>
      </c>
      <c r="BO110" s="157">
        <f t="shared" si="139"/>
        <v>0</v>
      </c>
      <c r="BP110" s="158">
        <f>VLOOKUP($A110,'Over Under Bill 1 COPY 到CO欄位'!$1:$1048576,'Over Under Bill 1 COPY 到CO欄位'!BP$1,0)-VLOOKUP($A110,'Over Under Bill 1 COPY 到CO欄位'!$1:$1048576,'Over Under Bill 1 COPY 到CO欄位'!BK$1,0)</f>
        <v>0</v>
      </c>
      <c r="BQ110" s="158">
        <f>VLOOKUP($A110,'Over Under Bill 1 COPY 到CO欄位'!$1:$1048576,'Over Under Bill 1 COPY 到CO欄位'!BQ$1,0)-VLOOKUP($A110,'Over Under Bill 1 COPY 到CO欄位'!$1:$1048576,'Over Under Bill 1 COPY 到CO欄位'!BL$1,0)</f>
        <v>0</v>
      </c>
      <c r="BR110" s="158">
        <f t="shared" si="140"/>
        <v>0</v>
      </c>
      <c r="BS110" s="158">
        <f>VLOOKUP($A110,'Over Under Bill 1 COPY 到CO欄位'!$1:$1048576,'Over Under Bill 1 COPY 到CO欄位'!BS$1,0)-VLOOKUP($A110,'Over Under Bill 1 COPY 到CO欄位'!$1:$1048576,'Over Under Bill 1 COPY 到CO欄位'!BN$1,0)</f>
        <v>0</v>
      </c>
      <c r="BT110" s="158">
        <f t="shared" si="141"/>
        <v>0</v>
      </c>
      <c r="BU110" s="157">
        <f>VLOOKUP($A110,'Over Under Bill 1 COPY 到CO欄位'!$1:$1048576,'Over Under Bill 1 COPY 到CO欄位'!BP$1,0)-VLOOKUP($A110,'Over Under Bill 1 COPY 到CO欄位'!$1:$1048576,'Over Under Bill 1 COPY 到CO欄位'!H$1,0)</f>
        <v>0</v>
      </c>
      <c r="BV110" s="157">
        <f>VLOOKUP($A110,'Over Under Bill 1 COPY 到CO欄位'!$1:$1048576,'Over Under Bill 1 COPY 到CO欄位'!BQ$1,0)-VLOOKUP($A110,'Over Under Bill 1 COPY 到CO欄位'!$1:$1048576,'Over Under Bill 1 COPY 到CO欄位'!BL$1,0)</f>
        <v>0</v>
      </c>
      <c r="BW110" s="157">
        <f t="shared" si="142"/>
        <v>0</v>
      </c>
      <c r="BX110" s="157">
        <f>VLOOKUP($A110,'Over Under Bill 1 COPY 到CO欄位'!$1:$1048576,'Over Under Bill 1 COPY 到CO欄位'!BS$1,0)-VLOOKUP($A110,'Over Under Bill 1 COPY 到CO欄位'!$1:$1048576,'Over Under Bill 1 COPY 到CO欄位'!K$1,0)</f>
        <v>0</v>
      </c>
      <c r="BY110" s="157">
        <f t="shared" si="143"/>
        <v>0</v>
      </c>
      <c r="BZ110" s="158">
        <f>VLOOKUP($A110,'Over Under Bill 1 COPY 到CO欄位'!$1:$1048576,'Over Under Bill 1 COPY 到CO欄位'!BU$1,0)-VLOOKUP($A110,'Over Under Bill 1 COPY 到CO欄位'!$1:$1048576,'Over Under Bill 1 COPY 到CO欄位'!BP$1,0)</f>
        <v>0</v>
      </c>
      <c r="CA110" s="158">
        <f>VLOOKUP($A110,'Over Under Bill 1 COPY 到CO欄位'!$1:$1048576,'Over Under Bill 1 COPY 到CO欄位'!BV$1,0)-VLOOKUP($A110,'Over Under Bill 1 COPY 到CO欄位'!$1:$1048576,'Over Under Bill 1 COPY 到CO欄位'!BQ$1,0)</f>
        <v>0</v>
      </c>
      <c r="CB110" s="158">
        <f t="shared" si="144"/>
        <v>0</v>
      </c>
      <c r="CC110" s="158">
        <f>VLOOKUP($A110,'Over Under Bill 1 COPY 到CO欄位'!$1:$1048576,'Over Under Bill 1 COPY 到CO欄位'!BX$1,0)-VLOOKUP($A110,'Over Under Bill 1 COPY 到CO欄位'!$1:$1048576,'Over Under Bill 1 COPY 到CO欄位'!BS$1,0)</f>
        <v>0</v>
      </c>
      <c r="CD110" s="158">
        <f t="shared" si="145"/>
        <v>0</v>
      </c>
      <c r="CE110" s="157">
        <f>VLOOKUP($A110,'Over Under Bill 1 COPY 到CO欄位'!$1:$1048576,'Over Under Bill 1 COPY 到CO欄位'!BZ$1,0)-VLOOKUP($A110,'Over Under Bill 1 COPY 到CO欄位'!$1:$1048576,'Over Under Bill 1 COPY 到CO欄位'!BU$1,0)</f>
        <v>0</v>
      </c>
      <c r="CF110" s="157">
        <f>VLOOKUP($A110,'Over Under Bill 1 COPY 到CO欄位'!$1:$1048576,'Over Under Bill 1 COPY 到CO欄位'!CA$1,0)-VLOOKUP($A110,'Over Under Bill 1 COPY 到CO欄位'!$1:$1048576,'Over Under Bill 1 COPY 到CO欄位'!BV$1,0)</f>
        <v>0</v>
      </c>
      <c r="CG110" s="157">
        <f t="shared" si="146"/>
        <v>0</v>
      </c>
      <c r="CH110" s="157">
        <f>VLOOKUP($A110,'Over Under Bill 1 COPY 到CO欄位'!$1:$1048576,'Over Under Bill 1 COPY 到CO欄位'!CC$1,0)-VLOOKUP($A110,'Over Under Bill 1 COPY 到CO欄位'!$1:$1048576,'Over Under Bill 1 COPY 到CO欄位'!BX$1,0)</f>
        <v>0</v>
      </c>
      <c r="CI110" s="157">
        <f t="shared" si="147"/>
        <v>0</v>
      </c>
      <c r="CJ110" s="158">
        <f>VLOOKUP($A110,'Over Under Bill 1 COPY 到CO欄位'!$1:$1048576,'Over Under Bill 1 COPY 到CO欄位'!CE$1,0)-VLOOKUP($A110,'Over Under Bill 1 COPY 到CO欄位'!$1:$1048576,'Over Under Bill 1 COPY 到CO欄位'!BZ$1,0)</f>
        <v>0</v>
      </c>
      <c r="CK110" s="158">
        <f>VLOOKUP($A110,'Over Under Bill 1 COPY 到CO欄位'!$1:$1048576,'Over Under Bill 1 COPY 到CO欄位'!CF$1,0)-VLOOKUP($A110,'Over Under Bill 1 COPY 到CO欄位'!$1:$1048576,'Over Under Bill 1 COPY 到CO欄位'!CA$1,0)</f>
        <v>0</v>
      </c>
      <c r="CL110" s="158">
        <f t="shared" si="148"/>
        <v>0</v>
      </c>
      <c r="CM110" s="158">
        <f>VLOOKUP($A110,'Over Under Bill 1 COPY 到CO欄位'!$1:$1048576,'Over Under Bill 1 COPY 到CO欄位'!CH$1,0)-VLOOKUP($A110,'Over Under Bill 1 COPY 到CO欄位'!$1:$1048576,'Over Under Bill 1 COPY 到CO欄位'!CC$1,0)</f>
        <v>0</v>
      </c>
      <c r="CN110" s="158">
        <f t="shared" si="149"/>
        <v>0</v>
      </c>
      <c r="CO110" s="157">
        <f>VLOOKUP($A110,'Over Under Bill 1 COPY 到CO欄位'!$1:$1048576,'Over Under Bill 1 COPY 到CO欄位'!CJ$1,0)-VLOOKUP($A110,'Over Under Bill 1 COPY 到CO欄位'!$1:$1048576,'Over Under Bill 1 COPY 到CO欄位'!CE$1,0)</f>
        <v>0</v>
      </c>
      <c r="CP110" s="157">
        <f>VLOOKUP($A110,'Over Under Bill 1 COPY 到CO欄位'!$1:$1048576,'Over Under Bill 1 COPY 到CO欄位'!CK$1,0)-VLOOKUP($A110,'Over Under Bill 1 COPY 到CO欄位'!$1:$1048576,'Over Under Bill 1 COPY 到CO欄位'!CF$1,0)</f>
        <v>0</v>
      </c>
      <c r="CQ110" s="157">
        <f t="shared" si="150"/>
        <v>0</v>
      </c>
      <c r="CR110" s="157">
        <f>VLOOKUP($A110,'Over Under Bill 1 COPY 到CO欄位'!$1:$1048576,'Over Under Bill 1 COPY 到CO欄位'!CM$1,0)-VLOOKUP($A110,'Over Under Bill 1 COPY 到CO欄位'!$1:$1048576,'Over Under Bill 1 COPY 到CO欄位'!CH$1,0)</f>
        <v>0</v>
      </c>
      <c r="CS110" s="157">
        <f t="shared" si="151"/>
        <v>0</v>
      </c>
    </row>
    <row r="111" spans="1:97">
      <c r="A111" s="175" t="s">
        <v>503</v>
      </c>
      <c r="B111" s="181" t="s">
        <v>504</v>
      </c>
      <c r="C111" s="157">
        <f>IFERROR(VLOOKUP($A111,'A0 BS 1240在建'!$1:$1048576,5,0),0)</f>
        <v>0</v>
      </c>
      <c r="D111" s="157">
        <f>IFERROR(VLOOKUP($A111,'B0 2264預收'!$1:$1048576,5,0),0)</f>
        <v>0</v>
      </c>
      <c r="E111" s="157">
        <f t="shared" si="114"/>
        <v>0</v>
      </c>
      <c r="F111" s="157">
        <f>IFERROR(VLOOKUP($A111,'B0 2264預收'!$1:$1048576,6,0),0)</f>
        <v>0</v>
      </c>
      <c r="G111" s="157">
        <f t="shared" si="115"/>
        <v>0</v>
      </c>
      <c r="H111" s="158">
        <f>IFERROR(VLOOKUP($A111,'A0 BS 1240在建'!$1:$1048576,13,0),0)-C111</f>
        <v>0</v>
      </c>
      <c r="I111" s="158">
        <f>IFERROR(VLOOKUP($A111,'B0 2264預收'!$1:$1048576,13,0),0)-D111</f>
        <v>0</v>
      </c>
      <c r="J111" s="158">
        <f t="shared" si="116"/>
        <v>0</v>
      </c>
      <c r="K111" s="158">
        <f>IFERROR(VLOOKUP($A111,'B0 2264預收'!$1:$1048576,14,0),0)-F111</f>
        <v>0</v>
      </c>
      <c r="L111" s="158">
        <f t="shared" si="117"/>
        <v>0</v>
      </c>
      <c r="M111" s="157">
        <f>VLOOKUP($A111,'Over Under Bill 1 COPY 到CO欄位'!$1:$1048576,'Over Under Bill 1 COPY 到CO欄位'!M$1,0)-VLOOKUP($A111,'Over Under Bill 1 COPY 到CO欄位'!$1:$1048576,'Over Under Bill 1 COPY 到CO欄位'!H$1,0)</f>
        <v>0</v>
      </c>
      <c r="N111" s="157">
        <f>VLOOKUP($A111,'Over Under Bill 1 COPY 到CO欄位'!$1:$1048576,'Over Under Bill 1 COPY 到CO欄位'!N$1,0)-VLOOKUP($A111,'Over Under Bill 1 COPY 到CO欄位'!$1:$1048576,'Over Under Bill 1 COPY 到CO欄位'!I$1,0)</f>
        <v>0</v>
      </c>
      <c r="O111" s="157">
        <f t="shared" si="118"/>
        <v>0</v>
      </c>
      <c r="P111" s="157">
        <f>VLOOKUP($A111,'Over Under Bill 1 COPY 到CO欄位'!$1:$1048576,'Over Under Bill 1 COPY 到CO欄位'!P$1,0)-VLOOKUP($A111,'Over Under Bill 1 COPY 到CO欄位'!$1:$1048576,'Over Under Bill 1 COPY 到CO欄位'!K$1,0)</f>
        <v>0</v>
      </c>
      <c r="Q111" s="157">
        <f t="shared" si="119"/>
        <v>0</v>
      </c>
      <c r="R111" s="158">
        <f>VLOOKUP($A111,'Over Under Bill 1 COPY 到CO欄位'!$1:$1048576,'Over Under Bill 1 COPY 到CO欄位'!R$1,0)-VLOOKUP($A111,'Over Under Bill 1 COPY 到CO欄位'!$1:$1048576,'Over Under Bill 1 COPY 到CO欄位'!M$1,0)</f>
        <v>0</v>
      </c>
      <c r="S111" s="158">
        <f>VLOOKUP($A111,'Over Under Bill 1 COPY 到CO欄位'!$1:$1048576,'Over Under Bill 1 COPY 到CO欄位'!S$1,0)-VLOOKUP($A111,'Over Under Bill 1 COPY 到CO欄位'!$1:$1048576,'Over Under Bill 1 COPY 到CO欄位'!N$1,0)</f>
        <v>0</v>
      </c>
      <c r="T111" s="158">
        <f t="shared" si="120"/>
        <v>0</v>
      </c>
      <c r="U111" s="158">
        <f>VLOOKUP($A111,'Over Under Bill 1 COPY 到CO欄位'!$1:$1048576,'Over Under Bill 1 COPY 到CO欄位'!U$1,0)-VLOOKUP($A111,'Over Under Bill 1 COPY 到CO欄位'!$1:$1048576,'Over Under Bill 1 COPY 到CO欄位'!P$1,0)</f>
        <v>0</v>
      </c>
      <c r="V111" s="158">
        <f t="shared" si="121"/>
        <v>0</v>
      </c>
      <c r="W111" s="157">
        <f>VLOOKUP($A111,'Over Under Bill 1 COPY 到CO欄位'!$1:$1048576,'Over Under Bill 1 COPY 到CO欄位'!W$1,0)-VLOOKUP($A111,'Over Under Bill 1 COPY 到CO欄位'!$1:$1048576,'Over Under Bill 1 COPY 到CO欄位'!R$1,0)</f>
        <v>0</v>
      </c>
      <c r="X111" s="157">
        <f>VLOOKUP($A111,'Over Under Bill 1 COPY 到CO欄位'!$1:$1048576,'Over Under Bill 1 COPY 到CO欄位'!X$1,0)-VLOOKUP($A111,'Over Under Bill 1 COPY 到CO欄位'!$1:$1048576,'Over Under Bill 1 COPY 到CO欄位'!S$1,0)</f>
        <v>0</v>
      </c>
      <c r="Y111" s="157">
        <f t="shared" si="122"/>
        <v>0</v>
      </c>
      <c r="Z111" s="157">
        <f>VLOOKUP($A111,'Over Under Bill 1 COPY 到CO欄位'!$1:$1048576,'Over Under Bill 1 COPY 到CO欄位'!Z$1,0)-VLOOKUP($A111,'Over Under Bill 1 COPY 到CO欄位'!$1:$1048576,'Over Under Bill 1 COPY 到CO欄位'!U$1,0)</f>
        <v>0</v>
      </c>
      <c r="AA111" s="157">
        <f t="shared" si="123"/>
        <v>0</v>
      </c>
      <c r="AB111" s="158">
        <f>VLOOKUP($A111,'Over Under Bill 1 COPY 到CO欄位'!$1:$1048576,'Over Under Bill 1 COPY 到CO欄位'!AB$1,0)-VLOOKUP($A111,'Over Under Bill 1 COPY 到CO欄位'!$1:$1048576,'Over Under Bill 1 COPY 到CO欄位'!W$1,0)</f>
        <v>0</v>
      </c>
      <c r="AC111" s="158">
        <f>VLOOKUP($A111,'Over Under Bill 1 COPY 到CO欄位'!$1:$1048576,'Over Under Bill 1 COPY 到CO欄位'!AC$1,0)-VLOOKUP($A111,'Over Under Bill 1 COPY 到CO欄位'!$1:$1048576,'Over Under Bill 1 COPY 到CO欄位'!X$1,0)</f>
        <v>0</v>
      </c>
      <c r="AD111" s="158">
        <f t="shared" si="124"/>
        <v>0</v>
      </c>
      <c r="AE111" s="158">
        <f>VLOOKUP($A111,'Over Under Bill 1 COPY 到CO欄位'!$1:$1048576,'Over Under Bill 1 COPY 到CO欄位'!AE$1,0)-VLOOKUP($A111,'Over Under Bill 1 COPY 到CO欄位'!$1:$1048576,'Over Under Bill 1 COPY 到CO欄位'!Z$1,0)</f>
        <v>0</v>
      </c>
      <c r="AF111" s="158">
        <f t="shared" si="125"/>
        <v>0</v>
      </c>
      <c r="AG111" s="157">
        <f>VLOOKUP($A111,'Over Under Bill 1 COPY 到CO欄位'!$1:$1048576,'Over Under Bill 1 COPY 到CO欄位'!AG$1,0)-VLOOKUP($A111,'Over Under Bill 1 COPY 到CO欄位'!$1:$1048576,'Over Under Bill 1 COPY 到CO欄位'!AB$1,0)</f>
        <v>0</v>
      </c>
      <c r="AH111" s="157">
        <f>VLOOKUP($A111,'Over Under Bill 1 COPY 到CO欄位'!$1:$1048576,'Over Under Bill 1 COPY 到CO欄位'!AH$1,0)-VLOOKUP($A111,'Over Under Bill 1 COPY 到CO欄位'!$1:$1048576,'Over Under Bill 1 COPY 到CO欄位'!AC$1,0)</f>
        <v>0</v>
      </c>
      <c r="AI111" s="157">
        <f t="shared" si="126"/>
        <v>0</v>
      </c>
      <c r="AJ111" s="157">
        <f>VLOOKUP($A111,'Over Under Bill 1 COPY 到CO欄位'!$1:$1048576,'Over Under Bill 1 COPY 到CO欄位'!AJ$1,0)-VLOOKUP($A111,'Over Under Bill 1 COPY 到CO欄位'!$1:$1048576,'Over Under Bill 1 COPY 到CO欄位'!AE$1,0)</f>
        <v>0</v>
      </c>
      <c r="AK111" s="157">
        <f t="shared" si="127"/>
        <v>0</v>
      </c>
      <c r="AL111" s="158">
        <f>VLOOKUP($A111,'Over Under Bill 1 COPY 到CO欄位'!$1:$1048576,'Over Under Bill 1 COPY 到CO欄位'!AL$1,0)-VLOOKUP($A111,'Over Under Bill 1 COPY 到CO欄位'!$1:$1048576,'Over Under Bill 1 COPY 到CO欄位'!AG$1,0)</f>
        <v>0</v>
      </c>
      <c r="AM111" s="158">
        <f>VLOOKUP($A111,'Over Under Bill 1 COPY 到CO欄位'!$1:$1048576,'Over Under Bill 1 COPY 到CO欄位'!AM$1,0)-VLOOKUP($A111,'Over Under Bill 1 COPY 到CO欄位'!$1:$1048576,'Over Under Bill 1 COPY 到CO欄位'!AH$1,0)</f>
        <v>0</v>
      </c>
      <c r="AN111" s="158">
        <f t="shared" si="128"/>
        <v>0</v>
      </c>
      <c r="AO111" s="158">
        <f>VLOOKUP($A111,'Over Under Bill 1 COPY 到CO欄位'!$1:$1048576,'Over Under Bill 1 COPY 到CO欄位'!AO$1,0)-VLOOKUP($A111,'Over Under Bill 1 COPY 到CO欄位'!$1:$1048576,'Over Under Bill 1 COPY 到CO欄位'!AJ$1,0)</f>
        <v>0</v>
      </c>
      <c r="AP111" s="158">
        <f t="shared" si="129"/>
        <v>0</v>
      </c>
      <c r="AQ111" s="157">
        <f>VLOOKUP($A111,'Over Under Bill 1 COPY 到CO欄位'!$1:$1048576,'Over Under Bill 1 COPY 到CO欄位'!AQ$1,0)-VLOOKUP($A111,'Over Under Bill 1 COPY 到CO欄位'!$1:$1048576,'Over Under Bill 1 COPY 到CO欄位'!AL$1,0)</f>
        <v>0</v>
      </c>
      <c r="AR111" s="157">
        <f>VLOOKUP($A111,'Over Under Bill 1 COPY 到CO欄位'!$1:$1048576,'Over Under Bill 1 COPY 到CO欄位'!AR$1,0)-VLOOKUP($A111,'Over Under Bill 1 COPY 到CO欄位'!$1:$1048576,'Over Under Bill 1 COPY 到CO欄位'!AM$1,0)</f>
        <v>0</v>
      </c>
      <c r="AS111" s="157">
        <f t="shared" si="130"/>
        <v>0</v>
      </c>
      <c r="AT111" s="157">
        <f>VLOOKUP($A111,'Over Under Bill 1 COPY 到CO欄位'!$1:$1048576,'Over Under Bill 1 COPY 到CO欄位'!AT$1,0)-VLOOKUP($A111,'Over Under Bill 1 COPY 到CO欄位'!$1:$1048576,'Over Under Bill 1 COPY 到CO欄位'!AO$1,0)</f>
        <v>0</v>
      </c>
      <c r="AU111" s="157">
        <f t="shared" si="131"/>
        <v>0</v>
      </c>
      <c r="AV111" s="158">
        <f>VLOOKUP($A111,'Over Under Bill 1 COPY 到CO欄位'!$1:$1048576,'Over Under Bill 1 COPY 到CO欄位'!AV$1,0)-VLOOKUP($A111,'Over Under Bill 1 COPY 到CO欄位'!$1:$1048576,'Over Under Bill 1 COPY 到CO欄位'!AQ$1,0)</f>
        <v>0</v>
      </c>
      <c r="AW111" s="158">
        <f>VLOOKUP($A111,'Over Under Bill 1 COPY 到CO欄位'!$1:$1048576,'Over Under Bill 1 COPY 到CO欄位'!AW$1,0)-VLOOKUP($A111,'Over Under Bill 1 COPY 到CO欄位'!$1:$1048576,'Over Under Bill 1 COPY 到CO欄位'!AR$1,0)</f>
        <v>0</v>
      </c>
      <c r="AX111" s="158">
        <f t="shared" si="132"/>
        <v>0</v>
      </c>
      <c r="AY111" s="158">
        <f>VLOOKUP($A111,'Over Under Bill 1 COPY 到CO欄位'!$1:$1048576,'Over Under Bill 1 COPY 到CO欄位'!AY$1,0)-VLOOKUP($A111,'Over Under Bill 1 COPY 到CO欄位'!$1:$1048576,'Over Under Bill 1 COPY 到CO欄位'!AT$1,0)</f>
        <v>0</v>
      </c>
      <c r="AZ111" s="158">
        <f t="shared" si="133"/>
        <v>0</v>
      </c>
      <c r="BA111" s="157">
        <f>VLOOKUP($A111,'Over Under Bill 1 COPY 到CO欄位'!$1:$1048576,'Over Under Bill 1 COPY 到CO欄位'!BA$1,0)-VLOOKUP($A111,'Over Under Bill 1 COPY 到CO欄位'!$1:$1048576,'Over Under Bill 1 COPY 到CO欄位'!AV$1,0)</f>
        <v>0</v>
      </c>
      <c r="BB111" s="157">
        <f>VLOOKUP($A111,'Over Under Bill 1 COPY 到CO欄位'!$1:$1048576,'Over Under Bill 1 COPY 到CO欄位'!BB$1,0)-VLOOKUP($A111,'Over Under Bill 1 COPY 到CO欄位'!$1:$1048576,'Over Under Bill 1 COPY 到CO欄位'!AW$1,0)</f>
        <v>0</v>
      </c>
      <c r="BC111" s="157">
        <f t="shared" si="134"/>
        <v>0</v>
      </c>
      <c r="BD111" s="157">
        <f>VLOOKUP($A111,'Over Under Bill 1 COPY 到CO欄位'!$1:$1048576,'Over Under Bill 1 COPY 到CO欄位'!BD$1,0)-VLOOKUP($A111,'Over Under Bill 1 COPY 到CO欄位'!$1:$1048576,'Over Under Bill 1 COPY 到CO欄位'!AY$1,0)</f>
        <v>0</v>
      </c>
      <c r="BE111" s="157">
        <f t="shared" si="135"/>
        <v>0</v>
      </c>
      <c r="BF111" s="158">
        <f>VLOOKUP($A111,'Over Under Bill 1 COPY 到CO欄位'!$1:$1048576,'Over Under Bill 1 COPY 到CO欄位'!BF$1,0)-VLOOKUP($A111,'Over Under Bill 1 COPY 到CO欄位'!$1:$1048576,'Over Under Bill 1 COPY 到CO欄位'!BA$1,0)</f>
        <v>0</v>
      </c>
      <c r="BG111" s="158">
        <f>VLOOKUP($A111,'Over Under Bill 1 COPY 到CO欄位'!$1:$1048576,'Over Under Bill 1 COPY 到CO欄位'!BG$1,0)-VLOOKUP($A111,'Over Under Bill 1 COPY 到CO欄位'!$1:$1048576,'Over Under Bill 1 COPY 到CO欄位'!BB$1,0)</f>
        <v>0</v>
      </c>
      <c r="BH111" s="158">
        <f t="shared" si="136"/>
        <v>0</v>
      </c>
      <c r="BI111" s="158">
        <f>VLOOKUP($A111,'Over Under Bill 1 COPY 到CO欄位'!$1:$1048576,'Over Under Bill 1 COPY 到CO欄位'!BI$1,0)-VLOOKUP($A111,'Over Under Bill 1 COPY 到CO欄位'!$1:$1048576,'Over Under Bill 1 COPY 到CO欄位'!BD$1,0)</f>
        <v>0</v>
      </c>
      <c r="BJ111" s="158">
        <f t="shared" si="137"/>
        <v>0</v>
      </c>
      <c r="BK111" s="157">
        <f>VLOOKUP($A111,'Over Under Bill 1 COPY 到CO欄位'!$1:$1048576,'Over Under Bill 1 COPY 到CO欄位'!BK$1,0)-VLOOKUP($A111,'Over Under Bill 1 COPY 到CO欄位'!$1:$1048576,'Over Under Bill 1 COPY 到CO欄位'!BF$1,0)</f>
        <v>0</v>
      </c>
      <c r="BL111" s="157">
        <f>VLOOKUP($A111,'Over Under Bill 1 COPY 到CO欄位'!$1:$1048576,'Over Under Bill 1 COPY 到CO欄位'!BL$1,0)-VLOOKUP($A111,'Over Under Bill 1 COPY 到CO欄位'!$1:$1048576,'Over Under Bill 1 COPY 到CO欄位'!BG$1,0)</f>
        <v>0</v>
      </c>
      <c r="BM111" s="157">
        <f t="shared" si="138"/>
        <v>0</v>
      </c>
      <c r="BN111" s="157">
        <f>VLOOKUP($A111,'Over Under Bill 1 COPY 到CO欄位'!$1:$1048576,'Over Under Bill 1 COPY 到CO欄位'!BN$1,0)-VLOOKUP($A111,'Over Under Bill 1 COPY 到CO欄位'!$1:$1048576,'Over Under Bill 1 COPY 到CO欄位'!BI$1,0)</f>
        <v>0</v>
      </c>
      <c r="BO111" s="157">
        <f t="shared" si="139"/>
        <v>0</v>
      </c>
      <c r="BP111" s="158">
        <f>VLOOKUP($A111,'Over Under Bill 1 COPY 到CO欄位'!$1:$1048576,'Over Under Bill 1 COPY 到CO欄位'!BP$1,0)-VLOOKUP($A111,'Over Under Bill 1 COPY 到CO欄位'!$1:$1048576,'Over Under Bill 1 COPY 到CO欄位'!BK$1,0)</f>
        <v>0</v>
      </c>
      <c r="BQ111" s="158">
        <f>VLOOKUP($A111,'Over Under Bill 1 COPY 到CO欄位'!$1:$1048576,'Over Under Bill 1 COPY 到CO欄位'!BQ$1,0)-VLOOKUP($A111,'Over Under Bill 1 COPY 到CO欄位'!$1:$1048576,'Over Under Bill 1 COPY 到CO欄位'!BL$1,0)</f>
        <v>0</v>
      </c>
      <c r="BR111" s="158">
        <f t="shared" si="140"/>
        <v>0</v>
      </c>
      <c r="BS111" s="158">
        <f>VLOOKUP($A111,'Over Under Bill 1 COPY 到CO欄位'!$1:$1048576,'Over Under Bill 1 COPY 到CO欄位'!BS$1,0)-VLOOKUP($A111,'Over Under Bill 1 COPY 到CO欄位'!$1:$1048576,'Over Under Bill 1 COPY 到CO欄位'!BN$1,0)</f>
        <v>0</v>
      </c>
      <c r="BT111" s="158">
        <f t="shared" si="141"/>
        <v>0</v>
      </c>
      <c r="BU111" s="157">
        <f>VLOOKUP($A111,'Over Under Bill 1 COPY 到CO欄位'!$1:$1048576,'Over Under Bill 1 COPY 到CO欄位'!BP$1,0)-VLOOKUP($A111,'Over Under Bill 1 COPY 到CO欄位'!$1:$1048576,'Over Under Bill 1 COPY 到CO欄位'!H$1,0)</f>
        <v>0</v>
      </c>
      <c r="BV111" s="157">
        <f>VLOOKUP($A111,'Over Under Bill 1 COPY 到CO欄位'!$1:$1048576,'Over Under Bill 1 COPY 到CO欄位'!BQ$1,0)-VLOOKUP($A111,'Over Under Bill 1 COPY 到CO欄位'!$1:$1048576,'Over Under Bill 1 COPY 到CO欄位'!BL$1,0)</f>
        <v>0</v>
      </c>
      <c r="BW111" s="157">
        <f t="shared" si="142"/>
        <v>0</v>
      </c>
      <c r="BX111" s="157">
        <f>VLOOKUP($A111,'Over Under Bill 1 COPY 到CO欄位'!$1:$1048576,'Over Under Bill 1 COPY 到CO欄位'!BS$1,0)-VLOOKUP($A111,'Over Under Bill 1 COPY 到CO欄位'!$1:$1048576,'Over Under Bill 1 COPY 到CO欄位'!K$1,0)</f>
        <v>0</v>
      </c>
      <c r="BY111" s="157">
        <f t="shared" si="143"/>
        <v>0</v>
      </c>
      <c r="BZ111" s="158">
        <f>VLOOKUP($A111,'Over Under Bill 1 COPY 到CO欄位'!$1:$1048576,'Over Under Bill 1 COPY 到CO欄位'!BU$1,0)-VLOOKUP($A111,'Over Under Bill 1 COPY 到CO欄位'!$1:$1048576,'Over Under Bill 1 COPY 到CO欄位'!BP$1,0)</f>
        <v>0</v>
      </c>
      <c r="CA111" s="158">
        <f>VLOOKUP($A111,'Over Under Bill 1 COPY 到CO欄位'!$1:$1048576,'Over Under Bill 1 COPY 到CO欄位'!BV$1,0)-VLOOKUP($A111,'Over Under Bill 1 COPY 到CO欄位'!$1:$1048576,'Over Under Bill 1 COPY 到CO欄位'!BQ$1,0)</f>
        <v>0</v>
      </c>
      <c r="CB111" s="158">
        <f t="shared" si="144"/>
        <v>0</v>
      </c>
      <c r="CC111" s="158">
        <f>VLOOKUP($A111,'Over Under Bill 1 COPY 到CO欄位'!$1:$1048576,'Over Under Bill 1 COPY 到CO欄位'!BX$1,0)-VLOOKUP($A111,'Over Under Bill 1 COPY 到CO欄位'!$1:$1048576,'Over Under Bill 1 COPY 到CO欄位'!BS$1,0)</f>
        <v>0</v>
      </c>
      <c r="CD111" s="158">
        <f t="shared" si="145"/>
        <v>0</v>
      </c>
      <c r="CE111" s="157">
        <f>VLOOKUP($A111,'Over Under Bill 1 COPY 到CO欄位'!$1:$1048576,'Over Under Bill 1 COPY 到CO欄位'!BZ$1,0)-VLOOKUP($A111,'Over Under Bill 1 COPY 到CO欄位'!$1:$1048576,'Over Under Bill 1 COPY 到CO欄位'!BU$1,0)</f>
        <v>0</v>
      </c>
      <c r="CF111" s="157">
        <f>VLOOKUP($A111,'Over Under Bill 1 COPY 到CO欄位'!$1:$1048576,'Over Under Bill 1 COPY 到CO欄位'!CA$1,0)-VLOOKUP($A111,'Over Under Bill 1 COPY 到CO欄位'!$1:$1048576,'Over Under Bill 1 COPY 到CO欄位'!BV$1,0)</f>
        <v>0</v>
      </c>
      <c r="CG111" s="157">
        <f t="shared" si="146"/>
        <v>0</v>
      </c>
      <c r="CH111" s="157">
        <f>VLOOKUP($A111,'Over Under Bill 1 COPY 到CO欄位'!$1:$1048576,'Over Under Bill 1 COPY 到CO欄位'!CC$1,0)-VLOOKUP($A111,'Over Under Bill 1 COPY 到CO欄位'!$1:$1048576,'Over Under Bill 1 COPY 到CO欄位'!BX$1,0)</f>
        <v>0</v>
      </c>
      <c r="CI111" s="157">
        <f t="shared" si="147"/>
        <v>0</v>
      </c>
      <c r="CJ111" s="158">
        <f>VLOOKUP($A111,'Over Under Bill 1 COPY 到CO欄位'!$1:$1048576,'Over Under Bill 1 COPY 到CO欄位'!CE$1,0)-VLOOKUP($A111,'Over Under Bill 1 COPY 到CO欄位'!$1:$1048576,'Over Under Bill 1 COPY 到CO欄位'!BZ$1,0)</f>
        <v>0</v>
      </c>
      <c r="CK111" s="158">
        <f>VLOOKUP($A111,'Over Under Bill 1 COPY 到CO欄位'!$1:$1048576,'Over Under Bill 1 COPY 到CO欄位'!CF$1,0)-VLOOKUP($A111,'Over Under Bill 1 COPY 到CO欄位'!$1:$1048576,'Over Under Bill 1 COPY 到CO欄位'!CA$1,0)</f>
        <v>0</v>
      </c>
      <c r="CL111" s="158">
        <f t="shared" si="148"/>
        <v>0</v>
      </c>
      <c r="CM111" s="158">
        <f>VLOOKUP($A111,'Over Under Bill 1 COPY 到CO欄位'!$1:$1048576,'Over Under Bill 1 COPY 到CO欄位'!CH$1,0)-VLOOKUP($A111,'Over Under Bill 1 COPY 到CO欄位'!$1:$1048576,'Over Under Bill 1 COPY 到CO欄位'!CC$1,0)</f>
        <v>0</v>
      </c>
      <c r="CN111" s="158">
        <f t="shared" si="149"/>
        <v>0</v>
      </c>
      <c r="CO111" s="157">
        <f>VLOOKUP($A111,'Over Under Bill 1 COPY 到CO欄位'!$1:$1048576,'Over Under Bill 1 COPY 到CO欄位'!CJ$1,0)-VLOOKUP($A111,'Over Under Bill 1 COPY 到CO欄位'!$1:$1048576,'Over Under Bill 1 COPY 到CO欄位'!CE$1,0)</f>
        <v>0</v>
      </c>
      <c r="CP111" s="157">
        <f>VLOOKUP($A111,'Over Under Bill 1 COPY 到CO欄位'!$1:$1048576,'Over Under Bill 1 COPY 到CO欄位'!CK$1,0)-VLOOKUP($A111,'Over Under Bill 1 COPY 到CO欄位'!$1:$1048576,'Over Under Bill 1 COPY 到CO欄位'!CF$1,0)</f>
        <v>0</v>
      </c>
      <c r="CQ111" s="157">
        <f t="shared" si="150"/>
        <v>0</v>
      </c>
      <c r="CR111" s="157">
        <f>VLOOKUP($A111,'Over Under Bill 1 COPY 到CO欄位'!$1:$1048576,'Over Under Bill 1 COPY 到CO欄位'!CM$1,0)-VLOOKUP($A111,'Over Under Bill 1 COPY 到CO欄位'!$1:$1048576,'Over Under Bill 1 COPY 到CO欄位'!CH$1,0)</f>
        <v>0</v>
      </c>
      <c r="CS111" s="157">
        <f t="shared" si="151"/>
        <v>0</v>
      </c>
    </row>
    <row r="112" spans="1:97">
      <c r="A112" s="175" t="s">
        <v>505</v>
      </c>
      <c r="B112" s="197" t="s">
        <v>480</v>
      </c>
      <c r="C112" s="157">
        <f>IFERROR(VLOOKUP($A112,'A0 BS 1240在建'!$1:$1048576,5,0),0)</f>
        <v>0</v>
      </c>
      <c r="D112" s="157">
        <f>IFERROR(VLOOKUP($A112,'B0 2264預收'!$1:$1048576,5,0),0)</f>
        <v>0</v>
      </c>
      <c r="E112" s="157">
        <f t="shared" si="114"/>
        <v>0</v>
      </c>
      <c r="F112" s="157">
        <f>IFERROR(VLOOKUP($A112,'B0 2264預收'!$1:$1048576,6,0),0)</f>
        <v>0</v>
      </c>
      <c r="G112" s="157">
        <f t="shared" si="115"/>
        <v>0</v>
      </c>
      <c r="H112" s="158">
        <f>IFERROR(VLOOKUP($A112,'A0 BS 1240在建'!$1:$1048576,13,0),0)-C112</f>
        <v>0</v>
      </c>
      <c r="I112" s="158">
        <f>IFERROR(VLOOKUP($A112,'B0 2264預收'!$1:$1048576,13,0),0)-D112</f>
        <v>0</v>
      </c>
      <c r="J112" s="158">
        <f t="shared" si="116"/>
        <v>0</v>
      </c>
      <c r="K112" s="158">
        <f>IFERROR(VLOOKUP($A112,'B0 2264預收'!$1:$1048576,14,0),0)-F112</f>
        <v>0</v>
      </c>
      <c r="L112" s="158">
        <f t="shared" si="117"/>
        <v>0</v>
      </c>
      <c r="M112" s="157">
        <f>VLOOKUP($A112,'Over Under Bill 1 COPY 到CO欄位'!$1:$1048576,'Over Under Bill 1 COPY 到CO欄位'!M$1,0)-VLOOKUP($A112,'Over Under Bill 1 COPY 到CO欄位'!$1:$1048576,'Over Under Bill 1 COPY 到CO欄位'!H$1,0)</f>
        <v>0</v>
      </c>
      <c r="N112" s="157">
        <f>VLOOKUP($A112,'Over Under Bill 1 COPY 到CO欄位'!$1:$1048576,'Over Under Bill 1 COPY 到CO欄位'!N$1,0)-VLOOKUP($A112,'Over Under Bill 1 COPY 到CO欄位'!$1:$1048576,'Over Under Bill 1 COPY 到CO欄位'!I$1,0)</f>
        <v>0</v>
      </c>
      <c r="O112" s="157">
        <f t="shared" si="118"/>
        <v>0</v>
      </c>
      <c r="P112" s="157">
        <f>VLOOKUP($A112,'Over Under Bill 1 COPY 到CO欄位'!$1:$1048576,'Over Under Bill 1 COPY 到CO欄位'!P$1,0)-VLOOKUP($A112,'Over Under Bill 1 COPY 到CO欄位'!$1:$1048576,'Over Under Bill 1 COPY 到CO欄位'!K$1,0)</f>
        <v>0</v>
      </c>
      <c r="Q112" s="157">
        <f t="shared" si="119"/>
        <v>0</v>
      </c>
      <c r="R112" s="158">
        <f>VLOOKUP($A112,'Over Under Bill 1 COPY 到CO欄位'!$1:$1048576,'Over Under Bill 1 COPY 到CO欄位'!R$1,0)-VLOOKUP($A112,'Over Under Bill 1 COPY 到CO欄位'!$1:$1048576,'Over Under Bill 1 COPY 到CO欄位'!M$1,0)</f>
        <v>0</v>
      </c>
      <c r="S112" s="158">
        <f>VLOOKUP($A112,'Over Under Bill 1 COPY 到CO欄位'!$1:$1048576,'Over Under Bill 1 COPY 到CO欄位'!S$1,0)-VLOOKUP($A112,'Over Under Bill 1 COPY 到CO欄位'!$1:$1048576,'Over Under Bill 1 COPY 到CO欄位'!N$1,0)</f>
        <v>0</v>
      </c>
      <c r="T112" s="158">
        <f t="shared" si="120"/>
        <v>0</v>
      </c>
      <c r="U112" s="158">
        <f>VLOOKUP($A112,'Over Under Bill 1 COPY 到CO欄位'!$1:$1048576,'Over Under Bill 1 COPY 到CO欄位'!U$1,0)-VLOOKUP($A112,'Over Under Bill 1 COPY 到CO欄位'!$1:$1048576,'Over Under Bill 1 COPY 到CO欄位'!P$1,0)</f>
        <v>0</v>
      </c>
      <c r="V112" s="158">
        <f t="shared" si="121"/>
        <v>0</v>
      </c>
      <c r="W112" s="157">
        <f>VLOOKUP($A112,'Over Under Bill 1 COPY 到CO欄位'!$1:$1048576,'Over Under Bill 1 COPY 到CO欄位'!W$1,0)-VLOOKUP($A112,'Over Under Bill 1 COPY 到CO欄位'!$1:$1048576,'Over Under Bill 1 COPY 到CO欄位'!R$1,0)</f>
        <v>0</v>
      </c>
      <c r="X112" s="157">
        <f>VLOOKUP($A112,'Over Under Bill 1 COPY 到CO欄位'!$1:$1048576,'Over Under Bill 1 COPY 到CO欄位'!X$1,0)-VLOOKUP($A112,'Over Under Bill 1 COPY 到CO欄位'!$1:$1048576,'Over Under Bill 1 COPY 到CO欄位'!S$1,0)</f>
        <v>0</v>
      </c>
      <c r="Y112" s="157">
        <f t="shared" si="122"/>
        <v>0</v>
      </c>
      <c r="Z112" s="157">
        <f>VLOOKUP($A112,'Over Under Bill 1 COPY 到CO欄位'!$1:$1048576,'Over Under Bill 1 COPY 到CO欄位'!Z$1,0)-VLOOKUP($A112,'Over Under Bill 1 COPY 到CO欄位'!$1:$1048576,'Over Under Bill 1 COPY 到CO欄位'!U$1,0)</f>
        <v>0</v>
      </c>
      <c r="AA112" s="157">
        <f t="shared" si="123"/>
        <v>0</v>
      </c>
      <c r="AB112" s="158">
        <f>VLOOKUP($A112,'Over Under Bill 1 COPY 到CO欄位'!$1:$1048576,'Over Under Bill 1 COPY 到CO欄位'!AB$1,0)-VLOOKUP($A112,'Over Under Bill 1 COPY 到CO欄位'!$1:$1048576,'Over Under Bill 1 COPY 到CO欄位'!W$1,0)</f>
        <v>0</v>
      </c>
      <c r="AC112" s="158">
        <f>VLOOKUP($A112,'Over Under Bill 1 COPY 到CO欄位'!$1:$1048576,'Over Under Bill 1 COPY 到CO欄位'!AC$1,0)-VLOOKUP($A112,'Over Under Bill 1 COPY 到CO欄位'!$1:$1048576,'Over Under Bill 1 COPY 到CO欄位'!X$1,0)</f>
        <v>0</v>
      </c>
      <c r="AD112" s="158">
        <f t="shared" si="124"/>
        <v>0</v>
      </c>
      <c r="AE112" s="158">
        <f>VLOOKUP($A112,'Over Under Bill 1 COPY 到CO欄位'!$1:$1048576,'Over Under Bill 1 COPY 到CO欄位'!AE$1,0)-VLOOKUP($A112,'Over Under Bill 1 COPY 到CO欄位'!$1:$1048576,'Over Under Bill 1 COPY 到CO欄位'!Z$1,0)</f>
        <v>0</v>
      </c>
      <c r="AF112" s="158">
        <f t="shared" si="125"/>
        <v>0</v>
      </c>
      <c r="AG112" s="157">
        <f>VLOOKUP($A112,'Over Under Bill 1 COPY 到CO欄位'!$1:$1048576,'Over Under Bill 1 COPY 到CO欄位'!AG$1,0)-VLOOKUP($A112,'Over Under Bill 1 COPY 到CO欄位'!$1:$1048576,'Over Under Bill 1 COPY 到CO欄位'!AB$1,0)</f>
        <v>0</v>
      </c>
      <c r="AH112" s="157">
        <f>VLOOKUP($A112,'Over Under Bill 1 COPY 到CO欄位'!$1:$1048576,'Over Under Bill 1 COPY 到CO欄位'!AH$1,0)-VLOOKUP($A112,'Over Under Bill 1 COPY 到CO欄位'!$1:$1048576,'Over Under Bill 1 COPY 到CO欄位'!AC$1,0)</f>
        <v>0</v>
      </c>
      <c r="AI112" s="157">
        <f t="shared" si="126"/>
        <v>0</v>
      </c>
      <c r="AJ112" s="157">
        <f>VLOOKUP($A112,'Over Under Bill 1 COPY 到CO欄位'!$1:$1048576,'Over Under Bill 1 COPY 到CO欄位'!AJ$1,0)-VLOOKUP($A112,'Over Under Bill 1 COPY 到CO欄位'!$1:$1048576,'Over Under Bill 1 COPY 到CO欄位'!AE$1,0)</f>
        <v>0</v>
      </c>
      <c r="AK112" s="157">
        <f t="shared" si="127"/>
        <v>0</v>
      </c>
      <c r="AL112" s="158">
        <f>VLOOKUP($A112,'Over Under Bill 1 COPY 到CO欄位'!$1:$1048576,'Over Under Bill 1 COPY 到CO欄位'!AL$1,0)-VLOOKUP($A112,'Over Under Bill 1 COPY 到CO欄位'!$1:$1048576,'Over Under Bill 1 COPY 到CO欄位'!AG$1,0)</f>
        <v>0</v>
      </c>
      <c r="AM112" s="158">
        <f>VLOOKUP($A112,'Over Under Bill 1 COPY 到CO欄位'!$1:$1048576,'Over Under Bill 1 COPY 到CO欄位'!AM$1,0)-VLOOKUP($A112,'Over Under Bill 1 COPY 到CO欄位'!$1:$1048576,'Over Under Bill 1 COPY 到CO欄位'!AH$1,0)</f>
        <v>0</v>
      </c>
      <c r="AN112" s="158">
        <f t="shared" si="128"/>
        <v>0</v>
      </c>
      <c r="AO112" s="158">
        <f>VLOOKUP($A112,'Over Under Bill 1 COPY 到CO欄位'!$1:$1048576,'Over Under Bill 1 COPY 到CO欄位'!AO$1,0)-VLOOKUP($A112,'Over Under Bill 1 COPY 到CO欄位'!$1:$1048576,'Over Under Bill 1 COPY 到CO欄位'!AJ$1,0)</f>
        <v>0</v>
      </c>
      <c r="AP112" s="158">
        <f t="shared" si="129"/>
        <v>0</v>
      </c>
      <c r="AQ112" s="157">
        <f>VLOOKUP($A112,'Over Under Bill 1 COPY 到CO欄位'!$1:$1048576,'Over Under Bill 1 COPY 到CO欄位'!AQ$1,0)-VLOOKUP($A112,'Over Under Bill 1 COPY 到CO欄位'!$1:$1048576,'Over Under Bill 1 COPY 到CO欄位'!AL$1,0)</f>
        <v>0</v>
      </c>
      <c r="AR112" s="157">
        <f>VLOOKUP($A112,'Over Under Bill 1 COPY 到CO欄位'!$1:$1048576,'Over Under Bill 1 COPY 到CO欄位'!AR$1,0)-VLOOKUP($A112,'Over Under Bill 1 COPY 到CO欄位'!$1:$1048576,'Over Under Bill 1 COPY 到CO欄位'!AM$1,0)</f>
        <v>0</v>
      </c>
      <c r="AS112" s="157">
        <f t="shared" si="130"/>
        <v>0</v>
      </c>
      <c r="AT112" s="157">
        <f>VLOOKUP($A112,'Over Under Bill 1 COPY 到CO欄位'!$1:$1048576,'Over Under Bill 1 COPY 到CO欄位'!AT$1,0)-VLOOKUP($A112,'Over Under Bill 1 COPY 到CO欄位'!$1:$1048576,'Over Under Bill 1 COPY 到CO欄位'!AO$1,0)</f>
        <v>0</v>
      </c>
      <c r="AU112" s="157">
        <f t="shared" si="131"/>
        <v>0</v>
      </c>
      <c r="AV112" s="158">
        <f>VLOOKUP($A112,'Over Under Bill 1 COPY 到CO欄位'!$1:$1048576,'Over Under Bill 1 COPY 到CO欄位'!AV$1,0)-VLOOKUP($A112,'Over Under Bill 1 COPY 到CO欄位'!$1:$1048576,'Over Under Bill 1 COPY 到CO欄位'!AQ$1,0)</f>
        <v>0</v>
      </c>
      <c r="AW112" s="158">
        <f>VLOOKUP($A112,'Over Under Bill 1 COPY 到CO欄位'!$1:$1048576,'Over Under Bill 1 COPY 到CO欄位'!AW$1,0)-VLOOKUP($A112,'Over Under Bill 1 COPY 到CO欄位'!$1:$1048576,'Over Under Bill 1 COPY 到CO欄位'!AR$1,0)</f>
        <v>0</v>
      </c>
      <c r="AX112" s="158">
        <f t="shared" si="132"/>
        <v>0</v>
      </c>
      <c r="AY112" s="158">
        <f>VLOOKUP($A112,'Over Under Bill 1 COPY 到CO欄位'!$1:$1048576,'Over Under Bill 1 COPY 到CO欄位'!AY$1,0)-VLOOKUP($A112,'Over Under Bill 1 COPY 到CO欄位'!$1:$1048576,'Over Under Bill 1 COPY 到CO欄位'!AT$1,0)</f>
        <v>0</v>
      </c>
      <c r="AZ112" s="158">
        <f t="shared" si="133"/>
        <v>0</v>
      </c>
      <c r="BA112" s="157">
        <f>VLOOKUP($A112,'Over Under Bill 1 COPY 到CO欄位'!$1:$1048576,'Over Under Bill 1 COPY 到CO欄位'!BA$1,0)-VLOOKUP($A112,'Over Under Bill 1 COPY 到CO欄位'!$1:$1048576,'Over Under Bill 1 COPY 到CO欄位'!AV$1,0)</f>
        <v>0</v>
      </c>
      <c r="BB112" s="157">
        <f>VLOOKUP($A112,'Over Under Bill 1 COPY 到CO欄位'!$1:$1048576,'Over Under Bill 1 COPY 到CO欄位'!BB$1,0)-VLOOKUP($A112,'Over Under Bill 1 COPY 到CO欄位'!$1:$1048576,'Over Under Bill 1 COPY 到CO欄位'!AW$1,0)</f>
        <v>0</v>
      </c>
      <c r="BC112" s="157">
        <f t="shared" si="134"/>
        <v>0</v>
      </c>
      <c r="BD112" s="157">
        <f>VLOOKUP($A112,'Over Under Bill 1 COPY 到CO欄位'!$1:$1048576,'Over Under Bill 1 COPY 到CO欄位'!BD$1,0)-VLOOKUP($A112,'Over Under Bill 1 COPY 到CO欄位'!$1:$1048576,'Over Under Bill 1 COPY 到CO欄位'!AY$1,0)</f>
        <v>0</v>
      </c>
      <c r="BE112" s="157">
        <f t="shared" si="135"/>
        <v>0</v>
      </c>
      <c r="BF112" s="158">
        <f>VLOOKUP($A112,'Over Under Bill 1 COPY 到CO欄位'!$1:$1048576,'Over Under Bill 1 COPY 到CO欄位'!BF$1,0)-VLOOKUP($A112,'Over Under Bill 1 COPY 到CO欄位'!$1:$1048576,'Over Under Bill 1 COPY 到CO欄位'!BA$1,0)</f>
        <v>0</v>
      </c>
      <c r="BG112" s="158">
        <f>VLOOKUP($A112,'Over Under Bill 1 COPY 到CO欄位'!$1:$1048576,'Over Under Bill 1 COPY 到CO欄位'!BG$1,0)-VLOOKUP($A112,'Over Under Bill 1 COPY 到CO欄位'!$1:$1048576,'Over Under Bill 1 COPY 到CO欄位'!BB$1,0)</f>
        <v>0</v>
      </c>
      <c r="BH112" s="158">
        <f t="shared" si="136"/>
        <v>0</v>
      </c>
      <c r="BI112" s="158">
        <f>VLOOKUP($A112,'Over Under Bill 1 COPY 到CO欄位'!$1:$1048576,'Over Under Bill 1 COPY 到CO欄位'!BI$1,0)-VLOOKUP($A112,'Over Under Bill 1 COPY 到CO欄位'!$1:$1048576,'Over Under Bill 1 COPY 到CO欄位'!BD$1,0)</f>
        <v>0</v>
      </c>
      <c r="BJ112" s="158">
        <f t="shared" si="137"/>
        <v>0</v>
      </c>
      <c r="BK112" s="157">
        <f>VLOOKUP($A112,'Over Under Bill 1 COPY 到CO欄位'!$1:$1048576,'Over Under Bill 1 COPY 到CO欄位'!BK$1,0)-VLOOKUP($A112,'Over Under Bill 1 COPY 到CO欄位'!$1:$1048576,'Over Under Bill 1 COPY 到CO欄位'!BF$1,0)</f>
        <v>0</v>
      </c>
      <c r="BL112" s="157">
        <f>VLOOKUP($A112,'Over Under Bill 1 COPY 到CO欄位'!$1:$1048576,'Over Under Bill 1 COPY 到CO欄位'!BL$1,0)-VLOOKUP($A112,'Over Under Bill 1 COPY 到CO欄位'!$1:$1048576,'Over Under Bill 1 COPY 到CO欄位'!BG$1,0)</f>
        <v>0</v>
      </c>
      <c r="BM112" s="157">
        <f t="shared" si="138"/>
        <v>0</v>
      </c>
      <c r="BN112" s="157">
        <f>VLOOKUP($A112,'Over Under Bill 1 COPY 到CO欄位'!$1:$1048576,'Over Under Bill 1 COPY 到CO欄位'!BN$1,0)-VLOOKUP($A112,'Over Under Bill 1 COPY 到CO欄位'!$1:$1048576,'Over Under Bill 1 COPY 到CO欄位'!BI$1,0)</f>
        <v>0</v>
      </c>
      <c r="BO112" s="157">
        <f t="shared" si="139"/>
        <v>0</v>
      </c>
      <c r="BP112" s="158">
        <f>VLOOKUP($A112,'Over Under Bill 1 COPY 到CO欄位'!$1:$1048576,'Over Under Bill 1 COPY 到CO欄位'!BP$1,0)-VLOOKUP($A112,'Over Under Bill 1 COPY 到CO欄位'!$1:$1048576,'Over Under Bill 1 COPY 到CO欄位'!BK$1,0)</f>
        <v>0</v>
      </c>
      <c r="BQ112" s="158">
        <f>VLOOKUP($A112,'Over Under Bill 1 COPY 到CO欄位'!$1:$1048576,'Over Under Bill 1 COPY 到CO欄位'!BQ$1,0)-VLOOKUP($A112,'Over Under Bill 1 COPY 到CO欄位'!$1:$1048576,'Over Under Bill 1 COPY 到CO欄位'!BL$1,0)</f>
        <v>0</v>
      </c>
      <c r="BR112" s="158">
        <f t="shared" si="140"/>
        <v>0</v>
      </c>
      <c r="BS112" s="158">
        <f>VLOOKUP($A112,'Over Under Bill 1 COPY 到CO欄位'!$1:$1048576,'Over Under Bill 1 COPY 到CO欄位'!BS$1,0)-VLOOKUP($A112,'Over Under Bill 1 COPY 到CO欄位'!$1:$1048576,'Over Under Bill 1 COPY 到CO欄位'!BN$1,0)</f>
        <v>0</v>
      </c>
      <c r="BT112" s="158">
        <f t="shared" si="141"/>
        <v>0</v>
      </c>
      <c r="BU112" s="157">
        <f>VLOOKUP($A112,'Over Under Bill 1 COPY 到CO欄位'!$1:$1048576,'Over Under Bill 1 COPY 到CO欄位'!BP$1,0)-VLOOKUP($A112,'Over Under Bill 1 COPY 到CO欄位'!$1:$1048576,'Over Under Bill 1 COPY 到CO欄位'!H$1,0)</f>
        <v>0</v>
      </c>
      <c r="BV112" s="157">
        <f>VLOOKUP($A112,'Over Under Bill 1 COPY 到CO欄位'!$1:$1048576,'Over Under Bill 1 COPY 到CO欄位'!BQ$1,0)-VLOOKUP($A112,'Over Under Bill 1 COPY 到CO欄位'!$1:$1048576,'Over Under Bill 1 COPY 到CO欄位'!BL$1,0)</f>
        <v>0</v>
      </c>
      <c r="BW112" s="157">
        <f t="shared" si="142"/>
        <v>0</v>
      </c>
      <c r="BX112" s="157">
        <f>VLOOKUP($A112,'Over Under Bill 1 COPY 到CO欄位'!$1:$1048576,'Over Under Bill 1 COPY 到CO欄位'!BS$1,0)-VLOOKUP($A112,'Over Under Bill 1 COPY 到CO欄位'!$1:$1048576,'Over Under Bill 1 COPY 到CO欄位'!K$1,0)</f>
        <v>0</v>
      </c>
      <c r="BY112" s="157">
        <f t="shared" si="143"/>
        <v>0</v>
      </c>
      <c r="BZ112" s="158">
        <f>VLOOKUP($A112,'Over Under Bill 1 COPY 到CO欄位'!$1:$1048576,'Over Under Bill 1 COPY 到CO欄位'!BU$1,0)-VLOOKUP($A112,'Over Under Bill 1 COPY 到CO欄位'!$1:$1048576,'Over Under Bill 1 COPY 到CO欄位'!BP$1,0)</f>
        <v>0</v>
      </c>
      <c r="CA112" s="158">
        <f>VLOOKUP($A112,'Over Under Bill 1 COPY 到CO欄位'!$1:$1048576,'Over Under Bill 1 COPY 到CO欄位'!BV$1,0)-VLOOKUP($A112,'Over Under Bill 1 COPY 到CO欄位'!$1:$1048576,'Over Under Bill 1 COPY 到CO欄位'!BQ$1,0)</f>
        <v>0</v>
      </c>
      <c r="CB112" s="158">
        <f t="shared" si="144"/>
        <v>0</v>
      </c>
      <c r="CC112" s="158">
        <f>VLOOKUP($A112,'Over Under Bill 1 COPY 到CO欄位'!$1:$1048576,'Over Under Bill 1 COPY 到CO欄位'!BX$1,0)-VLOOKUP($A112,'Over Under Bill 1 COPY 到CO欄位'!$1:$1048576,'Over Under Bill 1 COPY 到CO欄位'!BS$1,0)</f>
        <v>0</v>
      </c>
      <c r="CD112" s="158">
        <f t="shared" si="145"/>
        <v>0</v>
      </c>
      <c r="CE112" s="157">
        <f>VLOOKUP($A112,'Over Under Bill 1 COPY 到CO欄位'!$1:$1048576,'Over Under Bill 1 COPY 到CO欄位'!BZ$1,0)-VLOOKUP($A112,'Over Under Bill 1 COPY 到CO欄位'!$1:$1048576,'Over Under Bill 1 COPY 到CO欄位'!BU$1,0)</f>
        <v>0</v>
      </c>
      <c r="CF112" s="157">
        <f>VLOOKUP($A112,'Over Under Bill 1 COPY 到CO欄位'!$1:$1048576,'Over Under Bill 1 COPY 到CO欄位'!CA$1,0)-VLOOKUP($A112,'Over Under Bill 1 COPY 到CO欄位'!$1:$1048576,'Over Under Bill 1 COPY 到CO欄位'!BV$1,0)</f>
        <v>0</v>
      </c>
      <c r="CG112" s="157">
        <f t="shared" si="146"/>
        <v>0</v>
      </c>
      <c r="CH112" s="157">
        <f>VLOOKUP($A112,'Over Under Bill 1 COPY 到CO欄位'!$1:$1048576,'Over Under Bill 1 COPY 到CO欄位'!CC$1,0)-VLOOKUP($A112,'Over Under Bill 1 COPY 到CO欄位'!$1:$1048576,'Over Under Bill 1 COPY 到CO欄位'!BX$1,0)</f>
        <v>0</v>
      </c>
      <c r="CI112" s="157">
        <f t="shared" si="147"/>
        <v>0</v>
      </c>
      <c r="CJ112" s="158">
        <f>VLOOKUP($A112,'Over Under Bill 1 COPY 到CO欄位'!$1:$1048576,'Over Under Bill 1 COPY 到CO欄位'!CE$1,0)-VLOOKUP($A112,'Over Under Bill 1 COPY 到CO欄位'!$1:$1048576,'Over Under Bill 1 COPY 到CO欄位'!BZ$1,0)</f>
        <v>0</v>
      </c>
      <c r="CK112" s="158">
        <f>VLOOKUP($A112,'Over Under Bill 1 COPY 到CO欄位'!$1:$1048576,'Over Under Bill 1 COPY 到CO欄位'!CF$1,0)-VLOOKUP($A112,'Over Under Bill 1 COPY 到CO欄位'!$1:$1048576,'Over Under Bill 1 COPY 到CO欄位'!CA$1,0)</f>
        <v>0</v>
      </c>
      <c r="CL112" s="158">
        <f t="shared" si="148"/>
        <v>0</v>
      </c>
      <c r="CM112" s="158">
        <f>VLOOKUP($A112,'Over Under Bill 1 COPY 到CO欄位'!$1:$1048576,'Over Under Bill 1 COPY 到CO欄位'!CH$1,0)-VLOOKUP($A112,'Over Under Bill 1 COPY 到CO欄位'!$1:$1048576,'Over Under Bill 1 COPY 到CO欄位'!CC$1,0)</f>
        <v>0</v>
      </c>
      <c r="CN112" s="158">
        <f t="shared" si="149"/>
        <v>0</v>
      </c>
      <c r="CO112" s="157">
        <f>VLOOKUP($A112,'Over Under Bill 1 COPY 到CO欄位'!$1:$1048576,'Over Under Bill 1 COPY 到CO欄位'!CJ$1,0)-VLOOKUP($A112,'Over Under Bill 1 COPY 到CO欄位'!$1:$1048576,'Over Under Bill 1 COPY 到CO欄位'!CE$1,0)</f>
        <v>0</v>
      </c>
      <c r="CP112" s="157">
        <f>VLOOKUP($A112,'Over Under Bill 1 COPY 到CO欄位'!$1:$1048576,'Over Under Bill 1 COPY 到CO欄位'!CK$1,0)-VLOOKUP($A112,'Over Under Bill 1 COPY 到CO欄位'!$1:$1048576,'Over Under Bill 1 COPY 到CO欄位'!CF$1,0)</f>
        <v>0</v>
      </c>
      <c r="CQ112" s="157">
        <f t="shared" si="150"/>
        <v>0</v>
      </c>
      <c r="CR112" s="157">
        <f>VLOOKUP($A112,'Over Under Bill 1 COPY 到CO欄位'!$1:$1048576,'Over Under Bill 1 COPY 到CO欄位'!CM$1,0)-VLOOKUP($A112,'Over Under Bill 1 COPY 到CO欄位'!$1:$1048576,'Over Under Bill 1 COPY 到CO欄位'!CH$1,0)</f>
        <v>0</v>
      </c>
      <c r="CS112" s="157">
        <f t="shared" si="151"/>
        <v>0</v>
      </c>
    </row>
    <row r="113" spans="1:97">
      <c r="A113" s="175" t="s">
        <v>506</v>
      </c>
      <c r="B113" s="198" t="s">
        <v>507</v>
      </c>
      <c r="C113" s="157">
        <f>IFERROR(VLOOKUP($A113,'A0 BS 1240在建'!$1:$1048576,5,0),0)</f>
        <v>0</v>
      </c>
      <c r="D113" s="157">
        <f>IFERROR(VLOOKUP($A113,'B0 2264預收'!$1:$1048576,5,0),0)</f>
        <v>0</v>
      </c>
      <c r="E113" s="157">
        <f t="shared" si="114"/>
        <v>0</v>
      </c>
      <c r="F113" s="157">
        <f>IFERROR(VLOOKUP($A113,'B0 2264預收'!$1:$1048576,6,0),0)</f>
        <v>0</v>
      </c>
      <c r="G113" s="157">
        <f t="shared" si="115"/>
        <v>0</v>
      </c>
      <c r="H113" s="158">
        <f>IFERROR(VLOOKUP($A113,'A0 BS 1240在建'!$1:$1048576,13,0),0)-C113</f>
        <v>0</v>
      </c>
      <c r="I113" s="158">
        <f>IFERROR(VLOOKUP($A113,'B0 2264預收'!$1:$1048576,13,0),0)-D113</f>
        <v>0</v>
      </c>
      <c r="J113" s="158">
        <f t="shared" si="116"/>
        <v>0</v>
      </c>
      <c r="K113" s="158">
        <f>IFERROR(VLOOKUP($A113,'B0 2264預收'!$1:$1048576,14,0),0)-F113</f>
        <v>0</v>
      </c>
      <c r="L113" s="158">
        <f t="shared" si="117"/>
        <v>0</v>
      </c>
      <c r="M113" s="157">
        <f>VLOOKUP($A113,'Over Under Bill 1 COPY 到CO欄位'!$1:$1048576,'Over Under Bill 1 COPY 到CO欄位'!M$1,0)-VLOOKUP($A113,'Over Under Bill 1 COPY 到CO欄位'!$1:$1048576,'Over Under Bill 1 COPY 到CO欄位'!H$1,0)</f>
        <v>0</v>
      </c>
      <c r="N113" s="157">
        <f>VLOOKUP($A113,'Over Under Bill 1 COPY 到CO欄位'!$1:$1048576,'Over Under Bill 1 COPY 到CO欄位'!N$1,0)-VLOOKUP($A113,'Over Under Bill 1 COPY 到CO欄位'!$1:$1048576,'Over Under Bill 1 COPY 到CO欄位'!I$1,0)</f>
        <v>0</v>
      </c>
      <c r="O113" s="157">
        <f t="shared" si="118"/>
        <v>0</v>
      </c>
      <c r="P113" s="157">
        <f>VLOOKUP($A113,'Over Under Bill 1 COPY 到CO欄位'!$1:$1048576,'Over Under Bill 1 COPY 到CO欄位'!P$1,0)-VLOOKUP($A113,'Over Under Bill 1 COPY 到CO欄位'!$1:$1048576,'Over Under Bill 1 COPY 到CO欄位'!K$1,0)</f>
        <v>0</v>
      </c>
      <c r="Q113" s="157">
        <f t="shared" si="119"/>
        <v>0</v>
      </c>
      <c r="R113" s="158">
        <f>VLOOKUP($A113,'Over Under Bill 1 COPY 到CO欄位'!$1:$1048576,'Over Under Bill 1 COPY 到CO欄位'!R$1,0)-VLOOKUP($A113,'Over Under Bill 1 COPY 到CO欄位'!$1:$1048576,'Over Under Bill 1 COPY 到CO欄位'!M$1,0)</f>
        <v>0</v>
      </c>
      <c r="S113" s="158">
        <f>VLOOKUP($A113,'Over Under Bill 1 COPY 到CO欄位'!$1:$1048576,'Over Under Bill 1 COPY 到CO欄位'!S$1,0)-VLOOKUP($A113,'Over Under Bill 1 COPY 到CO欄位'!$1:$1048576,'Over Under Bill 1 COPY 到CO欄位'!N$1,0)</f>
        <v>0</v>
      </c>
      <c r="T113" s="158">
        <f t="shared" si="120"/>
        <v>0</v>
      </c>
      <c r="U113" s="158">
        <f>VLOOKUP($A113,'Over Under Bill 1 COPY 到CO欄位'!$1:$1048576,'Over Under Bill 1 COPY 到CO欄位'!U$1,0)-VLOOKUP($A113,'Over Under Bill 1 COPY 到CO欄位'!$1:$1048576,'Over Under Bill 1 COPY 到CO欄位'!P$1,0)</f>
        <v>0</v>
      </c>
      <c r="V113" s="158">
        <f t="shared" si="121"/>
        <v>0</v>
      </c>
      <c r="W113" s="157">
        <f>VLOOKUP($A113,'Over Under Bill 1 COPY 到CO欄位'!$1:$1048576,'Over Under Bill 1 COPY 到CO欄位'!W$1,0)-VLOOKUP($A113,'Over Under Bill 1 COPY 到CO欄位'!$1:$1048576,'Over Under Bill 1 COPY 到CO欄位'!R$1,0)</f>
        <v>0</v>
      </c>
      <c r="X113" s="157">
        <f>VLOOKUP($A113,'Over Under Bill 1 COPY 到CO欄位'!$1:$1048576,'Over Under Bill 1 COPY 到CO欄位'!X$1,0)-VLOOKUP($A113,'Over Under Bill 1 COPY 到CO欄位'!$1:$1048576,'Over Under Bill 1 COPY 到CO欄位'!S$1,0)</f>
        <v>0</v>
      </c>
      <c r="Y113" s="157">
        <f t="shared" si="122"/>
        <v>0</v>
      </c>
      <c r="Z113" s="157">
        <f>VLOOKUP($A113,'Over Under Bill 1 COPY 到CO欄位'!$1:$1048576,'Over Under Bill 1 COPY 到CO欄位'!Z$1,0)-VLOOKUP($A113,'Over Under Bill 1 COPY 到CO欄位'!$1:$1048576,'Over Under Bill 1 COPY 到CO欄位'!U$1,0)</f>
        <v>0</v>
      </c>
      <c r="AA113" s="157">
        <f t="shared" si="123"/>
        <v>0</v>
      </c>
      <c r="AB113" s="158">
        <f>VLOOKUP($A113,'Over Under Bill 1 COPY 到CO欄位'!$1:$1048576,'Over Under Bill 1 COPY 到CO欄位'!AB$1,0)-VLOOKUP($A113,'Over Under Bill 1 COPY 到CO欄位'!$1:$1048576,'Over Under Bill 1 COPY 到CO欄位'!W$1,0)</f>
        <v>0</v>
      </c>
      <c r="AC113" s="158">
        <f>VLOOKUP($A113,'Over Under Bill 1 COPY 到CO欄位'!$1:$1048576,'Over Under Bill 1 COPY 到CO欄位'!AC$1,0)-VLOOKUP($A113,'Over Under Bill 1 COPY 到CO欄位'!$1:$1048576,'Over Under Bill 1 COPY 到CO欄位'!X$1,0)</f>
        <v>0</v>
      </c>
      <c r="AD113" s="158">
        <f t="shared" si="124"/>
        <v>0</v>
      </c>
      <c r="AE113" s="158">
        <f>VLOOKUP($A113,'Over Under Bill 1 COPY 到CO欄位'!$1:$1048576,'Over Under Bill 1 COPY 到CO欄位'!AE$1,0)-VLOOKUP($A113,'Over Under Bill 1 COPY 到CO欄位'!$1:$1048576,'Over Under Bill 1 COPY 到CO欄位'!Z$1,0)</f>
        <v>0</v>
      </c>
      <c r="AF113" s="158">
        <f t="shared" si="125"/>
        <v>0</v>
      </c>
      <c r="AG113" s="157">
        <f>VLOOKUP($A113,'Over Under Bill 1 COPY 到CO欄位'!$1:$1048576,'Over Under Bill 1 COPY 到CO欄位'!AG$1,0)-VLOOKUP($A113,'Over Under Bill 1 COPY 到CO欄位'!$1:$1048576,'Over Under Bill 1 COPY 到CO欄位'!AB$1,0)</f>
        <v>0</v>
      </c>
      <c r="AH113" s="157">
        <f>VLOOKUP($A113,'Over Under Bill 1 COPY 到CO欄位'!$1:$1048576,'Over Under Bill 1 COPY 到CO欄位'!AH$1,0)-VLOOKUP($A113,'Over Under Bill 1 COPY 到CO欄位'!$1:$1048576,'Over Under Bill 1 COPY 到CO欄位'!AC$1,0)</f>
        <v>0</v>
      </c>
      <c r="AI113" s="157">
        <f t="shared" si="126"/>
        <v>0</v>
      </c>
      <c r="AJ113" s="157">
        <f>VLOOKUP($A113,'Over Under Bill 1 COPY 到CO欄位'!$1:$1048576,'Over Under Bill 1 COPY 到CO欄位'!AJ$1,0)-VLOOKUP($A113,'Over Under Bill 1 COPY 到CO欄位'!$1:$1048576,'Over Under Bill 1 COPY 到CO欄位'!AE$1,0)</f>
        <v>0</v>
      </c>
      <c r="AK113" s="157">
        <f t="shared" si="127"/>
        <v>0</v>
      </c>
      <c r="AL113" s="158">
        <f>VLOOKUP($A113,'Over Under Bill 1 COPY 到CO欄位'!$1:$1048576,'Over Under Bill 1 COPY 到CO欄位'!AL$1,0)-VLOOKUP($A113,'Over Under Bill 1 COPY 到CO欄位'!$1:$1048576,'Over Under Bill 1 COPY 到CO欄位'!AG$1,0)</f>
        <v>0</v>
      </c>
      <c r="AM113" s="158">
        <f>VLOOKUP($A113,'Over Under Bill 1 COPY 到CO欄位'!$1:$1048576,'Over Under Bill 1 COPY 到CO欄位'!AM$1,0)-VLOOKUP($A113,'Over Under Bill 1 COPY 到CO欄位'!$1:$1048576,'Over Under Bill 1 COPY 到CO欄位'!AH$1,0)</f>
        <v>0</v>
      </c>
      <c r="AN113" s="158">
        <f t="shared" si="128"/>
        <v>0</v>
      </c>
      <c r="AO113" s="158">
        <f>VLOOKUP($A113,'Over Under Bill 1 COPY 到CO欄位'!$1:$1048576,'Over Under Bill 1 COPY 到CO欄位'!AO$1,0)-VLOOKUP($A113,'Over Under Bill 1 COPY 到CO欄位'!$1:$1048576,'Over Under Bill 1 COPY 到CO欄位'!AJ$1,0)</f>
        <v>0</v>
      </c>
      <c r="AP113" s="158">
        <f t="shared" si="129"/>
        <v>0</v>
      </c>
      <c r="AQ113" s="157">
        <f>VLOOKUP($A113,'Over Under Bill 1 COPY 到CO欄位'!$1:$1048576,'Over Under Bill 1 COPY 到CO欄位'!AQ$1,0)-VLOOKUP($A113,'Over Under Bill 1 COPY 到CO欄位'!$1:$1048576,'Over Under Bill 1 COPY 到CO欄位'!AL$1,0)</f>
        <v>0</v>
      </c>
      <c r="AR113" s="157">
        <f>VLOOKUP($A113,'Over Under Bill 1 COPY 到CO欄位'!$1:$1048576,'Over Under Bill 1 COPY 到CO欄位'!AR$1,0)-VLOOKUP($A113,'Over Under Bill 1 COPY 到CO欄位'!$1:$1048576,'Over Under Bill 1 COPY 到CO欄位'!AM$1,0)</f>
        <v>0</v>
      </c>
      <c r="AS113" s="157">
        <f t="shared" si="130"/>
        <v>0</v>
      </c>
      <c r="AT113" s="157">
        <f>VLOOKUP($A113,'Over Under Bill 1 COPY 到CO欄位'!$1:$1048576,'Over Under Bill 1 COPY 到CO欄位'!AT$1,0)-VLOOKUP($A113,'Over Under Bill 1 COPY 到CO欄位'!$1:$1048576,'Over Under Bill 1 COPY 到CO欄位'!AO$1,0)</f>
        <v>0</v>
      </c>
      <c r="AU113" s="157">
        <f t="shared" si="131"/>
        <v>0</v>
      </c>
      <c r="AV113" s="158">
        <f>VLOOKUP($A113,'Over Under Bill 1 COPY 到CO欄位'!$1:$1048576,'Over Under Bill 1 COPY 到CO欄位'!AV$1,0)-VLOOKUP($A113,'Over Under Bill 1 COPY 到CO欄位'!$1:$1048576,'Over Under Bill 1 COPY 到CO欄位'!AQ$1,0)</f>
        <v>0</v>
      </c>
      <c r="AW113" s="158">
        <f>VLOOKUP($A113,'Over Under Bill 1 COPY 到CO欄位'!$1:$1048576,'Over Under Bill 1 COPY 到CO欄位'!AW$1,0)-VLOOKUP($A113,'Over Under Bill 1 COPY 到CO欄位'!$1:$1048576,'Over Under Bill 1 COPY 到CO欄位'!AR$1,0)</f>
        <v>0</v>
      </c>
      <c r="AX113" s="158">
        <f t="shared" si="132"/>
        <v>0</v>
      </c>
      <c r="AY113" s="158">
        <f>VLOOKUP($A113,'Over Under Bill 1 COPY 到CO欄位'!$1:$1048576,'Over Under Bill 1 COPY 到CO欄位'!AY$1,0)-VLOOKUP($A113,'Over Under Bill 1 COPY 到CO欄位'!$1:$1048576,'Over Under Bill 1 COPY 到CO欄位'!AT$1,0)</f>
        <v>0</v>
      </c>
      <c r="AZ113" s="158">
        <f t="shared" si="133"/>
        <v>0</v>
      </c>
      <c r="BA113" s="157">
        <f>VLOOKUP($A113,'Over Under Bill 1 COPY 到CO欄位'!$1:$1048576,'Over Under Bill 1 COPY 到CO欄位'!BA$1,0)-VLOOKUP($A113,'Over Under Bill 1 COPY 到CO欄位'!$1:$1048576,'Over Under Bill 1 COPY 到CO欄位'!AV$1,0)</f>
        <v>0</v>
      </c>
      <c r="BB113" s="157">
        <f>VLOOKUP($A113,'Over Under Bill 1 COPY 到CO欄位'!$1:$1048576,'Over Under Bill 1 COPY 到CO欄位'!BB$1,0)-VLOOKUP($A113,'Over Under Bill 1 COPY 到CO欄位'!$1:$1048576,'Over Under Bill 1 COPY 到CO欄位'!AW$1,0)</f>
        <v>0</v>
      </c>
      <c r="BC113" s="157">
        <f t="shared" si="134"/>
        <v>0</v>
      </c>
      <c r="BD113" s="157">
        <f>VLOOKUP($A113,'Over Under Bill 1 COPY 到CO欄位'!$1:$1048576,'Over Under Bill 1 COPY 到CO欄位'!BD$1,0)-VLOOKUP($A113,'Over Under Bill 1 COPY 到CO欄位'!$1:$1048576,'Over Under Bill 1 COPY 到CO欄位'!AY$1,0)</f>
        <v>0</v>
      </c>
      <c r="BE113" s="157">
        <f t="shared" si="135"/>
        <v>0</v>
      </c>
      <c r="BF113" s="158">
        <f>VLOOKUP($A113,'Over Under Bill 1 COPY 到CO欄位'!$1:$1048576,'Over Under Bill 1 COPY 到CO欄位'!BF$1,0)-VLOOKUP($A113,'Over Under Bill 1 COPY 到CO欄位'!$1:$1048576,'Over Under Bill 1 COPY 到CO欄位'!BA$1,0)</f>
        <v>0</v>
      </c>
      <c r="BG113" s="158">
        <f>VLOOKUP($A113,'Over Under Bill 1 COPY 到CO欄位'!$1:$1048576,'Over Under Bill 1 COPY 到CO欄位'!BG$1,0)-VLOOKUP($A113,'Over Under Bill 1 COPY 到CO欄位'!$1:$1048576,'Over Under Bill 1 COPY 到CO欄位'!BB$1,0)</f>
        <v>0</v>
      </c>
      <c r="BH113" s="158">
        <f t="shared" si="136"/>
        <v>0</v>
      </c>
      <c r="BI113" s="158">
        <f>VLOOKUP($A113,'Over Under Bill 1 COPY 到CO欄位'!$1:$1048576,'Over Under Bill 1 COPY 到CO欄位'!BI$1,0)-VLOOKUP($A113,'Over Under Bill 1 COPY 到CO欄位'!$1:$1048576,'Over Under Bill 1 COPY 到CO欄位'!BD$1,0)</f>
        <v>0</v>
      </c>
      <c r="BJ113" s="158">
        <f t="shared" si="137"/>
        <v>0</v>
      </c>
      <c r="BK113" s="157">
        <f>VLOOKUP($A113,'Over Under Bill 1 COPY 到CO欄位'!$1:$1048576,'Over Under Bill 1 COPY 到CO欄位'!BK$1,0)-VLOOKUP($A113,'Over Under Bill 1 COPY 到CO欄位'!$1:$1048576,'Over Under Bill 1 COPY 到CO欄位'!BF$1,0)</f>
        <v>0</v>
      </c>
      <c r="BL113" s="157">
        <f>VLOOKUP($A113,'Over Under Bill 1 COPY 到CO欄位'!$1:$1048576,'Over Under Bill 1 COPY 到CO欄位'!BL$1,0)-VLOOKUP($A113,'Over Under Bill 1 COPY 到CO欄位'!$1:$1048576,'Over Under Bill 1 COPY 到CO欄位'!BG$1,0)</f>
        <v>0</v>
      </c>
      <c r="BM113" s="157">
        <f t="shared" si="138"/>
        <v>0</v>
      </c>
      <c r="BN113" s="157">
        <f>VLOOKUP($A113,'Over Under Bill 1 COPY 到CO欄位'!$1:$1048576,'Over Under Bill 1 COPY 到CO欄位'!BN$1,0)-VLOOKUP($A113,'Over Under Bill 1 COPY 到CO欄位'!$1:$1048576,'Over Under Bill 1 COPY 到CO欄位'!BI$1,0)</f>
        <v>0</v>
      </c>
      <c r="BO113" s="157">
        <f t="shared" si="139"/>
        <v>0</v>
      </c>
      <c r="BP113" s="158">
        <f>VLOOKUP($A113,'Over Under Bill 1 COPY 到CO欄位'!$1:$1048576,'Over Under Bill 1 COPY 到CO欄位'!BP$1,0)-VLOOKUP($A113,'Over Under Bill 1 COPY 到CO欄位'!$1:$1048576,'Over Under Bill 1 COPY 到CO欄位'!BK$1,0)</f>
        <v>0</v>
      </c>
      <c r="BQ113" s="158">
        <f>VLOOKUP($A113,'Over Under Bill 1 COPY 到CO欄位'!$1:$1048576,'Over Under Bill 1 COPY 到CO欄位'!BQ$1,0)-VLOOKUP($A113,'Over Under Bill 1 COPY 到CO欄位'!$1:$1048576,'Over Under Bill 1 COPY 到CO欄位'!BL$1,0)</f>
        <v>0</v>
      </c>
      <c r="BR113" s="158">
        <f t="shared" si="140"/>
        <v>0</v>
      </c>
      <c r="BS113" s="158">
        <f>VLOOKUP($A113,'Over Under Bill 1 COPY 到CO欄位'!$1:$1048576,'Over Under Bill 1 COPY 到CO欄位'!BS$1,0)-VLOOKUP($A113,'Over Under Bill 1 COPY 到CO欄位'!$1:$1048576,'Over Under Bill 1 COPY 到CO欄位'!BN$1,0)</f>
        <v>0</v>
      </c>
      <c r="BT113" s="158">
        <f t="shared" si="141"/>
        <v>0</v>
      </c>
      <c r="BU113" s="157">
        <f>VLOOKUP($A113,'Over Under Bill 1 COPY 到CO欄位'!$1:$1048576,'Over Under Bill 1 COPY 到CO欄位'!BP$1,0)-VLOOKUP($A113,'Over Under Bill 1 COPY 到CO欄位'!$1:$1048576,'Over Under Bill 1 COPY 到CO欄位'!H$1,0)</f>
        <v>0</v>
      </c>
      <c r="BV113" s="157">
        <f>VLOOKUP($A113,'Over Under Bill 1 COPY 到CO欄位'!$1:$1048576,'Over Under Bill 1 COPY 到CO欄位'!BQ$1,0)-VLOOKUP($A113,'Over Under Bill 1 COPY 到CO欄位'!$1:$1048576,'Over Under Bill 1 COPY 到CO欄位'!BL$1,0)</f>
        <v>0</v>
      </c>
      <c r="BW113" s="157">
        <f t="shared" si="142"/>
        <v>0</v>
      </c>
      <c r="BX113" s="157">
        <f>VLOOKUP($A113,'Over Under Bill 1 COPY 到CO欄位'!$1:$1048576,'Over Under Bill 1 COPY 到CO欄位'!BS$1,0)-VLOOKUP($A113,'Over Under Bill 1 COPY 到CO欄位'!$1:$1048576,'Over Under Bill 1 COPY 到CO欄位'!K$1,0)</f>
        <v>0</v>
      </c>
      <c r="BY113" s="157">
        <f t="shared" si="143"/>
        <v>0</v>
      </c>
      <c r="BZ113" s="158">
        <f>VLOOKUP($A113,'Over Under Bill 1 COPY 到CO欄位'!$1:$1048576,'Over Under Bill 1 COPY 到CO欄位'!BU$1,0)-VLOOKUP($A113,'Over Under Bill 1 COPY 到CO欄位'!$1:$1048576,'Over Under Bill 1 COPY 到CO欄位'!BP$1,0)</f>
        <v>0</v>
      </c>
      <c r="CA113" s="158">
        <f>VLOOKUP($A113,'Over Under Bill 1 COPY 到CO欄位'!$1:$1048576,'Over Under Bill 1 COPY 到CO欄位'!BV$1,0)-VLOOKUP($A113,'Over Under Bill 1 COPY 到CO欄位'!$1:$1048576,'Over Under Bill 1 COPY 到CO欄位'!BQ$1,0)</f>
        <v>0</v>
      </c>
      <c r="CB113" s="158">
        <f t="shared" si="144"/>
        <v>0</v>
      </c>
      <c r="CC113" s="158">
        <f>VLOOKUP($A113,'Over Under Bill 1 COPY 到CO欄位'!$1:$1048576,'Over Under Bill 1 COPY 到CO欄位'!BX$1,0)-VLOOKUP($A113,'Over Under Bill 1 COPY 到CO欄位'!$1:$1048576,'Over Under Bill 1 COPY 到CO欄位'!BS$1,0)</f>
        <v>0</v>
      </c>
      <c r="CD113" s="158">
        <f t="shared" si="145"/>
        <v>0</v>
      </c>
      <c r="CE113" s="157">
        <f>VLOOKUP($A113,'Over Under Bill 1 COPY 到CO欄位'!$1:$1048576,'Over Under Bill 1 COPY 到CO欄位'!BZ$1,0)-VLOOKUP($A113,'Over Under Bill 1 COPY 到CO欄位'!$1:$1048576,'Over Under Bill 1 COPY 到CO欄位'!BU$1,0)</f>
        <v>0</v>
      </c>
      <c r="CF113" s="157">
        <f>VLOOKUP($A113,'Over Under Bill 1 COPY 到CO欄位'!$1:$1048576,'Over Under Bill 1 COPY 到CO欄位'!CA$1,0)-VLOOKUP($A113,'Over Under Bill 1 COPY 到CO欄位'!$1:$1048576,'Over Under Bill 1 COPY 到CO欄位'!BV$1,0)</f>
        <v>0</v>
      </c>
      <c r="CG113" s="157">
        <f t="shared" si="146"/>
        <v>0</v>
      </c>
      <c r="CH113" s="157">
        <f>VLOOKUP($A113,'Over Under Bill 1 COPY 到CO欄位'!$1:$1048576,'Over Under Bill 1 COPY 到CO欄位'!CC$1,0)-VLOOKUP($A113,'Over Under Bill 1 COPY 到CO欄位'!$1:$1048576,'Over Under Bill 1 COPY 到CO欄位'!BX$1,0)</f>
        <v>0</v>
      </c>
      <c r="CI113" s="157">
        <f t="shared" si="147"/>
        <v>0</v>
      </c>
      <c r="CJ113" s="158">
        <f>VLOOKUP($A113,'Over Under Bill 1 COPY 到CO欄位'!$1:$1048576,'Over Under Bill 1 COPY 到CO欄位'!CE$1,0)-VLOOKUP($A113,'Over Under Bill 1 COPY 到CO欄位'!$1:$1048576,'Over Under Bill 1 COPY 到CO欄位'!BZ$1,0)</f>
        <v>0</v>
      </c>
      <c r="CK113" s="158">
        <f>VLOOKUP($A113,'Over Under Bill 1 COPY 到CO欄位'!$1:$1048576,'Over Under Bill 1 COPY 到CO欄位'!CF$1,0)-VLOOKUP($A113,'Over Under Bill 1 COPY 到CO欄位'!$1:$1048576,'Over Under Bill 1 COPY 到CO欄位'!CA$1,0)</f>
        <v>0</v>
      </c>
      <c r="CL113" s="158">
        <f t="shared" si="148"/>
        <v>0</v>
      </c>
      <c r="CM113" s="158">
        <f>VLOOKUP($A113,'Over Under Bill 1 COPY 到CO欄位'!$1:$1048576,'Over Under Bill 1 COPY 到CO欄位'!CH$1,0)-VLOOKUP($A113,'Over Under Bill 1 COPY 到CO欄位'!$1:$1048576,'Over Under Bill 1 COPY 到CO欄位'!CC$1,0)</f>
        <v>0</v>
      </c>
      <c r="CN113" s="158">
        <f t="shared" si="149"/>
        <v>0</v>
      </c>
      <c r="CO113" s="157">
        <f>VLOOKUP($A113,'Over Under Bill 1 COPY 到CO欄位'!$1:$1048576,'Over Under Bill 1 COPY 到CO欄位'!CJ$1,0)-VLOOKUP($A113,'Over Under Bill 1 COPY 到CO欄位'!$1:$1048576,'Over Under Bill 1 COPY 到CO欄位'!CE$1,0)</f>
        <v>0</v>
      </c>
      <c r="CP113" s="157">
        <f>VLOOKUP($A113,'Over Under Bill 1 COPY 到CO欄位'!$1:$1048576,'Over Under Bill 1 COPY 到CO欄位'!CK$1,0)-VLOOKUP($A113,'Over Under Bill 1 COPY 到CO欄位'!$1:$1048576,'Over Under Bill 1 COPY 到CO欄位'!CF$1,0)</f>
        <v>0</v>
      </c>
      <c r="CQ113" s="157">
        <f t="shared" si="150"/>
        <v>0</v>
      </c>
      <c r="CR113" s="157">
        <f>VLOOKUP($A113,'Over Under Bill 1 COPY 到CO欄位'!$1:$1048576,'Over Under Bill 1 COPY 到CO欄位'!CM$1,0)-VLOOKUP($A113,'Over Under Bill 1 COPY 到CO欄位'!$1:$1048576,'Over Under Bill 1 COPY 到CO欄位'!CH$1,0)</f>
        <v>0</v>
      </c>
      <c r="CS113" s="157">
        <f t="shared" si="151"/>
        <v>0</v>
      </c>
    </row>
    <row r="114" spans="1:97">
      <c r="A114" s="175" t="s">
        <v>508</v>
      </c>
      <c r="B114" s="197" t="s">
        <v>509</v>
      </c>
      <c r="C114" s="157">
        <f>IFERROR(VLOOKUP($A114,'A0 BS 1240在建'!$1:$1048576,5,0),0)</f>
        <v>0</v>
      </c>
      <c r="D114" s="157">
        <f>IFERROR(VLOOKUP($A114,'B0 2264預收'!$1:$1048576,5,0),0)</f>
        <v>0</v>
      </c>
      <c r="E114" s="157">
        <f t="shared" si="114"/>
        <v>0</v>
      </c>
      <c r="F114" s="157">
        <f>IFERROR(VLOOKUP($A114,'B0 2264預收'!$1:$1048576,6,0),0)</f>
        <v>0</v>
      </c>
      <c r="G114" s="157">
        <f t="shared" si="115"/>
        <v>0</v>
      </c>
      <c r="H114" s="158">
        <f>IFERROR(VLOOKUP($A114,'A0 BS 1240在建'!$1:$1048576,13,0),0)-C114</f>
        <v>0</v>
      </c>
      <c r="I114" s="158">
        <f>IFERROR(VLOOKUP($A114,'B0 2264預收'!$1:$1048576,13,0),0)-D114</f>
        <v>0</v>
      </c>
      <c r="J114" s="158">
        <f t="shared" si="116"/>
        <v>0</v>
      </c>
      <c r="K114" s="158">
        <f>IFERROR(VLOOKUP($A114,'B0 2264預收'!$1:$1048576,14,0),0)-F114</f>
        <v>0</v>
      </c>
      <c r="L114" s="158">
        <f t="shared" si="117"/>
        <v>0</v>
      </c>
      <c r="M114" s="157">
        <f>VLOOKUP($A114,'Over Under Bill 1 COPY 到CO欄位'!$1:$1048576,'Over Under Bill 1 COPY 到CO欄位'!M$1,0)-VLOOKUP($A114,'Over Under Bill 1 COPY 到CO欄位'!$1:$1048576,'Over Under Bill 1 COPY 到CO欄位'!H$1,0)</f>
        <v>0</v>
      </c>
      <c r="N114" s="157">
        <f>VLOOKUP($A114,'Over Under Bill 1 COPY 到CO欄位'!$1:$1048576,'Over Under Bill 1 COPY 到CO欄位'!N$1,0)-VLOOKUP($A114,'Over Under Bill 1 COPY 到CO欄位'!$1:$1048576,'Over Under Bill 1 COPY 到CO欄位'!I$1,0)</f>
        <v>0</v>
      </c>
      <c r="O114" s="157">
        <f t="shared" si="118"/>
        <v>0</v>
      </c>
      <c r="P114" s="157">
        <f>VLOOKUP($A114,'Over Under Bill 1 COPY 到CO欄位'!$1:$1048576,'Over Under Bill 1 COPY 到CO欄位'!P$1,0)-VLOOKUP($A114,'Over Under Bill 1 COPY 到CO欄位'!$1:$1048576,'Over Under Bill 1 COPY 到CO欄位'!K$1,0)</f>
        <v>0</v>
      </c>
      <c r="Q114" s="157">
        <f t="shared" si="119"/>
        <v>0</v>
      </c>
      <c r="R114" s="158">
        <f>VLOOKUP($A114,'Over Under Bill 1 COPY 到CO欄位'!$1:$1048576,'Over Under Bill 1 COPY 到CO欄位'!R$1,0)-VLOOKUP($A114,'Over Under Bill 1 COPY 到CO欄位'!$1:$1048576,'Over Under Bill 1 COPY 到CO欄位'!M$1,0)</f>
        <v>0</v>
      </c>
      <c r="S114" s="158">
        <f>VLOOKUP($A114,'Over Under Bill 1 COPY 到CO欄位'!$1:$1048576,'Over Under Bill 1 COPY 到CO欄位'!S$1,0)-VLOOKUP($A114,'Over Under Bill 1 COPY 到CO欄位'!$1:$1048576,'Over Under Bill 1 COPY 到CO欄位'!N$1,0)</f>
        <v>0</v>
      </c>
      <c r="T114" s="158">
        <f t="shared" si="120"/>
        <v>0</v>
      </c>
      <c r="U114" s="158">
        <f>VLOOKUP($A114,'Over Under Bill 1 COPY 到CO欄位'!$1:$1048576,'Over Under Bill 1 COPY 到CO欄位'!U$1,0)-VLOOKUP($A114,'Over Under Bill 1 COPY 到CO欄位'!$1:$1048576,'Over Under Bill 1 COPY 到CO欄位'!P$1,0)</f>
        <v>0</v>
      </c>
      <c r="V114" s="158">
        <f t="shared" si="121"/>
        <v>0</v>
      </c>
      <c r="W114" s="157">
        <f>VLOOKUP($A114,'Over Under Bill 1 COPY 到CO欄位'!$1:$1048576,'Over Under Bill 1 COPY 到CO欄位'!W$1,0)-VLOOKUP($A114,'Over Under Bill 1 COPY 到CO欄位'!$1:$1048576,'Over Under Bill 1 COPY 到CO欄位'!R$1,0)</f>
        <v>0</v>
      </c>
      <c r="X114" s="157">
        <f>VLOOKUP($A114,'Over Under Bill 1 COPY 到CO欄位'!$1:$1048576,'Over Under Bill 1 COPY 到CO欄位'!X$1,0)-VLOOKUP($A114,'Over Under Bill 1 COPY 到CO欄位'!$1:$1048576,'Over Under Bill 1 COPY 到CO欄位'!S$1,0)</f>
        <v>0</v>
      </c>
      <c r="Y114" s="157">
        <f t="shared" si="122"/>
        <v>0</v>
      </c>
      <c r="Z114" s="157">
        <f>VLOOKUP($A114,'Over Under Bill 1 COPY 到CO欄位'!$1:$1048576,'Over Under Bill 1 COPY 到CO欄位'!Z$1,0)-VLOOKUP($A114,'Over Under Bill 1 COPY 到CO欄位'!$1:$1048576,'Over Under Bill 1 COPY 到CO欄位'!U$1,0)</f>
        <v>0</v>
      </c>
      <c r="AA114" s="157">
        <f t="shared" si="123"/>
        <v>0</v>
      </c>
      <c r="AB114" s="158">
        <f>VLOOKUP($A114,'Over Under Bill 1 COPY 到CO欄位'!$1:$1048576,'Over Under Bill 1 COPY 到CO欄位'!AB$1,0)-VLOOKUP($A114,'Over Under Bill 1 COPY 到CO欄位'!$1:$1048576,'Over Under Bill 1 COPY 到CO欄位'!W$1,0)</f>
        <v>0</v>
      </c>
      <c r="AC114" s="158">
        <f>VLOOKUP($A114,'Over Under Bill 1 COPY 到CO欄位'!$1:$1048576,'Over Under Bill 1 COPY 到CO欄位'!AC$1,0)-VLOOKUP($A114,'Over Under Bill 1 COPY 到CO欄位'!$1:$1048576,'Over Under Bill 1 COPY 到CO欄位'!X$1,0)</f>
        <v>0</v>
      </c>
      <c r="AD114" s="158">
        <f t="shared" si="124"/>
        <v>0</v>
      </c>
      <c r="AE114" s="158">
        <f>VLOOKUP($A114,'Over Under Bill 1 COPY 到CO欄位'!$1:$1048576,'Over Under Bill 1 COPY 到CO欄位'!AE$1,0)-VLOOKUP($A114,'Over Under Bill 1 COPY 到CO欄位'!$1:$1048576,'Over Under Bill 1 COPY 到CO欄位'!Z$1,0)</f>
        <v>0</v>
      </c>
      <c r="AF114" s="158">
        <f t="shared" si="125"/>
        <v>0</v>
      </c>
      <c r="AG114" s="157">
        <f>VLOOKUP($A114,'Over Under Bill 1 COPY 到CO欄位'!$1:$1048576,'Over Under Bill 1 COPY 到CO欄位'!AG$1,0)-VLOOKUP($A114,'Over Under Bill 1 COPY 到CO欄位'!$1:$1048576,'Over Under Bill 1 COPY 到CO欄位'!AB$1,0)</f>
        <v>0</v>
      </c>
      <c r="AH114" s="157">
        <f>VLOOKUP($A114,'Over Under Bill 1 COPY 到CO欄位'!$1:$1048576,'Over Under Bill 1 COPY 到CO欄位'!AH$1,0)-VLOOKUP($A114,'Over Under Bill 1 COPY 到CO欄位'!$1:$1048576,'Over Under Bill 1 COPY 到CO欄位'!AC$1,0)</f>
        <v>0</v>
      </c>
      <c r="AI114" s="157">
        <f t="shared" si="126"/>
        <v>0</v>
      </c>
      <c r="AJ114" s="157">
        <f>VLOOKUP($A114,'Over Under Bill 1 COPY 到CO欄位'!$1:$1048576,'Over Under Bill 1 COPY 到CO欄位'!AJ$1,0)-VLOOKUP($A114,'Over Under Bill 1 COPY 到CO欄位'!$1:$1048576,'Over Under Bill 1 COPY 到CO欄位'!AE$1,0)</f>
        <v>0</v>
      </c>
      <c r="AK114" s="157">
        <f t="shared" si="127"/>
        <v>0</v>
      </c>
      <c r="AL114" s="158">
        <f>VLOOKUP($A114,'Over Under Bill 1 COPY 到CO欄位'!$1:$1048576,'Over Under Bill 1 COPY 到CO欄位'!AL$1,0)-VLOOKUP($A114,'Over Under Bill 1 COPY 到CO欄位'!$1:$1048576,'Over Under Bill 1 COPY 到CO欄位'!AG$1,0)</f>
        <v>0</v>
      </c>
      <c r="AM114" s="158">
        <f>VLOOKUP($A114,'Over Under Bill 1 COPY 到CO欄位'!$1:$1048576,'Over Under Bill 1 COPY 到CO欄位'!AM$1,0)-VLOOKUP($A114,'Over Under Bill 1 COPY 到CO欄位'!$1:$1048576,'Over Under Bill 1 COPY 到CO欄位'!AH$1,0)</f>
        <v>0</v>
      </c>
      <c r="AN114" s="158">
        <f t="shared" si="128"/>
        <v>0</v>
      </c>
      <c r="AO114" s="158">
        <f>VLOOKUP($A114,'Over Under Bill 1 COPY 到CO欄位'!$1:$1048576,'Over Under Bill 1 COPY 到CO欄位'!AO$1,0)-VLOOKUP($A114,'Over Under Bill 1 COPY 到CO欄位'!$1:$1048576,'Over Under Bill 1 COPY 到CO欄位'!AJ$1,0)</f>
        <v>0</v>
      </c>
      <c r="AP114" s="158">
        <f t="shared" si="129"/>
        <v>0</v>
      </c>
      <c r="AQ114" s="157">
        <f>VLOOKUP($A114,'Over Under Bill 1 COPY 到CO欄位'!$1:$1048576,'Over Under Bill 1 COPY 到CO欄位'!AQ$1,0)-VLOOKUP($A114,'Over Under Bill 1 COPY 到CO欄位'!$1:$1048576,'Over Under Bill 1 COPY 到CO欄位'!AL$1,0)</f>
        <v>0</v>
      </c>
      <c r="AR114" s="157">
        <f>VLOOKUP($A114,'Over Under Bill 1 COPY 到CO欄位'!$1:$1048576,'Over Under Bill 1 COPY 到CO欄位'!AR$1,0)-VLOOKUP($A114,'Over Under Bill 1 COPY 到CO欄位'!$1:$1048576,'Over Under Bill 1 COPY 到CO欄位'!AM$1,0)</f>
        <v>0</v>
      </c>
      <c r="AS114" s="157">
        <f t="shared" si="130"/>
        <v>0</v>
      </c>
      <c r="AT114" s="157">
        <f>VLOOKUP($A114,'Over Under Bill 1 COPY 到CO欄位'!$1:$1048576,'Over Under Bill 1 COPY 到CO欄位'!AT$1,0)-VLOOKUP($A114,'Over Under Bill 1 COPY 到CO欄位'!$1:$1048576,'Over Under Bill 1 COPY 到CO欄位'!AO$1,0)</f>
        <v>0</v>
      </c>
      <c r="AU114" s="157">
        <f t="shared" si="131"/>
        <v>0</v>
      </c>
      <c r="AV114" s="158">
        <f>VLOOKUP($A114,'Over Under Bill 1 COPY 到CO欄位'!$1:$1048576,'Over Under Bill 1 COPY 到CO欄位'!AV$1,0)-VLOOKUP($A114,'Over Under Bill 1 COPY 到CO欄位'!$1:$1048576,'Over Under Bill 1 COPY 到CO欄位'!AQ$1,0)</f>
        <v>0</v>
      </c>
      <c r="AW114" s="158">
        <f>VLOOKUP($A114,'Over Under Bill 1 COPY 到CO欄位'!$1:$1048576,'Over Under Bill 1 COPY 到CO欄位'!AW$1,0)-VLOOKUP($A114,'Over Under Bill 1 COPY 到CO欄位'!$1:$1048576,'Over Under Bill 1 COPY 到CO欄位'!AR$1,0)</f>
        <v>0</v>
      </c>
      <c r="AX114" s="158">
        <f t="shared" si="132"/>
        <v>0</v>
      </c>
      <c r="AY114" s="158">
        <f>VLOOKUP($A114,'Over Under Bill 1 COPY 到CO欄位'!$1:$1048576,'Over Under Bill 1 COPY 到CO欄位'!AY$1,0)-VLOOKUP($A114,'Over Under Bill 1 COPY 到CO欄位'!$1:$1048576,'Over Under Bill 1 COPY 到CO欄位'!AT$1,0)</f>
        <v>0</v>
      </c>
      <c r="AZ114" s="158">
        <f t="shared" si="133"/>
        <v>0</v>
      </c>
      <c r="BA114" s="157">
        <f>VLOOKUP($A114,'Over Under Bill 1 COPY 到CO欄位'!$1:$1048576,'Over Under Bill 1 COPY 到CO欄位'!BA$1,0)-VLOOKUP($A114,'Over Under Bill 1 COPY 到CO欄位'!$1:$1048576,'Over Under Bill 1 COPY 到CO欄位'!AV$1,0)</f>
        <v>0</v>
      </c>
      <c r="BB114" s="157">
        <f>VLOOKUP($A114,'Over Under Bill 1 COPY 到CO欄位'!$1:$1048576,'Over Under Bill 1 COPY 到CO欄位'!BB$1,0)-VLOOKUP($A114,'Over Under Bill 1 COPY 到CO欄位'!$1:$1048576,'Over Under Bill 1 COPY 到CO欄位'!AW$1,0)</f>
        <v>0</v>
      </c>
      <c r="BC114" s="157">
        <f t="shared" si="134"/>
        <v>0</v>
      </c>
      <c r="BD114" s="157">
        <f>VLOOKUP($A114,'Over Under Bill 1 COPY 到CO欄位'!$1:$1048576,'Over Under Bill 1 COPY 到CO欄位'!BD$1,0)-VLOOKUP($A114,'Over Under Bill 1 COPY 到CO欄位'!$1:$1048576,'Over Under Bill 1 COPY 到CO欄位'!AY$1,0)</f>
        <v>0</v>
      </c>
      <c r="BE114" s="157">
        <f t="shared" si="135"/>
        <v>0</v>
      </c>
      <c r="BF114" s="158">
        <f>VLOOKUP($A114,'Over Under Bill 1 COPY 到CO欄位'!$1:$1048576,'Over Under Bill 1 COPY 到CO欄位'!BF$1,0)-VLOOKUP($A114,'Over Under Bill 1 COPY 到CO欄位'!$1:$1048576,'Over Under Bill 1 COPY 到CO欄位'!BA$1,0)</f>
        <v>0</v>
      </c>
      <c r="BG114" s="158">
        <f>VLOOKUP($A114,'Over Under Bill 1 COPY 到CO欄位'!$1:$1048576,'Over Under Bill 1 COPY 到CO欄位'!BG$1,0)-VLOOKUP($A114,'Over Under Bill 1 COPY 到CO欄位'!$1:$1048576,'Over Under Bill 1 COPY 到CO欄位'!BB$1,0)</f>
        <v>0</v>
      </c>
      <c r="BH114" s="158">
        <f t="shared" si="136"/>
        <v>0</v>
      </c>
      <c r="BI114" s="158">
        <f>VLOOKUP($A114,'Over Under Bill 1 COPY 到CO欄位'!$1:$1048576,'Over Under Bill 1 COPY 到CO欄位'!BI$1,0)-VLOOKUP($A114,'Over Under Bill 1 COPY 到CO欄位'!$1:$1048576,'Over Under Bill 1 COPY 到CO欄位'!BD$1,0)</f>
        <v>0</v>
      </c>
      <c r="BJ114" s="158">
        <f t="shared" si="137"/>
        <v>0</v>
      </c>
      <c r="BK114" s="157">
        <f>VLOOKUP($A114,'Over Under Bill 1 COPY 到CO欄位'!$1:$1048576,'Over Under Bill 1 COPY 到CO欄位'!BK$1,0)-VLOOKUP($A114,'Over Under Bill 1 COPY 到CO欄位'!$1:$1048576,'Over Under Bill 1 COPY 到CO欄位'!BF$1,0)</f>
        <v>0</v>
      </c>
      <c r="BL114" s="157">
        <f>VLOOKUP($A114,'Over Under Bill 1 COPY 到CO欄位'!$1:$1048576,'Over Under Bill 1 COPY 到CO欄位'!BL$1,0)-VLOOKUP($A114,'Over Under Bill 1 COPY 到CO欄位'!$1:$1048576,'Over Under Bill 1 COPY 到CO欄位'!BG$1,0)</f>
        <v>0</v>
      </c>
      <c r="BM114" s="157">
        <f t="shared" si="138"/>
        <v>0</v>
      </c>
      <c r="BN114" s="157">
        <f>VLOOKUP($A114,'Over Under Bill 1 COPY 到CO欄位'!$1:$1048576,'Over Under Bill 1 COPY 到CO欄位'!BN$1,0)-VLOOKUP($A114,'Over Under Bill 1 COPY 到CO欄位'!$1:$1048576,'Over Under Bill 1 COPY 到CO欄位'!BI$1,0)</f>
        <v>0</v>
      </c>
      <c r="BO114" s="157">
        <f t="shared" si="139"/>
        <v>0</v>
      </c>
      <c r="BP114" s="158">
        <f>VLOOKUP($A114,'Over Under Bill 1 COPY 到CO欄位'!$1:$1048576,'Over Under Bill 1 COPY 到CO欄位'!BP$1,0)-VLOOKUP($A114,'Over Under Bill 1 COPY 到CO欄位'!$1:$1048576,'Over Under Bill 1 COPY 到CO欄位'!BK$1,0)</f>
        <v>0</v>
      </c>
      <c r="BQ114" s="158">
        <f>VLOOKUP($A114,'Over Under Bill 1 COPY 到CO欄位'!$1:$1048576,'Over Under Bill 1 COPY 到CO欄位'!BQ$1,0)-VLOOKUP($A114,'Over Under Bill 1 COPY 到CO欄位'!$1:$1048576,'Over Under Bill 1 COPY 到CO欄位'!BL$1,0)</f>
        <v>0</v>
      </c>
      <c r="BR114" s="158">
        <f t="shared" si="140"/>
        <v>0</v>
      </c>
      <c r="BS114" s="158">
        <f>VLOOKUP($A114,'Over Under Bill 1 COPY 到CO欄位'!$1:$1048576,'Over Under Bill 1 COPY 到CO欄位'!BS$1,0)-VLOOKUP($A114,'Over Under Bill 1 COPY 到CO欄位'!$1:$1048576,'Over Under Bill 1 COPY 到CO欄位'!BN$1,0)</f>
        <v>0</v>
      </c>
      <c r="BT114" s="158">
        <f t="shared" si="141"/>
        <v>0</v>
      </c>
      <c r="BU114" s="157">
        <f>VLOOKUP($A114,'Over Under Bill 1 COPY 到CO欄位'!$1:$1048576,'Over Under Bill 1 COPY 到CO欄位'!BP$1,0)-VLOOKUP($A114,'Over Under Bill 1 COPY 到CO欄位'!$1:$1048576,'Over Under Bill 1 COPY 到CO欄位'!H$1,0)</f>
        <v>0</v>
      </c>
      <c r="BV114" s="157">
        <f>VLOOKUP($A114,'Over Under Bill 1 COPY 到CO欄位'!$1:$1048576,'Over Under Bill 1 COPY 到CO欄位'!BQ$1,0)-VLOOKUP($A114,'Over Under Bill 1 COPY 到CO欄位'!$1:$1048576,'Over Under Bill 1 COPY 到CO欄位'!BL$1,0)</f>
        <v>0</v>
      </c>
      <c r="BW114" s="157">
        <f t="shared" si="142"/>
        <v>0</v>
      </c>
      <c r="BX114" s="157">
        <f>VLOOKUP($A114,'Over Under Bill 1 COPY 到CO欄位'!$1:$1048576,'Over Under Bill 1 COPY 到CO欄位'!BS$1,0)-VLOOKUP($A114,'Over Under Bill 1 COPY 到CO欄位'!$1:$1048576,'Over Under Bill 1 COPY 到CO欄位'!K$1,0)</f>
        <v>0</v>
      </c>
      <c r="BY114" s="157">
        <f t="shared" si="143"/>
        <v>0</v>
      </c>
      <c r="BZ114" s="158">
        <f>VLOOKUP($A114,'Over Under Bill 1 COPY 到CO欄位'!$1:$1048576,'Over Under Bill 1 COPY 到CO欄位'!BU$1,0)-VLOOKUP($A114,'Over Under Bill 1 COPY 到CO欄位'!$1:$1048576,'Over Under Bill 1 COPY 到CO欄位'!BP$1,0)</f>
        <v>0</v>
      </c>
      <c r="CA114" s="158">
        <f>VLOOKUP($A114,'Over Under Bill 1 COPY 到CO欄位'!$1:$1048576,'Over Under Bill 1 COPY 到CO欄位'!BV$1,0)-VLOOKUP($A114,'Over Under Bill 1 COPY 到CO欄位'!$1:$1048576,'Over Under Bill 1 COPY 到CO欄位'!BQ$1,0)</f>
        <v>0</v>
      </c>
      <c r="CB114" s="158">
        <f t="shared" si="144"/>
        <v>0</v>
      </c>
      <c r="CC114" s="158">
        <f>VLOOKUP($A114,'Over Under Bill 1 COPY 到CO欄位'!$1:$1048576,'Over Under Bill 1 COPY 到CO欄位'!BX$1,0)-VLOOKUP($A114,'Over Under Bill 1 COPY 到CO欄位'!$1:$1048576,'Over Under Bill 1 COPY 到CO欄位'!BS$1,0)</f>
        <v>0</v>
      </c>
      <c r="CD114" s="158">
        <f t="shared" si="145"/>
        <v>0</v>
      </c>
      <c r="CE114" s="157">
        <f>VLOOKUP($A114,'Over Under Bill 1 COPY 到CO欄位'!$1:$1048576,'Over Under Bill 1 COPY 到CO欄位'!BZ$1,0)-VLOOKUP($A114,'Over Under Bill 1 COPY 到CO欄位'!$1:$1048576,'Over Under Bill 1 COPY 到CO欄位'!BU$1,0)</f>
        <v>0</v>
      </c>
      <c r="CF114" s="157">
        <f>VLOOKUP($A114,'Over Under Bill 1 COPY 到CO欄位'!$1:$1048576,'Over Under Bill 1 COPY 到CO欄位'!CA$1,0)-VLOOKUP($A114,'Over Under Bill 1 COPY 到CO欄位'!$1:$1048576,'Over Under Bill 1 COPY 到CO欄位'!BV$1,0)</f>
        <v>0</v>
      </c>
      <c r="CG114" s="157">
        <f t="shared" si="146"/>
        <v>0</v>
      </c>
      <c r="CH114" s="157">
        <f>VLOOKUP($A114,'Over Under Bill 1 COPY 到CO欄位'!$1:$1048576,'Over Under Bill 1 COPY 到CO欄位'!CC$1,0)-VLOOKUP($A114,'Over Under Bill 1 COPY 到CO欄位'!$1:$1048576,'Over Under Bill 1 COPY 到CO欄位'!BX$1,0)</f>
        <v>0</v>
      </c>
      <c r="CI114" s="157">
        <f t="shared" si="147"/>
        <v>0</v>
      </c>
      <c r="CJ114" s="158">
        <f>VLOOKUP($A114,'Over Under Bill 1 COPY 到CO欄位'!$1:$1048576,'Over Under Bill 1 COPY 到CO欄位'!CE$1,0)-VLOOKUP($A114,'Over Under Bill 1 COPY 到CO欄位'!$1:$1048576,'Over Under Bill 1 COPY 到CO欄位'!BZ$1,0)</f>
        <v>0</v>
      </c>
      <c r="CK114" s="158">
        <f>VLOOKUP($A114,'Over Under Bill 1 COPY 到CO欄位'!$1:$1048576,'Over Under Bill 1 COPY 到CO欄位'!CF$1,0)-VLOOKUP($A114,'Over Under Bill 1 COPY 到CO欄位'!$1:$1048576,'Over Under Bill 1 COPY 到CO欄位'!CA$1,0)</f>
        <v>0</v>
      </c>
      <c r="CL114" s="158">
        <f t="shared" si="148"/>
        <v>0</v>
      </c>
      <c r="CM114" s="158">
        <f>VLOOKUP($A114,'Over Under Bill 1 COPY 到CO欄位'!$1:$1048576,'Over Under Bill 1 COPY 到CO欄位'!CH$1,0)-VLOOKUP($A114,'Over Under Bill 1 COPY 到CO欄位'!$1:$1048576,'Over Under Bill 1 COPY 到CO欄位'!CC$1,0)</f>
        <v>0</v>
      </c>
      <c r="CN114" s="158">
        <f t="shared" si="149"/>
        <v>0</v>
      </c>
      <c r="CO114" s="157">
        <f>VLOOKUP($A114,'Over Under Bill 1 COPY 到CO欄位'!$1:$1048576,'Over Under Bill 1 COPY 到CO欄位'!CJ$1,0)-VLOOKUP($A114,'Over Under Bill 1 COPY 到CO欄位'!$1:$1048576,'Over Under Bill 1 COPY 到CO欄位'!CE$1,0)</f>
        <v>0</v>
      </c>
      <c r="CP114" s="157">
        <f>VLOOKUP($A114,'Over Under Bill 1 COPY 到CO欄位'!$1:$1048576,'Over Under Bill 1 COPY 到CO欄位'!CK$1,0)-VLOOKUP($A114,'Over Under Bill 1 COPY 到CO欄位'!$1:$1048576,'Over Under Bill 1 COPY 到CO欄位'!CF$1,0)</f>
        <v>0</v>
      </c>
      <c r="CQ114" s="157">
        <f t="shared" si="150"/>
        <v>0</v>
      </c>
      <c r="CR114" s="157">
        <f>VLOOKUP($A114,'Over Under Bill 1 COPY 到CO欄位'!$1:$1048576,'Over Under Bill 1 COPY 到CO欄位'!CM$1,0)-VLOOKUP($A114,'Over Under Bill 1 COPY 到CO欄位'!$1:$1048576,'Over Under Bill 1 COPY 到CO欄位'!CH$1,0)</f>
        <v>0</v>
      </c>
      <c r="CS114" s="157">
        <f t="shared" si="151"/>
        <v>0</v>
      </c>
    </row>
    <row r="115" spans="1:97">
      <c r="A115" s="175" t="s">
        <v>510</v>
      </c>
      <c r="B115" s="198" t="s">
        <v>490</v>
      </c>
      <c r="C115" s="157">
        <f>IFERROR(VLOOKUP($A115,'A0 BS 1240在建'!$1:$1048576,5,0),0)</f>
        <v>0</v>
      </c>
      <c r="D115" s="157">
        <f>IFERROR(VLOOKUP($A115,'B0 2264預收'!$1:$1048576,5,0),0)</f>
        <v>0</v>
      </c>
      <c r="E115" s="157">
        <f t="shared" si="114"/>
        <v>0</v>
      </c>
      <c r="F115" s="157">
        <f>IFERROR(VLOOKUP($A115,'B0 2264預收'!$1:$1048576,6,0),0)</f>
        <v>0</v>
      </c>
      <c r="G115" s="157">
        <f t="shared" si="115"/>
        <v>0</v>
      </c>
      <c r="H115" s="158">
        <f>IFERROR(VLOOKUP($A115,'A0 BS 1240在建'!$1:$1048576,13,0),0)-C115</f>
        <v>0</v>
      </c>
      <c r="I115" s="158">
        <f>IFERROR(VLOOKUP($A115,'B0 2264預收'!$1:$1048576,13,0),0)-D115</f>
        <v>0</v>
      </c>
      <c r="J115" s="158">
        <f t="shared" si="116"/>
        <v>0</v>
      </c>
      <c r="K115" s="158">
        <f>IFERROR(VLOOKUP($A115,'B0 2264預收'!$1:$1048576,14,0),0)-F115</f>
        <v>0</v>
      </c>
      <c r="L115" s="158">
        <f t="shared" si="117"/>
        <v>0</v>
      </c>
      <c r="M115" s="157">
        <f>VLOOKUP($A115,'Over Under Bill 1 COPY 到CO欄位'!$1:$1048576,'Over Under Bill 1 COPY 到CO欄位'!M$1,0)-VLOOKUP($A115,'Over Under Bill 1 COPY 到CO欄位'!$1:$1048576,'Over Under Bill 1 COPY 到CO欄位'!H$1,0)</f>
        <v>0</v>
      </c>
      <c r="N115" s="157">
        <f>VLOOKUP($A115,'Over Under Bill 1 COPY 到CO欄位'!$1:$1048576,'Over Under Bill 1 COPY 到CO欄位'!N$1,0)-VLOOKUP($A115,'Over Under Bill 1 COPY 到CO欄位'!$1:$1048576,'Over Under Bill 1 COPY 到CO欄位'!I$1,0)</f>
        <v>0</v>
      </c>
      <c r="O115" s="157">
        <f t="shared" si="118"/>
        <v>0</v>
      </c>
      <c r="P115" s="157">
        <f>VLOOKUP($A115,'Over Under Bill 1 COPY 到CO欄位'!$1:$1048576,'Over Under Bill 1 COPY 到CO欄位'!P$1,0)-VLOOKUP($A115,'Over Under Bill 1 COPY 到CO欄位'!$1:$1048576,'Over Under Bill 1 COPY 到CO欄位'!K$1,0)</f>
        <v>0</v>
      </c>
      <c r="Q115" s="157">
        <f t="shared" si="119"/>
        <v>0</v>
      </c>
      <c r="R115" s="158">
        <f>VLOOKUP($A115,'Over Under Bill 1 COPY 到CO欄位'!$1:$1048576,'Over Under Bill 1 COPY 到CO欄位'!R$1,0)-VLOOKUP($A115,'Over Under Bill 1 COPY 到CO欄位'!$1:$1048576,'Over Under Bill 1 COPY 到CO欄位'!M$1,0)</f>
        <v>0</v>
      </c>
      <c r="S115" s="158">
        <f>VLOOKUP($A115,'Over Under Bill 1 COPY 到CO欄位'!$1:$1048576,'Over Under Bill 1 COPY 到CO欄位'!S$1,0)-VLOOKUP($A115,'Over Under Bill 1 COPY 到CO欄位'!$1:$1048576,'Over Under Bill 1 COPY 到CO欄位'!N$1,0)</f>
        <v>0</v>
      </c>
      <c r="T115" s="158">
        <f t="shared" si="120"/>
        <v>0</v>
      </c>
      <c r="U115" s="158">
        <f>VLOOKUP($A115,'Over Under Bill 1 COPY 到CO欄位'!$1:$1048576,'Over Under Bill 1 COPY 到CO欄位'!U$1,0)-VLOOKUP($A115,'Over Under Bill 1 COPY 到CO欄位'!$1:$1048576,'Over Under Bill 1 COPY 到CO欄位'!P$1,0)</f>
        <v>0</v>
      </c>
      <c r="V115" s="158">
        <f t="shared" si="121"/>
        <v>0</v>
      </c>
      <c r="W115" s="157">
        <f>VLOOKUP($A115,'Over Under Bill 1 COPY 到CO欄位'!$1:$1048576,'Over Under Bill 1 COPY 到CO欄位'!W$1,0)-VLOOKUP($A115,'Over Under Bill 1 COPY 到CO欄位'!$1:$1048576,'Over Under Bill 1 COPY 到CO欄位'!R$1,0)</f>
        <v>0</v>
      </c>
      <c r="X115" s="157">
        <f>VLOOKUP($A115,'Over Under Bill 1 COPY 到CO欄位'!$1:$1048576,'Over Under Bill 1 COPY 到CO欄位'!X$1,0)-VLOOKUP($A115,'Over Under Bill 1 COPY 到CO欄位'!$1:$1048576,'Over Under Bill 1 COPY 到CO欄位'!S$1,0)</f>
        <v>0</v>
      </c>
      <c r="Y115" s="157">
        <f t="shared" si="122"/>
        <v>0</v>
      </c>
      <c r="Z115" s="157">
        <f>VLOOKUP($A115,'Over Under Bill 1 COPY 到CO欄位'!$1:$1048576,'Over Under Bill 1 COPY 到CO欄位'!Z$1,0)-VLOOKUP($A115,'Over Under Bill 1 COPY 到CO欄位'!$1:$1048576,'Over Under Bill 1 COPY 到CO欄位'!U$1,0)</f>
        <v>0</v>
      </c>
      <c r="AA115" s="157">
        <f t="shared" si="123"/>
        <v>0</v>
      </c>
      <c r="AB115" s="158">
        <f>VLOOKUP($A115,'Over Under Bill 1 COPY 到CO欄位'!$1:$1048576,'Over Under Bill 1 COPY 到CO欄位'!AB$1,0)-VLOOKUP($A115,'Over Under Bill 1 COPY 到CO欄位'!$1:$1048576,'Over Under Bill 1 COPY 到CO欄位'!W$1,0)</f>
        <v>0</v>
      </c>
      <c r="AC115" s="158">
        <f>VLOOKUP($A115,'Over Under Bill 1 COPY 到CO欄位'!$1:$1048576,'Over Under Bill 1 COPY 到CO欄位'!AC$1,0)-VLOOKUP($A115,'Over Under Bill 1 COPY 到CO欄位'!$1:$1048576,'Over Under Bill 1 COPY 到CO欄位'!X$1,0)</f>
        <v>0</v>
      </c>
      <c r="AD115" s="158">
        <f t="shared" si="124"/>
        <v>0</v>
      </c>
      <c r="AE115" s="158">
        <f>VLOOKUP($A115,'Over Under Bill 1 COPY 到CO欄位'!$1:$1048576,'Over Under Bill 1 COPY 到CO欄位'!AE$1,0)-VLOOKUP($A115,'Over Under Bill 1 COPY 到CO欄位'!$1:$1048576,'Over Under Bill 1 COPY 到CO欄位'!Z$1,0)</f>
        <v>0</v>
      </c>
      <c r="AF115" s="158">
        <f t="shared" si="125"/>
        <v>0</v>
      </c>
      <c r="AG115" s="157">
        <f>VLOOKUP($A115,'Over Under Bill 1 COPY 到CO欄位'!$1:$1048576,'Over Under Bill 1 COPY 到CO欄位'!AG$1,0)-VLOOKUP($A115,'Over Under Bill 1 COPY 到CO欄位'!$1:$1048576,'Over Under Bill 1 COPY 到CO欄位'!AB$1,0)</f>
        <v>0</v>
      </c>
      <c r="AH115" s="157">
        <f>VLOOKUP($A115,'Over Under Bill 1 COPY 到CO欄位'!$1:$1048576,'Over Under Bill 1 COPY 到CO欄位'!AH$1,0)-VLOOKUP($A115,'Over Under Bill 1 COPY 到CO欄位'!$1:$1048576,'Over Under Bill 1 COPY 到CO欄位'!AC$1,0)</f>
        <v>0</v>
      </c>
      <c r="AI115" s="157">
        <f t="shared" si="126"/>
        <v>0</v>
      </c>
      <c r="AJ115" s="157">
        <f>VLOOKUP($A115,'Over Under Bill 1 COPY 到CO欄位'!$1:$1048576,'Over Under Bill 1 COPY 到CO欄位'!AJ$1,0)-VLOOKUP($A115,'Over Under Bill 1 COPY 到CO欄位'!$1:$1048576,'Over Under Bill 1 COPY 到CO欄位'!AE$1,0)</f>
        <v>0</v>
      </c>
      <c r="AK115" s="157">
        <f t="shared" si="127"/>
        <v>0</v>
      </c>
      <c r="AL115" s="158">
        <f>VLOOKUP($A115,'Over Under Bill 1 COPY 到CO欄位'!$1:$1048576,'Over Under Bill 1 COPY 到CO欄位'!AL$1,0)-VLOOKUP($A115,'Over Under Bill 1 COPY 到CO欄位'!$1:$1048576,'Over Under Bill 1 COPY 到CO欄位'!AG$1,0)</f>
        <v>0</v>
      </c>
      <c r="AM115" s="158">
        <f>VLOOKUP($A115,'Over Under Bill 1 COPY 到CO欄位'!$1:$1048576,'Over Under Bill 1 COPY 到CO欄位'!AM$1,0)-VLOOKUP($A115,'Over Under Bill 1 COPY 到CO欄位'!$1:$1048576,'Over Under Bill 1 COPY 到CO欄位'!AH$1,0)</f>
        <v>0</v>
      </c>
      <c r="AN115" s="158">
        <f t="shared" si="128"/>
        <v>0</v>
      </c>
      <c r="AO115" s="158">
        <f>VLOOKUP($A115,'Over Under Bill 1 COPY 到CO欄位'!$1:$1048576,'Over Under Bill 1 COPY 到CO欄位'!AO$1,0)-VLOOKUP($A115,'Over Under Bill 1 COPY 到CO欄位'!$1:$1048576,'Over Under Bill 1 COPY 到CO欄位'!AJ$1,0)</f>
        <v>0</v>
      </c>
      <c r="AP115" s="158">
        <f t="shared" si="129"/>
        <v>0</v>
      </c>
      <c r="AQ115" s="157">
        <f>VLOOKUP($A115,'Over Under Bill 1 COPY 到CO欄位'!$1:$1048576,'Over Under Bill 1 COPY 到CO欄位'!AQ$1,0)-VLOOKUP($A115,'Over Under Bill 1 COPY 到CO欄位'!$1:$1048576,'Over Under Bill 1 COPY 到CO欄位'!AL$1,0)</f>
        <v>0</v>
      </c>
      <c r="AR115" s="157">
        <f>VLOOKUP($A115,'Over Under Bill 1 COPY 到CO欄位'!$1:$1048576,'Over Under Bill 1 COPY 到CO欄位'!AR$1,0)-VLOOKUP($A115,'Over Under Bill 1 COPY 到CO欄位'!$1:$1048576,'Over Under Bill 1 COPY 到CO欄位'!AM$1,0)</f>
        <v>0</v>
      </c>
      <c r="AS115" s="157">
        <f t="shared" si="130"/>
        <v>0</v>
      </c>
      <c r="AT115" s="157">
        <f>VLOOKUP($A115,'Over Under Bill 1 COPY 到CO欄位'!$1:$1048576,'Over Under Bill 1 COPY 到CO欄位'!AT$1,0)-VLOOKUP($A115,'Over Under Bill 1 COPY 到CO欄位'!$1:$1048576,'Over Under Bill 1 COPY 到CO欄位'!AO$1,0)</f>
        <v>0</v>
      </c>
      <c r="AU115" s="157">
        <f t="shared" si="131"/>
        <v>0</v>
      </c>
      <c r="AV115" s="158">
        <f>VLOOKUP($A115,'Over Under Bill 1 COPY 到CO欄位'!$1:$1048576,'Over Under Bill 1 COPY 到CO欄位'!AV$1,0)-VLOOKUP($A115,'Over Under Bill 1 COPY 到CO欄位'!$1:$1048576,'Over Under Bill 1 COPY 到CO欄位'!AQ$1,0)</f>
        <v>0</v>
      </c>
      <c r="AW115" s="158">
        <f>VLOOKUP($A115,'Over Under Bill 1 COPY 到CO欄位'!$1:$1048576,'Over Under Bill 1 COPY 到CO欄位'!AW$1,0)-VLOOKUP($A115,'Over Under Bill 1 COPY 到CO欄位'!$1:$1048576,'Over Under Bill 1 COPY 到CO欄位'!AR$1,0)</f>
        <v>0</v>
      </c>
      <c r="AX115" s="158">
        <f t="shared" si="132"/>
        <v>0</v>
      </c>
      <c r="AY115" s="158">
        <f>VLOOKUP($A115,'Over Under Bill 1 COPY 到CO欄位'!$1:$1048576,'Over Under Bill 1 COPY 到CO欄位'!AY$1,0)-VLOOKUP($A115,'Over Under Bill 1 COPY 到CO欄位'!$1:$1048576,'Over Under Bill 1 COPY 到CO欄位'!AT$1,0)</f>
        <v>0</v>
      </c>
      <c r="AZ115" s="158">
        <f t="shared" si="133"/>
        <v>0</v>
      </c>
      <c r="BA115" s="157">
        <f>VLOOKUP($A115,'Over Under Bill 1 COPY 到CO欄位'!$1:$1048576,'Over Under Bill 1 COPY 到CO欄位'!BA$1,0)-VLOOKUP($A115,'Over Under Bill 1 COPY 到CO欄位'!$1:$1048576,'Over Under Bill 1 COPY 到CO欄位'!AV$1,0)</f>
        <v>0</v>
      </c>
      <c r="BB115" s="157">
        <f>VLOOKUP($A115,'Over Under Bill 1 COPY 到CO欄位'!$1:$1048576,'Over Under Bill 1 COPY 到CO欄位'!BB$1,0)-VLOOKUP($A115,'Over Under Bill 1 COPY 到CO欄位'!$1:$1048576,'Over Under Bill 1 COPY 到CO欄位'!AW$1,0)</f>
        <v>0</v>
      </c>
      <c r="BC115" s="157">
        <f t="shared" si="134"/>
        <v>0</v>
      </c>
      <c r="BD115" s="157">
        <f>VLOOKUP($A115,'Over Under Bill 1 COPY 到CO欄位'!$1:$1048576,'Over Under Bill 1 COPY 到CO欄位'!BD$1,0)-VLOOKUP($A115,'Over Under Bill 1 COPY 到CO欄位'!$1:$1048576,'Over Under Bill 1 COPY 到CO欄位'!AY$1,0)</f>
        <v>0</v>
      </c>
      <c r="BE115" s="157">
        <f t="shared" si="135"/>
        <v>0</v>
      </c>
      <c r="BF115" s="158">
        <f>VLOOKUP($A115,'Over Under Bill 1 COPY 到CO欄位'!$1:$1048576,'Over Under Bill 1 COPY 到CO欄位'!BF$1,0)-VLOOKUP($A115,'Over Under Bill 1 COPY 到CO欄位'!$1:$1048576,'Over Under Bill 1 COPY 到CO欄位'!BA$1,0)</f>
        <v>0</v>
      </c>
      <c r="BG115" s="158">
        <f>VLOOKUP($A115,'Over Under Bill 1 COPY 到CO欄位'!$1:$1048576,'Over Under Bill 1 COPY 到CO欄位'!BG$1,0)-VLOOKUP($A115,'Over Under Bill 1 COPY 到CO欄位'!$1:$1048576,'Over Under Bill 1 COPY 到CO欄位'!BB$1,0)</f>
        <v>0</v>
      </c>
      <c r="BH115" s="158">
        <f t="shared" si="136"/>
        <v>0</v>
      </c>
      <c r="BI115" s="158">
        <f>VLOOKUP($A115,'Over Under Bill 1 COPY 到CO欄位'!$1:$1048576,'Over Under Bill 1 COPY 到CO欄位'!BI$1,0)-VLOOKUP($A115,'Over Under Bill 1 COPY 到CO欄位'!$1:$1048576,'Over Under Bill 1 COPY 到CO欄位'!BD$1,0)</f>
        <v>0</v>
      </c>
      <c r="BJ115" s="158">
        <f t="shared" si="137"/>
        <v>0</v>
      </c>
      <c r="BK115" s="157">
        <f>VLOOKUP($A115,'Over Under Bill 1 COPY 到CO欄位'!$1:$1048576,'Over Under Bill 1 COPY 到CO欄位'!BK$1,0)-VLOOKUP($A115,'Over Under Bill 1 COPY 到CO欄位'!$1:$1048576,'Over Under Bill 1 COPY 到CO欄位'!BF$1,0)</f>
        <v>0</v>
      </c>
      <c r="BL115" s="157">
        <f>VLOOKUP($A115,'Over Under Bill 1 COPY 到CO欄位'!$1:$1048576,'Over Under Bill 1 COPY 到CO欄位'!BL$1,0)-VLOOKUP($A115,'Over Under Bill 1 COPY 到CO欄位'!$1:$1048576,'Over Under Bill 1 COPY 到CO欄位'!BG$1,0)</f>
        <v>0</v>
      </c>
      <c r="BM115" s="157">
        <f t="shared" si="138"/>
        <v>0</v>
      </c>
      <c r="BN115" s="157">
        <f>VLOOKUP($A115,'Over Under Bill 1 COPY 到CO欄位'!$1:$1048576,'Over Under Bill 1 COPY 到CO欄位'!BN$1,0)-VLOOKUP($A115,'Over Under Bill 1 COPY 到CO欄位'!$1:$1048576,'Over Under Bill 1 COPY 到CO欄位'!BI$1,0)</f>
        <v>0</v>
      </c>
      <c r="BO115" s="157">
        <f t="shared" si="139"/>
        <v>0</v>
      </c>
      <c r="BP115" s="158">
        <f>VLOOKUP($A115,'Over Under Bill 1 COPY 到CO欄位'!$1:$1048576,'Over Under Bill 1 COPY 到CO欄位'!BP$1,0)-VLOOKUP($A115,'Over Under Bill 1 COPY 到CO欄位'!$1:$1048576,'Over Under Bill 1 COPY 到CO欄位'!BK$1,0)</f>
        <v>0</v>
      </c>
      <c r="BQ115" s="158">
        <f>VLOOKUP($A115,'Over Under Bill 1 COPY 到CO欄位'!$1:$1048576,'Over Under Bill 1 COPY 到CO欄位'!BQ$1,0)-VLOOKUP($A115,'Over Under Bill 1 COPY 到CO欄位'!$1:$1048576,'Over Under Bill 1 COPY 到CO欄位'!BL$1,0)</f>
        <v>0</v>
      </c>
      <c r="BR115" s="158">
        <f t="shared" si="140"/>
        <v>0</v>
      </c>
      <c r="BS115" s="158">
        <f>VLOOKUP($A115,'Over Under Bill 1 COPY 到CO欄位'!$1:$1048576,'Over Under Bill 1 COPY 到CO欄位'!BS$1,0)-VLOOKUP($A115,'Over Under Bill 1 COPY 到CO欄位'!$1:$1048576,'Over Under Bill 1 COPY 到CO欄位'!BN$1,0)</f>
        <v>0</v>
      </c>
      <c r="BT115" s="158">
        <f t="shared" si="141"/>
        <v>0</v>
      </c>
      <c r="BU115" s="157">
        <f>VLOOKUP($A115,'Over Under Bill 1 COPY 到CO欄位'!$1:$1048576,'Over Under Bill 1 COPY 到CO欄位'!BP$1,0)-VLOOKUP($A115,'Over Under Bill 1 COPY 到CO欄位'!$1:$1048576,'Over Under Bill 1 COPY 到CO欄位'!H$1,0)</f>
        <v>0</v>
      </c>
      <c r="BV115" s="157">
        <f>VLOOKUP($A115,'Over Under Bill 1 COPY 到CO欄位'!$1:$1048576,'Over Under Bill 1 COPY 到CO欄位'!BQ$1,0)-VLOOKUP($A115,'Over Under Bill 1 COPY 到CO欄位'!$1:$1048576,'Over Under Bill 1 COPY 到CO欄位'!BL$1,0)</f>
        <v>0</v>
      </c>
      <c r="BW115" s="157">
        <f t="shared" si="142"/>
        <v>0</v>
      </c>
      <c r="BX115" s="157">
        <f>VLOOKUP($A115,'Over Under Bill 1 COPY 到CO欄位'!$1:$1048576,'Over Under Bill 1 COPY 到CO欄位'!BS$1,0)-VLOOKUP($A115,'Over Under Bill 1 COPY 到CO欄位'!$1:$1048576,'Over Under Bill 1 COPY 到CO欄位'!K$1,0)</f>
        <v>0</v>
      </c>
      <c r="BY115" s="157">
        <f t="shared" si="143"/>
        <v>0</v>
      </c>
      <c r="BZ115" s="158">
        <f>VLOOKUP($A115,'Over Under Bill 1 COPY 到CO欄位'!$1:$1048576,'Over Under Bill 1 COPY 到CO欄位'!BU$1,0)-VLOOKUP($A115,'Over Under Bill 1 COPY 到CO欄位'!$1:$1048576,'Over Under Bill 1 COPY 到CO欄位'!BP$1,0)</f>
        <v>0</v>
      </c>
      <c r="CA115" s="158">
        <f>VLOOKUP($A115,'Over Under Bill 1 COPY 到CO欄位'!$1:$1048576,'Over Under Bill 1 COPY 到CO欄位'!BV$1,0)-VLOOKUP($A115,'Over Under Bill 1 COPY 到CO欄位'!$1:$1048576,'Over Under Bill 1 COPY 到CO欄位'!BQ$1,0)</f>
        <v>0</v>
      </c>
      <c r="CB115" s="158">
        <f t="shared" si="144"/>
        <v>0</v>
      </c>
      <c r="CC115" s="158">
        <f>VLOOKUP($A115,'Over Under Bill 1 COPY 到CO欄位'!$1:$1048576,'Over Under Bill 1 COPY 到CO欄位'!BX$1,0)-VLOOKUP($A115,'Over Under Bill 1 COPY 到CO欄位'!$1:$1048576,'Over Under Bill 1 COPY 到CO欄位'!BS$1,0)</f>
        <v>0</v>
      </c>
      <c r="CD115" s="158">
        <f t="shared" si="145"/>
        <v>0</v>
      </c>
      <c r="CE115" s="157">
        <f>VLOOKUP($A115,'Over Under Bill 1 COPY 到CO欄位'!$1:$1048576,'Over Under Bill 1 COPY 到CO欄位'!BZ$1,0)-VLOOKUP($A115,'Over Under Bill 1 COPY 到CO欄位'!$1:$1048576,'Over Under Bill 1 COPY 到CO欄位'!BU$1,0)</f>
        <v>0</v>
      </c>
      <c r="CF115" s="157">
        <f>VLOOKUP($A115,'Over Under Bill 1 COPY 到CO欄位'!$1:$1048576,'Over Under Bill 1 COPY 到CO欄位'!CA$1,0)-VLOOKUP($A115,'Over Under Bill 1 COPY 到CO欄位'!$1:$1048576,'Over Under Bill 1 COPY 到CO欄位'!BV$1,0)</f>
        <v>0</v>
      </c>
      <c r="CG115" s="157">
        <f t="shared" si="146"/>
        <v>0</v>
      </c>
      <c r="CH115" s="157">
        <f>VLOOKUP($A115,'Over Under Bill 1 COPY 到CO欄位'!$1:$1048576,'Over Under Bill 1 COPY 到CO欄位'!CC$1,0)-VLOOKUP($A115,'Over Under Bill 1 COPY 到CO欄位'!$1:$1048576,'Over Under Bill 1 COPY 到CO欄位'!BX$1,0)</f>
        <v>0</v>
      </c>
      <c r="CI115" s="157">
        <f t="shared" si="147"/>
        <v>0</v>
      </c>
      <c r="CJ115" s="158">
        <f>VLOOKUP($A115,'Over Under Bill 1 COPY 到CO欄位'!$1:$1048576,'Over Under Bill 1 COPY 到CO欄位'!CE$1,0)-VLOOKUP($A115,'Over Under Bill 1 COPY 到CO欄位'!$1:$1048576,'Over Under Bill 1 COPY 到CO欄位'!BZ$1,0)</f>
        <v>0</v>
      </c>
      <c r="CK115" s="158">
        <f>VLOOKUP($A115,'Over Under Bill 1 COPY 到CO欄位'!$1:$1048576,'Over Under Bill 1 COPY 到CO欄位'!CF$1,0)-VLOOKUP($A115,'Over Under Bill 1 COPY 到CO欄位'!$1:$1048576,'Over Under Bill 1 COPY 到CO欄位'!CA$1,0)</f>
        <v>0</v>
      </c>
      <c r="CL115" s="158">
        <f t="shared" si="148"/>
        <v>0</v>
      </c>
      <c r="CM115" s="158">
        <f>VLOOKUP($A115,'Over Under Bill 1 COPY 到CO欄位'!$1:$1048576,'Over Under Bill 1 COPY 到CO欄位'!CH$1,0)-VLOOKUP($A115,'Over Under Bill 1 COPY 到CO欄位'!$1:$1048576,'Over Under Bill 1 COPY 到CO欄位'!CC$1,0)</f>
        <v>0</v>
      </c>
      <c r="CN115" s="158">
        <f t="shared" si="149"/>
        <v>0</v>
      </c>
      <c r="CO115" s="157">
        <f>VLOOKUP($A115,'Over Under Bill 1 COPY 到CO欄位'!$1:$1048576,'Over Under Bill 1 COPY 到CO欄位'!CJ$1,0)-VLOOKUP($A115,'Over Under Bill 1 COPY 到CO欄位'!$1:$1048576,'Over Under Bill 1 COPY 到CO欄位'!CE$1,0)</f>
        <v>0</v>
      </c>
      <c r="CP115" s="157">
        <f>VLOOKUP($A115,'Over Under Bill 1 COPY 到CO欄位'!$1:$1048576,'Over Under Bill 1 COPY 到CO欄位'!CK$1,0)-VLOOKUP($A115,'Over Under Bill 1 COPY 到CO欄位'!$1:$1048576,'Over Under Bill 1 COPY 到CO欄位'!CF$1,0)</f>
        <v>0</v>
      </c>
      <c r="CQ115" s="157">
        <f t="shared" si="150"/>
        <v>0</v>
      </c>
      <c r="CR115" s="157">
        <f>VLOOKUP($A115,'Over Under Bill 1 COPY 到CO欄位'!$1:$1048576,'Over Under Bill 1 COPY 到CO欄位'!CM$1,0)-VLOOKUP($A115,'Over Under Bill 1 COPY 到CO欄位'!$1:$1048576,'Over Under Bill 1 COPY 到CO欄位'!CH$1,0)</f>
        <v>0</v>
      </c>
      <c r="CS115" s="157">
        <f t="shared" si="151"/>
        <v>0</v>
      </c>
    </row>
    <row r="116" spans="1:97" ht="15" customHeight="1">
      <c r="A116" s="175"/>
      <c r="B116" s="197"/>
      <c r="C116" s="157">
        <f>IFERROR(VLOOKUP($A116,'A0 BS 1240在建'!$1:$1048576,5,0),0)</f>
        <v>0</v>
      </c>
      <c r="D116" s="157">
        <f>IFERROR(VLOOKUP($A116,'B0 2264預收'!$1:$1048576,5,0),0)</f>
        <v>0</v>
      </c>
      <c r="E116" s="157">
        <f t="shared" si="114"/>
        <v>0</v>
      </c>
      <c r="F116" s="157">
        <f>IFERROR(VLOOKUP($A116,'B0 2264預收'!$1:$1048576,6,0),0)</f>
        <v>0</v>
      </c>
      <c r="G116" s="157">
        <f t="shared" si="115"/>
        <v>0</v>
      </c>
      <c r="H116" s="158">
        <f>IFERROR(VLOOKUP($A116,'A0 BS 1240在建'!$1:$1048576,13,0),0)-C116</f>
        <v>0</v>
      </c>
      <c r="I116" s="158">
        <f>IFERROR(VLOOKUP($A116,'B0 2264預收'!$1:$1048576,13,0),0)-D116</f>
        <v>0</v>
      </c>
      <c r="J116" s="158">
        <f t="shared" si="116"/>
        <v>0</v>
      </c>
      <c r="K116" s="158">
        <f>IFERROR(VLOOKUP($A116,'B0 2264預收'!$1:$1048576,14,0),0)-F116</f>
        <v>0</v>
      </c>
      <c r="L116" s="158">
        <f t="shared" si="117"/>
        <v>0</v>
      </c>
      <c r="M116" s="157"/>
      <c r="N116" s="157"/>
      <c r="O116" s="157"/>
      <c r="P116" s="157"/>
      <c r="Q116" s="157"/>
      <c r="R116" s="158"/>
      <c r="S116" s="158"/>
      <c r="T116" s="158"/>
      <c r="U116" s="158"/>
      <c r="V116" s="158"/>
      <c r="W116" s="157"/>
      <c r="X116" s="157"/>
      <c r="Y116" s="157"/>
      <c r="Z116" s="157"/>
      <c r="AA116" s="157"/>
      <c r="AB116" s="158"/>
      <c r="AC116" s="158"/>
      <c r="AD116" s="158"/>
      <c r="AE116" s="158"/>
      <c r="AF116" s="158"/>
      <c r="AG116" s="157"/>
      <c r="AH116" s="157"/>
      <c r="AI116" s="157"/>
      <c r="AJ116" s="157"/>
      <c r="AK116" s="157"/>
      <c r="AL116" s="158"/>
      <c r="AM116" s="158"/>
      <c r="AN116" s="158"/>
      <c r="AO116" s="158"/>
      <c r="AP116" s="158"/>
      <c r="AQ116" s="157"/>
      <c r="AR116" s="157"/>
      <c r="AS116" s="157"/>
      <c r="AT116" s="157"/>
      <c r="AU116" s="157"/>
      <c r="AV116" s="158"/>
      <c r="AW116" s="158"/>
      <c r="AX116" s="158"/>
      <c r="AY116" s="158"/>
      <c r="AZ116" s="158"/>
      <c r="BA116" s="157"/>
      <c r="BB116" s="157"/>
      <c r="BC116" s="157"/>
      <c r="BD116" s="157"/>
      <c r="BE116" s="157"/>
      <c r="BF116" s="158"/>
      <c r="BG116" s="158"/>
      <c r="BH116" s="158"/>
      <c r="BI116" s="158"/>
      <c r="BJ116" s="158"/>
      <c r="BK116" s="157"/>
      <c r="BL116" s="157"/>
      <c r="BM116" s="157"/>
      <c r="BN116" s="157"/>
      <c r="BO116" s="157"/>
      <c r="BP116" s="158"/>
      <c r="BQ116" s="158"/>
      <c r="BR116" s="158"/>
      <c r="BS116" s="158"/>
      <c r="BT116" s="158"/>
      <c r="BU116" s="157"/>
      <c r="BV116" s="157"/>
      <c r="BW116" s="157"/>
      <c r="BX116" s="157"/>
      <c r="BY116" s="157"/>
      <c r="BZ116" s="158"/>
      <c r="CA116" s="158"/>
      <c r="CB116" s="158"/>
      <c r="CC116" s="158"/>
      <c r="CD116" s="158"/>
      <c r="CE116" s="157"/>
      <c r="CF116" s="157"/>
      <c r="CG116" s="157"/>
      <c r="CH116" s="157"/>
      <c r="CI116" s="157"/>
      <c r="CJ116" s="158"/>
      <c r="CK116" s="158"/>
      <c r="CL116" s="158"/>
      <c r="CM116" s="158"/>
      <c r="CN116" s="158"/>
      <c r="CO116" s="157"/>
      <c r="CP116" s="157"/>
      <c r="CQ116" s="157"/>
      <c r="CR116" s="157"/>
      <c r="CS116" s="157"/>
    </row>
    <row r="117" spans="1:97">
      <c r="A117" s="175"/>
      <c r="B117" s="197"/>
      <c r="C117" s="157">
        <f>IFERROR(VLOOKUP($A117,'A0 BS 1240在建'!$1:$1048576,5,0),0)</f>
        <v>0</v>
      </c>
      <c r="D117" s="157">
        <f>IFERROR(VLOOKUP($A117,'B0 2264預收'!$1:$1048576,5,0),0)</f>
        <v>0</v>
      </c>
      <c r="E117" s="157">
        <f t="shared" si="114"/>
        <v>0</v>
      </c>
      <c r="F117" s="157">
        <f>IFERROR(VLOOKUP($A117,'B0 2264預收'!$1:$1048576,6,0),0)</f>
        <v>0</v>
      </c>
      <c r="G117" s="157">
        <f t="shared" si="115"/>
        <v>0</v>
      </c>
      <c r="H117" s="158">
        <f>IFERROR(VLOOKUP($A117,'A0 BS 1240在建'!$1:$1048576,13,0),0)-C117</f>
        <v>0</v>
      </c>
      <c r="I117" s="158">
        <f>IFERROR(VLOOKUP($A117,'B0 2264預收'!$1:$1048576,13,0),0)-D117</f>
        <v>0</v>
      </c>
      <c r="J117" s="158">
        <f t="shared" si="116"/>
        <v>0</v>
      </c>
      <c r="K117" s="158">
        <f>IFERROR(VLOOKUP($A117,'B0 2264預收'!$1:$1048576,14,0),0)-F117</f>
        <v>0</v>
      </c>
      <c r="L117" s="158">
        <f t="shared" si="117"/>
        <v>0</v>
      </c>
      <c r="M117" s="157"/>
      <c r="N117" s="157"/>
      <c r="O117" s="157"/>
      <c r="P117" s="157"/>
      <c r="Q117" s="157"/>
      <c r="R117" s="158"/>
      <c r="S117" s="158"/>
      <c r="T117" s="158"/>
      <c r="U117" s="158"/>
      <c r="V117" s="158"/>
      <c r="W117" s="157"/>
      <c r="X117" s="157"/>
      <c r="Y117" s="157"/>
      <c r="Z117" s="157"/>
      <c r="AA117" s="157"/>
      <c r="AB117" s="158"/>
      <c r="AC117" s="158"/>
      <c r="AD117" s="158"/>
      <c r="AE117" s="158"/>
      <c r="AF117" s="158"/>
      <c r="AG117" s="157"/>
      <c r="AH117" s="157"/>
      <c r="AI117" s="157"/>
      <c r="AJ117" s="157"/>
      <c r="AK117" s="157"/>
      <c r="AL117" s="158"/>
      <c r="AM117" s="158"/>
      <c r="AN117" s="158"/>
      <c r="AO117" s="158"/>
      <c r="AP117" s="158"/>
      <c r="AQ117" s="157"/>
      <c r="AR117" s="157"/>
      <c r="AS117" s="157"/>
      <c r="AT117" s="157"/>
      <c r="AU117" s="157"/>
      <c r="AV117" s="158"/>
      <c r="AW117" s="158"/>
      <c r="AX117" s="158"/>
      <c r="AY117" s="158"/>
      <c r="AZ117" s="158"/>
      <c r="BA117" s="157"/>
      <c r="BB117" s="157"/>
      <c r="BC117" s="157"/>
      <c r="BD117" s="157"/>
      <c r="BE117" s="157"/>
      <c r="BF117" s="158"/>
      <c r="BG117" s="158"/>
      <c r="BH117" s="158"/>
      <c r="BI117" s="158"/>
      <c r="BJ117" s="158"/>
      <c r="BK117" s="157"/>
      <c r="BL117" s="157"/>
      <c r="BM117" s="157"/>
      <c r="BN117" s="157"/>
      <c r="BO117" s="157"/>
      <c r="BP117" s="158"/>
      <c r="BQ117" s="158"/>
      <c r="BR117" s="158"/>
      <c r="BS117" s="158"/>
      <c r="BT117" s="158"/>
      <c r="BU117" s="157"/>
      <c r="BV117" s="157"/>
      <c r="BW117" s="157"/>
      <c r="BX117" s="157"/>
      <c r="BY117" s="157"/>
      <c r="BZ117" s="158"/>
      <c r="CA117" s="158"/>
      <c r="CB117" s="158"/>
      <c r="CC117" s="158"/>
      <c r="CD117" s="158"/>
      <c r="CE117" s="157"/>
      <c r="CF117" s="157"/>
      <c r="CG117" s="157"/>
      <c r="CH117" s="157"/>
      <c r="CI117" s="157"/>
      <c r="CJ117" s="158"/>
      <c r="CK117" s="158"/>
      <c r="CL117" s="158"/>
      <c r="CM117" s="158"/>
      <c r="CN117" s="158"/>
      <c r="CO117" s="157"/>
      <c r="CP117" s="157"/>
      <c r="CQ117" s="157"/>
      <c r="CR117" s="157"/>
      <c r="CS117" s="157"/>
    </row>
    <row r="118" spans="1:97">
      <c r="A118" s="175"/>
      <c r="B118" s="197"/>
      <c r="C118" s="157"/>
      <c r="D118" s="157"/>
      <c r="E118" s="157"/>
      <c r="F118" s="157"/>
      <c r="G118" s="157"/>
      <c r="H118" s="158"/>
      <c r="I118" s="158"/>
      <c r="J118" s="158"/>
      <c r="K118" s="158"/>
      <c r="L118" s="158"/>
      <c r="M118" s="157"/>
      <c r="N118" s="157"/>
      <c r="O118" s="157"/>
      <c r="P118" s="157"/>
      <c r="Q118" s="157"/>
      <c r="R118" s="158"/>
      <c r="S118" s="158"/>
      <c r="T118" s="158"/>
      <c r="U118" s="158"/>
      <c r="V118" s="158"/>
      <c r="W118" s="157"/>
      <c r="X118" s="157"/>
      <c r="Y118" s="157"/>
      <c r="Z118" s="157"/>
      <c r="AA118" s="157"/>
      <c r="AB118" s="158"/>
      <c r="AC118" s="158"/>
      <c r="AD118" s="158"/>
      <c r="AE118" s="158"/>
      <c r="AF118" s="158"/>
      <c r="AG118" s="157"/>
      <c r="AH118" s="157"/>
      <c r="AI118" s="157"/>
      <c r="AJ118" s="157"/>
      <c r="AK118" s="157"/>
      <c r="AL118" s="158"/>
      <c r="AM118" s="158"/>
      <c r="AN118" s="158"/>
      <c r="AO118" s="158"/>
      <c r="AP118" s="158"/>
      <c r="AQ118" s="157"/>
      <c r="AR118" s="157"/>
      <c r="AS118" s="157"/>
      <c r="AT118" s="157"/>
      <c r="AU118" s="157"/>
      <c r="AV118" s="158"/>
      <c r="AW118" s="158"/>
      <c r="AX118" s="158"/>
      <c r="AY118" s="158"/>
      <c r="AZ118" s="158"/>
      <c r="BA118" s="157"/>
      <c r="BB118" s="157"/>
      <c r="BC118" s="157"/>
      <c r="BD118" s="157"/>
      <c r="BE118" s="157"/>
      <c r="BF118" s="158"/>
      <c r="BG118" s="158"/>
      <c r="BH118" s="158"/>
      <c r="BI118" s="158"/>
      <c r="BJ118" s="158"/>
      <c r="BK118" s="157"/>
      <c r="BL118" s="157"/>
      <c r="BM118" s="157"/>
      <c r="BN118" s="157"/>
      <c r="BO118" s="157"/>
      <c r="BP118" s="158"/>
      <c r="BQ118" s="158"/>
      <c r="BR118" s="158"/>
      <c r="BS118" s="158"/>
      <c r="BT118" s="158"/>
      <c r="BU118" s="157"/>
      <c r="BV118" s="157"/>
      <c r="BW118" s="157"/>
      <c r="BX118" s="157"/>
      <c r="BY118" s="157"/>
      <c r="BZ118" s="158"/>
      <c r="CA118" s="158"/>
      <c r="CB118" s="158"/>
      <c r="CC118" s="158"/>
      <c r="CD118" s="158"/>
      <c r="CE118" s="157"/>
      <c r="CF118" s="157"/>
      <c r="CG118" s="157"/>
      <c r="CH118" s="157"/>
      <c r="CI118" s="157"/>
      <c r="CJ118" s="158"/>
      <c r="CK118" s="158"/>
      <c r="CL118" s="158"/>
      <c r="CM118" s="158"/>
      <c r="CN118" s="158"/>
      <c r="CO118" s="158"/>
      <c r="CP118" s="158"/>
      <c r="CQ118" s="158"/>
      <c r="CR118" s="158"/>
      <c r="CS118" s="158"/>
    </row>
    <row r="119" spans="1:97" hidden="1">
      <c r="A119" s="175"/>
      <c r="B119" s="197"/>
      <c r="C119" s="157"/>
      <c r="D119" s="157"/>
      <c r="E119" s="157"/>
      <c r="F119" s="157"/>
      <c r="G119" s="157"/>
      <c r="H119" s="158"/>
      <c r="I119" s="158"/>
      <c r="J119" s="158"/>
      <c r="K119" s="158"/>
      <c r="L119" s="158"/>
      <c r="M119" s="157"/>
      <c r="N119" s="157"/>
      <c r="O119" s="157"/>
      <c r="P119" s="157"/>
      <c r="Q119" s="157"/>
      <c r="R119" s="158"/>
      <c r="S119" s="158"/>
      <c r="T119" s="158"/>
      <c r="U119" s="158"/>
      <c r="V119" s="158"/>
      <c r="W119" s="157"/>
      <c r="X119" s="157"/>
      <c r="Y119" s="157"/>
      <c r="Z119" s="157"/>
      <c r="AA119" s="157"/>
      <c r="AB119" s="158"/>
      <c r="AC119" s="158"/>
      <c r="AD119" s="158"/>
      <c r="AE119" s="158"/>
      <c r="AF119" s="158"/>
      <c r="AG119" s="157"/>
      <c r="AH119" s="157"/>
      <c r="AI119" s="157"/>
      <c r="AJ119" s="157"/>
      <c r="AK119" s="157"/>
      <c r="AL119" s="158"/>
      <c r="AM119" s="158"/>
      <c r="AN119" s="158"/>
      <c r="AO119" s="158"/>
      <c r="AP119" s="158"/>
      <c r="AQ119" s="157"/>
      <c r="AR119" s="157"/>
      <c r="AS119" s="157"/>
      <c r="AT119" s="157"/>
      <c r="AU119" s="157"/>
      <c r="AV119" s="158"/>
      <c r="AW119" s="158"/>
      <c r="AX119" s="158"/>
      <c r="AY119" s="158"/>
      <c r="AZ119" s="158"/>
      <c r="BA119" s="157"/>
      <c r="BB119" s="157"/>
      <c r="BC119" s="157"/>
      <c r="BD119" s="157"/>
      <c r="BE119" s="157"/>
      <c r="BF119" s="158"/>
      <c r="BG119" s="158"/>
      <c r="BH119" s="158"/>
      <c r="BI119" s="158"/>
      <c r="BJ119" s="158"/>
      <c r="BK119" s="157"/>
      <c r="BL119" s="157"/>
      <c r="BM119" s="157"/>
      <c r="BN119" s="157"/>
      <c r="BO119" s="157"/>
      <c r="BP119" s="158"/>
      <c r="BQ119" s="158"/>
      <c r="BR119" s="158"/>
      <c r="BS119" s="158"/>
      <c r="BT119" s="158"/>
      <c r="BU119" s="157"/>
      <c r="BV119" s="157"/>
      <c r="BW119" s="157"/>
      <c r="BX119" s="157"/>
      <c r="BY119" s="157"/>
      <c r="BZ119" s="158"/>
      <c r="CA119" s="158"/>
      <c r="CB119" s="158"/>
      <c r="CC119" s="158"/>
      <c r="CD119" s="158"/>
      <c r="CE119" s="157"/>
      <c r="CF119" s="157"/>
      <c r="CG119" s="157"/>
      <c r="CH119" s="157"/>
      <c r="CI119" s="157"/>
      <c r="CJ119" s="158"/>
      <c r="CK119" s="158"/>
      <c r="CL119" s="158"/>
      <c r="CM119" s="158"/>
      <c r="CN119" s="158"/>
      <c r="CO119" s="158"/>
      <c r="CP119" s="158"/>
      <c r="CQ119" s="158"/>
      <c r="CR119" s="158"/>
      <c r="CS119" s="158"/>
    </row>
    <row r="120" spans="1:97" hidden="1">
      <c r="A120" s="175"/>
      <c r="B120" s="197"/>
      <c r="C120" s="157"/>
      <c r="D120" s="157"/>
      <c r="E120" s="157"/>
      <c r="F120" s="157"/>
      <c r="G120" s="157"/>
      <c r="H120" s="158"/>
      <c r="I120" s="158"/>
      <c r="J120" s="158"/>
      <c r="K120" s="158"/>
      <c r="L120" s="158"/>
      <c r="M120" s="157"/>
      <c r="N120" s="157"/>
      <c r="O120" s="157"/>
      <c r="P120" s="157"/>
      <c r="Q120" s="157"/>
      <c r="R120" s="158"/>
      <c r="S120" s="158"/>
      <c r="T120" s="158"/>
      <c r="U120" s="158"/>
      <c r="V120" s="158"/>
      <c r="W120" s="157"/>
      <c r="X120" s="157"/>
      <c r="Y120" s="157"/>
      <c r="Z120" s="157"/>
      <c r="AA120" s="157"/>
      <c r="AB120" s="158"/>
      <c r="AC120" s="158"/>
      <c r="AD120" s="158"/>
      <c r="AE120" s="158"/>
      <c r="AF120" s="158"/>
      <c r="AG120" s="157"/>
      <c r="AH120" s="157"/>
      <c r="AI120" s="157"/>
      <c r="AJ120" s="157"/>
      <c r="AK120" s="157"/>
      <c r="AL120" s="158"/>
      <c r="AM120" s="158"/>
      <c r="AN120" s="158"/>
      <c r="AO120" s="158"/>
      <c r="AP120" s="158"/>
      <c r="AQ120" s="157"/>
      <c r="AR120" s="157"/>
      <c r="AS120" s="157"/>
      <c r="AT120" s="157"/>
      <c r="AU120" s="157"/>
      <c r="AV120" s="158"/>
      <c r="AW120" s="158"/>
      <c r="AX120" s="158"/>
      <c r="AY120" s="158"/>
      <c r="AZ120" s="158"/>
      <c r="BA120" s="157"/>
      <c r="BB120" s="157"/>
      <c r="BC120" s="157"/>
      <c r="BD120" s="157"/>
      <c r="BE120" s="157"/>
      <c r="BF120" s="158"/>
      <c r="BG120" s="158"/>
      <c r="BH120" s="158"/>
      <c r="BI120" s="158"/>
      <c r="BJ120" s="158"/>
      <c r="BK120" s="157"/>
      <c r="BL120" s="157"/>
      <c r="BM120" s="157"/>
      <c r="BN120" s="157"/>
      <c r="BO120" s="157"/>
      <c r="BP120" s="158"/>
      <c r="BQ120" s="158"/>
      <c r="BR120" s="158"/>
      <c r="BS120" s="158"/>
      <c r="BT120" s="158"/>
      <c r="BU120" s="157"/>
      <c r="BV120" s="157"/>
      <c r="BW120" s="157"/>
      <c r="BX120" s="157"/>
      <c r="BY120" s="157"/>
      <c r="BZ120" s="158"/>
      <c r="CA120" s="158"/>
      <c r="CB120" s="158"/>
      <c r="CC120" s="158"/>
      <c r="CD120" s="158"/>
      <c r="CE120" s="157"/>
      <c r="CF120" s="157"/>
      <c r="CG120" s="157"/>
      <c r="CH120" s="157"/>
      <c r="CI120" s="157"/>
      <c r="CJ120" s="158"/>
      <c r="CK120" s="158"/>
      <c r="CL120" s="158"/>
      <c r="CM120" s="158"/>
      <c r="CN120" s="158"/>
      <c r="CO120" s="158"/>
      <c r="CP120" s="158"/>
      <c r="CQ120" s="158"/>
      <c r="CR120" s="158"/>
      <c r="CS120" s="158"/>
    </row>
    <row r="121" spans="1:97" hidden="1">
      <c r="A121" s="175"/>
      <c r="B121" s="197"/>
      <c r="C121" s="157"/>
      <c r="D121" s="157"/>
      <c r="E121" s="157"/>
      <c r="F121" s="157"/>
      <c r="G121" s="157"/>
      <c r="H121" s="158"/>
      <c r="I121" s="158"/>
      <c r="J121" s="158"/>
      <c r="K121" s="158"/>
      <c r="L121" s="158"/>
      <c r="M121" s="157"/>
      <c r="N121" s="157"/>
      <c r="O121" s="157"/>
      <c r="P121" s="157"/>
      <c r="Q121" s="157"/>
      <c r="R121" s="158"/>
      <c r="S121" s="158"/>
      <c r="T121" s="158"/>
      <c r="U121" s="158"/>
      <c r="V121" s="158"/>
      <c r="W121" s="157"/>
      <c r="X121" s="157"/>
      <c r="Y121" s="157"/>
      <c r="Z121" s="157"/>
      <c r="AA121" s="157"/>
      <c r="AB121" s="158"/>
      <c r="AC121" s="158"/>
      <c r="AD121" s="158"/>
      <c r="AE121" s="158"/>
      <c r="AF121" s="158"/>
      <c r="AG121" s="157"/>
      <c r="AH121" s="157"/>
      <c r="AI121" s="157"/>
      <c r="AJ121" s="157"/>
      <c r="AK121" s="157"/>
      <c r="AL121" s="158"/>
      <c r="AM121" s="158"/>
      <c r="AN121" s="158"/>
      <c r="AO121" s="158"/>
      <c r="AP121" s="158"/>
      <c r="AQ121" s="157"/>
      <c r="AR121" s="157"/>
      <c r="AS121" s="157"/>
      <c r="AT121" s="157"/>
      <c r="AU121" s="157"/>
      <c r="AV121" s="158"/>
      <c r="AW121" s="158"/>
      <c r="AX121" s="158"/>
      <c r="AY121" s="158"/>
      <c r="AZ121" s="158"/>
      <c r="BA121" s="157"/>
      <c r="BB121" s="157"/>
      <c r="BC121" s="157"/>
      <c r="BD121" s="157"/>
      <c r="BE121" s="157"/>
      <c r="BF121" s="158"/>
      <c r="BG121" s="158"/>
      <c r="BH121" s="158"/>
      <c r="BI121" s="158"/>
      <c r="BJ121" s="158"/>
      <c r="BK121" s="157"/>
      <c r="BL121" s="157"/>
      <c r="BM121" s="157"/>
      <c r="BN121" s="157"/>
      <c r="BO121" s="157"/>
      <c r="BP121" s="158"/>
      <c r="BQ121" s="158"/>
      <c r="BR121" s="158"/>
      <c r="BS121" s="158"/>
      <c r="BT121" s="158"/>
      <c r="BU121" s="157"/>
      <c r="BV121" s="157"/>
      <c r="BW121" s="157"/>
      <c r="BX121" s="157"/>
      <c r="BY121" s="157"/>
      <c r="BZ121" s="158"/>
      <c r="CA121" s="158"/>
      <c r="CB121" s="158"/>
      <c r="CC121" s="158"/>
      <c r="CD121" s="158"/>
      <c r="CE121" s="157"/>
      <c r="CF121" s="157"/>
      <c r="CG121" s="157"/>
      <c r="CH121" s="157"/>
      <c r="CI121" s="157"/>
      <c r="CJ121" s="158"/>
      <c r="CK121" s="158"/>
      <c r="CL121" s="158"/>
      <c r="CM121" s="158"/>
      <c r="CN121" s="158"/>
      <c r="CO121" s="158"/>
      <c r="CP121" s="158"/>
      <c r="CQ121" s="158"/>
      <c r="CR121" s="158"/>
      <c r="CS121" s="158"/>
    </row>
    <row r="122" spans="1:97" hidden="1">
      <c r="A122" s="175"/>
      <c r="B122" s="197"/>
      <c r="C122" s="157"/>
      <c r="D122" s="157"/>
      <c r="E122" s="157"/>
      <c r="F122" s="157"/>
      <c r="G122" s="157"/>
      <c r="H122" s="158"/>
      <c r="I122" s="158"/>
      <c r="J122" s="158"/>
      <c r="K122" s="158"/>
      <c r="L122" s="158"/>
      <c r="M122" s="157"/>
      <c r="N122" s="157"/>
      <c r="O122" s="157"/>
      <c r="P122" s="157"/>
      <c r="Q122" s="157"/>
      <c r="R122" s="158"/>
      <c r="S122" s="158"/>
      <c r="T122" s="158"/>
      <c r="U122" s="158"/>
      <c r="V122" s="158"/>
      <c r="W122" s="157"/>
      <c r="X122" s="157"/>
      <c r="Y122" s="157"/>
      <c r="Z122" s="157"/>
      <c r="AA122" s="157"/>
      <c r="AB122" s="158"/>
      <c r="AC122" s="158"/>
      <c r="AD122" s="158"/>
      <c r="AE122" s="158"/>
      <c r="AF122" s="158"/>
      <c r="AG122" s="157"/>
      <c r="AH122" s="157"/>
      <c r="AI122" s="157"/>
      <c r="AJ122" s="157"/>
      <c r="AK122" s="157"/>
      <c r="AL122" s="158"/>
      <c r="AM122" s="158"/>
      <c r="AN122" s="158"/>
      <c r="AO122" s="158"/>
      <c r="AP122" s="158"/>
      <c r="AQ122" s="157"/>
      <c r="AR122" s="157"/>
      <c r="AS122" s="157"/>
      <c r="AT122" s="157"/>
      <c r="AU122" s="157"/>
      <c r="AV122" s="158"/>
      <c r="AW122" s="158"/>
      <c r="AX122" s="158"/>
      <c r="AY122" s="158"/>
      <c r="AZ122" s="158"/>
      <c r="BA122" s="157"/>
      <c r="BB122" s="157"/>
      <c r="BC122" s="157"/>
      <c r="BD122" s="157"/>
      <c r="BE122" s="157"/>
      <c r="BF122" s="158"/>
      <c r="BG122" s="158"/>
      <c r="BH122" s="158"/>
      <c r="BI122" s="158"/>
      <c r="BJ122" s="158"/>
      <c r="BK122" s="157"/>
      <c r="BL122" s="157"/>
      <c r="BM122" s="157"/>
      <c r="BN122" s="157"/>
      <c r="BO122" s="157"/>
      <c r="BP122" s="158"/>
      <c r="BQ122" s="158"/>
      <c r="BR122" s="158"/>
      <c r="BS122" s="158"/>
      <c r="BT122" s="158"/>
      <c r="BU122" s="157"/>
      <c r="BV122" s="157"/>
      <c r="BW122" s="157"/>
      <c r="BX122" s="157"/>
      <c r="BY122" s="157"/>
      <c r="BZ122" s="158"/>
      <c r="CA122" s="158"/>
      <c r="CB122" s="158"/>
      <c r="CC122" s="158"/>
      <c r="CD122" s="158"/>
      <c r="CE122" s="157"/>
      <c r="CF122" s="157"/>
      <c r="CG122" s="157"/>
      <c r="CH122" s="157"/>
      <c r="CI122" s="157"/>
      <c r="CJ122" s="158"/>
      <c r="CK122" s="158"/>
      <c r="CL122" s="158"/>
      <c r="CM122" s="158"/>
      <c r="CN122" s="158"/>
      <c r="CO122" s="158"/>
      <c r="CP122" s="158"/>
      <c r="CQ122" s="158"/>
      <c r="CR122" s="158"/>
      <c r="CS122" s="158"/>
    </row>
    <row r="123" spans="1:97" hidden="1">
      <c r="A123" s="175"/>
      <c r="B123" s="197"/>
      <c r="C123" s="157"/>
      <c r="D123" s="157"/>
      <c r="E123" s="157"/>
      <c r="F123" s="157"/>
      <c r="G123" s="157"/>
      <c r="H123" s="158"/>
      <c r="I123" s="158"/>
      <c r="J123" s="158"/>
      <c r="K123" s="158"/>
      <c r="L123" s="158"/>
      <c r="M123" s="157"/>
      <c r="N123" s="157"/>
      <c r="O123" s="157"/>
      <c r="P123" s="157"/>
      <c r="Q123" s="157"/>
      <c r="R123" s="158"/>
      <c r="S123" s="158"/>
      <c r="T123" s="158"/>
      <c r="U123" s="158"/>
      <c r="V123" s="158"/>
      <c r="W123" s="157"/>
      <c r="X123" s="157"/>
      <c r="Y123" s="157"/>
      <c r="Z123" s="157"/>
      <c r="AA123" s="157"/>
      <c r="AB123" s="158"/>
      <c r="AC123" s="158"/>
      <c r="AD123" s="158"/>
      <c r="AE123" s="158"/>
      <c r="AF123" s="158"/>
      <c r="AG123" s="157"/>
      <c r="AH123" s="157"/>
      <c r="AI123" s="157"/>
      <c r="AJ123" s="157"/>
      <c r="AK123" s="157"/>
      <c r="AL123" s="158"/>
      <c r="AM123" s="158"/>
      <c r="AN123" s="158"/>
      <c r="AO123" s="158"/>
      <c r="AP123" s="158"/>
      <c r="AQ123" s="157"/>
      <c r="AR123" s="157"/>
      <c r="AS123" s="157"/>
      <c r="AT123" s="157"/>
      <c r="AU123" s="157"/>
      <c r="AV123" s="158"/>
      <c r="AW123" s="158"/>
      <c r="AX123" s="158"/>
      <c r="AY123" s="158"/>
      <c r="AZ123" s="158"/>
      <c r="BA123" s="157"/>
      <c r="BB123" s="157"/>
      <c r="BC123" s="157"/>
      <c r="BD123" s="157"/>
      <c r="BE123" s="157"/>
      <c r="BF123" s="158"/>
      <c r="BG123" s="158"/>
      <c r="BH123" s="158"/>
      <c r="BI123" s="158"/>
      <c r="BJ123" s="158"/>
      <c r="BK123" s="157"/>
      <c r="BL123" s="157"/>
      <c r="BM123" s="157"/>
      <c r="BN123" s="157"/>
      <c r="BO123" s="157"/>
      <c r="BP123" s="158"/>
      <c r="BQ123" s="158"/>
      <c r="BR123" s="158"/>
      <c r="BS123" s="158"/>
      <c r="BT123" s="158"/>
      <c r="BU123" s="157"/>
      <c r="BV123" s="157"/>
      <c r="BW123" s="157"/>
      <c r="BX123" s="157"/>
      <c r="BY123" s="157"/>
      <c r="BZ123" s="158"/>
      <c r="CA123" s="158"/>
      <c r="CB123" s="158"/>
      <c r="CC123" s="158"/>
      <c r="CD123" s="158"/>
      <c r="CE123" s="157"/>
      <c r="CF123" s="157"/>
      <c r="CG123" s="157"/>
      <c r="CH123" s="157"/>
      <c r="CI123" s="157"/>
      <c r="CJ123" s="158"/>
      <c r="CK123" s="158"/>
      <c r="CL123" s="158"/>
      <c r="CM123" s="158"/>
      <c r="CN123" s="158"/>
      <c r="CO123" s="158"/>
      <c r="CP123" s="158"/>
      <c r="CQ123" s="158"/>
      <c r="CR123" s="158"/>
      <c r="CS123" s="158"/>
    </row>
    <row r="124" spans="1:97" hidden="1">
      <c r="A124" s="175"/>
      <c r="B124" s="197"/>
      <c r="C124" s="157"/>
      <c r="D124" s="157"/>
      <c r="E124" s="157"/>
      <c r="F124" s="157"/>
      <c r="G124" s="157"/>
      <c r="H124" s="158"/>
      <c r="I124" s="158"/>
      <c r="J124" s="158"/>
      <c r="K124" s="158"/>
      <c r="L124" s="158"/>
      <c r="M124" s="157"/>
      <c r="N124" s="157"/>
      <c r="O124" s="157"/>
      <c r="P124" s="157"/>
      <c r="Q124" s="157"/>
      <c r="R124" s="158"/>
      <c r="S124" s="158"/>
      <c r="T124" s="158"/>
      <c r="U124" s="158"/>
      <c r="V124" s="158"/>
      <c r="W124" s="157"/>
      <c r="X124" s="157"/>
      <c r="Y124" s="157"/>
      <c r="Z124" s="157"/>
      <c r="AA124" s="157"/>
      <c r="AB124" s="158"/>
      <c r="AC124" s="158"/>
      <c r="AD124" s="158"/>
      <c r="AE124" s="158"/>
      <c r="AF124" s="158"/>
      <c r="AG124" s="157"/>
      <c r="AH124" s="157"/>
      <c r="AI124" s="157"/>
      <c r="AJ124" s="157"/>
      <c r="AK124" s="157"/>
      <c r="AL124" s="158"/>
      <c r="AM124" s="158"/>
      <c r="AN124" s="158"/>
      <c r="AO124" s="158"/>
      <c r="AP124" s="158"/>
      <c r="AQ124" s="157"/>
      <c r="AR124" s="157"/>
      <c r="AS124" s="157"/>
      <c r="AT124" s="157"/>
      <c r="AU124" s="157"/>
      <c r="AV124" s="158"/>
      <c r="AW124" s="158"/>
      <c r="AX124" s="158"/>
      <c r="AY124" s="158"/>
      <c r="AZ124" s="158"/>
      <c r="BA124" s="157"/>
      <c r="BB124" s="157"/>
      <c r="BC124" s="157"/>
      <c r="BD124" s="157"/>
      <c r="BE124" s="157"/>
      <c r="BF124" s="158"/>
      <c r="BG124" s="158"/>
      <c r="BH124" s="158"/>
      <c r="BI124" s="158"/>
      <c r="BJ124" s="158"/>
      <c r="BK124" s="157"/>
      <c r="BL124" s="157"/>
      <c r="BM124" s="157"/>
      <c r="BN124" s="157"/>
      <c r="BO124" s="157"/>
      <c r="BP124" s="158"/>
      <c r="BQ124" s="158"/>
      <c r="BR124" s="158"/>
      <c r="BS124" s="158"/>
      <c r="BT124" s="158"/>
      <c r="BU124" s="157"/>
      <c r="BV124" s="157"/>
      <c r="BW124" s="157"/>
      <c r="BX124" s="157"/>
      <c r="BY124" s="157"/>
      <c r="BZ124" s="158"/>
      <c r="CA124" s="158"/>
      <c r="CB124" s="158"/>
      <c r="CC124" s="158"/>
      <c r="CD124" s="158"/>
      <c r="CE124" s="157"/>
      <c r="CF124" s="157"/>
      <c r="CG124" s="157"/>
      <c r="CH124" s="157"/>
      <c r="CI124" s="157"/>
      <c r="CJ124" s="158"/>
      <c r="CK124" s="158"/>
      <c r="CL124" s="158"/>
      <c r="CM124" s="158"/>
      <c r="CN124" s="158"/>
      <c r="CO124" s="158"/>
      <c r="CP124" s="158"/>
      <c r="CQ124" s="158"/>
      <c r="CR124" s="158"/>
      <c r="CS124" s="158"/>
    </row>
    <row r="125" spans="1:97" hidden="1">
      <c r="A125" s="175"/>
      <c r="B125" s="197"/>
      <c r="C125" s="157"/>
      <c r="D125" s="157"/>
      <c r="E125" s="157"/>
      <c r="F125" s="157"/>
      <c r="G125" s="157"/>
      <c r="H125" s="158"/>
      <c r="I125" s="158"/>
      <c r="J125" s="158"/>
      <c r="K125" s="158"/>
      <c r="L125" s="158"/>
      <c r="M125" s="157"/>
      <c r="N125" s="157"/>
      <c r="O125" s="157"/>
      <c r="P125" s="157"/>
      <c r="Q125" s="157"/>
      <c r="R125" s="158"/>
      <c r="S125" s="158"/>
      <c r="T125" s="158"/>
      <c r="U125" s="158"/>
      <c r="V125" s="158"/>
      <c r="W125" s="157"/>
      <c r="X125" s="157"/>
      <c r="Y125" s="157"/>
      <c r="Z125" s="157"/>
      <c r="AA125" s="157"/>
      <c r="AB125" s="158"/>
      <c r="AC125" s="158"/>
      <c r="AD125" s="158"/>
      <c r="AE125" s="158"/>
      <c r="AF125" s="158"/>
      <c r="AG125" s="157"/>
      <c r="AH125" s="157"/>
      <c r="AI125" s="157"/>
      <c r="AJ125" s="157"/>
      <c r="AK125" s="157"/>
      <c r="AL125" s="158"/>
      <c r="AM125" s="158"/>
      <c r="AN125" s="158"/>
      <c r="AO125" s="158"/>
      <c r="AP125" s="158"/>
      <c r="AQ125" s="157"/>
      <c r="AR125" s="157"/>
      <c r="AS125" s="157"/>
      <c r="AT125" s="157"/>
      <c r="AU125" s="157"/>
      <c r="AV125" s="158"/>
      <c r="AW125" s="158"/>
      <c r="AX125" s="158"/>
      <c r="AY125" s="158"/>
      <c r="AZ125" s="158"/>
      <c r="BA125" s="157"/>
      <c r="BB125" s="157"/>
      <c r="BC125" s="157"/>
      <c r="BD125" s="157"/>
      <c r="BE125" s="157"/>
      <c r="BF125" s="158"/>
      <c r="BG125" s="158"/>
      <c r="BH125" s="158"/>
      <c r="BI125" s="158"/>
      <c r="BJ125" s="158"/>
      <c r="BK125" s="157"/>
      <c r="BL125" s="157"/>
      <c r="BM125" s="157"/>
      <c r="BN125" s="157"/>
      <c r="BO125" s="157"/>
      <c r="BP125" s="158"/>
      <c r="BQ125" s="158"/>
      <c r="BR125" s="158"/>
      <c r="BS125" s="158"/>
      <c r="BT125" s="158"/>
      <c r="BU125" s="157"/>
      <c r="BV125" s="157"/>
      <c r="BW125" s="157"/>
      <c r="BX125" s="157"/>
      <c r="BY125" s="157"/>
      <c r="BZ125" s="158"/>
      <c r="CA125" s="158"/>
      <c r="CB125" s="158"/>
      <c r="CC125" s="158"/>
      <c r="CD125" s="158"/>
      <c r="CE125" s="157"/>
      <c r="CF125" s="157"/>
      <c r="CG125" s="157"/>
      <c r="CH125" s="157"/>
      <c r="CI125" s="157"/>
      <c r="CJ125" s="158"/>
      <c r="CK125" s="158"/>
      <c r="CL125" s="158"/>
      <c r="CM125" s="158"/>
      <c r="CN125" s="158"/>
      <c r="CO125" s="158"/>
      <c r="CP125" s="158"/>
      <c r="CQ125" s="158"/>
      <c r="CR125" s="158"/>
      <c r="CS125" s="158"/>
    </row>
    <row r="126" spans="1:97" hidden="1">
      <c r="A126" s="175"/>
      <c r="B126" s="197"/>
      <c r="C126" s="157"/>
      <c r="D126" s="157"/>
      <c r="E126" s="157"/>
      <c r="F126" s="157"/>
      <c r="G126" s="157"/>
      <c r="H126" s="158"/>
      <c r="I126" s="158"/>
      <c r="J126" s="158"/>
      <c r="K126" s="158"/>
      <c r="L126" s="158"/>
      <c r="M126" s="157"/>
      <c r="N126" s="157"/>
      <c r="O126" s="157"/>
      <c r="P126" s="157"/>
      <c r="Q126" s="157"/>
      <c r="R126" s="158"/>
      <c r="S126" s="158"/>
      <c r="T126" s="158"/>
      <c r="U126" s="158"/>
      <c r="V126" s="158"/>
      <c r="W126" s="157"/>
      <c r="X126" s="157"/>
      <c r="Y126" s="157"/>
      <c r="Z126" s="157"/>
      <c r="AA126" s="157"/>
      <c r="AB126" s="158"/>
      <c r="AC126" s="158"/>
      <c r="AD126" s="158"/>
      <c r="AE126" s="158"/>
      <c r="AF126" s="158"/>
      <c r="AG126" s="157"/>
      <c r="AH126" s="157"/>
      <c r="AI126" s="157"/>
      <c r="AJ126" s="157"/>
      <c r="AK126" s="157"/>
      <c r="AL126" s="158"/>
      <c r="AM126" s="158"/>
      <c r="AN126" s="158"/>
      <c r="AO126" s="158"/>
      <c r="AP126" s="158"/>
      <c r="AQ126" s="157"/>
      <c r="AR126" s="157"/>
      <c r="AS126" s="157"/>
      <c r="AT126" s="157"/>
      <c r="AU126" s="157"/>
      <c r="AV126" s="158"/>
      <c r="AW126" s="158"/>
      <c r="AX126" s="158"/>
      <c r="AY126" s="158"/>
      <c r="AZ126" s="158"/>
      <c r="BA126" s="157"/>
      <c r="BB126" s="157"/>
      <c r="BC126" s="157"/>
      <c r="BD126" s="157"/>
      <c r="BE126" s="157"/>
      <c r="BF126" s="158"/>
      <c r="BG126" s="158"/>
      <c r="BH126" s="158"/>
      <c r="BI126" s="158"/>
      <c r="BJ126" s="158"/>
      <c r="BK126" s="157"/>
      <c r="BL126" s="157"/>
      <c r="BM126" s="157"/>
      <c r="BN126" s="157"/>
      <c r="BO126" s="157"/>
      <c r="BP126" s="158"/>
      <c r="BQ126" s="158"/>
      <c r="BR126" s="158"/>
      <c r="BS126" s="158"/>
      <c r="BT126" s="158"/>
      <c r="BU126" s="157"/>
      <c r="BV126" s="157"/>
      <c r="BW126" s="157"/>
      <c r="BX126" s="157"/>
      <c r="BY126" s="157"/>
      <c r="BZ126" s="158"/>
      <c r="CA126" s="158"/>
      <c r="CB126" s="158"/>
      <c r="CC126" s="158"/>
      <c r="CD126" s="158"/>
      <c r="CE126" s="157"/>
      <c r="CF126" s="157"/>
      <c r="CG126" s="157"/>
      <c r="CH126" s="157"/>
      <c r="CI126" s="157"/>
      <c r="CJ126" s="158"/>
      <c r="CK126" s="158"/>
      <c r="CL126" s="158"/>
      <c r="CM126" s="158"/>
      <c r="CN126" s="158"/>
      <c r="CO126" s="158"/>
      <c r="CP126" s="158"/>
      <c r="CQ126" s="158"/>
      <c r="CR126" s="158"/>
      <c r="CS126" s="158"/>
    </row>
    <row r="127" spans="1:97" hidden="1">
      <c r="A127" s="175"/>
      <c r="B127" s="197"/>
      <c r="C127" s="157"/>
      <c r="D127" s="157"/>
      <c r="E127" s="157"/>
      <c r="F127" s="157"/>
      <c r="G127" s="157"/>
      <c r="H127" s="158"/>
      <c r="I127" s="158"/>
      <c r="J127" s="158"/>
      <c r="K127" s="158"/>
      <c r="L127" s="158"/>
      <c r="M127" s="157"/>
      <c r="N127" s="157"/>
      <c r="O127" s="157"/>
      <c r="P127" s="157"/>
      <c r="Q127" s="157"/>
      <c r="R127" s="158"/>
      <c r="S127" s="158"/>
      <c r="T127" s="158"/>
      <c r="U127" s="158"/>
      <c r="V127" s="158"/>
      <c r="W127" s="157"/>
      <c r="X127" s="157"/>
      <c r="Y127" s="157"/>
      <c r="Z127" s="157"/>
      <c r="AA127" s="157"/>
      <c r="AB127" s="158"/>
      <c r="AC127" s="158"/>
      <c r="AD127" s="158"/>
      <c r="AE127" s="158"/>
      <c r="AF127" s="158"/>
      <c r="AG127" s="157"/>
      <c r="AH127" s="157"/>
      <c r="AI127" s="157"/>
      <c r="AJ127" s="157"/>
      <c r="AK127" s="157"/>
      <c r="AL127" s="158"/>
      <c r="AM127" s="158"/>
      <c r="AN127" s="158"/>
      <c r="AO127" s="158"/>
      <c r="AP127" s="158"/>
      <c r="AQ127" s="157"/>
      <c r="AR127" s="157"/>
      <c r="AS127" s="157"/>
      <c r="AT127" s="157"/>
      <c r="AU127" s="157"/>
      <c r="AV127" s="158"/>
      <c r="AW127" s="158"/>
      <c r="AX127" s="158"/>
      <c r="AY127" s="158"/>
      <c r="AZ127" s="158"/>
      <c r="BA127" s="157"/>
      <c r="BB127" s="157"/>
      <c r="BC127" s="157"/>
      <c r="BD127" s="157"/>
      <c r="BE127" s="157"/>
      <c r="BF127" s="158"/>
      <c r="BG127" s="158"/>
      <c r="BH127" s="158"/>
      <c r="BI127" s="158"/>
      <c r="BJ127" s="158"/>
      <c r="BK127" s="157"/>
      <c r="BL127" s="157"/>
      <c r="BM127" s="157"/>
      <c r="BN127" s="157"/>
      <c r="BO127" s="157"/>
      <c r="BP127" s="158"/>
      <c r="BQ127" s="158"/>
      <c r="BR127" s="158"/>
      <c r="BS127" s="158"/>
      <c r="BT127" s="158"/>
      <c r="BU127" s="157"/>
      <c r="BV127" s="157"/>
      <c r="BW127" s="157"/>
      <c r="BX127" s="157"/>
      <c r="BY127" s="157"/>
      <c r="BZ127" s="158"/>
      <c r="CA127" s="158"/>
      <c r="CB127" s="158"/>
      <c r="CC127" s="158"/>
      <c r="CD127" s="158"/>
      <c r="CE127" s="157"/>
      <c r="CF127" s="157"/>
      <c r="CG127" s="157"/>
      <c r="CH127" s="157"/>
      <c r="CI127" s="157"/>
      <c r="CJ127" s="158"/>
      <c r="CK127" s="158"/>
      <c r="CL127" s="158"/>
      <c r="CM127" s="158"/>
      <c r="CN127" s="158"/>
      <c r="CO127" s="158"/>
      <c r="CP127" s="158"/>
      <c r="CQ127" s="158"/>
      <c r="CR127" s="158"/>
      <c r="CS127" s="158"/>
    </row>
    <row r="128" spans="1:97" hidden="1">
      <c r="A128" s="175"/>
      <c r="B128" s="197"/>
      <c r="C128" s="157"/>
      <c r="D128" s="157"/>
      <c r="E128" s="157"/>
      <c r="F128" s="157"/>
      <c r="G128" s="157"/>
      <c r="H128" s="158"/>
      <c r="I128" s="158"/>
      <c r="J128" s="158"/>
      <c r="K128" s="158"/>
      <c r="L128" s="158"/>
      <c r="M128" s="157"/>
      <c r="N128" s="157"/>
      <c r="O128" s="157"/>
      <c r="P128" s="157"/>
      <c r="Q128" s="157"/>
      <c r="R128" s="158"/>
      <c r="S128" s="158"/>
      <c r="T128" s="158"/>
      <c r="U128" s="158"/>
      <c r="V128" s="158"/>
      <c r="W128" s="157"/>
      <c r="X128" s="157"/>
      <c r="Y128" s="157"/>
      <c r="Z128" s="157"/>
      <c r="AA128" s="157"/>
      <c r="AB128" s="158"/>
      <c r="AC128" s="158"/>
      <c r="AD128" s="158"/>
      <c r="AE128" s="158"/>
      <c r="AF128" s="158"/>
      <c r="AG128" s="157"/>
      <c r="AH128" s="157"/>
      <c r="AI128" s="157"/>
      <c r="AJ128" s="157"/>
      <c r="AK128" s="157"/>
      <c r="AL128" s="158"/>
      <c r="AM128" s="158"/>
      <c r="AN128" s="158"/>
      <c r="AO128" s="158"/>
      <c r="AP128" s="158"/>
      <c r="AQ128" s="157"/>
      <c r="AR128" s="157"/>
      <c r="AS128" s="157"/>
      <c r="AT128" s="157"/>
      <c r="AU128" s="157"/>
      <c r="AV128" s="158"/>
      <c r="AW128" s="158"/>
      <c r="AX128" s="158"/>
      <c r="AY128" s="158"/>
      <c r="AZ128" s="158"/>
      <c r="BA128" s="157"/>
      <c r="BB128" s="157"/>
      <c r="BC128" s="157"/>
      <c r="BD128" s="157"/>
      <c r="BE128" s="157"/>
      <c r="BF128" s="158"/>
      <c r="BG128" s="158"/>
      <c r="BH128" s="158"/>
      <c r="BI128" s="158"/>
      <c r="BJ128" s="158"/>
      <c r="BK128" s="157"/>
      <c r="BL128" s="157"/>
      <c r="BM128" s="157"/>
      <c r="BN128" s="157"/>
      <c r="BO128" s="157"/>
      <c r="BP128" s="158"/>
      <c r="BQ128" s="158"/>
      <c r="BR128" s="158"/>
      <c r="BS128" s="158"/>
      <c r="BT128" s="158"/>
      <c r="BU128" s="157"/>
      <c r="BV128" s="157"/>
      <c r="BW128" s="157"/>
      <c r="BX128" s="157"/>
      <c r="BY128" s="157"/>
      <c r="BZ128" s="158"/>
      <c r="CA128" s="158"/>
      <c r="CB128" s="158"/>
      <c r="CC128" s="158"/>
      <c r="CD128" s="158"/>
      <c r="CE128" s="157"/>
      <c r="CF128" s="157"/>
      <c r="CG128" s="157"/>
      <c r="CH128" s="157"/>
      <c r="CI128" s="157"/>
      <c r="CJ128" s="158"/>
      <c r="CK128" s="158"/>
      <c r="CL128" s="158"/>
      <c r="CM128" s="158"/>
      <c r="CN128" s="158"/>
      <c r="CO128" s="158"/>
      <c r="CP128" s="158"/>
      <c r="CQ128" s="158"/>
      <c r="CR128" s="158"/>
      <c r="CS128" s="158"/>
    </row>
    <row r="129" spans="1:97" hidden="1">
      <c r="A129" s="175"/>
      <c r="B129" s="197"/>
      <c r="C129" s="157"/>
      <c r="D129" s="157"/>
      <c r="E129" s="157"/>
      <c r="F129" s="157"/>
      <c r="G129" s="157"/>
      <c r="H129" s="158"/>
      <c r="I129" s="158"/>
      <c r="J129" s="158"/>
      <c r="K129" s="158"/>
      <c r="L129" s="158"/>
      <c r="M129" s="157"/>
      <c r="N129" s="157"/>
      <c r="O129" s="157"/>
      <c r="P129" s="157"/>
      <c r="Q129" s="157"/>
      <c r="R129" s="158"/>
      <c r="S129" s="158"/>
      <c r="T129" s="158"/>
      <c r="U129" s="158"/>
      <c r="V129" s="158"/>
      <c r="W129" s="157"/>
      <c r="X129" s="157"/>
      <c r="Y129" s="157"/>
      <c r="Z129" s="157"/>
      <c r="AA129" s="157"/>
      <c r="AB129" s="158"/>
      <c r="AC129" s="158"/>
      <c r="AD129" s="158"/>
      <c r="AE129" s="158"/>
      <c r="AF129" s="158"/>
      <c r="AG129" s="157"/>
      <c r="AH129" s="157"/>
      <c r="AI129" s="157"/>
      <c r="AJ129" s="157"/>
      <c r="AK129" s="157"/>
      <c r="AL129" s="158"/>
      <c r="AM129" s="158"/>
      <c r="AN129" s="158"/>
      <c r="AO129" s="158"/>
      <c r="AP129" s="158"/>
      <c r="AQ129" s="157"/>
      <c r="AR129" s="157"/>
      <c r="AS129" s="157"/>
      <c r="AT129" s="157"/>
      <c r="AU129" s="157"/>
      <c r="AV129" s="158"/>
      <c r="AW129" s="158"/>
      <c r="AX129" s="158"/>
      <c r="AY129" s="158"/>
      <c r="AZ129" s="158"/>
      <c r="BA129" s="157"/>
      <c r="BB129" s="157"/>
      <c r="BC129" s="157"/>
      <c r="BD129" s="157"/>
      <c r="BE129" s="157"/>
      <c r="BF129" s="158"/>
      <c r="BG129" s="158"/>
      <c r="BH129" s="158"/>
      <c r="BI129" s="158"/>
      <c r="BJ129" s="158"/>
      <c r="BK129" s="157"/>
      <c r="BL129" s="157"/>
      <c r="BM129" s="157"/>
      <c r="BN129" s="157"/>
      <c r="BO129" s="157"/>
      <c r="BP129" s="158"/>
      <c r="BQ129" s="158"/>
      <c r="BR129" s="158"/>
      <c r="BS129" s="158"/>
      <c r="BT129" s="158"/>
      <c r="BU129" s="157"/>
      <c r="BV129" s="157"/>
      <c r="BW129" s="157"/>
      <c r="BX129" s="157"/>
      <c r="BY129" s="157"/>
      <c r="BZ129" s="158"/>
      <c r="CA129" s="158"/>
      <c r="CB129" s="158"/>
      <c r="CC129" s="158"/>
      <c r="CD129" s="158"/>
      <c r="CE129" s="157"/>
      <c r="CF129" s="157"/>
      <c r="CG129" s="157"/>
      <c r="CH129" s="157"/>
      <c r="CI129" s="157"/>
      <c r="CJ129" s="158"/>
      <c r="CK129" s="158"/>
      <c r="CL129" s="158"/>
      <c r="CM129" s="158"/>
      <c r="CN129" s="158"/>
      <c r="CO129" s="158"/>
      <c r="CP129" s="158"/>
      <c r="CQ129" s="158"/>
      <c r="CR129" s="158"/>
      <c r="CS129" s="158"/>
    </row>
    <row r="130" spans="1:97" hidden="1">
      <c r="A130" s="175"/>
      <c r="B130" s="197"/>
      <c r="C130" s="157"/>
      <c r="D130" s="157"/>
      <c r="E130" s="157"/>
      <c r="F130" s="157"/>
      <c r="G130" s="157"/>
      <c r="H130" s="158"/>
      <c r="I130" s="158"/>
      <c r="J130" s="158"/>
      <c r="K130" s="158"/>
      <c r="L130" s="158"/>
      <c r="M130" s="157"/>
      <c r="N130" s="157"/>
      <c r="O130" s="157"/>
      <c r="P130" s="157"/>
      <c r="Q130" s="157"/>
      <c r="R130" s="158"/>
      <c r="S130" s="158"/>
      <c r="T130" s="158"/>
      <c r="U130" s="158"/>
      <c r="V130" s="158"/>
      <c r="W130" s="157"/>
      <c r="X130" s="157"/>
      <c r="Y130" s="157"/>
      <c r="Z130" s="157"/>
      <c r="AA130" s="157"/>
      <c r="AB130" s="158"/>
      <c r="AC130" s="158"/>
      <c r="AD130" s="158"/>
      <c r="AE130" s="158"/>
      <c r="AF130" s="158"/>
      <c r="AG130" s="157"/>
      <c r="AH130" s="157"/>
      <c r="AI130" s="157"/>
      <c r="AJ130" s="157"/>
      <c r="AK130" s="157"/>
      <c r="AL130" s="158"/>
      <c r="AM130" s="158"/>
      <c r="AN130" s="158"/>
      <c r="AO130" s="158"/>
      <c r="AP130" s="158"/>
      <c r="AQ130" s="157"/>
      <c r="AR130" s="157"/>
      <c r="AS130" s="157"/>
      <c r="AT130" s="157"/>
      <c r="AU130" s="157"/>
      <c r="AV130" s="158"/>
      <c r="AW130" s="158"/>
      <c r="AX130" s="158"/>
      <c r="AY130" s="158"/>
      <c r="AZ130" s="158"/>
      <c r="BA130" s="157"/>
      <c r="BB130" s="157"/>
      <c r="BC130" s="157"/>
      <c r="BD130" s="157"/>
      <c r="BE130" s="157"/>
      <c r="BF130" s="158"/>
      <c r="BG130" s="158"/>
      <c r="BH130" s="158"/>
      <c r="BI130" s="158"/>
      <c r="BJ130" s="158"/>
      <c r="BK130" s="157"/>
      <c r="BL130" s="157"/>
      <c r="BM130" s="157"/>
      <c r="BN130" s="157"/>
      <c r="BO130" s="157"/>
      <c r="BP130" s="158"/>
      <c r="BQ130" s="158"/>
      <c r="BR130" s="158"/>
      <c r="BS130" s="158"/>
      <c r="BT130" s="158"/>
      <c r="BU130" s="157"/>
      <c r="BV130" s="157"/>
      <c r="BW130" s="157"/>
      <c r="BX130" s="157"/>
      <c r="BY130" s="157"/>
      <c r="BZ130" s="158"/>
      <c r="CA130" s="158"/>
      <c r="CB130" s="158"/>
      <c r="CC130" s="158"/>
      <c r="CD130" s="158"/>
      <c r="CE130" s="157"/>
      <c r="CF130" s="157"/>
      <c r="CG130" s="157"/>
      <c r="CH130" s="157"/>
      <c r="CI130" s="157"/>
      <c r="CJ130" s="158"/>
      <c r="CK130" s="158"/>
      <c r="CL130" s="158"/>
      <c r="CM130" s="158"/>
      <c r="CN130" s="158"/>
      <c r="CO130" s="158"/>
      <c r="CP130" s="158"/>
      <c r="CQ130" s="158"/>
      <c r="CR130" s="158"/>
      <c r="CS130" s="158"/>
    </row>
    <row r="131" spans="1:97" hidden="1">
      <c r="A131" s="175"/>
      <c r="B131" s="197"/>
      <c r="C131" s="157"/>
      <c r="D131" s="157"/>
      <c r="E131" s="157"/>
      <c r="F131" s="157"/>
      <c r="G131" s="157"/>
      <c r="H131" s="158"/>
      <c r="I131" s="158"/>
      <c r="J131" s="158"/>
      <c r="K131" s="158"/>
      <c r="L131" s="158"/>
      <c r="M131" s="157"/>
      <c r="N131" s="157"/>
      <c r="O131" s="157"/>
      <c r="P131" s="157"/>
      <c r="Q131" s="157"/>
      <c r="R131" s="158"/>
      <c r="S131" s="158"/>
      <c r="T131" s="158"/>
      <c r="U131" s="158"/>
      <c r="V131" s="158"/>
      <c r="W131" s="157"/>
      <c r="X131" s="157"/>
      <c r="Y131" s="157"/>
      <c r="Z131" s="157"/>
      <c r="AA131" s="157"/>
      <c r="AB131" s="158"/>
      <c r="AC131" s="158"/>
      <c r="AD131" s="158"/>
      <c r="AE131" s="158"/>
      <c r="AF131" s="158"/>
      <c r="AG131" s="157"/>
      <c r="AH131" s="157"/>
      <c r="AI131" s="157"/>
      <c r="AJ131" s="157"/>
      <c r="AK131" s="157"/>
      <c r="AL131" s="158"/>
      <c r="AM131" s="158"/>
      <c r="AN131" s="158"/>
      <c r="AO131" s="158"/>
      <c r="AP131" s="158"/>
      <c r="AQ131" s="157"/>
      <c r="AR131" s="157"/>
      <c r="AS131" s="157"/>
      <c r="AT131" s="157"/>
      <c r="AU131" s="157"/>
      <c r="AV131" s="158"/>
      <c r="AW131" s="158"/>
      <c r="AX131" s="158"/>
      <c r="AY131" s="158"/>
      <c r="AZ131" s="158"/>
      <c r="BA131" s="157"/>
      <c r="BB131" s="157"/>
      <c r="BC131" s="157"/>
      <c r="BD131" s="157"/>
      <c r="BE131" s="157"/>
      <c r="BF131" s="158"/>
      <c r="BG131" s="158"/>
      <c r="BH131" s="158"/>
      <c r="BI131" s="158"/>
      <c r="BJ131" s="158"/>
      <c r="BK131" s="157"/>
      <c r="BL131" s="157"/>
      <c r="BM131" s="157"/>
      <c r="BN131" s="157"/>
      <c r="BO131" s="157"/>
      <c r="BP131" s="158"/>
      <c r="BQ131" s="158"/>
      <c r="BR131" s="158"/>
      <c r="BS131" s="158"/>
      <c r="BT131" s="158"/>
      <c r="BU131" s="157"/>
      <c r="BV131" s="157"/>
      <c r="BW131" s="157"/>
      <c r="BX131" s="157"/>
      <c r="BY131" s="157"/>
      <c r="BZ131" s="158"/>
      <c r="CA131" s="158"/>
      <c r="CB131" s="158"/>
      <c r="CC131" s="158"/>
      <c r="CD131" s="158"/>
      <c r="CE131" s="157"/>
      <c r="CF131" s="157"/>
      <c r="CG131" s="157"/>
      <c r="CH131" s="157"/>
      <c r="CI131" s="157"/>
      <c r="CJ131" s="158"/>
      <c r="CK131" s="158"/>
      <c r="CL131" s="158"/>
      <c r="CM131" s="158"/>
      <c r="CN131" s="158"/>
      <c r="CO131" s="158"/>
      <c r="CP131" s="158"/>
      <c r="CQ131" s="158"/>
      <c r="CR131" s="158"/>
      <c r="CS131" s="158"/>
    </row>
    <row r="132" spans="1:97" hidden="1">
      <c r="A132" s="175"/>
      <c r="B132" s="197"/>
      <c r="C132" s="157"/>
      <c r="D132" s="157"/>
      <c r="E132" s="157"/>
      <c r="F132" s="157"/>
      <c r="G132" s="157"/>
      <c r="H132" s="158"/>
      <c r="I132" s="158"/>
      <c r="J132" s="158"/>
      <c r="K132" s="158"/>
      <c r="L132" s="158"/>
      <c r="M132" s="157"/>
      <c r="N132" s="157"/>
      <c r="O132" s="157"/>
      <c r="P132" s="157"/>
      <c r="Q132" s="157"/>
      <c r="R132" s="158"/>
      <c r="S132" s="158"/>
      <c r="T132" s="158"/>
      <c r="U132" s="158"/>
      <c r="V132" s="158"/>
      <c r="W132" s="157"/>
      <c r="X132" s="157"/>
      <c r="Y132" s="157"/>
      <c r="Z132" s="157"/>
      <c r="AA132" s="157"/>
      <c r="AB132" s="158"/>
      <c r="AC132" s="158"/>
      <c r="AD132" s="158"/>
      <c r="AE132" s="158"/>
      <c r="AF132" s="158"/>
      <c r="AG132" s="157"/>
      <c r="AH132" s="157"/>
      <c r="AI132" s="157"/>
      <c r="AJ132" s="157"/>
      <c r="AK132" s="157"/>
      <c r="AL132" s="158"/>
      <c r="AM132" s="158"/>
      <c r="AN132" s="158"/>
      <c r="AO132" s="158"/>
      <c r="AP132" s="158"/>
      <c r="AQ132" s="157"/>
      <c r="AR132" s="157"/>
      <c r="AS132" s="157"/>
      <c r="AT132" s="157"/>
      <c r="AU132" s="157"/>
      <c r="AV132" s="158"/>
      <c r="AW132" s="158"/>
      <c r="AX132" s="158"/>
      <c r="AY132" s="158"/>
      <c r="AZ132" s="158"/>
      <c r="BA132" s="157"/>
      <c r="BB132" s="157"/>
      <c r="BC132" s="157"/>
      <c r="BD132" s="157"/>
      <c r="BE132" s="157"/>
      <c r="BF132" s="158"/>
      <c r="BG132" s="158"/>
      <c r="BH132" s="158"/>
      <c r="BI132" s="158"/>
      <c r="BJ132" s="158"/>
      <c r="BK132" s="157"/>
      <c r="BL132" s="157"/>
      <c r="BM132" s="157"/>
      <c r="BN132" s="157"/>
      <c r="BO132" s="157"/>
      <c r="BP132" s="158"/>
      <c r="BQ132" s="158"/>
      <c r="BR132" s="158"/>
      <c r="BS132" s="158"/>
      <c r="BT132" s="158"/>
      <c r="BU132" s="157"/>
      <c r="BV132" s="157"/>
      <c r="BW132" s="157"/>
      <c r="BX132" s="157"/>
      <c r="BY132" s="157"/>
      <c r="BZ132" s="158"/>
      <c r="CA132" s="158"/>
      <c r="CB132" s="158"/>
      <c r="CC132" s="158"/>
      <c r="CD132" s="158"/>
      <c r="CE132" s="157"/>
      <c r="CF132" s="157"/>
      <c r="CG132" s="157"/>
      <c r="CH132" s="157"/>
      <c r="CI132" s="157"/>
      <c r="CJ132" s="158"/>
      <c r="CK132" s="158"/>
      <c r="CL132" s="158"/>
      <c r="CM132" s="158"/>
      <c r="CN132" s="158"/>
      <c r="CO132" s="158"/>
      <c r="CP132" s="158"/>
      <c r="CQ132" s="158"/>
      <c r="CR132" s="158"/>
      <c r="CS132" s="158"/>
    </row>
    <row r="133" spans="1:97" hidden="1">
      <c r="A133" s="175"/>
      <c r="B133" s="197"/>
      <c r="C133" s="157"/>
      <c r="D133" s="157"/>
      <c r="E133" s="157"/>
      <c r="F133" s="157"/>
      <c r="G133" s="157"/>
      <c r="H133" s="158"/>
      <c r="I133" s="158"/>
      <c r="J133" s="158"/>
      <c r="K133" s="158"/>
      <c r="L133" s="158"/>
      <c r="M133" s="157"/>
      <c r="N133" s="157"/>
      <c r="O133" s="157"/>
      <c r="P133" s="157"/>
      <c r="Q133" s="157"/>
      <c r="R133" s="158"/>
      <c r="S133" s="158"/>
      <c r="T133" s="158"/>
      <c r="U133" s="158"/>
      <c r="V133" s="158"/>
      <c r="W133" s="157"/>
      <c r="X133" s="157"/>
      <c r="Y133" s="157"/>
      <c r="Z133" s="157"/>
      <c r="AA133" s="157"/>
      <c r="AB133" s="158"/>
      <c r="AC133" s="158"/>
      <c r="AD133" s="158"/>
      <c r="AE133" s="158"/>
      <c r="AF133" s="158"/>
      <c r="AG133" s="157"/>
      <c r="AH133" s="157"/>
      <c r="AI133" s="157"/>
      <c r="AJ133" s="157"/>
      <c r="AK133" s="157"/>
      <c r="AL133" s="158"/>
      <c r="AM133" s="158"/>
      <c r="AN133" s="158"/>
      <c r="AO133" s="158"/>
      <c r="AP133" s="158"/>
      <c r="AQ133" s="157"/>
      <c r="AR133" s="157"/>
      <c r="AS133" s="157"/>
      <c r="AT133" s="157"/>
      <c r="AU133" s="157"/>
      <c r="AV133" s="158"/>
      <c r="AW133" s="158"/>
      <c r="AX133" s="158"/>
      <c r="AY133" s="158"/>
      <c r="AZ133" s="158"/>
      <c r="BA133" s="157"/>
      <c r="BB133" s="157"/>
      <c r="BC133" s="157"/>
      <c r="BD133" s="157"/>
      <c r="BE133" s="157"/>
      <c r="BF133" s="158"/>
      <c r="BG133" s="158"/>
      <c r="BH133" s="158"/>
      <c r="BI133" s="158"/>
      <c r="BJ133" s="158"/>
      <c r="BK133" s="157"/>
      <c r="BL133" s="157"/>
      <c r="BM133" s="157"/>
      <c r="BN133" s="157"/>
      <c r="BO133" s="157"/>
      <c r="BP133" s="158"/>
      <c r="BQ133" s="158"/>
      <c r="BR133" s="158"/>
      <c r="BS133" s="158"/>
      <c r="BT133" s="158"/>
      <c r="BU133" s="157"/>
      <c r="BV133" s="157"/>
      <c r="BW133" s="157"/>
      <c r="BX133" s="157"/>
      <c r="BY133" s="157"/>
      <c r="BZ133" s="158"/>
      <c r="CA133" s="158"/>
      <c r="CB133" s="158"/>
      <c r="CC133" s="158"/>
      <c r="CD133" s="158"/>
      <c r="CE133" s="157"/>
      <c r="CF133" s="157"/>
      <c r="CG133" s="157"/>
      <c r="CH133" s="157"/>
      <c r="CI133" s="157"/>
      <c r="CJ133" s="158"/>
      <c r="CK133" s="158"/>
      <c r="CL133" s="158"/>
      <c r="CM133" s="158"/>
      <c r="CN133" s="158"/>
      <c r="CO133" s="158"/>
      <c r="CP133" s="158"/>
      <c r="CQ133" s="158"/>
      <c r="CR133" s="158"/>
      <c r="CS133" s="158"/>
    </row>
    <row r="134" spans="1:97" hidden="1">
      <c r="A134" s="175"/>
      <c r="B134" s="197"/>
      <c r="C134" s="157"/>
      <c r="D134" s="157"/>
      <c r="E134" s="157"/>
      <c r="F134" s="157"/>
      <c r="G134" s="157"/>
      <c r="H134" s="158"/>
      <c r="I134" s="158"/>
      <c r="J134" s="158"/>
      <c r="K134" s="158"/>
      <c r="L134" s="158"/>
      <c r="M134" s="157"/>
      <c r="N134" s="157"/>
      <c r="O134" s="157"/>
      <c r="P134" s="157"/>
      <c r="Q134" s="157"/>
      <c r="R134" s="158"/>
      <c r="S134" s="158"/>
      <c r="T134" s="158"/>
      <c r="U134" s="158"/>
      <c r="V134" s="158"/>
      <c r="W134" s="157"/>
      <c r="X134" s="157"/>
      <c r="Y134" s="157"/>
      <c r="Z134" s="157"/>
      <c r="AA134" s="157"/>
      <c r="AB134" s="158"/>
      <c r="AC134" s="158"/>
      <c r="AD134" s="158"/>
      <c r="AE134" s="158"/>
      <c r="AF134" s="158"/>
      <c r="AG134" s="157"/>
      <c r="AH134" s="157"/>
      <c r="AI134" s="157"/>
      <c r="AJ134" s="157"/>
      <c r="AK134" s="157"/>
      <c r="AL134" s="158"/>
      <c r="AM134" s="158"/>
      <c r="AN134" s="158"/>
      <c r="AO134" s="158"/>
      <c r="AP134" s="158"/>
      <c r="AQ134" s="157"/>
      <c r="AR134" s="157"/>
      <c r="AS134" s="157"/>
      <c r="AT134" s="157"/>
      <c r="AU134" s="157"/>
      <c r="AV134" s="158"/>
      <c r="AW134" s="158"/>
      <c r="AX134" s="158"/>
      <c r="AY134" s="158"/>
      <c r="AZ134" s="158"/>
      <c r="BA134" s="157"/>
      <c r="BB134" s="157"/>
      <c r="BC134" s="157"/>
      <c r="BD134" s="157"/>
      <c r="BE134" s="157"/>
      <c r="BF134" s="158"/>
      <c r="BG134" s="158"/>
      <c r="BH134" s="158"/>
      <c r="BI134" s="158"/>
      <c r="BJ134" s="158"/>
      <c r="BK134" s="157"/>
      <c r="BL134" s="157"/>
      <c r="BM134" s="157"/>
      <c r="BN134" s="157"/>
      <c r="BO134" s="157"/>
      <c r="BP134" s="158"/>
      <c r="BQ134" s="158"/>
      <c r="BR134" s="158"/>
      <c r="BS134" s="158"/>
      <c r="BT134" s="158"/>
      <c r="BU134" s="157"/>
      <c r="BV134" s="157"/>
      <c r="BW134" s="157"/>
      <c r="BX134" s="157"/>
      <c r="BY134" s="157"/>
      <c r="BZ134" s="158"/>
      <c r="CA134" s="158"/>
      <c r="CB134" s="158"/>
      <c r="CC134" s="158"/>
      <c r="CD134" s="158"/>
      <c r="CE134" s="157"/>
      <c r="CF134" s="157"/>
      <c r="CG134" s="157"/>
      <c r="CH134" s="157"/>
      <c r="CI134" s="157"/>
      <c r="CJ134" s="158"/>
      <c r="CK134" s="158"/>
      <c r="CL134" s="158"/>
      <c r="CM134" s="158"/>
      <c r="CN134" s="158"/>
      <c r="CO134" s="158"/>
      <c r="CP134" s="158"/>
      <c r="CQ134" s="158"/>
      <c r="CR134" s="158"/>
      <c r="CS134" s="158"/>
    </row>
    <row r="135" spans="1:97" hidden="1">
      <c r="A135" s="175"/>
      <c r="B135" s="197"/>
      <c r="C135" s="157"/>
      <c r="D135" s="157"/>
      <c r="E135" s="157"/>
      <c r="F135" s="157"/>
      <c r="G135" s="157"/>
      <c r="H135" s="158"/>
      <c r="I135" s="158"/>
      <c r="J135" s="158"/>
      <c r="K135" s="158"/>
      <c r="L135" s="158"/>
      <c r="M135" s="157"/>
      <c r="N135" s="157"/>
      <c r="O135" s="157"/>
      <c r="P135" s="157"/>
      <c r="Q135" s="157"/>
      <c r="R135" s="158"/>
      <c r="S135" s="158"/>
      <c r="T135" s="158"/>
      <c r="U135" s="158"/>
      <c r="V135" s="158"/>
      <c r="W135" s="157"/>
      <c r="X135" s="157"/>
      <c r="Y135" s="157"/>
      <c r="Z135" s="157"/>
      <c r="AA135" s="157"/>
      <c r="AB135" s="158"/>
      <c r="AC135" s="158"/>
      <c r="AD135" s="158"/>
      <c r="AE135" s="158"/>
      <c r="AF135" s="158"/>
      <c r="AG135" s="157"/>
      <c r="AH135" s="157"/>
      <c r="AI135" s="157"/>
      <c r="AJ135" s="157"/>
      <c r="AK135" s="157"/>
      <c r="AL135" s="158"/>
      <c r="AM135" s="158"/>
      <c r="AN135" s="158"/>
      <c r="AO135" s="158"/>
      <c r="AP135" s="158"/>
      <c r="AQ135" s="157"/>
      <c r="AR135" s="157"/>
      <c r="AS135" s="157"/>
      <c r="AT135" s="157"/>
      <c r="AU135" s="157"/>
      <c r="AV135" s="158"/>
      <c r="AW135" s="158"/>
      <c r="AX135" s="158"/>
      <c r="AY135" s="158"/>
      <c r="AZ135" s="158"/>
      <c r="BA135" s="157"/>
      <c r="BB135" s="157"/>
      <c r="BC135" s="157"/>
      <c r="BD135" s="157"/>
      <c r="BE135" s="157"/>
      <c r="BF135" s="158"/>
      <c r="BG135" s="158"/>
      <c r="BH135" s="158"/>
      <c r="BI135" s="158"/>
      <c r="BJ135" s="158"/>
      <c r="BK135" s="157"/>
      <c r="BL135" s="157"/>
      <c r="BM135" s="157"/>
      <c r="BN135" s="157"/>
      <c r="BO135" s="157"/>
      <c r="BP135" s="158"/>
      <c r="BQ135" s="158"/>
      <c r="BR135" s="158"/>
      <c r="BS135" s="158"/>
      <c r="BT135" s="158"/>
      <c r="BU135" s="157"/>
      <c r="BV135" s="157"/>
      <c r="BW135" s="157"/>
      <c r="BX135" s="157"/>
      <c r="BY135" s="157"/>
      <c r="BZ135" s="158"/>
      <c r="CA135" s="158"/>
      <c r="CB135" s="158"/>
      <c r="CC135" s="158"/>
      <c r="CD135" s="158"/>
      <c r="CE135" s="157"/>
      <c r="CF135" s="157"/>
      <c r="CG135" s="157"/>
      <c r="CH135" s="157"/>
      <c r="CI135" s="157"/>
      <c r="CJ135" s="158"/>
      <c r="CK135" s="158"/>
      <c r="CL135" s="158"/>
      <c r="CM135" s="158"/>
      <c r="CN135" s="158"/>
      <c r="CO135" s="158"/>
      <c r="CP135" s="158"/>
      <c r="CQ135" s="158"/>
      <c r="CR135" s="158"/>
      <c r="CS135" s="158"/>
    </row>
    <row r="136" spans="1:97" hidden="1">
      <c r="A136" s="175"/>
      <c r="B136" s="197"/>
      <c r="C136" s="157"/>
      <c r="D136" s="157"/>
      <c r="E136" s="157"/>
      <c r="F136" s="157"/>
      <c r="G136" s="157"/>
      <c r="H136" s="158"/>
      <c r="I136" s="158"/>
      <c r="J136" s="158"/>
      <c r="K136" s="158"/>
      <c r="L136" s="158"/>
      <c r="M136" s="157"/>
      <c r="N136" s="157"/>
      <c r="O136" s="157"/>
      <c r="P136" s="157"/>
      <c r="Q136" s="157"/>
      <c r="R136" s="158"/>
      <c r="S136" s="158"/>
      <c r="T136" s="158"/>
      <c r="U136" s="158"/>
      <c r="V136" s="158"/>
      <c r="W136" s="157"/>
      <c r="X136" s="157"/>
      <c r="Y136" s="157"/>
      <c r="Z136" s="157"/>
      <c r="AA136" s="157"/>
      <c r="AB136" s="158"/>
      <c r="AC136" s="158"/>
      <c r="AD136" s="158"/>
      <c r="AE136" s="158"/>
      <c r="AF136" s="158"/>
      <c r="AG136" s="157"/>
      <c r="AH136" s="157"/>
      <c r="AI136" s="157"/>
      <c r="AJ136" s="157"/>
      <c r="AK136" s="157"/>
      <c r="AL136" s="158"/>
      <c r="AM136" s="158"/>
      <c r="AN136" s="158"/>
      <c r="AO136" s="158"/>
      <c r="AP136" s="158"/>
      <c r="AQ136" s="157"/>
      <c r="AR136" s="157"/>
      <c r="AS136" s="157"/>
      <c r="AT136" s="157"/>
      <c r="AU136" s="157"/>
      <c r="AV136" s="158"/>
      <c r="AW136" s="158"/>
      <c r="AX136" s="158"/>
      <c r="AY136" s="158"/>
      <c r="AZ136" s="158"/>
      <c r="BA136" s="157"/>
      <c r="BB136" s="157"/>
      <c r="BC136" s="157"/>
      <c r="BD136" s="157"/>
      <c r="BE136" s="157"/>
      <c r="BF136" s="158"/>
      <c r="BG136" s="158"/>
      <c r="BH136" s="158"/>
      <c r="BI136" s="158"/>
      <c r="BJ136" s="158"/>
      <c r="BK136" s="157"/>
      <c r="BL136" s="157"/>
      <c r="BM136" s="157"/>
      <c r="BN136" s="157"/>
      <c r="BO136" s="157"/>
      <c r="BP136" s="158"/>
      <c r="BQ136" s="158"/>
      <c r="BR136" s="158"/>
      <c r="BS136" s="158"/>
      <c r="BT136" s="158"/>
      <c r="BU136" s="157"/>
      <c r="BV136" s="157"/>
      <c r="BW136" s="157"/>
      <c r="BX136" s="157"/>
      <c r="BY136" s="157"/>
      <c r="BZ136" s="158"/>
      <c r="CA136" s="158"/>
      <c r="CB136" s="158"/>
      <c r="CC136" s="158"/>
      <c r="CD136" s="158"/>
      <c r="CE136" s="157"/>
      <c r="CF136" s="157"/>
      <c r="CG136" s="157"/>
      <c r="CH136" s="157"/>
      <c r="CI136" s="157"/>
      <c r="CJ136" s="158"/>
      <c r="CK136" s="158"/>
      <c r="CL136" s="158"/>
      <c r="CM136" s="158"/>
      <c r="CN136" s="158"/>
      <c r="CO136" s="158"/>
      <c r="CP136" s="158"/>
      <c r="CQ136" s="158"/>
      <c r="CR136" s="158"/>
      <c r="CS136" s="158"/>
    </row>
    <row r="137" spans="1:97" hidden="1">
      <c r="A137" s="175"/>
      <c r="B137" s="197"/>
      <c r="C137" s="157"/>
      <c r="D137" s="157"/>
      <c r="E137" s="157"/>
      <c r="F137" s="157"/>
      <c r="G137" s="157"/>
      <c r="H137" s="158"/>
      <c r="I137" s="158"/>
      <c r="J137" s="158"/>
      <c r="K137" s="158"/>
      <c r="L137" s="158"/>
      <c r="M137" s="157"/>
      <c r="N137" s="157"/>
      <c r="O137" s="157"/>
      <c r="P137" s="157"/>
      <c r="Q137" s="157"/>
      <c r="R137" s="158"/>
      <c r="S137" s="158"/>
      <c r="T137" s="158"/>
      <c r="U137" s="158"/>
      <c r="V137" s="158"/>
      <c r="W137" s="157"/>
      <c r="X137" s="157"/>
      <c r="Y137" s="157"/>
      <c r="Z137" s="157"/>
      <c r="AA137" s="157"/>
      <c r="AB137" s="158"/>
      <c r="AC137" s="158"/>
      <c r="AD137" s="158"/>
      <c r="AE137" s="158"/>
      <c r="AF137" s="158"/>
      <c r="AG137" s="157"/>
      <c r="AH137" s="157"/>
      <c r="AI137" s="157"/>
      <c r="AJ137" s="157"/>
      <c r="AK137" s="157"/>
      <c r="AL137" s="158"/>
      <c r="AM137" s="158"/>
      <c r="AN137" s="158"/>
      <c r="AO137" s="158"/>
      <c r="AP137" s="158"/>
      <c r="AQ137" s="157"/>
      <c r="AR137" s="157"/>
      <c r="AS137" s="157"/>
      <c r="AT137" s="157"/>
      <c r="AU137" s="157"/>
      <c r="AV137" s="158"/>
      <c r="AW137" s="158"/>
      <c r="AX137" s="158"/>
      <c r="AY137" s="158"/>
      <c r="AZ137" s="158"/>
      <c r="BA137" s="157"/>
      <c r="BB137" s="157"/>
      <c r="BC137" s="157"/>
      <c r="BD137" s="157"/>
      <c r="BE137" s="157"/>
      <c r="BF137" s="158"/>
      <c r="BG137" s="158"/>
      <c r="BH137" s="158"/>
      <c r="BI137" s="158"/>
      <c r="BJ137" s="158"/>
      <c r="BK137" s="157"/>
      <c r="BL137" s="157"/>
      <c r="BM137" s="157"/>
      <c r="BN137" s="157"/>
      <c r="BO137" s="157"/>
      <c r="BP137" s="158"/>
      <c r="BQ137" s="158"/>
      <c r="BR137" s="158"/>
      <c r="BS137" s="158"/>
      <c r="BT137" s="158"/>
      <c r="BU137" s="157"/>
      <c r="BV137" s="157"/>
      <c r="BW137" s="157"/>
      <c r="BX137" s="157"/>
      <c r="BY137" s="157"/>
      <c r="BZ137" s="158"/>
      <c r="CA137" s="158"/>
      <c r="CB137" s="158"/>
      <c r="CC137" s="158"/>
      <c r="CD137" s="158"/>
      <c r="CE137" s="157"/>
      <c r="CF137" s="157"/>
      <c r="CG137" s="157"/>
      <c r="CH137" s="157"/>
      <c r="CI137" s="157"/>
      <c r="CJ137" s="158"/>
      <c r="CK137" s="158"/>
      <c r="CL137" s="158"/>
      <c r="CM137" s="158"/>
      <c r="CN137" s="158"/>
      <c r="CO137" s="158"/>
      <c r="CP137" s="158"/>
      <c r="CQ137" s="158"/>
      <c r="CR137" s="158"/>
      <c r="CS137" s="158"/>
    </row>
    <row r="138" spans="1:97" hidden="1">
      <c r="A138" s="175"/>
      <c r="B138" s="197"/>
      <c r="C138" s="157"/>
      <c r="D138" s="157"/>
      <c r="E138" s="157"/>
      <c r="F138" s="157"/>
      <c r="G138" s="157"/>
      <c r="H138" s="158"/>
      <c r="I138" s="158"/>
      <c r="J138" s="158"/>
      <c r="K138" s="158"/>
      <c r="L138" s="158"/>
      <c r="M138" s="157"/>
      <c r="N138" s="157"/>
      <c r="O138" s="157"/>
      <c r="P138" s="157"/>
      <c r="Q138" s="157"/>
      <c r="R138" s="158"/>
      <c r="S138" s="158"/>
      <c r="T138" s="158"/>
      <c r="U138" s="158"/>
      <c r="V138" s="158"/>
      <c r="W138" s="157"/>
      <c r="X138" s="157"/>
      <c r="Y138" s="157"/>
      <c r="Z138" s="157"/>
      <c r="AA138" s="157"/>
      <c r="AB138" s="158"/>
      <c r="AC138" s="158"/>
      <c r="AD138" s="158"/>
      <c r="AE138" s="158"/>
      <c r="AF138" s="158"/>
      <c r="AG138" s="157"/>
      <c r="AH138" s="157"/>
      <c r="AI138" s="157"/>
      <c r="AJ138" s="157"/>
      <c r="AK138" s="157"/>
      <c r="AL138" s="158"/>
      <c r="AM138" s="158"/>
      <c r="AN138" s="158"/>
      <c r="AO138" s="158"/>
      <c r="AP138" s="158"/>
      <c r="AQ138" s="157"/>
      <c r="AR138" s="157"/>
      <c r="AS138" s="157"/>
      <c r="AT138" s="157"/>
      <c r="AU138" s="157"/>
      <c r="AV138" s="158"/>
      <c r="AW138" s="158"/>
      <c r="AX138" s="158"/>
      <c r="AY138" s="158"/>
      <c r="AZ138" s="158"/>
      <c r="BA138" s="157"/>
      <c r="BB138" s="157"/>
      <c r="BC138" s="157"/>
      <c r="BD138" s="157"/>
      <c r="BE138" s="157"/>
      <c r="BF138" s="158"/>
      <c r="BG138" s="158"/>
      <c r="BH138" s="158"/>
      <c r="BI138" s="158"/>
      <c r="BJ138" s="158"/>
      <c r="BK138" s="157"/>
      <c r="BL138" s="157"/>
      <c r="BM138" s="157"/>
      <c r="BN138" s="157"/>
      <c r="BO138" s="157"/>
      <c r="BP138" s="158"/>
      <c r="BQ138" s="158"/>
      <c r="BR138" s="158"/>
      <c r="BS138" s="158"/>
      <c r="BT138" s="158"/>
      <c r="BU138" s="157"/>
      <c r="BV138" s="157"/>
      <c r="BW138" s="157"/>
      <c r="BX138" s="157"/>
      <c r="BY138" s="157"/>
      <c r="BZ138" s="158"/>
      <c r="CA138" s="158"/>
      <c r="CB138" s="158"/>
      <c r="CC138" s="158"/>
      <c r="CD138" s="158"/>
      <c r="CE138" s="157"/>
      <c r="CF138" s="157"/>
      <c r="CG138" s="157"/>
      <c r="CH138" s="157"/>
      <c r="CI138" s="157"/>
      <c r="CJ138" s="158"/>
      <c r="CK138" s="158"/>
      <c r="CL138" s="158"/>
      <c r="CM138" s="158"/>
      <c r="CN138" s="158"/>
      <c r="CO138" s="158"/>
      <c r="CP138" s="158"/>
      <c r="CQ138" s="158"/>
      <c r="CR138" s="158"/>
      <c r="CS138" s="158"/>
    </row>
    <row r="139" spans="1:97" hidden="1">
      <c r="A139" s="175"/>
      <c r="B139" s="197"/>
      <c r="C139" s="157"/>
      <c r="D139" s="157"/>
      <c r="E139" s="157"/>
      <c r="F139" s="157"/>
      <c r="G139" s="157"/>
      <c r="H139" s="158"/>
      <c r="I139" s="158"/>
      <c r="J139" s="158"/>
      <c r="K139" s="158"/>
      <c r="L139" s="158"/>
      <c r="M139" s="157"/>
      <c r="N139" s="157"/>
      <c r="O139" s="157"/>
      <c r="P139" s="157"/>
      <c r="Q139" s="157"/>
      <c r="R139" s="158"/>
      <c r="S139" s="158"/>
      <c r="T139" s="158"/>
      <c r="U139" s="158"/>
      <c r="V139" s="158"/>
      <c r="W139" s="157"/>
      <c r="X139" s="157"/>
      <c r="Y139" s="157"/>
      <c r="Z139" s="157"/>
      <c r="AA139" s="157"/>
      <c r="AB139" s="158"/>
      <c r="AC139" s="158"/>
      <c r="AD139" s="158"/>
      <c r="AE139" s="158"/>
      <c r="AF139" s="158"/>
      <c r="AG139" s="157"/>
      <c r="AH139" s="157"/>
      <c r="AI139" s="157"/>
      <c r="AJ139" s="157"/>
      <c r="AK139" s="157"/>
      <c r="AL139" s="158"/>
      <c r="AM139" s="158"/>
      <c r="AN139" s="158"/>
      <c r="AO139" s="158"/>
      <c r="AP139" s="158"/>
      <c r="AQ139" s="157"/>
      <c r="AR139" s="157"/>
      <c r="AS139" s="157"/>
      <c r="AT139" s="157"/>
      <c r="AU139" s="157"/>
      <c r="AV139" s="158"/>
      <c r="AW139" s="158"/>
      <c r="AX139" s="158"/>
      <c r="AY139" s="158"/>
      <c r="AZ139" s="158"/>
      <c r="BA139" s="157"/>
      <c r="BB139" s="157"/>
      <c r="BC139" s="157"/>
      <c r="BD139" s="157"/>
      <c r="BE139" s="157"/>
      <c r="BF139" s="158"/>
      <c r="BG139" s="158"/>
      <c r="BH139" s="158"/>
      <c r="BI139" s="158"/>
      <c r="BJ139" s="158"/>
      <c r="BK139" s="157"/>
      <c r="BL139" s="157"/>
      <c r="BM139" s="157"/>
      <c r="BN139" s="157"/>
      <c r="BO139" s="157"/>
      <c r="BP139" s="158"/>
      <c r="BQ139" s="158"/>
      <c r="BR139" s="158"/>
      <c r="BS139" s="158"/>
      <c r="BT139" s="158"/>
      <c r="BU139" s="157"/>
      <c r="BV139" s="157"/>
      <c r="BW139" s="157"/>
      <c r="BX139" s="157"/>
      <c r="BY139" s="157"/>
      <c r="BZ139" s="158"/>
      <c r="CA139" s="158"/>
      <c r="CB139" s="158"/>
      <c r="CC139" s="158"/>
      <c r="CD139" s="158"/>
      <c r="CE139" s="157"/>
      <c r="CF139" s="157"/>
      <c r="CG139" s="157"/>
      <c r="CH139" s="157"/>
      <c r="CI139" s="157"/>
      <c r="CJ139" s="158"/>
      <c r="CK139" s="158"/>
      <c r="CL139" s="158"/>
      <c r="CM139" s="158"/>
      <c r="CN139" s="158"/>
      <c r="CO139" s="158"/>
      <c r="CP139" s="158"/>
      <c r="CQ139" s="158"/>
      <c r="CR139" s="158"/>
      <c r="CS139" s="158"/>
    </row>
    <row r="140" spans="1:97" hidden="1">
      <c r="A140" s="175"/>
      <c r="B140" s="197"/>
      <c r="C140" s="157"/>
      <c r="D140" s="157"/>
      <c r="E140" s="157"/>
      <c r="F140" s="157"/>
      <c r="G140" s="157"/>
      <c r="H140" s="158"/>
      <c r="I140" s="158"/>
      <c r="J140" s="158"/>
      <c r="K140" s="158"/>
      <c r="L140" s="158"/>
      <c r="M140" s="157"/>
      <c r="N140" s="157"/>
      <c r="O140" s="157"/>
      <c r="P140" s="157"/>
      <c r="Q140" s="157"/>
      <c r="R140" s="158"/>
      <c r="S140" s="158"/>
      <c r="T140" s="158"/>
      <c r="U140" s="158"/>
      <c r="V140" s="158"/>
      <c r="W140" s="157"/>
      <c r="X140" s="157"/>
      <c r="Y140" s="157"/>
      <c r="Z140" s="157"/>
      <c r="AA140" s="157"/>
      <c r="AB140" s="158"/>
      <c r="AC140" s="158"/>
      <c r="AD140" s="158"/>
      <c r="AE140" s="158"/>
      <c r="AF140" s="158"/>
      <c r="AG140" s="157"/>
      <c r="AH140" s="157"/>
      <c r="AI140" s="157"/>
      <c r="AJ140" s="157"/>
      <c r="AK140" s="157"/>
      <c r="AL140" s="158"/>
      <c r="AM140" s="158"/>
      <c r="AN140" s="158"/>
      <c r="AO140" s="158"/>
      <c r="AP140" s="158"/>
      <c r="AQ140" s="157"/>
      <c r="AR140" s="157"/>
      <c r="AS140" s="157"/>
      <c r="AT140" s="157"/>
      <c r="AU140" s="157"/>
      <c r="AV140" s="158"/>
      <c r="AW140" s="158"/>
      <c r="AX140" s="158"/>
      <c r="AY140" s="158"/>
      <c r="AZ140" s="158"/>
      <c r="BA140" s="157"/>
      <c r="BB140" s="157"/>
      <c r="BC140" s="157"/>
      <c r="BD140" s="157"/>
      <c r="BE140" s="157"/>
      <c r="BF140" s="158"/>
      <c r="BG140" s="158"/>
      <c r="BH140" s="158"/>
      <c r="BI140" s="158"/>
      <c r="BJ140" s="158"/>
      <c r="BK140" s="157"/>
      <c r="BL140" s="157"/>
      <c r="BM140" s="157"/>
      <c r="BN140" s="157"/>
      <c r="BO140" s="157"/>
      <c r="BP140" s="158"/>
      <c r="BQ140" s="158"/>
      <c r="BR140" s="158"/>
      <c r="BS140" s="158"/>
      <c r="BT140" s="158"/>
      <c r="BU140" s="157"/>
      <c r="BV140" s="157"/>
      <c r="BW140" s="157"/>
      <c r="BX140" s="157"/>
      <c r="BY140" s="157"/>
      <c r="BZ140" s="158"/>
      <c r="CA140" s="158"/>
      <c r="CB140" s="158"/>
      <c r="CC140" s="158"/>
      <c r="CD140" s="158"/>
      <c r="CE140" s="157"/>
      <c r="CF140" s="157"/>
      <c r="CG140" s="157"/>
      <c r="CH140" s="157"/>
      <c r="CI140" s="157"/>
      <c r="CJ140" s="158"/>
      <c r="CK140" s="158"/>
      <c r="CL140" s="158"/>
      <c r="CM140" s="158"/>
      <c r="CN140" s="158"/>
      <c r="CO140" s="158"/>
      <c r="CP140" s="158"/>
      <c r="CQ140" s="158"/>
      <c r="CR140" s="158"/>
      <c r="CS140" s="158"/>
    </row>
    <row r="141" spans="1:97" hidden="1">
      <c r="A141" s="175"/>
      <c r="B141" s="197"/>
      <c r="C141" s="157"/>
      <c r="D141" s="157"/>
      <c r="E141" s="157"/>
      <c r="F141" s="157"/>
      <c r="G141" s="157"/>
      <c r="H141" s="158"/>
      <c r="I141" s="158"/>
      <c r="J141" s="158"/>
      <c r="K141" s="158"/>
      <c r="L141" s="158"/>
      <c r="M141" s="157"/>
      <c r="N141" s="157"/>
      <c r="O141" s="157"/>
      <c r="P141" s="157"/>
      <c r="Q141" s="157"/>
      <c r="R141" s="158"/>
      <c r="S141" s="158"/>
      <c r="T141" s="158"/>
      <c r="U141" s="158"/>
      <c r="V141" s="158"/>
      <c r="W141" s="157"/>
      <c r="X141" s="157"/>
      <c r="Y141" s="157"/>
      <c r="Z141" s="157"/>
      <c r="AA141" s="157"/>
      <c r="AB141" s="158"/>
      <c r="AC141" s="158"/>
      <c r="AD141" s="158"/>
      <c r="AE141" s="158"/>
      <c r="AF141" s="158"/>
      <c r="AG141" s="157"/>
      <c r="AH141" s="157"/>
      <c r="AI141" s="157"/>
      <c r="AJ141" s="157"/>
      <c r="AK141" s="157"/>
      <c r="AL141" s="158"/>
      <c r="AM141" s="158"/>
      <c r="AN141" s="158"/>
      <c r="AO141" s="158"/>
      <c r="AP141" s="158"/>
      <c r="AQ141" s="157"/>
      <c r="AR141" s="157"/>
      <c r="AS141" s="157"/>
      <c r="AT141" s="157"/>
      <c r="AU141" s="157"/>
      <c r="AV141" s="158"/>
      <c r="AW141" s="158"/>
      <c r="AX141" s="158"/>
      <c r="AY141" s="158"/>
      <c r="AZ141" s="158"/>
      <c r="BA141" s="157"/>
      <c r="BB141" s="157"/>
      <c r="BC141" s="157"/>
      <c r="BD141" s="157"/>
      <c r="BE141" s="157"/>
      <c r="BF141" s="158"/>
      <c r="BG141" s="158"/>
      <c r="BH141" s="158"/>
      <c r="BI141" s="158"/>
      <c r="BJ141" s="158"/>
      <c r="BK141" s="157"/>
      <c r="BL141" s="157"/>
      <c r="BM141" s="157"/>
      <c r="BN141" s="157"/>
      <c r="BO141" s="157"/>
      <c r="BP141" s="158"/>
      <c r="BQ141" s="158"/>
      <c r="BR141" s="158"/>
      <c r="BS141" s="158"/>
      <c r="BT141" s="158"/>
      <c r="BU141" s="157"/>
      <c r="BV141" s="157"/>
      <c r="BW141" s="157"/>
      <c r="BX141" s="157"/>
      <c r="BY141" s="157"/>
      <c r="BZ141" s="158"/>
      <c r="CA141" s="158"/>
      <c r="CB141" s="158"/>
      <c r="CC141" s="158"/>
      <c r="CD141" s="158"/>
      <c r="CE141" s="157"/>
      <c r="CF141" s="157"/>
      <c r="CG141" s="157"/>
      <c r="CH141" s="157"/>
      <c r="CI141" s="157"/>
      <c r="CJ141" s="158"/>
      <c r="CK141" s="158"/>
      <c r="CL141" s="158"/>
      <c r="CM141" s="158"/>
      <c r="CN141" s="158"/>
      <c r="CO141" s="158"/>
      <c r="CP141" s="158"/>
      <c r="CQ141" s="158"/>
      <c r="CR141" s="158"/>
      <c r="CS141" s="158"/>
    </row>
    <row r="142" spans="1:97" hidden="1">
      <c r="A142" s="175"/>
      <c r="B142" s="197"/>
      <c r="C142" s="157"/>
      <c r="D142" s="157"/>
      <c r="E142" s="157"/>
      <c r="F142" s="157"/>
      <c r="G142" s="157"/>
      <c r="H142" s="158"/>
      <c r="I142" s="158"/>
      <c r="J142" s="158"/>
      <c r="K142" s="158"/>
      <c r="L142" s="158"/>
      <c r="M142" s="157"/>
      <c r="N142" s="157"/>
      <c r="O142" s="157"/>
      <c r="P142" s="157"/>
      <c r="Q142" s="157"/>
      <c r="R142" s="158"/>
      <c r="S142" s="158"/>
      <c r="T142" s="158"/>
      <c r="U142" s="158"/>
      <c r="V142" s="158"/>
      <c r="W142" s="157"/>
      <c r="X142" s="157"/>
      <c r="Y142" s="157"/>
      <c r="Z142" s="157"/>
      <c r="AA142" s="157"/>
      <c r="AB142" s="158"/>
      <c r="AC142" s="158"/>
      <c r="AD142" s="158"/>
      <c r="AE142" s="158"/>
      <c r="AF142" s="158"/>
      <c r="AG142" s="157"/>
      <c r="AH142" s="157"/>
      <c r="AI142" s="157"/>
      <c r="AJ142" s="157"/>
      <c r="AK142" s="157"/>
      <c r="AL142" s="158"/>
      <c r="AM142" s="158"/>
      <c r="AN142" s="158"/>
      <c r="AO142" s="158"/>
      <c r="AP142" s="158"/>
      <c r="AQ142" s="157"/>
      <c r="AR142" s="157"/>
      <c r="AS142" s="157"/>
      <c r="AT142" s="157"/>
      <c r="AU142" s="157"/>
      <c r="AV142" s="158"/>
      <c r="AW142" s="158"/>
      <c r="AX142" s="158"/>
      <c r="AY142" s="158"/>
      <c r="AZ142" s="158"/>
      <c r="BA142" s="157"/>
      <c r="BB142" s="157"/>
      <c r="BC142" s="157"/>
      <c r="BD142" s="157"/>
      <c r="BE142" s="157"/>
      <c r="BF142" s="158"/>
      <c r="BG142" s="158"/>
      <c r="BH142" s="158"/>
      <c r="BI142" s="158"/>
      <c r="BJ142" s="158"/>
      <c r="BK142" s="157"/>
      <c r="BL142" s="157"/>
      <c r="BM142" s="157"/>
      <c r="BN142" s="157"/>
      <c r="BO142" s="157"/>
      <c r="BP142" s="158"/>
      <c r="BQ142" s="158"/>
      <c r="BR142" s="158"/>
      <c r="BS142" s="158"/>
      <c r="BT142" s="158"/>
      <c r="BU142" s="157"/>
      <c r="BV142" s="157"/>
      <c r="BW142" s="157"/>
      <c r="BX142" s="157"/>
      <c r="BY142" s="157"/>
      <c r="BZ142" s="158"/>
      <c r="CA142" s="158"/>
      <c r="CB142" s="158"/>
      <c r="CC142" s="158"/>
      <c r="CD142" s="158"/>
      <c r="CE142" s="157"/>
      <c r="CF142" s="157"/>
      <c r="CG142" s="157"/>
      <c r="CH142" s="157"/>
      <c r="CI142" s="157"/>
      <c r="CJ142" s="158"/>
      <c r="CK142" s="158"/>
      <c r="CL142" s="158"/>
      <c r="CM142" s="158"/>
      <c r="CN142" s="158"/>
      <c r="CO142" s="158"/>
      <c r="CP142" s="158"/>
      <c r="CQ142" s="158"/>
      <c r="CR142" s="158"/>
      <c r="CS142" s="158"/>
    </row>
    <row r="143" spans="1:97">
      <c r="A143" s="199"/>
      <c r="B143" s="200" t="s">
        <v>511</v>
      </c>
      <c r="C143" s="201">
        <f t="shared" ref="C143:AH143" si="152">SUM(C5:C142)</f>
        <v>0</v>
      </c>
      <c r="D143" s="201">
        <f t="shared" si="152"/>
        <v>0</v>
      </c>
      <c r="E143" s="201">
        <f t="shared" si="152"/>
        <v>0</v>
      </c>
      <c r="F143" s="201">
        <f t="shared" si="152"/>
        <v>0</v>
      </c>
      <c r="G143" s="201">
        <f t="shared" si="152"/>
        <v>0</v>
      </c>
      <c r="H143" s="201">
        <f t="shared" si="152"/>
        <v>0</v>
      </c>
      <c r="I143" s="201">
        <f t="shared" si="152"/>
        <v>0</v>
      </c>
      <c r="J143" s="201">
        <f t="shared" si="152"/>
        <v>0</v>
      </c>
      <c r="K143" s="201">
        <f t="shared" si="152"/>
        <v>0</v>
      </c>
      <c r="L143" s="201">
        <f t="shared" si="152"/>
        <v>0</v>
      </c>
      <c r="M143" s="201">
        <f t="shared" si="152"/>
        <v>0</v>
      </c>
      <c r="N143" s="201">
        <f t="shared" si="152"/>
        <v>0</v>
      </c>
      <c r="O143" s="201">
        <f t="shared" si="152"/>
        <v>0</v>
      </c>
      <c r="P143" s="201">
        <f t="shared" si="152"/>
        <v>0</v>
      </c>
      <c r="Q143" s="201">
        <f t="shared" si="152"/>
        <v>0</v>
      </c>
      <c r="R143" s="201">
        <f t="shared" si="152"/>
        <v>0</v>
      </c>
      <c r="S143" s="201">
        <f t="shared" si="152"/>
        <v>0</v>
      </c>
      <c r="T143" s="201">
        <f t="shared" si="152"/>
        <v>0</v>
      </c>
      <c r="U143" s="201">
        <f t="shared" si="152"/>
        <v>0</v>
      </c>
      <c r="V143" s="201">
        <f t="shared" si="152"/>
        <v>0</v>
      </c>
      <c r="W143" s="201">
        <f t="shared" si="152"/>
        <v>0</v>
      </c>
      <c r="X143" s="201">
        <f t="shared" si="152"/>
        <v>0</v>
      </c>
      <c r="Y143" s="201">
        <f t="shared" si="152"/>
        <v>0</v>
      </c>
      <c r="Z143" s="201">
        <f t="shared" si="152"/>
        <v>0</v>
      </c>
      <c r="AA143" s="201">
        <f t="shared" si="152"/>
        <v>0</v>
      </c>
      <c r="AB143" s="201">
        <f t="shared" si="152"/>
        <v>0</v>
      </c>
      <c r="AC143" s="201">
        <f t="shared" si="152"/>
        <v>0</v>
      </c>
      <c r="AD143" s="201">
        <f t="shared" si="152"/>
        <v>0</v>
      </c>
      <c r="AE143" s="201">
        <f t="shared" si="152"/>
        <v>0</v>
      </c>
      <c r="AF143" s="201">
        <f t="shared" si="152"/>
        <v>0</v>
      </c>
      <c r="AG143" s="201">
        <f t="shared" si="152"/>
        <v>0</v>
      </c>
      <c r="AH143" s="201">
        <f t="shared" si="152"/>
        <v>0</v>
      </c>
      <c r="AI143" s="201">
        <f t="shared" ref="AI143:BN143" si="153">SUM(AI5:AI142)</f>
        <v>0</v>
      </c>
      <c r="AJ143" s="201">
        <f t="shared" si="153"/>
        <v>0</v>
      </c>
      <c r="AK143" s="201">
        <f t="shared" si="153"/>
        <v>0</v>
      </c>
      <c r="AL143" s="201">
        <f t="shared" si="153"/>
        <v>0</v>
      </c>
      <c r="AM143" s="201">
        <f t="shared" si="153"/>
        <v>0</v>
      </c>
      <c r="AN143" s="201">
        <f t="shared" si="153"/>
        <v>0</v>
      </c>
      <c r="AO143" s="201">
        <f t="shared" si="153"/>
        <v>0</v>
      </c>
      <c r="AP143" s="201">
        <f t="shared" si="153"/>
        <v>0</v>
      </c>
      <c r="AQ143" s="201">
        <f t="shared" si="153"/>
        <v>0</v>
      </c>
      <c r="AR143" s="201">
        <f t="shared" si="153"/>
        <v>0</v>
      </c>
      <c r="AS143" s="201">
        <f t="shared" si="153"/>
        <v>0</v>
      </c>
      <c r="AT143" s="201">
        <f t="shared" si="153"/>
        <v>0</v>
      </c>
      <c r="AU143" s="201">
        <f t="shared" si="153"/>
        <v>0</v>
      </c>
      <c r="AV143" s="201">
        <f t="shared" si="153"/>
        <v>0</v>
      </c>
      <c r="AW143" s="201">
        <f t="shared" si="153"/>
        <v>0</v>
      </c>
      <c r="AX143" s="201">
        <f t="shared" si="153"/>
        <v>0</v>
      </c>
      <c r="AY143" s="201">
        <f t="shared" si="153"/>
        <v>0</v>
      </c>
      <c r="AZ143" s="201">
        <f t="shared" si="153"/>
        <v>0</v>
      </c>
      <c r="BA143" s="201">
        <f t="shared" si="153"/>
        <v>0</v>
      </c>
      <c r="BB143" s="201">
        <f t="shared" si="153"/>
        <v>0</v>
      </c>
      <c r="BC143" s="201">
        <f t="shared" si="153"/>
        <v>0</v>
      </c>
      <c r="BD143" s="201">
        <f t="shared" si="153"/>
        <v>0</v>
      </c>
      <c r="BE143" s="201">
        <f t="shared" si="153"/>
        <v>0</v>
      </c>
      <c r="BF143" s="201">
        <f t="shared" si="153"/>
        <v>0</v>
      </c>
      <c r="BG143" s="201">
        <f t="shared" si="153"/>
        <v>0</v>
      </c>
      <c r="BH143" s="201">
        <f t="shared" si="153"/>
        <v>0</v>
      </c>
      <c r="BI143" s="201">
        <f t="shared" si="153"/>
        <v>0</v>
      </c>
      <c r="BJ143" s="201">
        <f t="shared" si="153"/>
        <v>0</v>
      </c>
      <c r="BK143" s="201">
        <f t="shared" si="153"/>
        <v>0</v>
      </c>
      <c r="BL143" s="201">
        <f t="shared" si="153"/>
        <v>0</v>
      </c>
      <c r="BM143" s="201">
        <f t="shared" si="153"/>
        <v>0</v>
      </c>
      <c r="BN143" s="201">
        <f t="shared" si="153"/>
        <v>0</v>
      </c>
      <c r="BO143" s="201">
        <f t="shared" ref="BO143:CS143" si="154">SUM(BO5:BO142)</f>
        <v>0</v>
      </c>
      <c r="BP143" s="201">
        <f t="shared" si="154"/>
        <v>0</v>
      </c>
      <c r="BQ143" s="201">
        <f t="shared" si="154"/>
        <v>0</v>
      </c>
      <c r="BR143" s="201">
        <f t="shared" si="154"/>
        <v>0</v>
      </c>
      <c r="BS143" s="201">
        <f t="shared" si="154"/>
        <v>0</v>
      </c>
      <c r="BT143" s="201">
        <f t="shared" si="154"/>
        <v>0</v>
      </c>
      <c r="BU143" s="201">
        <f t="shared" si="154"/>
        <v>0</v>
      </c>
      <c r="BV143" s="201">
        <f t="shared" si="154"/>
        <v>0</v>
      </c>
      <c r="BW143" s="201">
        <f t="shared" si="154"/>
        <v>0</v>
      </c>
      <c r="BX143" s="201">
        <f t="shared" si="154"/>
        <v>0</v>
      </c>
      <c r="BY143" s="201">
        <f t="shared" si="154"/>
        <v>0</v>
      </c>
      <c r="BZ143" s="201">
        <f t="shared" si="154"/>
        <v>0</v>
      </c>
      <c r="CA143" s="201">
        <f t="shared" si="154"/>
        <v>0</v>
      </c>
      <c r="CB143" s="201">
        <f t="shared" si="154"/>
        <v>0</v>
      </c>
      <c r="CC143" s="201">
        <f t="shared" si="154"/>
        <v>0</v>
      </c>
      <c r="CD143" s="201">
        <f t="shared" si="154"/>
        <v>0</v>
      </c>
      <c r="CE143" s="201">
        <f t="shared" si="154"/>
        <v>0</v>
      </c>
      <c r="CF143" s="201">
        <f t="shared" si="154"/>
        <v>0</v>
      </c>
      <c r="CG143" s="201">
        <f t="shared" si="154"/>
        <v>0</v>
      </c>
      <c r="CH143" s="201">
        <f t="shared" si="154"/>
        <v>0</v>
      </c>
      <c r="CI143" s="201">
        <f t="shared" si="154"/>
        <v>0</v>
      </c>
      <c r="CJ143" s="201">
        <f t="shared" si="154"/>
        <v>0</v>
      </c>
      <c r="CK143" s="201">
        <f t="shared" si="154"/>
        <v>0</v>
      </c>
      <c r="CL143" s="201">
        <f t="shared" si="154"/>
        <v>0</v>
      </c>
      <c r="CM143" s="201">
        <f t="shared" si="154"/>
        <v>0</v>
      </c>
      <c r="CN143" s="201">
        <f t="shared" si="154"/>
        <v>0</v>
      </c>
      <c r="CO143" s="201">
        <f t="shared" si="154"/>
        <v>0</v>
      </c>
      <c r="CP143" s="201">
        <f t="shared" si="154"/>
        <v>0</v>
      </c>
      <c r="CQ143" s="201">
        <f t="shared" si="154"/>
        <v>0</v>
      </c>
      <c r="CR143" s="201">
        <f t="shared" si="154"/>
        <v>0</v>
      </c>
      <c r="CS143" s="201">
        <f t="shared" si="154"/>
        <v>0</v>
      </c>
    </row>
    <row r="144" spans="1:97">
      <c r="H144" s="98">
        <f>+H143-'A0 BS 1240在建'!J66</f>
        <v>-6288448</v>
      </c>
      <c r="I144" s="98" t="e">
        <f>+I143-'B0 2264預收'!#REF!</f>
        <v>#REF!</v>
      </c>
      <c r="K144" s="98" t="e">
        <f>+K143-'B0 2264預收'!#REF!</f>
        <v>#REF!</v>
      </c>
    </row>
    <row r="145" spans="1:97">
      <c r="C145" s="98">
        <f>+C143-'A0 BS 1240在建'!F66</f>
        <v>-168593031</v>
      </c>
      <c r="D145" s="98" t="e">
        <f>+D143-'B0 2264預收'!#REF!</f>
        <v>#REF!</v>
      </c>
      <c r="E145" s="98">
        <f>+C143-D143-E143</f>
        <v>0</v>
      </c>
      <c r="F145" s="98" t="e">
        <f>+F143-'B0 2264預收'!#REF!</f>
        <v>#REF!</v>
      </c>
      <c r="G145" s="98">
        <f>+E143-F143-G143</f>
        <v>0</v>
      </c>
      <c r="H145" s="98">
        <f>+'Over Under Bill 1 COPY 到CO欄位'!H143-'Over Under Bill 1 COPY 到CO欄位'!C143-H143</f>
        <v>0</v>
      </c>
      <c r="I145" s="98">
        <f>+'Over Under Bill 1 COPY 到CO欄位'!I143-'Over Under Bill 1 COPY 到CO欄位'!D143-I143</f>
        <v>0</v>
      </c>
      <c r="J145" s="98">
        <f>+'Over Under Bill 1 COPY 到CO欄位'!J143-'Over Under Bill 1 COPY 到CO欄位'!E143-J143</f>
        <v>0</v>
      </c>
      <c r="K145" s="98">
        <f>+'Over Under Bill 1 COPY 到CO欄位'!K143-'Over Under Bill 1 COPY 到CO欄位'!F143-K143</f>
        <v>0</v>
      </c>
      <c r="L145" s="98">
        <f>+'Over Under Bill 1 COPY 到CO欄位'!L143-'Over Under Bill 1 COPY 到CO欄位'!G143-L143</f>
        <v>0</v>
      </c>
      <c r="M145" s="98">
        <f>+'Over Under Bill 1 COPY 到CO欄位'!M143-'Over Under Bill 1 COPY 到CO欄位'!H143-M143</f>
        <v>0</v>
      </c>
      <c r="N145" s="98">
        <f>+'Over Under Bill 1 COPY 到CO欄位'!N143-'Over Under Bill 1 COPY 到CO欄位'!I143-N143</f>
        <v>0</v>
      </c>
      <c r="O145" s="98">
        <f>+'Over Under Bill 1 COPY 到CO欄位'!O143-'Over Under Bill 1 COPY 到CO欄位'!J143-O143</f>
        <v>0</v>
      </c>
      <c r="P145" s="98">
        <f>+'Over Under Bill 1 COPY 到CO欄位'!P143-'Over Under Bill 1 COPY 到CO欄位'!K143-P143</f>
        <v>0</v>
      </c>
      <c r="Q145" s="98">
        <f>+'Over Under Bill 1 COPY 到CO欄位'!Q143-'Over Under Bill 1 COPY 到CO欄位'!L143-Q143</f>
        <v>0</v>
      </c>
      <c r="R145" s="98">
        <f>+'Over Under Bill 1 COPY 到CO欄位'!R143-'Over Under Bill 1 COPY 到CO欄位'!M143-R143</f>
        <v>0</v>
      </c>
      <c r="S145" s="98">
        <f>+'Over Under Bill 1 COPY 到CO欄位'!S143-'Over Under Bill 1 COPY 到CO欄位'!N143-S143</f>
        <v>0</v>
      </c>
      <c r="T145" s="98">
        <f>+'Over Under Bill 1 COPY 到CO欄位'!T143-'Over Under Bill 1 COPY 到CO欄位'!O143-T143</f>
        <v>0</v>
      </c>
      <c r="U145" s="98">
        <f>+'Over Under Bill 1 COPY 到CO欄位'!U143-'Over Under Bill 1 COPY 到CO欄位'!P143-U143</f>
        <v>0</v>
      </c>
      <c r="V145" s="98">
        <f>+'Over Under Bill 1 COPY 到CO欄位'!V143-'Over Under Bill 1 COPY 到CO欄位'!Q143-V143</f>
        <v>0</v>
      </c>
      <c r="W145" s="98">
        <f>+'Over Under Bill 1 COPY 到CO欄位'!W143-'Over Under Bill 1 COPY 到CO欄位'!R143-W143</f>
        <v>0</v>
      </c>
      <c r="X145" s="98">
        <f>+'Over Under Bill 1 COPY 到CO欄位'!X143-'Over Under Bill 1 COPY 到CO欄位'!S143-X143</f>
        <v>0</v>
      </c>
      <c r="Y145" s="98">
        <f>+'Over Under Bill 1 COPY 到CO欄位'!Y143-'Over Under Bill 1 COPY 到CO欄位'!T143-Y143</f>
        <v>0</v>
      </c>
      <c r="Z145" s="98">
        <f>+'Over Under Bill 1 COPY 到CO欄位'!Z143-'Over Under Bill 1 COPY 到CO欄位'!U143-Z143</f>
        <v>0</v>
      </c>
      <c r="AA145" s="98">
        <f>+'Over Under Bill 1 COPY 到CO欄位'!AA143-'Over Under Bill 1 COPY 到CO欄位'!V143-AA143</f>
        <v>0</v>
      </c>
      <c r="AB145" s="98">
        <f>+'Over Under Bill 1 COPY 到CO欄位'!AB143-'Over Under Bill 1 COPY 到CO欄位'!W143-AB143</f>
        <v>0</v>
      </c>
      <c r="AC145" s="98">
        <f>+'Over Under Bill 1 COPY 到CO欄位'!AC143-'Over Under Bill 1 COPY 到CO欄位'!X143-AC143</f>
        <v>0</v>
      </c>
      <c r="AD145" s="98">
        <f>+'Over Under Bill 1 COPY 到CO欄位'!AD143-'Over Under Bill 1 COPY 到CO欄位'!Y143-AD143</f>
        <v>0</v>
      </c>
      <c r="AE145" s="98">
        <f>+'Over Under Bill 1 COPY 到CO欄位'!AE143-'Over Under Bill 1 COPY 到CO欄位'!Z143-AE143</f>
        <v>0</v>
      </c>
      <c r="AF145" s="98">
        <f>+'Over Under Bill 1 COPY 到CO欄位'!AF143-'Over Under Bill 1 COPY 到CO欄位'!AA143-AF143</f>
        <v>0</v>
      </c>
      <c r="AG145" s="98">
        <f>+'Over Under Bill 1 COPY 到CO欄位'!AG143-'Over Under Bill 1 COPY 到CO欄位'!AB143-AG143</f>
        <v>0</v>
      </c>
      <c r="AH145" s="98">
        <f>+'Over Under Bill 1 COPY 到CO欄位'!AH143-'Over Under Bill 1 COPY 到CO欄位'!AC143-AH143</f>
        <v>0</v>
      </c>
      <c r="AI145" s="98">
        <f>+'Over Under Bill 1 COPY 到CO欄位'!AI143-'Over Under Bill 1 COPY 到CO欄位'!AD143-AI143</f>
        <v>0</v>
      </c>
      <c r="AJ145" s="98">
        <f>+'Over Under Bill 1 COPY 到CO欄位'!AJ143-'Over Under Bill 1 COPY 到CO欄位'!AE143-AJ143</f>
        <v>0</v>
      </c>
      <c r="AK145" s="98">
        <f>+'Over Under Bill 1 COPY 到CO欄位'!AK143-'Over Under Bill 1 COPY 到CO欄位'!AF143-AK143</f>
        <v>0</v>
      </c>
      <c r="AL145" s="98">
        <f>+'Over Under Bill 1 COPY 到CO欄位'!AL143-'Over Under Bill 1 COPY 到CO欄位'!AG143-AL143</f>
        <v>0</v>
      </c>
      <c r="AM145" s="98">
        <f>+'Over Under Bill 1 COPY 到CO欄位'!AM143-'Over Under Bill 1 COPY 到CO欄位'!AH143-AM143</f>
        <v>0</v>
      </c>
      <c r="AN145" s="98">
        <f>+'Over Under Bill 1 COPY 到CO欄位'!AN143-'Over Under Bill 1 COPY 到CO欄位'!AI143-AN143</f>
        <v>0</v>
      </c>
      <c r="AO145" s="98">
        <f>+'Over Under Bill 1 COPY 到CO欄位'!AO143-'Over Under Bill 1 COPY 到CO欄位'!AJ143-AO143</f>
        <v>0</v>
      </c>
      <c r="AP145" s="98">
        <f>+'Over Under Bill 1 COPY 到CO欄位'!AP143-'Over Under Bill 1 COPY 到CO欄位'!AK143-AP143</f>
        <v>0</v>
      </c>
      <c r="AQ145" s="98">
        <f>+'Over Under Bill 1 COPY 到CO欄位'!AQ143-'Over Under Bill 1 COPY 到CO欄位'!AL143-AQ143</f>
        <v>0</v>
      </c>
      <c r="AR145" s="98">
        <f>+'Over Under Bill 1 COPY 到CO欄位'!AR143-'Over Under Bill 1 COPY 到CO欄位'!AM143-AR143</f>
        <v>0</v>
      </c>
      <c r="AS145" s="98">
        <f>+'Over Under Bill 1 COPY 到CO欄位'!AS143-'Over Under Bill 1 COPY 到CO欄位'!AN143-AS143</f>
        <v>0</v>
      </c>
      <c r="AT145" s="98">
        <f>+'Over Under Bill 1 COPY 到CO欄位'!AT143-'Over Under Bill 1 COPY 到CO欄位'!AO143-AT143</f>
        <v>0</v>
      </c>
      <c r="AU145" s="98">
        <f>+'Over Under Bill 1 COPY 到CO欄位'!AU143-'Over Under Bill 1 COPY 到CO欄位'!AP143-AU143</f>
        <v>0</v>
      </c>
      <c r="AV145" s="98">
        <f>+'Over Under Bill 1 COPY 到CO欄位'!AV143-'Over Under Bill 1 COPY 到CO欄位'!AQ143-AV143</f>
        <v>0</v>
      </c>
      <c r="AW145" s="98">
        <f>+'Over Under Bill 1 COPY 到CO欄位'!AW143-'Over Under Bill 1 COPY 到CO欄位'!AR143-AW143</f>
        <v>0</v>
      </c>
      <c r="AX145" s="98">
        <f>+'Over Under Bill 1 COPY 到CO欄位'!AX143-'Over Under Bill 1 COPY 到CO欄位'!AS143-AX143</f>
        <v>0</v>
      </c>
      <c r="AY145" s="98">
        <f>+'Over Under Bill 1 COPY 到CO欄位'!AY143-'Over Under Bill 1 COPY 到CO欄位'!AT143-AY143</f>
        <v>0</v>
      </c>
      <c r="AZ145" s="98">
        <f>+'Over Under Bill 1 COPY 到CO欄位'!AZ143-'Over Under Bill 1 COPY 到CO欄位'!AU143-AZ143</f>
        <v>0</v>
      </c>
      <c r="BA145" s="98">
        <f>+'Over Under Bill 1 COPY 到CO欄位'!BA143-'Over Under Bill 1 COPY 到CO欄位'!AV143-BA143</f>
        <v>0</v>
      </c>
      <c r="BB145" s="98">
        <f>+'Over Under Bill 1 COPY 到CO欄位'!BB143-'Over Under Bill 1 COPY 到CO欄位'!AW143-BB143</f>
        <v>0</v>
      </c>
      <c r="BC145" s="98">
        <f>+'Over Under Bill 1 COPY 到CO欄位'!BC143-'Over Under Bill 1 COPY 到CO欄位'!AX143-BC143</f>
        <v>0</v>
      </c>
      <c r="BD145" s="98">
        <f>+'Over Under Bill 1 COPY 到CO欄位'!BD143-'Over Under Bill 1 COPY 到CO欄位'!AY143-BD143</f>
        <v>0</v>
      </c>
      <c r="BE145" s="98">
        <f>+'Over Under Bill 1 COPY 到CO欄位'!BE143-'Over Under Bill 1 COPY 到CO欄位'!AZ143-BE143</f>
        <v>0</v>
      </c>
      <c r="BF145" s="98">
        <f>+'Over Under Bill 1 COPY 到CO欄位'!BF143-'Over Under Bill 1 COPY 到CO欄位'!BA143-BF143</f>
        <v>0</v>
      </c>
      <c r="BG145" s="98">
        <f>+'Over Under Bill 1 COPY 到CO欄位'!BG143-'Over Under Bill 1 COPY 到CO欄位'!BB143-BG143</f>
        <v>0</v>
      </c>
      <c r="BH145" s="98">
        <f>+'Over Under Bill 1 COPY 到CO欄位'!BH143-'Over Under Bill 1 COPY 到CO欄位'!BC143-BH143</f>
        <v>0</v>
      </c>
      <c r="BI145" s="98">
        <f>+'Over Under Bill 1 COPY 到CO欄位'!BI143-'Over Under Bill 1 COPY 到CO欄位'!BD143-BI143</f>
        <v>0</v>
      </c>
      <c r="BJ145" s="98">
        <f>+'Over Under Bill 1 COPY 到CO欄位'!BJ143-'Over Under Bill 1 COPY 到CO欄位'!BE143-BJ143</f>
        <v>0</v>
      </c>
      <c r="BK145" s="98">
        <f>+'Over Under Bill 1 COPY 到CO欄位'!BK143-'Over Under Bill 1 COPY 到CO欄位'!BF143-BK143</f>
        <v>0</v>
      </c>
      <c r="BL145" s="98">
        <f>+'Over Under Bill 1 COPY 到CO欄位'!BL143-'Over Under Bill 1 COPY 到CO欄位'!BG143-BL143</f>
        <v>0</v>
      </c>
      <c r="BM145" s="98">
        <f>+'Over Under Bill 1 COPY 到CO欄位'!BM143-'Over Under Bill 1 COPY 到CO欄位'!BH143-BM143</f>
        <v>0</v>
      </c>
      <c r="BN145" s="98">
        <f>+'Over Under Bill 1 COPY 到CO欄位'!BN143-'Over Under Bill 1 COPY 到CO欄位'!BI143-BN143</f>
        <v>0</v>
      </c>
      <c r="BO145" s="98">
        <f>+'Over Under Bill 1 COPY 到CO欄位'!BO143-'Over Under Bill 1 COPY 到CO欄位'!BJ143-BO143</f>
        <v>0</v>
      </c>
      <c r="BP145" s="98">
        <f>+'Over Under Bill 1 COPY 到CO欄位'!BP143-'Over Under Bill 1 COPY 到CO欄位'!BK143-BP143</f>
        <v>0</v>
      </c>
      <c r="BQ145" s="98">
        <f>+'Over Under Bill 1 COPY 到CO欄位'!BQ143-'Over Under Bill 1 COPY 到CO欄位'!BL143-BQ143</f>
        <v>0</v>
      </c>
      <c r="BR145" s="98">
        <f>+'Over Under Bill 1 COPY 到CO欄位'!BR143-'Over Under Bill 1 COPY 到CO欄位'!BM143-BR143</f>
        <v>0</v>
      </c>
      <c r="BS145" s="98">
        <f>+'Over Under Bill 1 COPY 到CO欄位'!BS143-'Over Under Bill 1 COPY 到CO欄位'!BN143-BS143</f>
        <v>0</v>
      </c>
      <c r="BT145" s="98">
        <f>+'Over Under Bill 1 COPY 到CO欄位'!BT143-'Over Under Bill 1 COPY 到CO欄位'!BO143-BT143</f>
        <v>0</v>
      </c>
      <c r="BU145" s="98">
        <f>+'Over Under Bill 1 COPY 到CO欄位'!BP143-'Over Under Bill 1 COPY 到CO欄位'!H143-BU143</f>
        <v>0</v>
      </c>
      <c r="BV145" s="98">
        <f>+'Over Under Bill 1 COPY 到CO欄位'!BQ143-'Over Under Bill 1 COPY 到CO欄位'!I143-BV143</f>
        <v>0</v>
      </c>
      <c r="BW145" s="98">
        <f>+'Over Under Bill 1 COPY 到CO欄位'!BR143-'Over Under Bill 1 COPY 到CO欄位'!J143-BW143</f>
        <v>0</v>
      </c>
      <c r="BX145" s="98">
        <f>+'Over Under Bill 1 COPY 到CO欄位'!BS143-'Over Under Bill 1 COPY 到CO欄位'!K143-BX143</f>
        <v>0</v>
      </c>
      <c r="BY145" s="98">
        <f>+'Over Under Bill 1 COPY 到CO欄位'!BT143-'Over Under Bill 1 COPY 到CO欄位'!L143-BY143</f>
        <v>0</v>
      </c>
      <c r="BZ145" s="98">
        <f>+'Over Under Bill 1 COPY 到CO欄位'!BU143-'Over Under Bill 1 COPY 到CO欄位'!BP143-BZ143</f>
        <v>0</v>
      </c>
      <c r="CA145" s="98">
        <f>+'Over Under Bill 1 COPY 到CO欄位'!BV143-'Over Under Bill 1 COPY 到CO欄位'!BQ143-CA143</f>
        <v>0</v>
      </c>
      <c r="CB145" s="98">
        <f>+'Over Under Bill 1 COPY 到CO欄位'!BW143-'Over Under Bill 1 COPY 到CO欄位'!BR143-CB143</f>
        <v>0</v>
      </c>
      <c r="CC145" s="98">
        <f>+'Over Under Bill 1 COPY 到CO欄位'!BX143-'Over Under Bill 1 COPY 到CO欄位'!BS143-CC143</f>
        <v>0</v>
      </c>
      <c r="CD145" s="98">
        <f>+'Over Under Bill 1 COPY 到CO欄位'!BY143-'Over Under Bill 1 COPY 到CO欄位'!BT143-CD143</f>
        <v>0</v>
      </c>
      <c r="CE145" s="98">
        <f>+'Over Under Bill 1 COPY 到CO欄位'!BZ143-'Over Under Bill 1 COPY 到CO欄位'!BU143-CE143</f>
        <v>0</v>
      </c>
      <c r="CF145" s="98">
        <f>+'Over Under Bill 1 COPY 到CO欄位'!CA143-'Over Under Bill 1 COPY 到CO欄位'!BV143-CF143</f>
        <v>0</v>
      </c>
      <c r="CG145" s="98">
        <f>+'Over Under Bill 1 COPY 到CO欄位'!CB143-'Over Under Bill 1 COPY 到CO欄位'!BW143-CG143</f>
        <v>0</v>
      </c>
      <c r="CH145" s="98">
        <f>+'Over Under Bill 1 COPY 到CO欄位'!CC143-'Over Under Bill 1 COPY 到CO欄位'!BX143-CH143</f>
        <v>0</v>
      </c>
      <c r="CI145" s="98">
        <f>+'Over Under Bill 1 COPY 到CO欄位'!CD143-'Over Under Bill 1 COPY 到CO欄位'!BY143-CI143</f>
        <v>0</v>
      </c>
      <c r="CJ145" s="98">
        <f>+'Over Under Bill 1 COPY 到CO欄位'!CE143-'Over Under Bill 1 COPY 到CO欄位'!BZ143-CJ143</f>
        <v>0</v>
      </c>
      <c r="CK145" s="98">
        <f>+'Over Under Bill 1 COPY 到CO欄位'!CF143-'Over Under Bill 1 COPY 到CO欄位'!CA143-CK143</f>
        <v>0</v>
      </c>
      <c r="CL145" s="98">
        <f>+'Over Under Bill 1 COPY 到CO欄位'!CG143-'Over Under Bill 1 COPY 到CO欄位'!CB143-CL143</f>
        <v>0</v>
      </c>
      <c r="CM145" s="98">
        <f>+'Over Under Bill 1 COPY 到CO欄位'!CH143-'Over Under Bill 1 COPY 到CO欄位'!CC143-CM143</f>
        <v>0</v>
      </c>
      <c r="CN145" s="98">
        <f>+'Over Under Bill 1 COPY 到CO欄位'!CI143-'Over Under Bill 1 COPY 到CO欄位'!CD143-CN143</f>
        <v>0</v>
      </c>
      <c r="CO145" s="98">
        <f>+'Over Under Bill 1 COPY 到CO欄位'!CJ143-'Over Under Bill 1 COPY 到CO欄位'!CE143-CO143</f>
        <v>0</v>
      </c>
      <c r="CP145" s="98">
        <f>+'Over Under Bill 1 COPY 到CO欄位'!CK143-'Over Under Bill 1 COPY 到CO欄位'!CF143-CP143</f>
        <v>0</v>
      </c>
      <c r="CQ145" s="98">
        <f>+'Over Under Bill 1 COPY 到CO欄位'!CL143-'Over Under Bill 1 COPY 到CO欄位'!CG143-CQ143</f>
        <v>0</v>
      </c>
      <c r="CR145" s="98">
        <f>+'Over Under Bill 1 COPY 到CO欄位'!CM143-'Over Under Bill 1 COPY 到CO欄位'!CH143-CR143</f>
        <v>0</v>
      </c>
      <c r="CS145" s="98">
        <f>+'Over Under Bill 1 COPY 到CO欄位'!CN143-'Over Under Bill 1 COPY 到CO欄位'!CI143-CS143</f>
        <v>0</v>
      </c>
    </row>
    <row r="146" spans="1:97">
      <c r="B146" s="189"/>
    </row>
    <row r="147" spans="1:97">
      <c r="B147" s="189"/>
      <c r="BR147" s="99"/>
    </row>
    <row r="148" spans="1:97">
      <c r="F148" s="105"/>
      <c r="BR148" s="99"/>
    </row>
    <row r="149" spans="1:97">
      <c r="F149" s="105"/>
      <c r="BR149" s="99"/>
    </row>
    <row r="150" spans="1:97">
      <c r="B150" s="202"/>
      <c r="F150" s="105"/>
      <c r="BR150" s="99"/>
    </row>
    <row r="151" spans="1:97">
      <c r="BR151" s="99"/>
    </row>
    <row r="152" spans="1:97">
      <c r="BR152" s="99"/>
    </row>
    <row r="153" spans="1:97">
      <c r="L153" s="103"/>
      <c r="O153" s="102"/>
      <c r="Q153" s="102"/>
      <c r="T153" s="102"/>
      <c r="V153" s="102"/>
      <c r="Y153" s="102"/>
      <c r="AA153" s="102"/>
      <c r="AD153" s="102"/>
      <c r="AF153" s="102"/>
      <c r="AI153" s="102"/>
      <c r="AK153" s="102"/>
      <c r="AN153" s="102"/>
      <c r="AP153" s="102"/>
      <c r="AS153" s="102"/>
      <c r="AU153" s="102"/>
      <c r="AX153" s="102"/>
      <c r="AZ153" s="102"/>
      <c r="BC153" s="102"/>
      <c r="BE153" s="102"/>
      <c r="BH153" s="102"/>
      <c r="BJ153" s="102"/>
      <c r="BM153" s="102"/>
      <c r="BO153" s="102"/>
      <c r="BR153" s="103"/>
      <c r="BT153" s="102"/>
      <c r="BW153" s="102"/>
      <c r="BY153" s="102"/>
      <c r="CB153" s="102"/>
      <c r="CD153" s="102"/>
      <c r="CG153" s="102"/>
      <c r="CI153" s="102"/>
      <c r="CL153" s="102"/>
      <c r="CN153" s="102"/>
    </row>
    <row r="154" spans="1:97">
      <c r="BR154" s="99"/>
    </row>
    <row r="155" spans="1:97">
      <c r="BR155" s="99"/>
    </row>
    <row r="156" spans="1:97">
      <c r="BR156" s="99"/>
    </row>
    <row r="157" spans="1:97">
      <c r="BR157" s="99"/>
    </row>
    <row r="158" spans="1:97">
      <c r="A158" s="193"/>
      <c r="B158" s="193"/>
    </row>
    <row r="159" spans="1:97">
      <c r="A159" s="194"/>
      <c r="B159" s="193"/>
    </row>
    <row r="160" spans="1:97">
      <c r="A160" s="193"/>
      <c r="B160" s="193"/>
    </row>
    <row r="161" spans="1:2">
      <c r="A161" s="194"/>
      <c r="B161" s="193"/>
    </row>
    <row r="162" spans="1:2">
      <c r="A162" s="193"/>
      <c r="B162" s="193"/>
    </row>
    <row r="163" spans="1:2">
      <c r="A163" s="193"/>
      <c r="B163" s="193"/>
    </row>
    <row r="164" spans="1:2">
      <c r="A164" s="193"/>
      <c r="B164" s="193"/>
    </row>
    <row r="165" spans="1:2">
      <c r="A165" s="193"/>
      <c r="B165" s="193"/>
    </row>
    <row r="166" spans="1:2">
      <c r="A166" s="193"/>
      <c r="B166" s="193"/>
    </row>
    <row r="167" spans="1:2">
      <c r="A167" s="193"/>
      <c r="B167" s="193"/>
    </row>
    <row r="168" spans="1:2">
      <c r="A168" s="193"/>
      <c r="B168" s="193"/>
    </row>
    <row r="169" spans="1:2">
      <c r="A169" s="194"/>
      <c r="B169" s="193"/>
    </row>
    <row r="170" spans="1:2">
      <c r="A170" s="194"/>
      <c r="B170" s="193"/>
    </row>
    <row r="171" spans="1:2">
      <c r="A171" s="193"/>
      <c r="B171" s="193"/>
    </row>
    <row r="172" spans="1:2">
      <c r="A172" s="193"/>
      <c r="B172" s="193"/>
    </row>
    <row r="173" spans="1:2">
      <c r="A173" s="193"/>
      <c r="B173" s="193"/>
    </row>
    <row r="174" spans="1:2">
      <c r="A174" s="193"/>
      <c r="B174" s="193"/>
    </row>
    <row r="175" spans="1:2">
      <c r="A175" s="193"/>
      <c r="B175" s="193"/>
    </row>
    <row r="176" spans="1:2">
      <c r="A176" s="193"/>
      <c r="B176" s="193"/>
    </row>
    <row r="177" spans="1:2">
      <c r="A177" s="194"/>
      <c r="B177" s="193"/>
    </row>
    <row r="178" spans="1:2">
      <c r="A178" s="194"/>
      <c r="B178" s="193"/>
    </row>
    <row r="179" spans="1:2">
      <c r="A179" s="193"/>
      <c r="B179" s="193"/>
    </row>
    <row r="180" spans="1:2">
      <c r="A180" s="193"/>
      <c r="B180" s="193"/>
    </row>
    <row r="200" spans="1:1">
      <c r="A200" s="98"/>
    </row>
    <row r="201" spans="1:1">
      <c r="A201" s="98"/>
    </row>
    <row r="202" spans="1:1">
      <c r="A202" s="98"/>
    </row>
    <row r="203" spans="1:1">
      <c r="A203" s="98"/>
    </row>
    <row r="204" spans="1:1">
      <c r="A204" s="98"/>
    </row>
    <row r="205" spans="1:1">
      <c r="A205" s="98"/>
    </row>
    <row r="206" spans="1:1">
      <c r="A206" s="98"/>
    </row>
    <row r="207" spans="1:1">
      <c r="A207" s="98"/>
    </row>
    <row r="208" spans="1:1">
      <c r="A208" s="98"/>
    </row>
    <row r="209" spans="1:1">
      <c r="A209" s="98"/>
    </row>
  </sheetData>
  <phoneticPr fontId="10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D18E"/>
  </sheetPr>
  <dimension ref="A1:V263"/>
  <sheetViews>
    <sheetView showGridLines="0" zoomScale="80" zoomScaleNormal="80" workbookViewId="0">
      <pane xSplit="2" ySplit="4" topLeftCell="C82" activePane="bottomRight" state="frozen"/>
      <selection pane="topRight" activeCell="C1" sqref="C1"/>
      <selection pane="bottomLeft" activeCell="A110" sqref="A110"/>
      <selection pane="bottomRight" activeCell="D34" sqref="D34"/>
    </sheetView>
  </sheetViews>
  <sheetFormatPr defaultColWidth="9" defaultRowHeight="15.6" outlineLevelCol="1"/>
  <cols>
    <col min="1" max="1" width="12.109375" style="97" customWidth="1"/>
    <col min="2" max="2" width="22.44140625" style="97" customWidth="1"/>
    <col min="3" max="4" width="16.44140625" style="98" customWidth="1"/>
    <col min="5" max="15" width="17.44140625" style="98" customWidth="1" outlineLevel="1"/>
    <col min="16" max="20" width="17.44140625" style="98" customWidth="1"/>
    <col min="21" max="21" width="9" style="98"/>
    <col min="22" max="22" width="14.88671875" style="97" customWidth="1"/>
    <col min="23" max="16384" width="9" style="98"/>
  </cols>
  <sheetData>
    <row r="1" spans="1:22">
      <c r="A1" s="100" t="s">
        <v>250</v>
      </c>
      <c r="B1" s="101" t="s">
        <v>546</v>
      </c>
      <c r="C1" s="102">
        <v>3</v>
      </c>
      <c r="D1" s="102">
        <v>4</v>
      </c>
      <c r="E1" s="102">
        <v>5</v>
      </c>
      <c r="F1" s="102">
        <v>6</v>
      </c>
      <c r="G1" s="102">
        <v>7</v>
      </c>
      <c r="H1" s="102">
        <v>8</v>
      </c>
      <c r="I1" s="102">
        <v>9</v>
      </c>
      <c r="J1" s="102">
        <v>10</v>
      </c>
      <c r="K1" s="102">
        <v>11</v>
      </c>
      <c r="L1" s="102">
        <v>12</v>
      </c>
      <c r="M1" s="102">
        <v>13</v>
      </c>
      <c r="N1" s="102">
        <v>14</v>
      </c>
      <c r="O1" s="102">
        <v>15</v>
      </c>
      <c r="P1" s="102">
        <v>16</v>
      </c>
      <c r="Q1" s="102">
        <v>17</v>
      </c>
      <c r="R1" s="102">
        <v>18</v>
      </c>
      <c r="S1" s="102">
        <v>19</v>
      </c>
      <c r="T1" s="102">
        <v>20</v>
      </c>
    </row>
    <row r="2" spans="1:22">
      <c r="A2" s="203" t="s">
        <v>547</v>
      </c>
      <c r="B2" s="98"/>
    </row>
    <row r="3" spans="1:22">
      <c r="A3" s="204"/>
      <c r="B3" s="204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</row>
    <row r="4" spans="1:22">
      <c r="A4" s="144" t="s">
        <v>292</v>
      </c>
      <c r="B4" s="144" t="s">
        <v>293</v>
      </c>
      <c r="C4" s="206" t="s">
        <v>255</v>
      </c>
      <c r="D4" s="207" t="s">
        <v>548</v>
      </c>
      <c r="E4" s="133" t="s">
        <v>549</v>
      </c>
      <c r="F4" s="133" t="s">
        <v>550</v>
      </c>
      <c r="G4" s="133" t="s">
        <v>551</v>
      </c>
      <c r="H4" s="133" t="s">
        <v>552</v>
      </c>
      <c r="I4" s="133" t="s">
        <v>553</v>
      </c>
      <c r="J4" s="133" t="s">
        <v>554</v>
      </c>
      <c r="K4" s="133" t="s">
        <v>555</v>
      </c>
      <c r="L4" s="133" t="s">
        <v>556</v>
      </c>
      <c r="M4" s="133" t="s">
        <v>557</v>
      </c>
      <c r="N4" s="133" t="s">
        <v>558</v>
      </c>
      <c r="O4" s="133" t="s">
        <v>559</v>
      </c>
      <c r="P4" s="133" t="s">
        <v>560</v>
      </c>
      <c r="Q4" s="133" t="s">
        <v>561</v>
      </c>
      <c r="R4" s="133" t="s">
        <v>562</v>
      </c>
      <c r="S4" s="133" t="s">
        <v>563</v>
      </c>
      <c r="T4" s="133" t="s">
        <v>564</v>
      </c>
      <c r="V4" s="208"/>
    </row>
    <row r="5" spans="1:22">
      <c r="A5" s="155" t="s">
        <v>307</v>
      </c>
      <c r="B5" s="156" t="s">
        <v>308</v>
      </c>
      <c r="C5" s="157">
        <f>IFERROR(VLOOKUP($A5,'Over Under Bill 1 COPY 到CO欄位'!$1:$1048576,5,0),0)</f>
        <v>0</v>
      </c>
      <c r="D5" s="157">
        <f>IFERROR(VLOOKUP($A5,'Over Under Bill 1 COPY 到CO欄位'!$1:$1048576,10,0),0)</f>
        <v>0</v>
      </c>
      <c r="E5" s="157">
        <f>IFERROR(VLOOKUP($A5,'Over Under Bill 1 COPY 到CO欄位'!$1:$1048576,15,0),0)</f>
        <v>0</v>
      </c>
      <c r="F5" s="157">
        <f>IFERROR(VLOOKUP($A5,'Over Under Bill 1 COPY 到CO欄位'!$1:$1048576,20,0),0)</f>
        <v>0</v>
      </c>
      <c r="G5" s="157">
        <f>IFERROR(VLOOKUP($A5,'Over Under Bill 1 COPY 到CO欄位'!$1:$1048576,25,0),0)</f>
        <v>0</v>
      </c>
      <c r="H5" s="157">
        <f>IFERROR(VLOOKUP($A5,'Over Under Bill 1 COPY 到CO欄位'!$1:$1048576,30,0),0)</f>
        <v>0</v>
      </c>
      <c r="I5" s="157">
        <f>IFERROR(VLOOKUP($A5,'Over Under Bill 1 COPY 到CO欄位'!$1:$1048576,35,0),0)</f>
        <v>0</v>
      </c>
      <c r="J5" s="157">
        <f>IFERROR(VLOOKUP($A5,'Over Under Bill 1 COPY 到CO欄位'!$1:$1048576,40,0),0)</f>
        <v>0</v>
      </c>
      <c r="K5" s="157">
        <f>IFERROR(VLOOKUP($A5,'Over Under Bill 1 COPY 到CO欄位'!$1:$1048576,45,0),0)</f>
        <v>0</v>
      </c>
      <c r="L5" s="157">
        <f>IFERROR(VLOOKUP($A5,'Over Under Bill 1 COPY 到CO欄位'!$1:$1048576,50,0),0)</f>
        <v>0</v>
      </c>
      <c r="M5" s="157">
        <f>IFERROR(VLOOKUP($A5,'Over Under Bill 1 COPY 到CO欄位'!$1:$1048576,55,0),0)</f>
        <v>0</v>
      </c>
      <c r="N5" s="157">
        <f>IFERROR(VLOOKUP($A5,'Over Under Bill 1 COPY 到CO欄位'!$1:$1048576,60,0),0)</f>
        <v>0</v>
      </c>
      <c r="O5" s="157">
        <f>IFERROR(VLOOKUP($A5,'Over Under Bill 1 COPY 到CO欄位'!$1:$1048576,65,0),0)</f>
        <v>0</v>
      </c>
      <c r="P5" s="157">
        <f>IFERROR(VLOOKUP($A5,'Over Under Bill 1 COPY 到CO欄位'!$1:$1048576,70,0),0)</f>
        <v>0</v>
      </c>
      <c r="Q5" s="157">
        <f>IFERROR(VLOOKUP($A5,'Over Under Bill 1 COPY 到CO欄位'!$1:$1048576,75,0),0)</f>
        <v>0</v>
      </c>
      <c r="R5" s="157">
        <f>IFERROR(VLOOKUP($A5,'Over Under Bill 1 COPY 到CO欄位'!$1:$1048576,80,0),0)</f>
        <v>0</v>
      </c>
      <c r="S5" s="157">
        <f>IFERROR(VLOOKUP($A5,'Over Under Bill 1 COPY 到CO欄位'!$1:$1048576,85,0),0)</f>
        <v>0</v>
      </c>
      <c r="T5" s="157">
        <f>IFERROR(VLOOKUP($A5,'Over Under Bill 1 COPY 到CO欄位'!$1:$1048576,90,0),0)</f>
        <v>0</v>
      </c>
    </row>
    <row r="6" spans="1:22">
      <c r="A6" s="155" t="s">
        <v>309</v>
      </c>
      <c r="B6" s="164" t="s">
        <v>310</v>
      </c>
      <c r="C6" s="157">
        <f>IFERROR(VLOOKUP($A6,'Over Under Bill 1 COPY 到CO欄位'!$1:$1048576,5,0),0)</f>
        <v>0</v>
      </c>
      <c r="D6" s="157">
        <f>IFERROR(VLOOKUP($A6,'Over Under Bill 1 COPY 到CO欄位'!$1:$1048576,10,0),0)</f>
        <v>0</v>
      </c>
      <c r="E6" s="157">
        <f>IFERROR(VLOOKUP($A6,'Over Under Bill 1 COPY 到CO欄位'!$1:$1048576,15,0),0)</f>
        <v>0</v>
      </c>
      <c r="F6" s="157">
        <f>IFERROR(VLOOKUP($A6,'Over Under Bill 1 COPY 到CO欄位'!$1:$1048576,20,0),0)</f>
        <v>0</v>
      </c>
      <c r="G6" s="157">
        <f>IFERROR(VLOOKUP($A6,'Over Under Bill 1 COPY 到CO欄位'!$1:$1048576,25,0),0)</f>
        <v>0</v>
      </c>
      <c r="H6" s="157">
        <f>IFERROR(VLOOKUP($A6,'Over Under Bill 1 COPY 到CO欄位'!$1:$1048576,30,0),0)</f>
        <v>0</v>
      </c>
      <c r="I6" s="157">
        <f>IFERROR(VLOOKUP($A6,'Over Under Bill 1 COPY 到CO欄位'!$1:$1048576,35,0),0)</f>
        <v>0</v>
      </c>
      <c r="J6" s="157">
        <f>IFERROR(VLOOKUP($A6,'Over Under Bill 1 COPY 到CO欄位'!$1:$1048576,40,0),0)</f>
        <v>0</v>
      </c>
      <c r="K6" s="157">
        <f>IFERROR(VLOOKUP($A6,'Over Under Bill 1 COPY 到CO欄位'!$1:$1048576,45,0),0)</f>
        <v>0</v>
      </c>
      <c r="L6" s="157">
        <f>IFERROR(VLOOKUP($A6,'Over Under Bill 1 COPY 到CO欄位'!$1:$1048576,50,0),0)</f>
        <v>0</v>
      </c>
      <c r="M6" s="157">
        <f>IFERROR(VLOOKUP($A6,'Over Under Bill 1 COPY 到CO欄位'!$1:$1048576,55,0),0)</f>
        <v>0</v>
      </c>
      <c r="N6" s="157">
        <f>IFERROR(VLOOKUP($A6,'Over Under Bill 1 COPY 到CO欄位'!$1:$1048576,60,0),0)</f>
        <v>0</v>
      </c>
      <c r="O6" s="157">
        <f>IFERROR(VLOOKUP($A6,'Over Under Bill 1 COPY 到CO欄位'!$1:$1048576,65,0),0)</f>
        <v>0</v>
      </c>
      <c r="P6" s="157">
        <f>IFERROR(VLOOKUP($A6,'Over Under Bill 1 COPY 到CO欄位'!$1:$1048576,70,0),0)</f>
        <v>0</v>
      </c>
      <c r="Q6" s="157">
        <f>IFERROR(VLOOKUP($A6,'Over Under Bill 1 COPY 到CO欄位'!$1:$1048576,75,0),0)</f>
        <v>0</v>
      </c>
      <c r="R6" s="157">
        <f>IFERROR(VLOOKUP($A6,'Over Under Bill 1 COPY 到CO欄位'!$1:$1048576,80,0),0)</f>
        <v>0</v>
      </c>
      <c r="S6" s="157">
        <f>IFERROR(VLOOKUP($A6,'Over Under Bill 1 COPY 到CO欄位'!$1:$1048576,85,0),0)</f>
        <v>0</v>
      </c>
      <c r="T6" s="157">
        <f>IFERROR(VLOOKUP($A6,'Over Under Bill 1 COPY 到CO欄位'!$1:$1048576,90,0),0)</f>
        <v>0</v>
      </c>
    </row>
    <row r="7" spans="1:22">
      <c r="A7" s="155" t="s">
        <v>311</v>
      </c>
      <c r="B7" s="164" t="s">
        <v>312</v>
      </c>
      <c r="C7" s="157">
        <f>IFERROR(VLOOKUP($A7,'Over Under Bill 1 COPY 到CO欄位'!$1:$1048576,5,0),0)</f>
        <v>0</v>
      </c>
      <c r="D7" s="157">
        <f>IFERROR(VLOOKUP($A7,'Over Under Bill 1 COPY 到CO欄位'!$1:$1048576,10,0),0)</f>
        <v>0</v>
      </c>
      <c r="E7" s="157">
        <f>IFERROR(VLOOKUP($A7,'Over Under Bill 1 COPY 到CO欄位'!$1:$1048576,15,0),0)</f>
        <v>0</v>
      </c>
      <c r="F7" s="157">
        <f>IFERROR(VLOOKUP($A7,'Over Under Bill 1 COPY 到CO欄位'!$1:$1048576,20,0),0)</f>
        <v>0</v>
      </c>
      <c r="G7" s="157">
        <f>IFERROR(VLOOKUP($A7,'Over Under Bill 1 COPY 到CO欄位'!$1:$1048576,25,0),0)</f>
        <v>0</v>
      </c>
      <c r="H7" s="157">
        <f>IFERROR(VLOOKUP($A7,'Over Under Bill 1 COPY 到CO欄位'!$1:$1048576,30,0),0)</f>
        <v>0</v>
      </c>
      <c r="I7" s="157">
        <f>IFERROR(VLOOKUP($A7,'Over Under Bill 1 COPY 到CO欄位'!$1:$1048576,35,0),0)</f>
        <v>0</v>
      </c>
      <c r="J7" s="157">
        <f>IFERROR(VLOOKUP($A7,'Over Under Bill 1 COPY 到CO欄位'!$1:$1048576,40,0),0)</f>
        <v>0</v>
      </c>
      <c r="K7" s="157">
        <f>IFERROR(VLOOKUP($A7,'Over Under Bill 1 COPY 到CO欄位'!$1:$1048576,45,0),0)</f>
        <v>0</v>
      </c>
      <c r="L7" s="157">
        <f>IFERROR(VLOOKUP($A7,'Over Under Bill 1 COPY 到CO欄位'!$1:$1048576,50,0),0)</f>
        <v>0</v>
      </c>
      <c r="M7" s="157">
        <f>IFERROR(VLOOKUP($A7,'Over Under Bill 1 COPY 到CO欄位'!$1:$1048576,55,0),0)</f>
        <v>0</v>
      </c>
      <c r="N7" s="157">
        <f>IFERROR(VLOOKUP($A7,'Over Under Bill 1 COPY 到CO欄位'!$1:$1048576,60,0),0)</f>
        <v>0</v>
      </c>
      <c r="O7" s="157">
        <f>IFERROR(VLOOKUP($A7,'Over Under Bill 1 COPY 到CO欄位'!$1:$1048576,65,0),0)</f>
        <v>0</v>
      </c>
      <c r="P7" s="157">
        <f>IFERROR(VLOOKUP($A7,'Over Under Bill 1 COPY 到CO欄位'!$1:$1048576,70,0),0)</f>
        <v>0</v>
      </c>
      <c r="Q7" s="157">
        <f>IFERROR(VLOOKUP($A7,'Over Under Bill 1 COPY 到CO欄位'!$1:$1048576,75,0),0)</f>
        <v>0</v>
      </c>
      <c r="R7" s="157">
        <f>IFERROR(VLOOKUP($A7,'Over Under Bill 1 COPY 到CO欄位'!$1:$1048576,80,0),0)</f>
        <v>0</v>
      </c>
      <c r="S7" s="157">
        <f>IFERROR(VLOOKUP($A7,'Over Under Bill 1 COPY 到CO欄位'!$1:$1048576,85,0),0)</f>
        <v>0</v>
      </c>
      <c r="T7" s="157">
        <f>IFERROR(VLOOKUP($A7,'Over Under Bill 1 COPY 到CO欄位'!$1:$1048576,90,0),0)</f>
        <v>0</v>
      </c>
    </row>
    <row r="8" spans="1:22">
      <c r="A8" s="155" t="s">
        <v>313</v>
      </c>
      <c r="B8" s="164" t="s">
        <v>314</v>
      </c>
      <c r="C8" s="157">
        <f>IFERROR(VLOOKUP($A8,'Over Under Bill 1 COPY 到CO欄位'!$1:$1048576,5,0),0)</f>
        <v>0</v>
      </c>
      <c r="D8" s="157">
        <f>IFERROR(VLOOKUP($A8,'Over Under Bill 1 COPY 到CO欄位'!$1:$1048576,10,0),0)</f>
        <v>0</v>
      </c>
      <c r="E8" s="157">
        <f>IFERROR(VLOOKUP($A8,'Over Under Bill 1 COPY 到CO欄位'!$1:$1048576,15,0),0)</f>
        <v>0</v>
      </c>
      <c r="F8" s="157">
        <f>IFERROR(VLOOKUP($A8,'Over Under Bill 1 COPY 到CO欄位'!$1:$1048576,20,0),0)</f>
        <v>0</v>
      </c>
      <c r="G8" s="157">
        <f>IFERROR(VLOOKUP($A8,'Over Under Bill 1 COPY 到CO欄位'!$1:$1048576,25,0),0)</f>
        <v>0</v>
      </c>
      <c r="H8" s="157">
        <f>IFERROR(VLOOKUP($A8,'Over Under Bill 1 COPY 到CO欄位'!$1:$1048576,30,0),0)</f>
        <v>0</v>
      </c>
      <c r="I8" s="157">
        <f>IFERROR(VLOOKUP($A8,'Over Under Bill 1 COPY 到CO欄位'!$1:$1048576,35,0),0)</f>
        <v>0</v>
      </c>
      <c r="J8" s="157">
        <f>IFERROR(VLOOKUP($A8,'Over Under Bill 1 COPY 到CO欄位'!$1:$1048576,40,0),0)</f>
        <v>0</v>
      </c>
      <c r="K8" s="157">
        <f>IFERROR(VLOOKUP($A8,'Over Under Bill 1 COPY 到CO欄位'!$1:$1048576,45,0),0)</f>
        <v>0</v>
      </c>
      <c r="L8" s="157">
        <f>IFERROR(VLOOKUP($A8,'Over Under Bill 1 COPY 到CO欄位'!$1:$1048576,50,0),0)</f>
        <v>0</v>
      </c>
      <c r="M8" s="157">
        <f>IFERROR(VLOOKUP($A8,'Over Under Bill 1 COPY 到CO欄位'!$1:$1048576,55,0),0)</f>
        <v>0</v>
      </c>
      <c r="N8" s="157">
        <f>IFERROR(VLOOKUP($A8,'Over Under Bill 1 COPY 到CO欄位'!$1:$1048576,60,0),0)</f>
        <v>0</v>
      </c>
      <c r="O8" s="157">
        <f>IFERROR(VLOOKUP($A8,'Over Under Bill 1 COPY 到CO欄位'!$1:$1048576,65,0),0)</f>
        <v>0</v>
      </c>
      <c r="P8" s="157">
        <f>IFERROR(VLOOKUP($A8,'Over Under Bill 1 COPY 到CO欄位'!$1:$1048576,70,0),0)</f>
        <v>0</v>
      </c>
      <c r="Q8" s="157">
        <f>IFERROR(VLOOKUP($A8,'Over Under Bill 1 COPY 到CO欄位'!$1:$1048576,75,0),0)</f>
        <v>0</v>
      </c>
      <c r="R8" s="157">
        <f>IFERROR(VLOOKUP($A8,'Over Under Bill 1 COPY 到CO欄位'!$1:$1048576,80,0),0)</f>
        <v>0</v>
      </c>
      <c r="S8" s="157">
        <f>IFERROR(VLOOKUP($A8,'Over Under Bill 1 COPY 到CO欄位'!$1:$1048576,85,0),0)</f>
        <v>0</v>
      </c>
      <c r="T8" s="157">
        <f>IFERROR(VLOOKUP($A8,'Over Under Bill 1 COPY 到CO欄位'!$1:$1048576,90,0),0)</f>
        <v>0</v>
      </c>
    </row>
    <row r="9" spans="1:22">
      <c r="A9" s="155" t="s">
        <v>315</v>
      </c>
      <c r="B9" s="164" t="s">
        <v>316</v>
      </c>
      <c r="C9" s="157">
        <f>IFERROR(VLOOKUP($A9,'Over Under Bill 1 COPY 到CO欄位'!$1:$1048576,5,0),0)</f>
        <v>0</v>
      </c>
      <c r="D9" s="157">
        <f>IFERROR(VLOOKUP($A9,'Over Under Bill 1 COPY 到CO欄位'!$1:$1048576,10,0),0)</f>
        <v>0</v>
      </c>
      <c r="E9" s="157">
        <f>IFERROR(VLOOKUP($A9,'Over Under Bill 1 COPY 到CO欄位'!$1:$1048576,15,0),0)</f>
        <v>0</v>
      </c>
      <c r="F9" s="157">
        <f>IFERROR(VLOOKUP($A9,'Over Under Bill 1 COPY 到CO欄位'!$1:$1048576,20,0),0)</f>
        <v>0</v>
      </c>
      <c r="G9" s="157">
        <f>IFERROR(VLOOKUP($A9,'Over Under Bill 1 COPY 到CO欄位'!$1:$1048576,25,0),0)</f>
        <v>0</v>
      </c>
      <c r="H9" s="157">
        <f>IFERROR(VLOOKUP($A9,'Over Under Bill 1 COPY 到CO欄位'!$1:$1048576,30,0),0)</f>
        <v>0</v>
      </c>
      <c r="I9" s="157">
        <f>IFERROR(VLOOKUP($A9,'Over Under Bill 1 COPY 到CO欄位'!$1:$1048576,35,0),0)</f>
        <v>0</v>
      </c>
      <c r="J9" s="157">
        <f>IFERROR(VLOOKUP($A9,'Over Under Bill 1 COPY 到CO欄位'!$1:$1048576,40,0),0)</f>
        <v>0</v>
      </c>
      <c r="K9" s="157">
        <f>IFERROR(VLOOKUP($A9,'Over Under Bill 1 COPY 到CO欄位'!$1:$1048576,45,0),0)</f>
        <v>0</v>
      </c>
      <c r="L9" s="157">
        <f>IFERROR(VLOOKUP($A9,'Over Under Bill 1 COPY 到CO欄位'!$1:$1048576,50,0),0)</f>
        <v>0</v>
      </c>
      <c r="M9" s="157">
        <f>IFERROR(VLOOKUP($A9,'Over Under Bill 1 COPY 到CO欄位'!$1:$1048576,55,0),0)</f>
        <v>0</v>
      </c>
      <c r="N9" s="157">
        <f>IFERROR(VLOOKUP($A9,'Over Under Bill 1 COPY 到CO欄位'!$1:$1048576,60,0),0)</f>
        <v>0</v>
      </c>
      <c r="O9" s="157">
        <f>IFERROR(VLOOKUP($A9,'Over Under Bill 1 COPY 到CO欄位'!$1:$1048576,65,0),0)</f>
        <v>0</v>
      </c>
      <c r="P9" s="157">
        <f>IFERROR(VLOOKUP($A9,'Over Under Bill 1 COPY 到CO欄位'!$1:$1048576,70,0),0)</f>
        <v>0</v>
      </c>
      <c r="Q9" s="157">
        <f>IFERROR(VLOOKUP($A9,'Over Under Bill 1 COPY 到CO欄位'!$1:$1048576,75,0),0)</f>
        <v>0</v>
      </c>
      <c r="R9" s="157">
        <f>IFERROR(VLOOKUP($A9,'Over Under Bill 1 COPY 到CO欄位'!$1:$1048576,80,0),0)</f>
        <v>0</v>
      </c>
      <c r="S9" s="157">
        <f>IFERROR(VLOOKUP($A9,'Over Under Bill 1 COPY 到CO欄位'!$1:$1048576,85,0),0)</f>
        <v>0</v>
      </c>
      <c r="T9" s="157">
        <f>IFERROR(VLOOKUP($A9,'Over Under Bill 1 COPY 到CO欄位'!$1:$1048576,90,0),0)</f>
        <v>0</v>
      </c>
    </row>
    <row r="10" spans="1:22">
      <c r="A10" s="155" t="s">
        <v>317</v>
      </c>
      <c r="B10" s="164" t="s">
        <v>318</v>
      </c>
      <c r="C10" s="157">
        <f>IFERROR(VLOOKUP($A10,'Over Under Bill 1 COPY 到CO欄位'!$1:$1048576,5,0),0)</f>
        <v>0</v>
      </c>
      <c r="D10" s="157">
        <f>IFERROR(VLOOKUP($A10,'Over Under Bill 1 COPY 到CO欄位'!$1:$1048576,10,0),0)</f>
        <v>0</v>
      </c>
      <c r="E10" s="157">
        <f>IFERROR(VLOOKUP($A10,'Over Under Bill 1 COPY 到CO欄位'!$1:$1048576,15,0),0)</f>
        <v>0</v>
      </c>
      <c r="F10" s="157">
        <f>IFERROR(VLOOKUP($A10,'Over Under Bill 1 COPY 到CO欄位'!$1:$1048576,20,0),0)</f>
        <v>0</v>
      </c>
      <c r="G10" s="157">
        <f>IFERROR(VLOOKUP($A10,'Over Under Bill 1 COPY 到CO欄位'!$1:$1048576,25,0),0)</f>
        <v>0</v>
      </c>
      <c r="H10" s="157">
        <f>IFERROR(VLOOKUP($A10,'Over Under Bill 1 COPY 到CO欄位'!$1:$1048576,30,0),0)</f>
        <v>0</v>
      </c>
      <c r="I10" s="157">
        <f>IFERROR(VLOOKUP($A10,'Over Under Bill 1 COPY 到CO欄位'!$1:$1048576,35,0),0)</f>
        <v>0</v>
      </c>
      <c r="J10" s="157">
        <f>IFERROR(VLOOKUP($A10,'Over Under Bill 1 COPY 到CO欄位'!$1:$1048576,40,0),0)</f>
        <v>0</v>
      </c>
      <c r="K10" s="157">
        <f>IFERROR(VLOOKUP($A10,'Over Under Bill 1 COPY 到CO欄位'!$1:$1048576,45,0),0)</f>
        <v>0</v>
      </c>
      <c r="L10" s="157">
        <f>IFERROR(VLOOKUP($A10,'Over Under Bill 1 COPY 到CO欄位'!$1:$1048576,50,0),0)</f>
        <v>0</v>
      </c>
      <c r="M10" s="157">
        <f>IFERROR(VLOOKUP($A10,'Over Under Bill 1 COPY 到CO欄位'!$1:$1048576,55,0),0)</f>
        <v>0</v>
      </c>
      <c r="N10" s="157">
        <f>IFERROR(VLOOKUP($A10,'Over Under Bill 1 COPY 到CO欄位'!$1:$1048576,60,0),0)</f>
        <v>0</v>
      </c>
      <c r="O10" s="157">
        <f>IFERROR(VLOOKUP($A10,'Over Under Bill 1 COPY 到CO欄位'!$1:$1048576,65,0),0)</f>
        <v>0</v>
      </c>
      <c r="P10" s="157">
        <f>IFERROR(VLOOKUP($A10,'Over Under Bill 1 COPY 到CO欄位'!$1:$1048576,70,0),0)</f>
        <v>0</v>
      </c>
      <c r="Q10" s="157">
        <f>IFERROR(VLOOKUP($A10,'Over Under Bill 1 COPY 到CO欄位'!$1:$1048576,75,0),0)</f>
        <v>0</v>
      </c>
      <c r="R10" s="157">
        <f>IFERROR(VLOOKUP($A10,'Over Under Bill 1 COPY 到CO欄位'!$1:$1048576,80,0),0)</f>
        <v>0</v>
      </c>
      <c r="S10" s="157">
        <f>IFERROR(VLOOKUP($A10,'Over Under Bill 1 COPY 到CO欄位'!$1:$1048576,85,0),0)</f>
        <v>0</v>
      </c>
      <c r="T10" s="157">
        <f>IFERROR(VLOOKUP($A10,'Over Under Bill 1 COPY 到CO欄位'!$1:$1048576,90,0),0)</f>
        <v>0</v>
      </c>
    </row>
    <row r="11" spans="1:22">
      <c r="A11" s="155" t="s">
        <v>319</v>
      </c>
      <c r="B11" s="164" t="s">
        <v>320</v>
      </c>
      <c r="C11" s="157">
        <f>IFERROR(VLOOKUP($A11,'Over Under Bill 1 COPY 到CO欄位'!$1:$1048576,5,0),0)</f>
        <v>0</v>
      </c>
      <c r="D11" s="157">
        <f>IFERROR(VLOOKUP($A11,'Over Under Bill 1 COPY 到CO欄位'!$1:$1048576,10,0),0)</f>
        <v>0</v>
      </c>
      <c r="E11" s="157">
        <f>IFERROR(VLOOKUP($A11,'Over Under Bill 1 COPY 到CO欄位'!$1:$1048576,15,0),0)</f>
        <v>0</v>
      </c>
      <c r="F11" s="157">
        <f>IFERROR(VLOOKUP($A11,'Over Under Bill 1 COPY 到CO欄位'!$1:$1048576,20,0),0)</f>
        <v>0</v>
      </c>
      <c r="G11" s="157">
        <f>IFERROR(VLOOKUP($A11,'Over Under Bill 1 COPY 到CO欄位'!$1:$1048576,25,0),0)</f>
        <v>0</v>
      </c>
      <c r="H11" s="157">
        <f>IFERROR(VLOOKUP($A11,'Over Under Bill 1 COPY 到CO欄位'!$1:$1048576,30,0),0)</f>
        <v>0</v>
      </c>
      <c r="I11" s="157">
        <f>IFERROR(VLOOKUP($A11,'Over Under Bill 1 COPY 到CO欄位'!$1:$1048576,35,0),0)</f>
        <v>0</v>
      </c>
      <c r="J11" s="157">
        <f>IFERROR(VLOOKUP($A11,'Over Under Bill 1 COPY 到CO欄位'!$1:$1048576,40,0),0)</f>
        <v>0</v>
      </c>
      <c r="K11" s="157">
        <f>IFERROR(VLOOKUP($A11,'Over Under Bill 1 COPY 到CO欄位'!$1:$1048576,45,0),0)</f>
        <v>0</v>
      </c>
      <c r="L11" s="157">
        <f>IFERROR(VLOOKUP($A11,'Over Under Bill 1 COPY 到CO欄位'!$1:$1048576,50,0),0)</f>
        <v>0</v>
      </c>
      <c r="M11" s="157">
        <f>IFERROR(VLOOKUP($A11,'Over Under Bill 1 COPY 到CO欄位'!$1:$1048576,55,0),0)</f>
        <v>0</v>
      </c>
      <c r="N11" s="157">
        <f>IFERROR(VLOOKUP($A11,'Over Under Bill 1 COPY 到CO欄位'!$1:$1048576,60,0),0)</f>
        <v>0</v>
      </c>
      <c r="O11" s="157">
        <f>IFERROR(VLOOKUP($A11,'Over Under Bill 1 COPY 到CO欄位'!$1:$1048576,65,0),0)</f>
        <v>0</v>
      </c>
      <c r="P11" s="157">
        <f>IFERROR(VLOOKUP($A11,'Over Under Bill 1 COPY 到CO欄位'!$1:$1048576,70,0),0)</f>
        <v>0</v>
      </c>
      <c r="Q11" s="157">
        <f>IFERROR(VLOOKUP($A11,'Over Under Bill 1 COPY 到CO欄位'!$1:$1048576,75,0),0)</f>
        <v>0</v>
      </c>
      <c r="R11" s="157">
        <f>IFERROR(VLOOKUP($A11,'Over Under Bill 1 COPY 到CO欄位'!$1:$1048576,80,0),0)</f>
        <v>0</v>
      </c>
      <c r="S11" s="157">
        <f>IFERROR(VLOOKUP($A11,'Over Under Bill 1 COPY 到CO欄位'!$1:$1048576,85,0),0)</f>
        <v>0</v>
      </c>
      <c r="T11" s="157">
        <f>IFERROR(VLOOKUP($A11,'Over Under Bill 1 COPY 到CO欄位'!$1:$1048576,90,0),0)</f>
        <v>0</v>
      </c>
    </row>
    <row r="12" spans="1:22">
      <c r="A12" s="155" t="s">
        <v>321</v>
      </c>
      <c r="B12" s="156" t="s">
        <v>322</v>
      </c>
      <c r="C12" s="157">
        <f>IFERROR(VLOOKUP($A12,'Over Under Bill 1 COPY 到CO欄位'!$1:$1048576,5,0),0)</f>
        <v>0</v>
      </c>
      <c r="D12" s="157">
        <f>IFERROR(VLOOKUP($A12,'Over Under Bill 1 COPY 到CO欄位'!$1:$1048576,10,0),0)</f>
        <v>0</v>
      </c>
      <c r="E12" s="157">
        <f>IFERROR(VLOOKUP($A12,'Over Under Bill 1 COPY 到CO欄位'!$1:$1048576,15,0),0)</f>
        <v>0</v>
      </c>
      <c r="F12" s="157">
        <f>IFERROR(VLOOKUP($A12,'Over Under Bill 1 COPY 到CO欄位'!$1:$1048576,20,0),0)</f>
        <v>0</v>
      </c>
      <c r="G12" s="157">
        <f>IFERROR(VLOOKUP($A12,'Over Under Bill 1 COPY 到CO欄位'!$1:$1048576,25,0),0)</f>
        <v>0</v>
      </c>
      <c r="H12" s="157">
        <f>IFERROR(VLOOKUP($A12,'Over Under Bill 1 COPY 到CO欄位'!$1:$1048576,30,0),0)</f>
        <v>0</v>
      </c>
      <c r="I12" s="157">
        <f>IFERROR(VLOOKUP($A12,'Over Under Bill 1 COPY 到CO欄位'!$1:$1048576,35,0),0)</f>
        <v>0</v>
      </c>
      <c r="J12" s="157">
        <f>IFERROR(VLOOKUP($A12,'Over Under Bill 1 COPY 到CO欄位'!$1:$1048576,40,0),0)</f>
        <v>0</v>
      </c>
      <c r="K12" s="157">
        <f>IFERROR(VLOOKUP($A12,'Over Under Bill 1 COPY 到CO欄位'!$1:$1048576,45,0),0)</f>
        <v>0</v>
      </c>
      <c r="L12" s="157">
        <f>IFERROR(VLOOKUP($A12,'Over Under Bill 1 COPY 到CO欄位'!$1:$1048576,50,0),0)</f>
        <v>0</v>
      </c>
      <c r="M12" s="157">
        <f>IFERROR(VLOOKUP($A12,'Over Under Bill 1 COPY 到CO欄位'!$1:$1048576,55,0),0)</f>
        <v>0</v>
      </c>
      <c r="N12" s="157">
        <f>IFERROR(VLOOKUP($A12,'Over Under Bill 1 COPY 到CO欄位'!$1:$1048576,60,0),0)</f>
        <v>0</v>
      </c>
      <c r="O12" s="157">
        <f>IFERROR(VLOOKUP($A12,'Over Under Bill 1 COPY 到CO欄位'!$1:$1048576,65,0),0)</f>
        <v>0</v>
      </c>
      <c r="P12" s="157">
        <f>IFERROR(VLOOKUP($A12,'Over Under Bill 1 COPY 到CO欄位'!$1:$1048576,70,0),0)</f>
        <v>0</v>
      </c>
      <c r="Q12" s="157">
        <f>IFERROR(VLOOKUP($A12,'Over Under Bill 1 COPY 到CO欄位'!$1:$1048576,75,0),0)</f>
        <v>0</v>
      </c>
      <c r="R12" s="157">
        <f>IFERROR(VLOOKUP($A12,'Over Under Bill 1 COPY 到CO欄位'!$1:$1048576,80,0),0)</f>
        <v>0</v>
      </c>
      <c r="S12" s="157">
        <f>IFERROR(VLOOKUP($A12,'Over Under Bill 1 COPY 到CO欄位'!$1:$1048576,85,0),0)</f>
        <v>0</v>
      </c>
      <c r="T12" s="157">
        <f>IFERROR(VLOOKUP($A12,'Over Under Bill 1 COPY 到CO欄位'!$1:$1048576,90,0),0)</f>
        <v>0</v>
      </c>
    </row>
    <row r="13" spans="1:22">
      <c r="A13" s="155" t="s">
        <v>323</v>
      </c>
      <c r="B13" s="156" t="s">
        <v>324</v>
      </c>
      <c r="C13" s="157">
        <f>IFERROR(VLOOKUP($A13,'Over Under Bill 1 COPY 到CO欄位'!$1:$1048576,5,0),0)</f>
        <v>0</v>
      </c>
      <c r="D13" s="157">
        <f>IFERROR(VLOOKUP($A13,'Over Under Bill 1 COPY 到CO欄位'!$1:$1048576,10,0),0)</f>
        <v>0</v>
      </c>
      <c r="E13" s="157">
        <f>IFERROR(VLOOKUP($A13,'Over Under Bill 1 COPY 到CO欄位'!$1:$1048576,15,0),0)</f>
        <v>0</v>
      </c>
      <c r="F13" s="157">
        <f>IFERROR(VLOOKUP($A13,'Over Under Bill 1 COPY 到CO欄位'!$1:$1048576,20,0),0)</f>
        <v>0</v>
      </c>
      <c r="G13" s="157">
        <f>IFERROR(VLOOKUP($A13,'Over Under Bill 1 COPY 到CO欄位'!$1:$1048576,25,0),0)</f>
        <v>0</v>
      </c>
      <c r="H13" s="157">
        <f>IFERROR(VLOOKUP($A13,'Over Under Bill 1 COPY 到CO欄位'!$1:$1048576,30,0),0)</f>
        <v>0</v>
      </c>
      <c r="I13" s="157">
        <f>IFERROR(VLOOKUP($A13,'Over Under Bill 1 COPY 到CO欄位'!$1:$1048576,35,0),0)</f>
        <v>0</v>
      </c>
      <c r="J13" s="157">
        <f>IFERROR(VLOOKUP($A13,'Over Under Bill 1 COPY 到CO欄位'!$1:$1048576,40,0),0)</f>
        <v>0</v>
      </c>
      <c r="K13" s="157">
        <f>IFERROR(VLOOKUP($A13,'Over Under Bill 1 COPY 到CO欄位'!$1:$1048576,45,0),0)</f>
        <v>0</v>
      </c>
      <c r="L13" s="157">
        <f>IFERROR(VLOOKUP($A13,'Over Under Bill 1 COPY 到CO欄位'!$1:$1048576,50,0),0)</f>
        <v>0</v>
      </c>
      <c r="M13" s="157">
        <f>IFERROR(VLOOKUP($A13,'Over Under Bill 1 COPY 到CO欄位'!$1:$1048576,55,0),0)</f>
        <v>0</v>
      </c>
      <c r="N13" s="157">
        <f>IFERROR(VLOOKUP($A13,'Over Under Bill 1 COPY 到CO欄位'!$1:$1048576,60,0),0)</f>
        <v>0</v>
      </c>
      <c r="O13" s="157">
        <f>IFERROR(VLOOKUP($A13,'Over Under Bill 1 COPY 到CO欄位'!$1:$1048576,65,0),0)</f>
        <v>0</v>
      </c>
      <c r="P13" s="157">
        <f>IFERROR(VLOOKUP($A13,'Over Under Bill 1 COPY 到CO欄位'!$1:$1048576,70,0),0)</f>
        <v>0</v>
      </c>
      <c r="Q13" s="157">
        <f>IFERROR(VLOOKUP($A13,'Over Under Bill 1 COPY 到CO欄位'!$1:$1048576,75,0),0)</f>
        <v>0</v>
      </c>
      <c r="R13" s="157">
        <f>IFERROR(VLOOKUP($A13,'Over Under Bill 1 COPY 到CO欄位'!$1:$1048576,80,0),0)</f>
        <v>0</v>
      </c>
      <c r="S13" s="157">
        <f>IFERROR(VLOOKUP($A13,'Over Under Bill 1 COPY 到CO欄位'!$1:$1048576,85,0),0)</f>
        <v>0</v>
      </c>
      <c r="T13" s="157">
        <f>IFERROR(VLOOKUP($A13,'Over Under Bill 1 COPY 到CO欄位'!$1:$1048576,90,0),0)</f>
        <v>0</v>
      </c>
    </row>
    <row r="14" spans="1:22">
      <c r="A14" s="155" t="s">
        <v>325</v>
      </c>
      <c r="B14" s="164" t="s">
        <v>326</v>
      </c>
      <c r="C14" s="157">
        <f>IFERROR(VLOOKUP($A14,'Over Under Bill 1 COPY 到CO欄位'!$1:$1048576,5,0),0)</f>
        <v>0</v>
      </c>
      <c r="D14" s="157">
        <f>IFERROR(VLOOKUP($A14,'Over Under Bill 1 COPY 到CO欄位'!$1:$1048576,10,0),0)</f>
        <v>0</v>
      </c>
      <c r="E14" s="157">
        <f>IFERROR(VLOOKUP($A14,'Over Under Bill 1 COPY 到CO欄位'!$1:$1048576,15,0),0)</f>
        <v>0</v>
      </c>
      <c r="F14" s="157">
        <f>IFERROR(VLOOKUP($A14,'Over Under Bill 1 COPY 到CO欄位'!$1:$1048576,20,0),0)</f>
        <v>0</v>
      </c>
      <c r="G14" s="157">
        <f>IFERROR(VLOOKUP($A14,'Over Under Bill 1 COPY 到CO欄位'!$1:$1048576,25,0),0)</f>
        <v>0</v>
      </c>
      <c r="H14" s="157">
        <f>IFERROR(VLOOKUP($A14,'Over Under Bill 1 COPY 到CO欄位'!$1:$1048576,30,0),0)</f>
        <v>0</v>
      </c>
      <c r="I14" s="157">
        <f>IFERROR(VLOOKUP($A14,'Over Under Bill 1 COPY 到CO欄位'!$1:$1048576,35,0),0)</f>
        <v>0</v>
      </c>
      <c r="J14" s="157">
        <f>IFERROR(VLOOKUP($A14,'Over Under Bill 1 COPY 到CO欄位'!$1:$1048576,40,0),0)</f>
        <v>0</v>
      </c>
      <c r="K14" s="157">
        <f>IFERROR(VLOOKUP($A14,'Over Under Bill 1 COPY 到CO欄位'!$1:$1048576,45,0),0)</f>
        <v>0</v>
      </c>
      <c r="L14" s="157">
        <f>IFERROR(VLOOKUP($A14,'Over Under Bill 1 COPY 到CO欄位'!$1:$1048576,50,0),0)</f>
        <v>0</v>
      </c>
      <c r="M14" s="157">
        <f>IFERROR(VLOOKUP($A14,'Over Under Bill 1 COPY 到CO欄位'!$1:$1048576,55,0),0)</f>
        <v>0</v>
      </c>
      <c r="N14" s="157">
        <f>IFERROR(VLOOKUP($A14,'Over Under Bill 1 COPY 到CO欄位'!$1:$1048576,60,0),0)</f>
        <v>0</v>
      </c>
      <c r="O14" s="157">
        <f>IFERROR(VLOOKUP($A14,'Over Under Bill 1 COPY 到CO欄位'!$1:$1048576,65,0),0)</f>
        <v>0</v>
      </c>
      <c r="P14" s="157">
        <f>IFERROR(VLOOKUP($A14,'Over Under Bill 1 COPY 到CO欄位'!$1:$1048576,70,0),0)</f>
        <v>0</v>
      </c>
      <c r="Q14" s="157">
        <f>IFERROR(VLOOKUP($A14,'Over Under Bill 1 COPY 到CO欄位'!$1:$1048576,75,0),0)</f>
        <v>0</v>
      </c>
      <c r="R14" s="157">
        <f>IFERROR(VLOOKUP($A14,'Over Under Bill 1 COPY 到CO欄位'!$1:$1048576,80,0),0)</f>
        <v>0</v>
      </c>
      <c r="S14" s="157">
        <f>IFERROR(VLOOKUP($A14,'Over Under Bill 1 COPY 到CO欄位'!$1:$1048576,85,0),0)</f>
        <v>0</v>
      </c>
      <c r="T14" s="157">
        <f>IFERROR(VLOOKUP($A14,'Over Under Bill 1 COPY 到CO欄位'!$1:$1048576,90,0),0)</f>
        <v>0</v>
      </c>
    </row>
    <row r="15" spans="1:22">
      <c r="A15" s="155" t="s">
        <v>327</v>
      </c>
      <c r="B15" s="164" t="s">
        <v>328</v>
      </c>
      <c r="C15" s="157">
        <f>IFERROR(VLOOKUP($A15,'Over Under Bill 1 COPY 到CO欄位'!$1:$1048576,5,0),0)</f>
        <v>0</v>
      </c>
      <c r="D15" s="157">
        <f>IFERROR(VLOOKUP($A15,'Over Under Bill 1 COPY 到CO欄位'!$1:$1048576,10,0),0)</f>
        <v>0</v>
      </c>
      <c r="E15" s="157">
        <f>IFERROR(VLOOKUP($A15,'Over Under Bill 1 COPY 到CO欄位'!$1:$1048576,15,0),0)</f>
        <v>0</v>
      </c>
      <c r="F15" s="157">
        <f>IFERROR(VLOOKUP($A15,'Over Under Bill 1 COPY 到CO欄位'!$1:$1048576,20,0),0)</f>
        <v>0</v>
      </c>
      <c r="G15" s="157">
        <f>IFERROR(VLOOKUP($A15,'Over Under Bill 1 COPY 到CO欄位'!$1:$1048576,25,0),0)</f>
        <v>0</v>
      </c>
      <c r="H15" s="157">
        <f>IFERROR(VLOOKUP($A15,'Over Under Bill 1 COPY 到CO欄位'!$1:$1048576,30,0),0)</f>
        <v>0</v>
      </c>
      <c r="I15" s="157">
        <f>IFERROR(VLOOKUP($A15,'Over Under Bill 1 COPY 到CO欄位'!$1:$1048576,35,0),0)</f>
        <v>0</v>
      </c>
      <c r="J15" s="157">
        <f>IFERROR(VLOOKUP($A15,'Over Under Bill 1 COPY 到CO欄位'!$1:$1048576,40,0),0)</f>
        <v>0</v>
      </c>
      <c r="K15" s="157">
        <f>IFERROR(VLOOKUP($A15,'Over Under Bill 1 COPY 到CO欄位'!$1:$1048576,45,0),0)</f>
        <v>0</v>
      </c>
      <c r="L15" s="157">
        <f>IFERROR(VLOOKUP($A15,'Over Under Bill 1 COPY 到CO欄位'!$1:$1048576,50,0),0)</f>
        <v>0</v>
      </c>
      <c r="M15" s="157">
        <f>IFERROR(VLOOKUP($A15,'Over Under Bill 1 COPY 到CO欄位'!$1:$1048576,55,0),0)</f>
        <v>0</v>
      </c>
      <c r="N15" s="157">
        <f>IFERROR(VLOOKUP($A15,'Over Under Bill 1 COPY 到CO欄位'!$1:$1048576,60,0),0)</f>
        <v>0</v>
      </c>
      <c r="O15" s="157">
        <f>IFERROR(VLOOKUP($A15,'Over Under Bill 1 COPY 到CO欄位'!$1:$1048576,65,0),0)</f>
        <v>0</v>
      </c>
      <c r="P15" s="157">
        <f>IFERROR(VLOOKUP($A15,'Over Under Bill 1 COPY 到CO欄位'!$1:$1048576,70,0),0)</f>
        <v>0</v>
      </c>
      <c r="Q15" s="157">
        <f>IFERROR(VLOOKUP($A15,'Over Under Bill 1 COPY 到CO欄位'!$1:$1048576,75,0),0)</f>
        <v>0</v>
      </c>
      <c r="R15" s="157">
        <f>IFERROR(VLOOKUP($A15,'Over Under Bill 1 COPY 到CO欄位'!$1:$1048576,80,0),0)</f>
        <v>0</v>
      </c>
      <c r="S15" s="157">
        <f>IFERROR(VLOOKUP($A15,'Over Under Bill 1 COPY 到CO欄位'!$1:$1048576,85,0),0)</f>
        <v>0</v>
      </c>
      <c r="T15" s="157">
        <f>IFERROR(VLOOKUP($A15,'Over Under Bill 1 COPY 到CO欄位'!$1:$1048576,90,0),0)</f>
        <v>0</v>
      </c>
    </row>
    <row r="16" spans="1:22">
      <c r="A16" s="155" t="s">
        <v>329</v>
      </c>
      <c r="B16" s="156" t="s">
        <v>330</v>
      </c>
      <c r="C16" s="157">
        <f>IFERROR(VLOOKUP($A16,'Over Under Bill 1 COPY 到CO欄位'!$1:$1048576,5,0),0)</f>
        <v>0</v>
      </c>
      <c r="D16" s="157">
        <f>IFERROR(VLOOKUP($A16,'Over Under Bill 1 COPY 到CO欄位'!$1:$1048576,10,0),0)</f>
        <v>0</v>
      </c>
      <c r="E16" s="157">
        <f>IFERROR(VLOOKUP($A16,'Over Under Bill 1 COPY 到CO欄位'!$1:$1048576,15,0),0)</f>
        <v>0</v>
      </c>
      <c r="F16" s="157">
        <f>IFERROR(VLOOKUP($A16,'Over Under Bill 1 COPY 到CO欄位'!$1:$1048576,20,0),0)</f>
        <v>0</v>
      </c>
      <c r="G16" s="157">
        <f>IFERROR(VLOOKUP($A16,'Over Under Bill 1 COPY 到CO欄位'!$1:$1048576,25,0),0)</f>
        <v>0</v>
      </c>
      <c r="H16" s="157">
        <f>IFERROR(VLOOKUP($A16,'Over Under Bill 1 COPY 到CO欄位'!$1:$1048576,30,0),0)</f>
        <v>0</v>
      </c>
      <c r="I16" s="157">
        <f>IFERROR(VLOOKUP($A16,'Over Under Bill 1 COPY 到CO欄位'!$1:$1048576,35,0),0)</f>
        <v>0</v>
      </c>
      <c r="J16" s="157">
        <f>IFERROR(VLOOKUP($A16,'Over Under Bill 1 COPY 到CO欄位'!$1:$1048576,40,0),0)</f>
        <v>0</v>
      </c>
      <c r="K16" s="157">
        <f>IFERROR(VLOOKUP($A16,'Over Under Bill 1 COPY 到CO欄位'!$1:$1048576,45,0),0)</f>
        <v>0</v>
      </c>
      <c r="L16" s="157">
        <f>IFERROR(VLOOKUP($A16,'Over Under Bill 1 COPY 到CO欄位'!$1:$1048576,50,0),0)</f>
        <v>0</v>
      </c>
      <c r="M16" s="157">
        <f>IFERROR(VLOOKUP($A16,'Over Under Bill 1 COPY 到CO欄位'!$1:$1048576,55,0),0)</f>
        <v>0</v>
      </c>
      <c r="N16" s="157">
        <f>IFERROR(VLOOKUP($A16,'Over Under Bill 1 COPY 到CO欄位'!$1:$1048576,60,0),0)</f>
        <v>0</v>
      </c>
      <c r="O16" s="157">
        <f>IFERROR(VLOOKUP($A16,'Over Under Bill 1 COPY 到CO欄位'!$1:$1048576,65,0),0)</f>
        <v>0</v>
      </c>
      <c r="P16" s="157">
        <f>IFERROR(VLOOKUP($A16,'Over Under Bill 1 COPY 到CO欄位'!$1:$1048576,70,0),0)</f>
        <v>0</v>
      </c>
      <c r="Q16" s="157">
        <f>IFERROR(VLOOKUP($A16,'Over Under Bill 1 COPY 到CO欄位'!$1:$1048576,75,0),0)</f>
        <v>0</v>
      </c>
      <c r="R16" s="157">
        <f>IFERROR(VLOOKUP($A16,'Over Under Bill 1 COPY 到CO欄位'!$1:$1048576,80,0),0)</f>
        <v>0</v>
      </c>
      <c r="S16" s="157">
        <f>IFERROR(VLOOKUP($A16,'Over Under Bill 1 COPY 到CO欄位'!$1:$1048576,85,0),0)</f>
        <v>0</v>
      </c>
      <c r="T16" s="157">
        <f>IFERROR(VLOOKUP($A16,'Over Under Bill 1 COPY 到CO欄位'!$1:$1048576,90,0),0)</f>
        <v>0</v>
      </c>
    </row>
    <row r="17" spans="1:20">
      <c r="A17" s="155" t="s">
        <v>331</v>
      </c>
      <c r="B17" s="168" t="s">
        <v>332</v>
      </c>
      <c r="C17" s="157">
        <f>IFERROR(VLOOKUP($A17,'Over Under Bill 1 COPY 到CO欄位'!$1:$1048576,5,0),0)</f>
        <v>0</v>
      </c>
      <c r="D17" s="157">
        <f>IFERROR(VLOOKUP($A17,'Over Under Bill 1 COPY 到CO欄位'!$1:$1048576,10,0),0)</f>
        <v>0</v>
      </c>
      <c r="E17" s="157">
        <f>IFERROR(VLOOKUP($A17,'Over Under Bill 1 COPY 到CO欄位'!$1:$1048576,15,0),0)</f>
        <v>0</v>
      </c>
      <c r="F17" s="157">
        <f>IFERROR(VLOOKUP($A17,'Over Under Bill 1 COPY 到CO欄位'!$1:$1048576,20,0),0)</f>
        <v>0</v>
      </c>
      <c r="G17" s="157">
        <f>IFERROR(VLOOKUP($A17,'Over Under Bill 1 COPY 到CO欄位'!$1:$1048576,25,0),0)</f>
        <v>0</v>
      </c>
      <c r="H17" s="157">
        <f>IFERROR(VLOOKUP($A17,'Over Under Bill 1 COPY 到CO欄位'!$1:$1048576,30,0),0)</f>
        <v>0</v>
      </c>
      <c r="I17" s="157">
        <f>IFERROR(VLOOKUP($A17,'Over Under Bill 1 COPY 到CO欄位'!$1:$1048576,35,0),0)</f>
        <v>0</v>
      </c>
      <c r="J17" s="157">
        <f>IFERROR(VLOOKUP($A17,'Over Under Bill 1 COPY 到CO欄位'!$1:$1048576,40,0),0)</f>
        <v>0</v>
      </c>
      <c r="K17" s="157">
        <f>IFERROR(VLOOKUP($A17,'Over Under Bill 1 COPY 到CO欄位'!$1:$1048576,45,0),0)</f>
        <v>0</v>
      </c>
      <c r="L17" s="157">
        <f>IFERROR(VLOOKUP($A17,'Over Under Bill 1 COPY 到CO欄位'!$1:$1048576,50,0),0)</f>
        <v>0</v>
      </c>
      <c r="M17" s="157">
        <f>IFERROR(VLOOKUP($A17,'Over Under Bill 1 COPY 到CO欄位'!$1:$1048576,55,0),0)</f>
        <v>0</v>
      </c>
      <c r="N17" s="157">
        <f>IFERROR(VLOOKUP($A17,'Over Under Bill 1 COPY 到CO欄位'!$1:$1048576,60,0),0)</f>
        <v>0</v>
      </c>
      <c r="O17" s="157">
        <f>IFERROR(VLOOKUP($A17,'Over Under Bill 1 COPY 到CO欄位'!$1:$1048576,65,0),0)</f>
        <v>0</v>
      </c>
      <c r="P17" s="157">
        <f>IFERROR(VLOOKUP($A17,'Over Under Bill 1 COPY 到CO欄位'!$1:$1048576,70,0),0)</f>
        <v>0</v>
      </c>
      <c r="Q17" s="157">
        <f>IFERROR(VLOOKUP($A17,'Over Under Bill 1 COPY 到CO欄位'!$1:$1048576,75,0),0)</f>
        <v>0</v>
      </c>
      <c r="R17" s="157">
        <f>IFERROR(VLOOKUP($A17,'Over Under Bill 1 COPY 到CO欄位'!$1:$1048576,80,0),0)</f>
        <v>0</v>
      </c>
      <c r="S17" s="157">
        <f>IFERROR(VLOOKUP($A17,'Over Under Bill 1 COPY 到CO欄位'!$1:$1048576,85,0),0)</f>
        <v>0</v>
      </c>
      <c r="T17" s="157">
        <f>IFERROR(VLOOKUP($A17,'Over Under Bill 1 COPY 到CO欄位'!$1:$1048576,90,0),0)</f>
        <v>0</v>
      </c>
    </row>
    <row r="18" spans="1:20">
      <c r="A18" s="155" t="s">
        <v>333</v>
      </c>
      <c r="B18" s="168" t="s">
        <v>334</v>
      </c>
      <c r="C18" s="157">
        <f>IFERROR(VLOOKUP($A18,'Over Under Bill 1 COPY 到CO欄位'!$1:$1048576,5,0),0)</f>
        <v>0</v>
      </c>
      <c r="D18" s="157">
        <f>IFERROR(VLOOKUP($A18,'Over Under Bill 1 COPY 到CO欄位'!$1:$1048576,10,0),0)</f>
        <v>0</v>
      </c>
      <c r="E18" s="157">
        <f>IFERROR(VLOOKUP($A18,'Over Under Bill 1 COPY 到CO欄位'!$1:$1048576,15,0),0)</f>
        <v>0</v>
      </c>
      <c r="F18" s="157">
        <f>IFERROR(VLOOKUP($A18,'Over Under Bill 1 COPY 到CO欄位'!$1:$1048576,20,0),0)</f>
        <v>0</v>
      </c>
      <c r="G18" s="157">
        <f>IFERROR(VLOOKUP($A18,'Over Under Bill 1 COPY 到CO欄位'!$1:$1048576,25,0),0)</f>
        <v>0</v>
      </c>
      <c r="H18" s="157">
        <f>IFERROR(VLOOKUP($A18,'Over Under Bill 1 COPY 到CO欄位'!$1:$1048576,30,0),0)</f>
        <v>0</v>
      </c>
      <c r="I18" s="157">
        <f>IFERROR(VLOOKUP($A18,'Over Under Bill 1 COPY 到CO欄位'!$1:$1048576,35,0),0)</f>
        <v>0</v>
      </c>
      <c r="J18" s="157">
        <f>IFERROR(VLOOKUP($A18,'Over Under Bill 1 COPY 到CO欄位'!$1:$1048576,40,0),0)</f>
        <v>0</v>
      </c>
      <c r="K18" s="157">
        <f>IFERROR(VLOOKUP($A18,'Over Under Bill 1 COPY 到CO欄位'!$1:$1048576,45,0),0)</f>
        <v>0</v>
      </c>
      <c r="L18" s="157">
        <f>IFERROR(VLOOKUP($A18,'Over Under Bill 1 COPY 到CO欄位'!$1:$1048576,50,0),0)</f>
        <v>0</v>
      </c>
      <c r="M18" s="157">
        <f>IFERROR(VLOOKUP($A18,'Over Under Bill 1 COPY 到CO欄位'!$1:$1048576,55,0),0)</f>
        <v>0</v>
      </c>
      <c r="N18" s="157">
        <f>IFERROR(VLOOKUP($A18,'Over Under Bill 1 COPY 到CO欄位'!$1:$1048576,60,0),0)</f>
        <v>0</v>
      </c>
      <c r="O18" s="157">
        <f>IFERROR(VLOOKUP($A18,'Over Under Bill 1 COPY 到CO欄位'!$1:$1048576,65,0),0)</f>
        <v>0</v>
      </c>
      <c r="P18" s="157">
        <f>IFERROR(VLOOKUP($A18,'Over Under Bill 1 COPY 到CO欄位'!$1:$1048576,70,0),0)</f>
        <v>0</v>
      </c>
      <c r="Q18" s="157">
        <f>IFERROR(VLOOKUP($A18,'Over Under Bill 1 COPY 到CO欄位'!$1:$1048576,75,0),0)</f>
        <v>0</v>
      </c>
      <c r="R18" s="157">
        <f>IFERROR(VLOOKUP($A18,'Over Under Bill 1 COPY 到CO欄位'!$1:$1048576,80,0),0)</f>
        <v>0</v>
      </c>
      <c r="S18" s="157">
        <f>IFERROR(VLOOKUP($A18,'Over Under Bill 1 COPY 到CO欄位'!$1:$1048576,85,0),0)</f>
        <v>0</v>
      </c>
      <c r="T18" s="157">
        <f>IFERROR(VLOOKUP($A18,'Over Under Bill 1 COPY 到CO欄位'!$1:$1048576,90,0),0)</f>
        <v>0</v>
      </c>
    </row>
    <row r="19" spans="1:20">
      <c r="A19" s="155" t="s">
        <v>335</v>
      </c>
      <c r="B19" s="168" t="s">
        <v>336</v>
      </c>
      <c r="C19" s="157">
        <f>IFERROR(VLOOKUP($A19,'Over Under Bill 1 COPY 到CO欄位'!$1:$1048576,5,0),0)</f>
        <v>0</v>
      </c>
      <c r="D19" s="157">
        <f>IFERROR(VLOOKUP($A19,'Over Under Bill 1 COPY 到CO欄位'!$1:$1048576,10,0),0)</f>
        <v>0</v>
      </c>
      <c r="E19" s="157">
        <f>IFERROR(VLOOKUP($A19,'Over Under Bill 1 COPY 到CO欄位'!$1:$1048576,15,0),0)</f>
        <v>0</v>
      </c>
      <c r="F19" s="157">
        <f>IFERROR(VLOOKUP($A19,'Over Under Bill 1 COPY 到CO欄位'!$1:$1048576,20,0),0)</f>
        <v>0</v>
      </c>
      <c r="G19" s="157">
        <f>IFERROR(VLOOKUP($A19,'Over Under Bill 1 COPY 到CO欄位'!$1:$1048576,25,0),0)</f>
        <v>0</v>
      </c>
      <c r="H19" s="157">
        <f>IFERROR(VLOOKUP($A19,'Over Under Bill 1 COPY 到CO欄位'!$1:$1048576,30,0),0)</f>
        <v>0</v>
      </c>
      <c r="I19" s="157">
        <f>IFERROR(VLOOKUP($A19,'Over Under Bill 1 COPY 到CO欄位'!$1:$1048576,35,0),0)</f>
        <v>0</v>
      </c>
      <c r="J19" s="157">
        <f>IFERROR(VLOOKUP($A19,'Over Under Bill 1 COPY 到CO欄位'!$1:$1048576,40,0),0)</f>
        <v>0</v>
      </c>
      <c r="K19" s="157">
        <f>IFERROR(VLOOKUP($A19,'Over Under Bill 1 COPY 到CO欄位'!$1:$1048576,45,0),0)</f>
        <v>0</v>
      </c>
      <c r="L19" s="157">
        <f>IFERROR(VLOOKUP($A19,'Over Under Bill 1 COPY 到CO欄位'!$1:$1048576,50,0),0)</f>
        <v>0</v>
      </c>
      <c r="M19" s="157">
        <f>IFERROR(VLOOKUP($A19,'Over Under Bill 1 COPY 到CO欄位'!$1:$1048576,55,0),0)</f>
        <v>0</v>
      </c>
      <c r="N19" s="157">
        <f>IFERROR(VLOOKUP($A19,'Over Under Bill 1 COPY 到CO欄位'!$1:$1048576,60,0),0)</f>
        <v>0</v>
      </c>
      <c r="O19" s="157">
        <f>IFERROR(VLOOKUP($A19,'Over Under Bill 1 COPY 到CO欄位'!$1:$1048576,65,0),0)</f>
        <v>0</v>
      </c>
      <c r="P19" s="157">
        <f>IFERROR(VLOOKUP($A19,'Over Under Bill 1 COPY 到CO欄位'!$1:$1048576,70,0),0)</f>
        <v>0</v>
      </c>
      <c r="Q19" s="157">
        <f>IFERROR(VLOOKUP($A19,'Over Under Bill 1 COPY 到CO欄位'!$1:$1048576,75,0),0)</f>
        <v>0</v>
      </c>
      <c r="R19" s="157">
        <f>IFERROR(VLOOKUP($A19,'Over Under Bill 1 COPY 到CO欄位'!$1:$1048576,80,0),0)</f>
        <v>0</v>
      </c>
      <c r="S19" s="157">
        <f>IFERROR(VLOOKUP($A19,'Over Under Bill 1 COPY 到CO欄位'!$1:$1048576,85,0),0)</f>
        <v>0</v>
      </c>
      <c r="T19" s="157">
        <f>IFERROR(VLOOKUP($A19,'Over Under Bill 1 COPY 到CO欄位'!$1:$1048576,90,0),0)</f>
        <v>0</v>
      </c>
    </row>
    <row r="20" spans="1:20">
      <c r="A20" s="155" t="s">
        <v>337</v>
      </c>
      <c r="B20" s="168" t="s">
        <v>338</v>
      </c>
      <c r="C20" s="157">
        <f>IFERROR(VLOOKUP($A20,'Over Under Bill 1 COPY 到CO欄位'!$1:$1048576,5,0),0)</f>
        <v>0</v>
      </c>
      <c r="D20" s="157">
        <f>IFERROR(VLOOKUP($A20,'Over Under Bill 1 COPY 到CO欄位'!$1:$1048576,10,0),0)</f>
        <v>0</v>
      </c>
      <c r="E20" s="157">
        <f>IFERROR(VLOOKUP($A20,'Over Under Bill 1 COPY 到CO欄位'!$1:$1048576,15,0),0)</f>
        <v>0</v>
      </c>
      <c r="F20" s="157">
        <f>IFERROR(VLOOKUP($A20,'Over Under Bill 1 COPY 到CO欄位'!$1:$1048576,20,0),0)</f>
        <v>0</v>
      </c>
      <c r="G20" s="157">
        <f>IFERROR(VLOOKUP($A20,'Over Under Bill 1 COPY 到CO欄位'!$1:$1048576,25,0),0)</f>
        <v>0</v>
      </c>
      <c r="H20" s="157">
        <f>IFERROR(VLOOKUP($A20,'Over Under Bill 1 COPY 到CO欄位'!$1:$1048576,30,0),0)</f>
        <v>0</v>
      </c>
      <c r="I20" s="157">
        <f>IFERROR(VLOOKUP($A20,'Over Under Bill 1 COPY 到CO欄位'!$1:$1048576,35,0),0)</f>
        <v>0</v>
      </c>
      <c r="J20" s="157">
        <f>IFERROR(VLOOKUP($A20,'Over Under Bill 1 COPY 到CO欄位'!$1:$1048576,40,0),0)</f>
        <v>0</v>
      </c>
      <c r="K20" s="157">
        <f>IFERROR(VLOOKUP($A20,'Over Under Bill 1 COPY 到CO欄位'!$1:$1048576,45,0),0)</f>
        <v>0</v>
      </c>
      <c r="L20" s="157">
        <f>IFERROR(VLOOKUP($A20,'Over Under Bill 1 COPY 到CO欄位'!$1:$1048576,50,0),0)</f>
        <v>0</v>
      </c>
      <c r="M20" s="157">
        <f>IFERROR(VLOOKUP($A20,'Over Under Bill 1 COPY 到CO欄位'!$1:$1048576,55,0),0)</f>
        <v>0</v>
      </c>
      <c r="N20" s="157">
        <f>IFERROR(VLOOKUP($A20,'Over Under Bill 1 COPY 到CO欄位'!$1:$1048576,60,0),0)</f>
        <v>0</v>
      </c>
      <c r="O20" s="157">
        <f>IFERROR(VLOOKUP($A20,'Over Under Bill 1 COPY 到CO欄位'!$1:$1048576,65,0),0)</f>
        <v>0</v>
      </c>
      <c r="P20" s="157">
        <f>IFERROR(VLOOKUP($A20,'Over Under Bill 1 COPY 到CO欄位'!$1:$1048576,70,0),0)</f>
        <v>0</v>
      </c>
      <c r="Q20" s="157">
        <f>IFERROR(VLOOKUP($A20,'Over Under Bill 1 COPY 到CO欄位'!$1:$1048576,75,0),0)</f>
        <v>0</v>
      </c>
      <c r="R20" s="157">
        <f>IFERROR(VLOOKUP($A20,'Over Under Bill 1 COPY 到CO欄位'!$1:$1048576,80,0),0)</f>
        <v>0</v>
      </c>
      <c r="S20" s="157">
        <f>IFERROR(VLOOKUP($A20,'Over Under Bill 1 COPY 到CO欄位'!$1:$1048576,85,0),0)</f>
        <v>0</v>
      </c>
      <c r="T20" s="157">
        <f>IFERROR(VLOOKUP($A20,'Over Under Bill 1 COPY 到CO欄位'!$1:$1048576,90,0),0)</f>
        <v>0</v>
      </c>
    </row>
    <row r="21" spans="1:20">
      <c r="A21" s="155" t="s">
        <v>339</v>
      </c>
      <c r="B21" s="168" t="s">
        <v>340</v>
      </c>
      <c r="C21" s="157">
        <f>IFERROR(VLOOKUP($A21,'Over Under Bill 1 COPY 到CO欄位'!$1:$1048576,5,0),0)</f>
        <v>0</v>
      </c>
      <c r="D21" s="157">
        <f>IFERROR(VLOOKUP($A21,'Over Under Bill 1 COPY 到CO欄位'!$1:$1048576,10,0),0)</f>
        <v>0</v>
      </c>
      <c r="E21" s="157">
        <f>IFERROR(VLOOKUP($A21,'Over Under Bill 1 COPY 到CO欄位'!$1:$1048576,15,0),0)</f>
        <v>0</v>
      </c>
      <c r="F21" s="157">
        <f>IFERROR(VLOOKUP($A21,'Over Under Bill 1 COPY 到CO欄位'!$1:$1048576,20,0),0)</f>
        <v>0</v>
      </c>
      <c r="G21" s="157">
        <f>IFERROR(VLOOKUP($A21,'Over Under Bill 1 COPY 到CO欄位'!$1:$1048576,25,0),0)</f>
        <v>0</v>
      </c>
      <c r="H21" s="157">
        <f>IFERROR(VLOOKUP($A21,'Over Under Bill 1 COPY 到CO欄位'!$1:$1048576,30,0),0)</f>
        <v>0</v>
      </c>
      <c r="I21" s="157">
        <f>IFERROR(VLOOKUP($A21,'Over Under Bill 1 COPY 到CO欄位'!$1:$1048576,35,0),0)</f>
        <v>0</v>
      </c>
      <c r="J21" s="157">
        <f>IFERROR(VLOOKUP($A21,'Over Under Bill 1 COPY 到CO欄位'!$1:$1048576,40,0),0)</f>
        <v>0</v>
      </c>
      <c r="K21" s="157">
        <f>IFERROR(VLOOKUP($A21,'Over Under Bill 1 COPY 到CO欄位'!$1:$1048576,45,0),0)</f>
        <v>0</v>
      </c>
      <c r="L21" s="157">
        <f>IFERROR(VLOOKUP($A21,'Over Under Bill 1 COPY 到CO欄位'!$1:$1048576,50,0),0)</f>
        <v>0</v>
      </c>
      <c r="M21" s="157">
        <f>IFERROR(VLOOKUP($A21,'Over Under Bill 1 COPY 到CO欄位'!$1:$1048576,55,0),0)</f>
        <v>0</v>
      </c>
      <c r="N21" s="157">
        <f>IFERROR(VLOOKUP($A21,'Over Under Bill 1 COPY 到CO欄位'!$1:$1048576,60,0),0)</f>
        <v>0</v>
      </c>
      <c r="O21" s="157">
        <f>IFERROR(VLOOKUP($A21,'Over Under Bill 1 COPY 到CO欄位'!$1:$1048576,65,0),0)</f>
        <v>0</v>
      </c>
      <c r="P21" s="157">
        <f>IFERROR(VLOOKUP($A21,'Over Under Bill 1 COPY 到CO欄位'!$1:$1048576,70,0),0)</f>
        <v>0</v>
      </c>
      <c r="Q21" s="157">
        <f>IFERROR(VLOOKUP($A21,'Over Under Bill 1 COPY 到CO欄位'!$1:$1048576,75,0),0)</f>
        <v>0</v>
      </c>
      <c r="R21" s="157">
        <f>IFERROR(VLOOKUP($A21,'Over Under Bill 1 COPY 到CO欄位'!$1:$1048576,80,0),0)</f>
        <v>0</v>
      </c>
      <c r="S21" s="157">
        <f>IFERROR(VLOOKUP($A21,'Over Under Bill 1 COPY 到CO欄位'!$1:$1048576,85,0),0)</f>
        <v>0</v>
      </c>
      <c r="T21" s="157">
        <f>IFERROR(VLOOKUP($A21,'Over Under Bill 1 COPY 到CO欄位'!$1:$1048576,90,0),0)</f>
        <v>0</v>
      </c>
    </row>
    <row r="22" spans="1:20">
      <c r="A22" s="155" t="s">
        <v>341</v>
      </c>
      <c r="B22" s="169" t="s">
        <v>342</v>
      </c>
      <c r="C22" s="157">
        <f>IFERROR(VLOOKUP($A22,'Over Under Bill 1 COPY 到CO欄位'!$1:$1048576,5,0),0)</f>
        <v>0</v>
      </c>
      <c r="D22" s="157">
        <f>IFERROR(VLOOKUP($A22,'Over Under Bill 1 COPY 到CO欄位'!$1:$1048576,10,0),0)</f>
        <v>0</v>
      </c>
      <c r="E22" s="157">
        <f>IFERROR(VLOOKUP($A22,'Over Under Bill 1 COPY 到CO欄位'!$1:$1048576,15,0),0)</f>
        <v>0</v>
      </c>
      <c r="F22" s="157">
        <f>IFERROR(VLOOKUP($A22,'Over Under Bill 1 COPY 到CO欄位'!$1:$1048576,20,0),0)</f>
        <v>0</v>
      </c>
      <c r="G22" s="157">
        <f>IFERROR(VLOOKUP($A22,'Over Under Bill 1 COPY 到CO欄位'!$1:$1048576,25,0),0)</f>
        <v>0</v>
      </c>
      <c r="H22" s="157">
        <f>IFERROR(VLOOKUP($A22,'Over Under Bill 1 COPY 到CO欄位'!$1:$1048576,30,0),0)</f>
        <v>0</v>
      </c>
      <c r="I22" s="157">
        <f>IFERROR(VLOOKUP($A22,'Over Under Bill 1 COPY 到CO欄位'!$1:$1048576,35,0),0)</f>
        <v>0</v>
      </c>
      <c r="J22" s="157">
        <f>IFERROR(VLOOKUP($A22,'Over Under Bill 1 COPY 到CO欄位'!$1:$1048576,40,0),0)</f>
        <v>0</v>
      </c>
      <c r="K22" s="157">
        <f>IFERROR(VLOOKUP($A22,'Over Under Bill 1 COPY 到CO欄位'!$1:$1048576,45,0),0)</f>
        <v>0</v>
      </c>
      <c r="L22" s="157">
        <f>IFERROR(VLOOKUP($A22,'Over Under Bill 1 COPY 到CO欄位'!$1:$1048576,50,0),0)</f>
        <v>0</v>
      </c>
      <c r="M22" s="157">
        <f>IFERROR(VLOOKUP($A22,'Over Under Bill 1 COPY 到CO欄位'!$1:$1048576,55,0),0)</f>
        <v>0</v>
      </c>
      <c r="N22" s="157">
        <f>IFERROR(VLOOKUP($A22,'Over Under Bill 1 COPY 到CO欄位'!$1:$1048576,60,0),0)</f>
        <v>0</v>
      </c>
      <c r="O22" s="157">
        <f>IFERROR(VLOOKUP($A22,'Over Under Bill 1 COPY 到CO欄位'!$1:$1048576,65,0),0)</f>
        <v>0</v>
      </c>
      <c r="P22" s="157">
        <f>IFERROR(VLOOKUP($A22,'Over Under Bill 1 COPY 到CO欄位'!$1:$1048576,70,0),0)</f>
        <v>0</v>
      </c>
      <c r="Q22" s="157">
        <f>IFERROR(VLOOKUP($A22,'Over Under Bill 1 COPY 到CO欄位'!$1:$1048576,75,0),0)</f>
        <v>0</v>
      </c>
      <c r="R22" s="157">
        <f>IFERROR(VLOOKUP($A22,'Over Under Bill 1 COPY 到CO欄位'!$1:$1048576,80,0),0)</f>
        <v>0</v>
      </c>
      <c r="S22" s="157">
        <f>IFERROR(VLOOKUP($A22,'Over Under Bill 1 COPY 到CO欄位'!$1:$1048576,85,0),0)</f>
        <v>0</v>
      </c>
      <c r="T22" s="157">
        <f>IFERROR(VLOOKUP($A22,'Over Under Bill 1 COPY 到CO欄位'!$1:$1048576,90,0),0)</f>
        <v>0</v>
      </c>
    </row>
    <row r="23" spans="1:20">
      <c r="A23" s="155" t="s">
        <v>343</v>
      </c>
      <c r="B23" s="169" t="s">
        <v>344</v>
      </c>
      <c r="C23" s="157">
        <f>IFERROR(VLOOKUP($A23,'Over Under Bill 1 COPY 到CO欄位'!$1:$1048576,5,0),0)</f>
        <v>0</v>
      </c>
      <c r="D23" s="157">
        <f>IFERROR(VLOOKUP($A23,'Over Under Bill 1 COPY 到CO欄位'!$1:$1048576,10,0),0)</f>
        <v>0</v>
      </c>
      <c r="E23" s="157">
        <f>IFERROR(VLOOKUP($A23,'Over Under Bill 1 COPY 到CO欄位'!$1:$1048576,15,0),0)</f>
        <v>0</v>
      </c>
      <c r="F23" s="157">
        <f>IFERROR(VLOOKUP($A23,'Over Under Bill 1 COPY 到CO欄位'!$1:$1048576,20,0),0)</f>
        <v>0</v>
      </c>
      <c r="G23" s="157">
        <f>IFERROR(VLOOKUP($A23,'Over Under Bill 1 COPY 到CO欄位'!$1:$1048576,25,0),0)</f>
        <v>0</v>
      </c>
      <c r="H23" s="157">
        <f>IFERROR(VLOOKUP($A23,'Over Under Bill 1 COPY 到CO欄位'!$1:$1048576,30,0),0)</f>
        <v>0</v>
      </c>
      <c r="I23" s="157">
        <f>IFERROR(VLOOKUP($A23,'Over Under Bill 1 COPY 到CO欄位'!$1:$1048576,35,0),0)</f>
        <v>0</v>
      </c>
      <c r="J23" s="157">
        <f>IFERROR(VLOOKUP($A23,'Over Under Bill 1 COPY 到CO欄位'!$1:$1048576,40,0),0)</f>
        <v>0</v>
      </c>
      <c r="K23" s="157">
        <f>IFERROR(VLOOKUP($A23,'Over Under Bill 1 COPY 到CO欄位'!$1:$1048576,45,0),0)</f>
        <v>0</v>
      </c>
      <c r="L23" s="157">
        <f>IFERROR(VLOOKUP($A23,'Over Under Bill 1 COPY 到CO欄位'!$1:$1048576,50,0),0)</f>
        <v>0</v>
      </c>
      <c r="M23" s="157">
        <f>IFERROR(VLOOKUP($A23,'Over Under Bill 1 COPY 到CO欄位'!$1:$1048576,55,0),0)</f>
        <v>0</v>
      </c>
      <c r="N23" s="157">
        <f>IFERROR(VLOOKUP($A23,'Over Under Bill 1 COPY 到CO欄位'!$1:$1048576,60,0),0)</f>
        <v>0</v>
      </c>
      <c r="O23" s="157">
        <f>IFERROR(VLOOKUP($A23,'Over Under Bill 1 COPY 到CO欄位'!$1:$1048576,65,0),0)</f>
        <v>0</v>
      </c>
      <c r="P23" s="157">
        <f>IFERROR(VLOOKUP($A23,'Over Under Bill 1 COPY 到CO欄位'!$1:$1048576,70,0),0)</f>
        <v>0</v>
      </c>
      <c r="Q23" s="157">
        <f>IFERROR(VLOOKUP($A23,'Over Under Bill 1 COPY 到CO欄位'!$1:$1048576,75,0),0)</f>
        <v>0</v>
      </c>
      <c r="R23" s="157">
        <f>IFERROR(VLOOKUP($A23,'Over Under Bill 1 COPY 到CO欄位'!$1:$1048576,80,0),0)</f>
        <v>0</v>
      </c>
      <c r="S23" s="157">
        <f>IFERROR(VLOOKUP($A23,'Over Under Bill 1 COPY 到CO欄位'!$1:$1048576,85,0),0)</f>
        <v>0</v>
      </c>
      <c r="T23" s="157">
        <f>IFERROR(VLOOKUP($A23,'Over Under Bill 1 COPY 到CO欄位'!$1:$1048576,90,0),0)</f>
        <v>0</v>
      </c>
    </row>
    <row r="24" spans="1:20">
      <c r="A24" s="155" t="s">
        <v>345</v>
      </c>
      <c r="B24" s="169" t="s">
        <v>346</v>
      </c>
      <c r="C24" s="157">
        <f>IFERROR(VLOOKUP($A24,'Over Under Bill 1 COPY 到CO欄位'!$1:$1048576,5,0),0)</f>
        <v>0</v>
      </c>
      <c r="D24" s="157">
        <f>IFERROR(VLOOKUP($A24,'Over Under Bill 1 COPY 到CO欄位'!$1:$1048576,10,0),0)</f>
        <v>0</v>
      </c>
      <c r="E24" s="157">
        <f>IFERROR(VLOOKUP($A24,'Over Under Bill 1 COPY 到CO欄位'!$1:$1048576,15,0),0)</f>
        <v>0</v>
      </c>
      <c r="F24" s="157">
        <f>IFERROR(VLOOKUP($A24,'Over Under Bill 1 COPY 到CO欄位'!$1:$1048576,20,0),0)</f>
        <v>0</v>
      </c>
      <c r="G24" s="157">
        <f>IFERROR(VLOOKUP($A24,'Over Under Bill 1 COPY 到CO欄位'!$1:$1048576,25,0),0)</f>
        <v>0</v>
      </c>
      <c r="H24" s="157">
        <f>IFERROR(VLOOKUP($A24,'Over Under Bill 1 COPY 到CO欄位'!$1:$1048576,30,0),0)</f>
        <v>0</v>
      </c>
      <c r="I24" s="157">
        <f>IFERROR(VLOOKUP($A24,'Over Under Bill 1 COPY 到CO欄位'!$1:$1048576,35,0),0)</f>
        <v>0</v>
      </c>
      <c r="J24" s="157">
        <f>IFERROR(VLOOKUP($A24,'Over Under Bill 1 COPY 到CO欄位'!$1:$1048576,40,0),0)</f>
        <v>0</v>
      </c>
      <c r="K24" s="157">
        <f>IFERROR(VLOOKUP($A24,'Over Under Bill 1 COPY 到CO欄位'!$1:$1048576,45,0),0)</f>
        <v>0</v>
      </c>
      <c r="L24" s="157">
        <f>IFERROR(VLOOKUP($A24,'Over Under Bill 1 COPY 到CO欄位'!$1:$1048576,50,0),0)</f>
        <v>0</v>
      </c>
      <c r="M24" s="157">
        <f>IFERROR(VLOOKUP($A24,'Over Under Bill 1 COPY 到CO欄位'!$1:$1048576,55,0),0)</f>
        <v>0</v>
      </c>
      <c r="N24" s="157">
        <f>IFERROR(VLOOKUP($A24,'Over Under Bill 1 COPY 到CO欄位'!$1:$1048576,60,0),0)</f>
        <v>0</v>
      </c>
      <c r="O24" s="157">
        <f>IFERROR(VLOOKUP($A24,'Over Under Bill 1 COPY 到CO欄位'!$1:$1048576,65,0),0)</f>
        <v>0</v>
      </c>
      <c r="P24" s="157">
        <f>IFERROR(VLOOKUP($A24,'Over Under Bill 1 COPY 到CO欄位'!$1:$1048576,70,0),0)</f>
        <v>0</v>
      </c>
      <c r="Q24" s="157">
        <f>IFERROR(VLOOKUP($A24,'Over Under Bill 1 COPY 到CO欄位'!$1:$1048576,75,0),0)</f>
        <v>0</v>
      </c>
      <c r="R24" s="157">
        <f>IFERROR(VLOOKUP($A24,'Over Under Bill 1 COPY 到CO欄位'!$1:$1048576,80,0),0)</f>
        <v>0</v>
      </c>
      <c r="S24" s="157">
        <f>IFERROR(VLOOKUP($A24,'Over Under Bill 1 COPY 到CO欄位'!$1:$1048576,85,0),0)</f>
        <v>0</v>
      </c>
      <c r="T24" s="157">
        <f>IFERROR(VLOOKUP($A24,'Over Under Bill 1 COPY 到CO欄位'!$1:$1048576,90,0),0)</f>
        <v>0</v>
      </c>
    </row>
    <row r="25" spans="1:20">
      <c r="A25" s="155" t="s">
        <v>347</v>
      </c>
      <c r="B25" s="169" t="s">
        <v>348</v>
      </c>
      <c r="C25" s="157">
        <f>IFERROR(VLOOKUP($A25,'Over Under Bill 1 COPY 到CO欄位'!$1:$1048576,5,0),0)</f>
        <v>0</v>
      </c>
      <c r="D25" s="157">
        <f>IFERROR(VLOOKUP($A25,'Over Under Bill 1 COPY 到CO欄位'!$1:$1048576,10,0),0)</f>
        <v>0</v>
      </c>
      <c r="E25" s="157">
        <f>IFERROR(VLOOKUP($A25,'Over Under Bill 1 COPY 到CO欄位'!$1:$1048576,15,0),0)</f>
        <v>0</v>
      </c>
      <c r="F25" s="157">
        <f>IFERROR(VLOOKUP($A25,'Over Under Bill 1 COPY 到CO欄位'!$1:$1048576,20,0),0)</f>
        <v>0</v>
      </c>
      <c r="G25" s="157">
        <f>IFERROR(VLOOKUP($A25,'Over Under Bill 1 COPY 到CO欄位'!$1:$1048576,25,0),0)</f>
        <v>0</v>
      </c>
      <c r="H25" s="157">
        <f>IFERROR(VLOOKUP($A25,'Over Under Bill 1 COPY 到CO欄位'!$1:$1048576,30,0),0)</f>
        <v>0</v>
      </c>
      <c r="I25" s="157">
        <f>IFERROR(VLOOKUP($A25,'Over Under Bill 1 COPY 到CO欄位'!$1:$1048576,35,0),0)</f>
        <v>0</v>
      </c>
      <c r="J25" s="157">
        <f>IFERROR(VLOOKUP($A25,'Over Under Bill 1 COPY 到CO欄位'!$1:$1048576,40,0),0)</f>
        <v>0</v>
      </c>
      <c r="K25" s="157">
        <f>IFERROR(VLOOKUP($A25,'Over Under Bill 1 COPY 到CO欄位'!$1:$1048576,45,0),0)</f>
        <v>0</v>
      </c>
      <c r="L25" s="157">
        <f>IFERROR(VLOOKUP($A25,'Over Under Bill 1 COPY 到CO欄位'!$1:$1048576,50,0),0)</f>
        <v>0</v>
      </c>
      <c r="M25" s="157">
        <f>IFERROR(VLOOKUP($A25,'Over Under Bill 1 COPY 到CO欄位'!$1:$1048576,55,0),0)</f>
        <v>0</v>
      </c>
      <c r="N25" s="157">
        <f>IFERROR(VLOOKUP($A25,'Over Under Bill 1 COPY 到CO欄位'!$1:$1048576,60,0),0)</f>
        <v>0</v>
      </c>
      <c r="O25" s="157">
        <f>IFERROR(VLOOKUP($A25,'Over Under Bill 1 COPY 到CO欄位'!$1:$1048576,65,0),0)</f>
        <v>0</v>
      </c>
      <c r="P25" s="157">
        <f>IFERROR(VLOOKUP($A25,'Over Under Bill 1 COPY 到CO欄位'!$1:$1048576,70,0),0)</f>
        <v>0</v>
      </c>
      <c r="Q25" s="157">
        <f>IFERROR(VLOOKUP($A25,'Over Under Bill 1 COPY 到CO欄位'!$1:$1048576,75,0),0)</f>
        <v>0</v>
      </c>
      <c r="R25" s="157">
        <f>IFERROR(VLOOKUP($A25,'Over Under Bill 1 COPY 到CO欄位'!$1:$1048576,80,0),0)</f>
        <v>0</v>
      </c>
      <c r="S25" s="157">
        <f>IFERROR(VLOOKUP($A25,'Over Under Bill 1 COPY 到CO欄位'!$1:$1048576,85,0),0)</f>
        <v>0</v>
      </c>
      <c r="T25" s="157">
        <f>IFERROR(VLOOKUP($A25,'Over Under Bill 1 COPY 到CO欄位'!$1:$1048576,90,0),0)</f>
        <v>0</v>
      </c>
    </row>
    <row r="26" spans="1:20">
      <c r="A26" s="155" t="s">
        <v>349</v>
      </c>
      <c r="B26" s="169" t="s">
        <v>350</v>
      </c>
      <c r="C26" s="157">
        <f>IFERROR(VLOOKUP($A26,'Over Under Bill 1 COPY 到CO欄位'!$1:$1048576,5,0),0)</f>
        <v>0</v>
      </c>
      <c r="D26" s="157">
        <f>IFERROR(VLOOKUP($A26,'Over Under Bill 1 COPY 到CO欄位'!$1:$1048576,10,0),0)</f>
        <v>0</v>
      </c>
      <c r="E26" s="157">
        <f>IFERROR(VLOOKUP($A26,'Over Under Bill 1 COPY 到CO欄位'!$1:$1048576,15,0),0)</f>
        <v>0</v>
      </c>
      <c r="F26" s="157">
        <f>IFERROR(VLOOKUP($A26,'Over Under Bill 1 COPY 到CO欄位'!$1:$1048576,20,0),0)</f>
        <v>0</v>
      </c>
      <c r="G26" s="157">
        <f>IFERROR(VLOOKUP($A26,'Over Under Bill 1 COPY 到CO欄位'!$1:$1048576,25,0),0)</f>
        <v>0</v>
      </c>
      <c r="H26" s="157">
        <f>IFERROR(VLOOKUP($A26,'Over Under Bill 1 COPY 到CO欄位'!$1:$1048576,30,0),0)</f>
        <v>0</v>
      </c>
      <c r="I26" s="157">
        <f>IFERROR(VLOOKUP($A26,'Over Under Bill 1 COPY 到CO欄位'!$1:$1048576,35,0),0)</f>
        <v>0</v>
      </c>
      <c r="J26" s="157">
        <f>IFERROR(VLOOKUP($A26,'Over Under Bill 1 COPY 到CO欄位'!$1:$1048576,40,0),0)</f>
        <v>0</v>
      </c>
      <c r="K26" s="157">
        <f>IFERROR(VLOOKUP($A26,'Over Under Bill 1 COPY 到CO欄位'!$1:$1048576,45,0),0)</f>
        <v>0</v>
      </c>
      <c r="L26" s="157">
        <f>IFERROR(VLOOKUP($A26,'Over Under Bill 1 COPY 到CO欄位'!$1:$1048576,50,0),0)</f>
        <v>0</v>
      </c>
      <c r="M26" s="157">
        <f>IFERROR(VLOOKUP($A26,'Over Under Bill 1 COPY 到CO欄位'!$1:$1048576,55,0),0)</f>
        <v>0</v>
      </c>
      <c r="N26" s="157">
        <f>IFERROR(VLOOKUP($A26,'Over Under Bill 1 COPY 到CO欄位'!$1:$1048576,60,0),0)</f>
        <v>0</v>
      </c>
      <c r="O26" s="157">
        <f>IFERROR(VLOOKUP($A26,'Over Under Bill 1 COPY 到CO欄位'!$1:$1048576,65,0),0)</f>
        <v>0</v>
      </c>
      <c r="P26" s="157">
        <f>IFERROR(VLOOKUP($A26,'Over Under Bill 1 COPY 到CO欄位'!$1:$1048576,70,0),0)</f>
        <v>0</v>
      </c>
      <c r="Q26" s="157">
        <f>IFERROR(VLOOKUP($A26,'Over Under Bill 1 COPY 到CO欄位'!$1:$1048576,75,0),0)</f>
        <v>0</v>
      </c>
      <c r="R26" s="157">
        <f>IFERROR(VLOOKUP($A26,'Over Under Bill 1 COPY 到CO欄位'!$1:$1048576,80,0),0)</f>
        <v>0</v>
      </c>
      <c r="S26" s="157">
        <f>IFERROR(VLOOKUP($A26,'Over Under Bill 1 COPY 到CO欄位'!$1:$1048576,85,0),0)</f>
        <v>0</v>
      </c>
      <c r="T26" s="157">
        <f>IFERROR(VLOOKUP($A26,'Over Under Bill 1 COPY 到CO欄位'!$1:$1048576,90,0),0)</f>
        <v>0</v>
      </c>
    </row>
    <row r="27" spans="1:20">
      <c r="A27" s="155" t="s">
        <v>351</v>
      </c>
      <c r="B27" s="169" t="s">
        <v>352</v>
      </c>
      <c r="C27" s="157">
        <f>IFERROR(VLOOKUP($A27,'Over Under Bill 1 COPY 到CO欄位'!$1:$1048576,5,0),0)</f>
        <v>0</v>
      </c>
      <c r="D27" s="157">
        <f>IFERROR(VLOOKUP($A27,'Over Under Bill 1 COPY 到CO欄位'!$1:$1048576,10,0),0)</f>
        <v>0</v>
      </c>
      <c r="E27" s="157">
        <f>IFERROR(VLOOKUP($A27,'Over Under Bill 1 COPY 到CO欄位'!$1:$1048576,15,0),0)</f>
        <v>0</v>
      </c>
      <c r="F27" s="157">
        <f>IFERROR(VLOOKUP($A27,'Over Under Bill 1 COPY 到CO欄位'!$1:$1048576,20,0),0)</f>
        <v>0</v>
      </c>
      <c r="G27" s="157">
        <f>IFERROR(VLOOKUP($A27,'Over Under Bill 1 COPY 到CO欄位'!$1:$1048576,25,0),0)</f>
        <v>0</v>
      </c>
      <c r="H27" s="157">
        <f>IFERROR(VLOOKUP($A27,'Over Under Bill 1 COPY 到CO欄位'!$1:$1048576,30,0),0)</f>
        <v>0</v>
      </c>
      <c r="I27" s="157">
        <f>IFERROR(VLOOKUP($A27,'Over Under Bill 1 COPY 到CO欄位'!$1:$1048576,35,0),0)</f>
        <v>0</v>
      </c>
      <c r="J27" s="157">
        <f>IFERROR(VLOOKUP($A27,'Over Under Bill 1 COPY 到CO欄位'!$1:$1048576,40,0),0)</f>
        <v>0</v>
      </c>
      <c r="K27" s="157">
        <f>IFERROR(VLOOKUP($A27,'Over Under Bill 1 COPY 到CO欄位'!$1:$1048576,45,0),0)</f>
        <v>0</v>
      </c>
      <c r="L27" s="157">
        <f>IFERROR(VLOOKUP($A27,'Over Under Bill 1 COPY 到CO欄位'!$1:$1048576,50,0),0)</f>
        <v>0</v>
      </c>
      <c r="M27" s="157">
        <f>IFERROR(VLOOKUP($A27,'Over Under Bill 1 COPY 到CO欄位'!$1:$1048576,55,0),0)</f>
        <v>0</v>
      </c>
      <c r="N27" s="157">
        <f>IFERROR(VLOOKUP($A27,'Over Under Bill 1 COPY 到CO欄位'!$1:$1048576,60,0),0)</f>
        <v>0</v>
      </c>
      <c r="O27" s="157">
        <f>IFERROR(VLOOKUP($A27,'Over Under Bill 1 COPY 到CO欄位'!$1:$1048576,65,0),0)</f>
        <v>0</v>
      </c>
      <c r="P27" s="157">
        <f>IFERROR(VLOOKUP($A27,'Over Under Bill 1 COPY 到CO欄位'!$1:$1048576,70,0),0)</f>
        <v>0</v>
      </c>
      <c r="Q27" s="157">
        <f>IFERROR(VLOOKUP($A27,'Over Under Bill 1 COPY 到CO欄位'!$1:$1048576,75,0),0)</f>
        <v>0</v>
      </c>
      <c r="R27" s="157">
        <f>IFERROR(VLOOKUP($A27,'Over Under Bill 1 COPY 到CO欄位'!$1:$1048576,80,0),0)</f>
        <v>0</v>
      </c>
      <c r="S27" s="157">
        <f>IFERROR(VLOOKUP($A27,'Over Under Bill 1 COPY 到CO欄位'!$1:$1048576,85,0),0)</f>
        <v>0</v>
      </c>
      <c r="T27" s="157">
        <f>IFERROR(VLOOKUP($A27,'Over Under Bill 1 COPY 到CO欄位'!$1:$1048576,90,0),0)</f>
        <v>0</v>
      </c>
    </row>
    <row r="28" spans="1:20">
      <c r="A28" s="171" t="s">
        <v>353</v>
      </c>
      <c r="B28" s="172" t="s">
        <v>354</v>
      </c>
      <c r="C28" s="157">
        <f>IFERROR(VLOOKUP($A28,'Over Under Bill 1 COPY 到CO欄位'!$1:$1048576,5,0),0)</f>
        <v>0</v>
      </c>
      <c r="D28" s="157">
        <f>IFERROR(VLOOKUP($A28,'Over Under Bill 1 COPY 到CO欄位'!$1:$1048576,10,0),0)</f>
        <v>0</v>
      </c>
      <c r="E28" s="157">
        <f>IFERROR(VLOOKUP($A28,'Over Under Bill 1 COPY 到CO欄位'!$1:$1048576,15,0),0)</f>
        <v>0</v>
      </c>
      <c r="F28" s="157">
        <f>IFERROR(VLOOKUP($A28,'Over Under Bill 1 COPY 到CO欄位'!$1:$1048576,20,0),0)</f>
        <v>0</v>
      </c>
      <c r="G28" s="157">
        <f>IFERROR(VLOOKUP($A28,'Over Under Bill 1 COPY 到CO欄位'!$1:$1048576,25,0),0)</f>
        <v>0</v>
      </c>
      <c r="H28" s="157">
        <f>IFERROR(VLOOKUP($A28,'Over Under Bill 1 COPY 到CO欄位'!$1:$1048576,30,0),0)</f>
        <v>0</v>
      </c>
      <c r="I28" s="157">
        <f>IFERROR(VLOOKUP($A28,'Over Under Bill 1 COPY 到CO欄位'!$1:$1048576,35,0),0)</f>
        <v>0</v>
      </c>
      <c r="J28" s="157">
        <f>IFERROR(VLOOKUP($A28,'Over Under Bill 1 COPY 到CO欄位'!$1:$1048576,40,0),0)</f>
        <v>0</v>
      </c>
      <c r="K28" s="157">
        <f>IFERROR(VLOOKUP($A28,'Over Under Bill 1 COPY 到CO欄位'!$1:$1048576,45,0),0)</f>
        <v>0</v>
      </c>
      <c r="L28" s="157">
        <f>IFERROR(VLOOKUP($A28,'Over Under Bill 1 COPY 到CO欄位'!$1:$1048576,50,0),0)</f>
        <v>0</v>
      </c>
      <c r="M28" s="157">
        <f>IFERROR(VLOOKUP($A28,'Over Under Bill 1 COPY 到CO欄位'!$1:$1048576,55,0),0)</f>
        <v>0</v>
      </c>
      <c r="N28" s="157">
        <f>IFERROR(VLOOKUP($A28,'Over Under Bill 1 COPY 到CO欄位'!$1:$1048576,60,0),0)</f>
        <v>0</v>
      </c>
      <c r="O28" s="157">
        <f>IFERROR(VLOOKUP($A28,'Over Under Bill 1 COPY 到CO欄位'!$1:$1048576,65,0),0)</f>
        <v>0</v>
      </c>
      <c r="P28" s="157">
        <f>IFERROR(VLOOKUP($A28,'Over Under Bill 1 COPY 到CO欄位'!$1:$1048576,70,0),0)</f>
        <v>0</v>
      </c>
      <c r="Q28" s="157">
        <f>IFERROR(VLOOKUP($A28,'Over Under Bill 1 COPY 到CO欄位'!$1:$1048576,75,0),0)</f>
        <v>0</v>
      </c>
      <c r="R28" s="157">
        <f>IFERROR(VLOOKUP($A28,'Over Under Bill 1 COPY 到CO欄位'!$1:$1048576,80,0),0)</f>
        <v>0</v>
      </c>
      <c r="S28" s="157">
        <f>IFERROR(VLOOKUP($A28,'Over Under Bill 1 COPY 到CO欄位'!$1:$1048576,85,0),0)</f>
        <v>0</v>
      </c>
      <c r="T28" s="157">
        <f>IFERROR(VLOOKUP($A28,'Over Under Bill 1 COPY 到CO欄位'!$1:$1048576,90,0),0)</f>
        <v>0</v>
      </c>
    </row>
    <row r="29" spans="1:20">
      <c r="A29" s="171" t="s">
        <v>355</v>
      </c>
      <c r="B29" s="172" t="s">
        <v>356</v>
      </c>
      <c r="C29" s="157">
        <f>IFERROR(VLOOKUP($A29,'Over Under Bill 1 COPY 到CO欄位'!$1:$1048576,5,0),0)</f>
        <v>0</v>
      </c>
      <c r="D29" s="157">
        <f>IFERROR(VLOOKUP($A29,'Over Under Bill 1 COPY 到CO欄位'!$1:$1048576,10,0),0)</f>
        <v>0</v>
      </c>
      <c r="E29" s="157">
        <f>IFERROR(VLOOKUP($A29,'Over Under Bill 1 COPY 到CO欄位'!$1:$1048576,15,0),0)</f>
        <v>0</v>
      </c>
      <c r="F29" s="157">
        <f>IFERROR(VLOOKUP($A29,'Over Under Bill 1 COPY 到CO欄位'!$1:$1048576,20,0),0)</f>
        <v>0</v>
      </c>
      <c r="G29" s="157">
        <f>IFERROR(VLOOKUP($A29,'Over Under Bill 1 COPY 到CO欄位'!$1:$1048576,25,0),0)</f>
        <v>0</v>
      </c>
      <c r="H29" s="157">
        <f>IFERROR(VLOOKUP($A29,'Over Under Bill 1 COPY 到CO欄位'!$1:$1048576,30,0),0)</f>
        <v>0</v>
      </c>
      <c r="I29" s="157">
        <f>IFERROR(VLOOKUP($A29,'Over Under Bill 1 COPY 到CO欄位'!$1:$1048576,35,0),0)</f>
        <v>0</v>
      </c>
      <c r="J29" s="157">
        <f>IFERROR(VLOOKUP($A29,'Over Under Bill 1 COPY 到CO欄位'!$1:$1048576,40,0),0)</f>
        <v>0</v>
      </c>
      <c r="K29" s="157">
        <f>IFERROR(VLOOKUP($A29,'Over Under Bill 1 COPY 到CO欄位'!$1:$1048576,45,0),0)</f>
        <v>0</v>
      </c>
      <c r="L29" s="157">
        <f>IFERROR(VLOOKUP($A29,'Over Under Bill 1 COPY 到CO欄位'!$1:$1048576,50,0),0)</f>
        <v>0</v>
      </c>
      <c r="M29" s="157">
        <f>IFERROR(VLOOKUP($A29,'Over Under Bill 1 COPY 到CO欄位'!$1:$1048576,55,0),0)</f>
        <v>0</v>
      </c>
      <c r="N29" s="157">
        <f>IFERROR(VLOOKUP($A29,'Over Under Bill 1 COPY 到CO欄位'!$1:$1048576,60,0),0)</f>
        <v>0</v>
      </c>
      <c r="O29" s="157">
        <f>IFERROR(VLOOKUP($A29,'Over Under Bill 1 COPY 到CO欄位'!$1:$1048576,65,0),0)</f>
        <v>0</v>
      </c>
      <c r="P29" s="157">
        <f>IFERROR(VLOOKUP($A29,'Over Under Bill 1 COPY 到CO欄位'!$1:$1048576,70,0),0)</f>
        <v>0</v>
      </c>
      <c r="Q29" s="157">
        <f>IFERROR(VLOOKUP($A29,'Over Under Bill 1 COPY 到CO欄位'!$1:$1048576,75,0),0)</f>
        <v>0</v>
      </c>
      <c r="R29" s="157">
        <f>IFERROR(VLOOKUP($A29,'Over Under Bill 1 COPY 到CO欄位'!$1:$1048576,80,0),0)</f>
        <v>0</v>
      </c>
      <c r="S29" s="157">
        <f>IFERROR(VLOOKUP($A29,'Over Under Bill 1 COPY 到CO欄位'!$1:$1048576,85,0),0)</f>
        <v>0</v>
      </c>
      <c r="T29" s="157">
        <f>IFERROR(VLOOKUP($A29,'Over Under Bill 1 COPY 到CO欄位'!$1:$1048576,90,0),0)</f>
        <v>0</v>
      </c>
    </row>
    <row r="30" spans="1:20">
      <c r="A30" s="171" t="s">
        <v>357</v>
      </c>
      <c r="B30" s="172" t="s">
        <v>358</v>
      </c>
      <c r="C30" s="157">
        <f>IFERROR(VLOOKUP($A30,'Over Under Bill 1 COPY 到CO欄位'!$1:$1048576,5,0),0)</f>
        <v>0</v>
      </c>
      <c r="D30" s="157">
        <f>IFERROR(VLOOKUP($A30,'Over Under Bill 1 COPY 到CO欄位'!$1:$1048576,10,0),0)</f>
        <v>0</v>
      </c>
      <c r="E30" s="157">
        <f>IFERROR(VLOOKUP($A30,'Over Under Bill 1 COPY 到CO欄位'!$1:$1048576,15,0),0)</f>
        <v>0</v>
      </c>
      <c r="F30" s="157">
        <f>IFERROR(VLOOKUP($A30,'Over Under Bill 1 COPY 到CO欄位'!$1:$1048576,20,0),0)</f>
        <v>0</v>
      </c>
      <c r="G30" s="157">
        <f>IFERROR(VLOOKUP($A30,'Over Under Bill 1 COPY 到CO欄位'!$1:$1048576,25,0),0)</f>
        <v>0</v>
      </c>
      <c r="H30" s="157">
        <f>IFERROR(VLOOKUP($A30,'Over Under Bill 1 COPY 到CO欄位'!$1:$1048576,30,0),0)</f>
        <v>0</v>
      </c>
      <c r="I30" s="157">
        <f>IFERROR(VLOOKUP($A30,'Over Under Bill 1 COPY 到CO欄位'!$1:$1048576,35,0),0)</f>
        <v>0</v>
      </c>
      <c r="J30" s="157">
        <f>IFERROR(VLOOKUP($A30,'Over Under Bill 1 COPY 到CO欄位'!$1:$1048576,40,0),0)</f>
        <v>0</v>
      </c>
      <c r="K30" s="157">
        <f>IFERROR(VLOOKUP($A30,'Over Under Bill 1 COPY 到CO欄位'!$1:$1048576,45,0),0)</f>
        <v>0</v>
      </c>
      <c r="L30" s="157">
        <f>IFERROR(VLOOKUP($A30,'Over Under Bill 1 COPY 到CO欄位'!$1:$1048576,50,0),0)</f>
        <v>0</v>
      </c>
      <c r="M30" s="157">
        <f>IFERROR(VLOOKUP($A30,'Over Under Bill 1 COPY 到CO欄位'!$1:$1048576,55,0),0)</f>
        <v>0</v>
      </c>
      <c r="N30" s="157">
        <f>IFERROR(VLOOKUP($A30,'Over Under Bill 1 COPY 到CO欄位'!$1:$1048576,60,0),0)</f>
        <v>0</v>
      </c>
      <c r="O30" s="157">
        <f>IFERROR(VLOOKUP($A30,'Over Under Bill 1 COPY 到CO欄位'!$1:$1048576,65,0),0)</f>
        <v>0</v>
      </c>
      <c r="P30" s="157">
        <f>IFERROR(VLOOKUP($A30,'Over Under Bill 1 COPY 到CO欄位'!$1:$1048576,70,0),0)</f>
        <v>0</v>
      </c>
      <c r="Q30" s="157">
        <f>IFERROR(VLOOKUP($A30,'Over Under Bill 1 COPY 到CO欄位'!$1:$1048576,75,0),0)</f>
        <v>0</v>
      </c>
      <c r="R30" s="157">
        <f>IFERROR(VLOOKUP($A30,'Over Under Bill 1 COPY 到CO欄位'!$1:$1048576,80,0),0)</f>
        <v>0</v>
      </c>
      <c r="S30" s="157">
        <f>IFERROR(VLOOKUP($A30,'Over Under Bill 1 COPY 到CO欄位'!$1:$1048576,85,0),0)</f>
        <v>0</v>
      </c>
      <c r="T30" s="157">
        <f>IFERROR(VLOOKUP($A30,'Over Under Bill 1 COPY 到CO欄位'!$1:$1048576,90,0),0)</f>
        <v>0</v>
      </c>
    </row>
    <row r="31" spans="1:20">
      <c r="A31" s="171" t="s">
        <v>359</v>
      </c>
      <c r="B31" s="172" t="s">
        <v>360</v>
      </c>
      <c r="C31" s="157">
        <f>IFERROR(VLOOKUP($A31,'Over Under Bill 1 COPY 到CO欄位'!$1:$1048576,5,0),0)</f>
        <v>0</v>
      </c>
      <c r="D31" s="157">
        <f>IFERROR(VLOOKUP($A31,'Over Under Bill 1 COPY 到CO欄位'!$1:$1048576,10,0),0)</f>
        <v>0</v>
      </c>
      <c r="E31" s="157">
        <f>IFERROR(VLOOKUP($A31,'Over Under Bill 1 COPY 到CO欄位'!$1:$1048576,15,0),0)</f>
        <v>0</v>
      </c>
      <c r="F31" s="157">
        <f>IFERROR(VLOOKUP($A31,'Over Under Bill 1 COPY 到CO欄位'!$1:$1048576,20,0),0)</f>
        <v>0</v>
      </c>
      <c r="G31" s="157">
        <f>IFERROR(VLOOKUP($A31,'Over Under Bill 1 COPY 到CO欄位'!$1:$1048576,25,0),0)</f>
        <v>0</v>
      </c>
      <c r="H31" s="157">
        <f>IFERROR(VLOOKUP($A31,'Over Under Bill 1 COPY 到CO欄位'!$1:$1048576,30,0),0)</f>
        <v>0</v>
      </c>
      <c r="I31" s="157">
        <f>IFERROR(VLOOKUP($A31,'Over Under Bill 1 COPY 到CO欄位'!$1:$1048576,35,0),0)</f>
        <v>0</v>
      </c>
      <c r="J31" s="157">
        <f>IFERROR(VLOOKUP($A31,'Over Under Bill 1 COPY 到CO欄位'!$1:$1048576,40,0),0)</f>
        <v>0</v>
      </c>
      <c r="K31" s="157">
        <f>IFERROR(VLOOKUP($A31,'Over Under Bill 1 COPY 到CO欄位'!$1:$1048576,45,0),0)</f>
        <v>0</v>
      </c>
      <c r="L31" s="157">
        <f>IFERROR(VLOOKUP($A31,'Over Under Bill 1 COPY 到CO欄位'!$1:$1048576,50,0),0)</f>
        <v>0</v>
      </c>
      <c r="M31" s="157">
        <f>IFERROR(VLOOKUP($A31,'Over Under Bill 1 COPY 到CO欄位'!$1:$1048576,55,0),0)</f>
        <v>0</v>
      </c>
      <c r="N31" s="157">
        <f>IFERROR(VLOOKUP($A31,'Over Under Bill 1 COPY 到CO欄位'!$1:$1048576,60,0),0)</f>
        <v>0</v>
      </c>
      <c r="O31" s="157">
        <f>IFERROR(VLOOKUP($A31,'Over Under Bill 1 COPY 到CO欄位'!$1:$1048576,65,0),0)</f>
        <v>0</v>
      </c>
      <c r="P31" s="157">
        <f>IFERROR(VLOOKUP($A31,'Over Under Bill 1 COPY 到CO欄位'!$1:$1048576,70,0),0)</f>
        <v>0</v>
      </c>
      <c r="Q31" s="157">
        <f>IFERROR(VLOOKUP($A31,'Over Under Bill 1 COPY 到CO欄位'!$1:$1048576,75,0),0)</f>
        <v>0</v>
      </c>
      <c r="R31" s="157">
        <f>IFERROR(VLOOKUP($A31,'Over Under Bill 1 COPY 到CO欄位'!$1:$1048576,80,0),0)</f>
        <v>0</v>
      </c>
      <c r="S31" s="157">
        <f>IFERROR(VLOOKUP($A31,'Over Under Bill 1 COPY 到CO欄位'!$1:$1048576,85,0),0)</f>
        <v>0</v>
      </c>
      <c r="T31" s="157">
        <f>IFERROR(VLOOKUP($A31,'Over Under Bill 1 COPY 到CO欄位'!$1:$1048576,90,0),0)</f>
        <v>0</v>
      </c>
    </row>
    <row r="32" spans="1:20">
      <c r="A32" s="171" t="s">
        <v>361</v>
      </c>
      <c r="B32" s="172" t="s">
        <v>362</v>
      </c>
      <c r="C32" s="157">
        <f>IFERROR(VLOOKUP($A32,'Over Under Bill 1 COPY 到CO欄位'!$1:$1048576,5,0),0)</f>
        <v>0</v>
      </c>
      <c r="D32" s="157">
        <f>IFERROR(VLOOKUP($A32,'Over Under Bill 1 COPY 到CO欄位'!$1:$1048576,10,0),0)</f>
        <v>0</v>
      </c>
      <c r="E32" s="157">
        <f>IFERROR(VLOOKUP($A32,'Over Under Bill 1 COPY 到CO欄位'!$1:$1048576,15,0),0)</f>
        <v>0</v>
      </c>
      <c r="F32" s="157">
        <f>IFERROR(VLOOKUP($A32,'Over Under Bill 1 COPY 到CO欄位'!$1:$1048576,20,0),0)</f>
        <v>0</v>
      </c>
      <c r="G32" s="157">
        <f>IFERROR(VLOOKUP($A32,'Over Under Bill 1 COPY 到CO欄位'!$1:$1048576,25,0),0)</f>
        <v>0</v>
      </c>
      <c r="H32" s="157">
        <f>IFERROR(VLOOKUP($A32,'Over Under Bill 1 COPY 到CO欄位'!$1:$1048576,30,0),0)</f>
        <v>0</v>
      </c>
      <c r="I32" s="157">
        <f>IFERROR(VLOOKUP($A32,'Over Under Bill 1 COPY 到CO欄位'!$1:$1048576,35,0),0)</f>
        <v>0</v>
      </c>
      <c r="J32" s="157">
        <f>IFERROR(VLOOKUP($A32,'Over Under Bill 1 COPY 到CO欄位'!$1:$1048576,40,0),0)</f>
        <v>0</v>
      </c>
      <c r="K32" s="157">
        <f>IFERROR(VLOOKUP($A32,'Over Under Bill 1 COPY 到CO欄位'!$1:$1048576,45,0),0)</f>
        <v>0</v>
      </c>
      <c r="L32" s="157">
        <f>IFERROR(VLOOKUP($A32,'Over Under Bill 1 COPY 到CO欄位'!$1:$1048576,50,0),0)</f>
        <v>0</v>
      </c>
      <c r="M32" s="157">
        <f>IFERROR(VLOOKUP($A32,'Over Under Bill 1 COPY 到CO欄位'!$1:$1048576,55,0),0)</f>
        <v>0</v>
      </c>
      <c r="N32" s="157">
        <f>IFERROR(VLOOKUP($A32,'Over Under Bill 1 COPY 到CO欄位'!$1:$1048576,60,0),0)</f>
        <v>0</v>
      </c>
      <c r="O32" s="157">
        <f>IFERROR(VLOOKUP($A32,'Over Under Bill 1 COPY 到CO欄位'!$1:$1048576,65,0),0)</f>
        <v>0</v>
      </c>
      <c r="P32" s="157">
        <f>IFERROR(VLOOKUP($A32,'Over Under Bill 1 COPY 到CO欄位'!$1:$1048576,70,0),0)</f>
        <v>0</v>
      </c>
      <c r="Q32" s="157">
        <f>IFERROR(VLOOKUP($A32,'Over Under Bill 1 COPY 到CO欄位'!$1:$1048576,75,0),0)</f>
        <v>0</v>
      </c>
      <c r="R32" s="157">
        <f>IFERROR(VLOOKUP($A32,'Over Under Bill 1 COPY 到CO欄位'!$1:$1048576,80,0),0)</f>
        <v>0</v>
      </c>
      <c r="S32" s="157">
        <f>IFERROR(VLOOKUP($A32,'Over Under Bill 1 COPY 到CO欄位'!$1:$1048576,85,0),0)</f>
        <v>0</v>
      </c>
      <c r="T32" s="157">
        <f>IFERROR(VLOOKUP($A32,'Over Under Bill 1 COPY 到CO欄位'!$1:$1048576,90,0),0)</f>
        <v>0</v>
      </c>
    </row>
    <row r="33" spans="1:20">
      <c r="A33" s="171" t="s">
        <v>363</v>
      </c>
      <c r="B33" s="172" t="s">
        <v>364</v>
      </c>
      <c r="C33" s="157">
        <f>IFERROR(VLOOKUP($A33,'Over Under Bill 1 COPY 到CO欄位'!$1:$1048576,5,0),0)</f>
        <v>0</v>
      </c>
      <c r="D33" s="157">
        <f>IFERROR(VLOOKUP($A33,'Over Under Bill 1 COPY 到CO欄位'!$1:$1048576,10,0),0)</f>
        <v>0</v>
      </c>
      <c r="E33" s="157">
        <f>IFERROR(VLOOKUP($A33,'Over Under Bill 1 COPY 到CO欄位'!$1:$1048576,15,0),0)</f>
        <v>0</v>
      </c>
      <c r="F33" s="157">
        <f>IFERROR(VLOOKUP($A33,'Over Under Bill 1 COPY 到CO欄位'!$1:$1048576,20,0),0)</f>
        <v>0</v>
      </c>
      <c r="G33" s="157">
        <f>IFERROR(VLOOKUP($A33,'Over Under Bill 1 COPY 到CO欄位'!$1:$1048576,25,0),0)</f>
        <v>0</v>
      </c>
      <c r="H33" s="157">
        <f>IFERROR(VLOOKUP($A33,'Over Under Bill 1 COPY 到CO欄位'!$1:$1048576,30,0),0)</f>
        <v>0</v>
      </c>
      <c r="I33" s="157">
        <f>IFERROR(VLOOKUP($A33,'Over Under Bill 1 COPY 到CO欄位'!$1:$1048576,35,0),0)</f>
        <v>0</v>
      </c>
      <c r="J33" s="157">
        <f>IFERROR(VLOOKUP($A33,'Over Under Bill 1 COPY 到CO欄位'!$1:$1048576,40,0),0)</f>
        <v>0</v>
      </c>
      <c r="K33" s="157">
        <f>IFERROR(VLOOKUP($A33,'Over Under Bill 1 COPY 到CO欄位'!$1:$1048576,45,0),0)</f>
        <v>0</v>
      </c>
      <c r="L33" s="157">
        <f>IFERROR(VLOOKUP($A33,'Over Under Bill 1 COPY 到CO欄位'!$1:$1048576,50,0),0)</f>
        <v>0</v>
      </c>
      <c r="M33" s="157">
        <f>IFERROR(VLOOKUP($A33,'Over Under Bill 1 COPY 到CO欄位'!$1:$1048576,55,0),0)</f>
        <v>0</v>
      </c>
      <c r="N33" s="157">
        <f>IFERROR(VLOOKUP($A33,'Over Under Bill 1 COPY 到CO欄位'!$1:$1048576,60,0),0)</f>
        <v>0</v>
      </c>
      <c r="O33" s="157">
        <f>IFERROR(VLOOKUP($A33,'Over Under Bill 1 COPY 到CO欄位'!$1:$1048576,65,0),0)</f>
        <v>0</v>
      </c>
      <c r="P33" s="157">
        <f>IFERROR(VLOOKUP($A33,'Over Under Bill 1 COPY 到CO欄位'!$1:$1048576,70,0),0)</f>
        <v>0</v>
      </c>
      <c r="Q33" s="157">
        <f>IFERROR(VLOOKUP($A33,'Over Under Bill 1 COPY 到CO欄位'!$1:$1048576,75,0),0)</f>
        <v>0</v>
      </c>
      <c r="R33" s="157">
        <f>IFERROR(VLOOKUP($A33,'Over Under Bill 1 COPY 到CO欄位'!$1:$1048576,80,0),0)</f>
        <v>0</v>
      </c>
      <c r="S33" s="157">
        <f>IFERROR(VLOOKUP($A33,'Over Under Bill 1 COPY 到CO欄位'!$1:$1048576,85,0),0)</f>
        <v>0</v>
      </c>
      <c r="T33" s="157">
        <f>IFERROR(VLOOKUP($A33,'Over Under Bill 1 COPY 到CO欄位'!$1:$1048576,90,0),0)</f>
        <v>0</v>
      </c>
    </row>
    <row r="34" spans="1:20">
      <c r="A34" s="171" t="s">
        <v>365</v>
      </c>
      <c r="B34" s="172" t="s">
        <v>366</v>
      </c>
      <c r="C34" s="157">
        <f>IFERROR(VLOOKUP($A34,'Over Under Bill 1 COPY 到CO欄位'!$1:$1048576,5,0),0)</f>
        <v>0</v>
      </c>
      <c r="D34" s="157">
        <f>IFERROR(VLOOKUP($A34,'Over Under Bill 1 COPY 到CO欄位'!$1:$1048576,10,0),0)</f>
        <v>0</v>
      </c>
      <c r="E34" s="157">
        <f>IFERROR(VLOOKUP($A34,'Over Under Bill 1 COPY 到CO欄位'!$1:$1048576,15,0),0)</f>
        <v>0</v>
      </c>
      <c r="F34" s="157">
        <f>IFERROR(VLOOKUP($A34,'Over Under Bill 1 COPY 到CO欄位'!$1:$1048576,20,0),0)</f>
        <v>0</v>
      </c>
      <c r="G34" s="157">
        <f>IFERROR(VLOOKUP($A34,'Over Under Bill 1 COPY 到CO欄位'!$1:$1048576,25,0),0)</f>
        <v>0</v>
      </c>
      <c r="H34" s="157">
        <f>IFERROR(VLOOKUP($A34,'Over Under Bill 1 COPY 到CO欄位'!$1:$1048576,30,0),0)</f>
        <v>0</v>
      </c>
      <c r="I34" s="157">
        <f>IFERROR(VLOOKUP($A34,'Over Under Bill 1 COPY 到CO欄位'!$1:$1048576,35,0),0)</f>
        <v>0</v>
      </c>
      <c r="J34" s="157">
        <f>IFERROR(VLOOKUP($A34,'Over Under Bill 1 COPY 到CO欄位'!$1:$1048576,40,0),0)</f>
        <v>0</v>
      </c>
      <c r="K34" s="157">
        <f>IFERROR(VLOOKUP($A34,'Over Under Bill 1 COPY 到CO欄位'!$1:$1048576,45,0),0)</f>
        <v>0</v>
      </c>
      <c r="L34" s="157">
        <f>IFERROR(VLOOKUP($A34,'Over Under Bill 1 COPY 到CO欄位'!$1:$1048576,50,0),0)</f>
        <v>0</v>
      </c>
      <c r="M34" s="157">
        <f>IFERROR(VLOOKUP($A34,'Over Under Bill 1 COPY 到CO欄位'!$1:$1048576,55,0),0)</f>
        <v>0</v>
      </c>
      <c r="N34" s="157">
        <f>IFERROR(VLOOKUP($A34,'Over Under Bill 1 COPY 到CO欄位'!$1:$1048576,60,0),0)</f>
        <v>0</v>
      </c>
      <c r="O34" s="157">
        <f>IFERROR(VLOOKUP($A34,'Over Under Bill 1 COPY 到CO欄位'!$1:$1048576,65,0),0)</f>
        <v>0</v>
      </c>
      <c r="P34" s="157">
        <f>IFERROR(VLOOKUP($A34,'Over Under Bill 1 COPY 到CO欄位'!$1:$1048576,70,0),0)</f>
        <v>0</v>
      </c>
      <c r="Q34" s="157">
        <f>IFERROR(VLOOKUP($A34,'Over Under Bill 1 COPY 到CO欄位'!$1:$1048576,75,0),0)</f>
        <v>0</v>
      </c>
      <c r="R34" s="157">
        <f>IFERROR(VLOOKUP($A34,'Over Under Bill 1 COPY 到CO欄位'!$1:$1048576,80,0),0)</f>
        <v>0</v>
      </c>
      <c r="S34" s="157">
        <f>IFERROR(VLOOKUP($A34,'Over Under Bill 1 COPY 到CO欄位'!$1:$1048576,85,0),0)</f>
        <v>0</v>
      </c>
      <c r="T34" s="157">
        <f>IFERROR(VLOOKUP($A34,'Over Under Bill 1 COPY 到CO欄位'!$1:$1048576,90,0),0)</f>
        <v>0</v>
      </c>
    </row>
    <row r="35" spans="1:20">
      <c r="A35" s="171" t="s">
        <v>367</v>
      </c>
      <c r="B35" s="172" t="s">
        <v>368</v>
      </c>
      <c r="C35" s="157">
        <f>IFERROR(VLOOKUP($A35,'Over Under Bill 1 COPY 到CO欄位'!$1:$1048576,5,0),0)</f>
        <v>0</v>
      </c>
      <c r="D35" s="157">
        <f>IFERROR(VLOOKUP($A35,'Over Under Bill 1 COPY 到CO欄位'!$1:$1048576,10,0),0)</f>
        <v>0</v>
      </c>
      <c r="E35" s="157">
        <f>IFERROR(VLOOKUP($A35,'Over Under Bill 1 COPY 到CO欄位'!$1:$1048576,15,0),0)</f>
        <v>0</v>
      </c>
      <c r="F35" s="157">
        <f>IFERROR(VLOOKUP($A35,'Over Under Bill 1 COPY 到CO欄位'!$1:$1048576,20,0),0)</f>
        <v>0</v>
      </c>
      <c r="G35" s="157">
        <f>IFERROR(VLOOKUP($A35,'Over Under Bill 1 COPY 到CO欄位'!$1:$1048576,25,0),0)</f>
        <v>0</v>
      </c>
      <c r="H35" s="157">
        <f>IFERROR(VLOOKUP($A35,'Over Under Bill 1 COPY 到CO欄位'!$1:$1048576,30,0),0)</f>
        <v>0</v>
      </c>
      <c r="I35" s="157">
        <f>IFERROR(VLOOKUP($A35,'Over Under Bill 1 COPY 到CO欄位'!$1:$1048576,35,0),0)</f>
        <v>0</v>
      </c>
      <c r="J35" s="157">
        <f>IFERROR(VLOOKUP($A35,'Over Under Bill 1 COPY 到CO欄位'!$1:$1048576,40,0),0)</f>
        <v>0</v>
      </c>
      <c r="K35" s="157">
        <f>IFERROR(VLOOKUP($A35,'Over Under Bill 1 COPY 到CO欄位'!$1:$1048576,45,0),0)</f>
        <v>0</v>
      </c>
      <c r="L35" s="157">
        <f>IFERROR(VLOOKUP($A35,'Over Under Bill 1 COPY 到CO欄位'!$1:$1048576,50,0),0)</f>
        <v>0</v>
      </c>
      <c r="M35" s="157">
        <f>IFERROR(VLOOKUP($A35,'Over Under Bill 1 COPY 到CO欄位'!$1:$1048576,55,0),0)</f>
        <v>0</v>
      </c>
      <c r="N35" s="157">
        <f>IFERROR(VLOOKUP($A35,'Over Under Bill 1 COPY 到CO欄位'!$1:$1048576,60,0),0)</f>
        <v>0</v>
      </c>
      <c r="O35" s="157">
        <f>IFERROR(VLOOKUP($A35,'Over Under Bill 1 COPY 到CO欄位'!$1:$1048576,65,0),0)</f>
        <v>0</v>
      </c>
      <c r="P35" s="157">
        <f>IFERROR(VLOOKUP($A35,'Over Under Bill 1 COPY 到CO欄位'!$1:$1048576,70,0),0)</f>
        <v>0</v>
      </c>
      <c r="Q35" s="157">
        <f>IFERROR(VLOOKUP($A35,'Over Under Bill 1 COPY 到CO欄位'!$1:$1048576,75,0),0)</f>
        <v>0</v>
      </c>
      <c r="R35" s="157">
        <f>IFERROR(VLOOKUP($A35,'Over Under Bill 1 COPY 到CO欄位'!$1:$1048576,80,0),0)</f>
        <v>0</v>
      </c>
      <c r="S35" s="157">
        <f>IFERROR(VLOOKUP($A35,'Over Under Bill 1 COPY 到CO欄位'!$1:$1048576,85,0),0)</f>
        <v>0</v>
      </c>
      <c r="T35" s="157">
        <f>IFERROR(VLOOKUP($A35,'Over Under Bill 1 COPY 到CO欄位'!$1:$1048576,90,0),0)</f>
        <v>0</v>
      </c>
    </row>
    <row r="36" spans="1:20">
      <c r="A36" s="171" t="s">
        <v>369</v>
      </c>
      <c r="B36" s="172" t="s">
        <v>370</v>
      </c>
      <c r="C36" s="157">
        <f>IFERROR(VLOOKUP($A36,'Over Under Bill 1 COPY 到CO欄位'!$1:$1048576,5,0),0)</f>
        <v>0</v>
      </c>
      <c r="D36" s="157">
        <f>IFERROR(VLOOKUP($A36,'Over Under Bill 1 COPY 到CO欄位'!$1:$1048576,10,0),0)</f>
        <v>0</v>
      </c>
      <c r="E36" s="157">
        <f>IFERROR(VLOOKUP($A36,'Over Under Bill 1 COPY 到CO欄位'!$1:$1048576,15,0),0)</f>
        <v>0</v>
      </c>
      <c r="F36" s="157">
        <f>IFERROR(VLOOKUP($A36,'Over Under Bill 1 COPY 到CO欄位'!$1:$1048576,20,0),0)</f>
        <v>0</v>
      </c>
      <c r="G36" s="157">
        <f>IFERROR(VLOOKUP($A36,'Over Under Bill 1 COPY 到CO欄位'!$1:$1048576,25,0),0)</f>
        <v>0</v>
      </c>
      <c r="H36" s="157">
        <f>IFERROR(VLOOKUP($A36,'Over Under Bill 1 COPY 到CO欄位'!$1:$1048576,30,0),0)</f>
        <v>0</v>
      </c>
      <c r="I36" s="157">
        <f>IFERROR(VLOOKUP($A36,'Over Under Bill 1 COPY 到CO欄位'!$1:$1048576,35,0),0)</f>
        <v>0</v>
      </c>
      <c r="J36" s="157">
        <f>IFERROR(VLOOKUP($A36,'Over Under Bill 1 COPY 到CO欄位'!$1:$1048576,40,0),0)</f>
        <v>0</v>
      </c>
      <c r="K36" s="157">
        <f>IFERROR(VLOOKUP($A36,'Over Under Bill 1 COPY 到CO欄位'!$1:$1048576,45,0),0)</f>
        <v>0</v>
      </c>
      <c r="L36" s="157">
        <f>IFERROR(VLOOKUP($A36,'Over Under Bill 1 COPY 到CO欄位'!$1:$1048576,50,0),0)</f>
        <v>0</v>
      </c>
      <c r="M36" s="157">
        <f>IFERROR(VLOOKUP($A36,'Over Under Bill 1 COPY 到CO欄位'!$1:$1048576,55,0),0)</f>
        <v>0</v>
      </c>
      <c r="N36" s="157">
        <f>IFERROR(VLOOKUP($A36,'Over Under Bill 1 COPY 到CO欄位'!$1:$1048576,60,0),0)</f>
        <v>0</v>
      </c>
      <c r="O36" s="157">
        <f>IFERROR(VLOOKUP($A36,'Over Under Bill 1 COPY 到CO欄位'!$1:$1048576,65,0),0)</f>
        <v>0</v>
      </c>
      <c r="P36" s="157">
        <f>IFERROR(VLOOKUP($A36,'Over Under Bill 1 COPY 到CO欄位'!$1:$1048576,70,0),0)</f>
        <v>0</v>
      </c>
      <c r="Q36" s="157">
        <f>IFERROR(VLOOKUP($A36,'Over Under Bill 1 COPY 到CO欄位'!$1:$1048576,75,0),0)</f>
        <v>0</v>
      </c>
      <c r="R36" s="157">
        <f>IFERROR(VLOOKUP($A36,'Over Under Bill 1 COPY 到CO欄位'!$1:$1048576,80,0),0)</f>
        <v>0</v>
      </c>
      <c r="S36" s="157">
        <f>IFERROR(VLOOKUP($A36,'Over Under Bill 1 COPY 到CO欄位'!$1:$1048576,85,0),0)</f>
        <v>0</v>
      </c>
      <c r="T36" s="157">
        <f>IFERROR(VLOOKUP($A36,'Over Under Bill 1 COPY 到CO欄位'!$1:$1048576,90,0),0)</f>
        <v>0</v>
      </c>
    </row>
    <row r="37" spans="1:20">
      <c r="A37" s="171" t="s">
        <v>371</v>
      </c>
      <c r="B37" s="172" t="s">
        <v>372</v>
      </c>
      <c r="C37" s="157">
        <f>IFERROR(VLOOKUP($A37,'Over Under Bill 1 COPY 到CO欄位'!$1:$1048576,5,0),0)</f>
        <v>0</v>
      </c>
      <c r="D37" s="157">
        <f>IFERROR(VLOOKUP($A37,'Over Under Bill 1 COPY 到CO欄位'!$1:$1048576,10,0),0)</f>
        <v>0</v>
      </c>
      <c r="E37" s="157">
        <f>IFERROR(VLOOKUP($A37,'Over Under Bill 1 COPY 到CO欄位'!$1:$1048576,15,0),0)</f>
        <v>0</v>
      </c>
      <c r="F37" s="157">
        <f>IFERROR(VLOOKUP($A37,'Over Under Bill 1 COPY 到CO欄位'!$1:$1048576,20,0),0)</f>
        <v>0</v>
      </c>
      <c r="G37" s="157">
        <f>IFERROR(VLOOKUP($A37,'Over Under Bill 1 COPY 到CO欄位'!$1:$1048576,25,0),0)</f>
        <v>0</v>
      </c>
      <c r="H37" s="157">
        <f>IFERROR(VLOOKUP($A37,'Over Under Bill 1 COPY 到CO欄位'!$1:$1048576,30,0),0)</f>
        <v>0</v>
      </c>
      <c r="I37" s="157">
        <f>IFERROR(VLOOKUP($A37,'Over Under Bill 1 COPY 到CO欄位'!$1:$1048576,35,0),0)</f>
        <v>0</v>
      </c>
      <c r="J37" s="157">
        <f>IFERROR(VLOOKUP($A37,'Over Under Bill 1 COPY 到CO欄位'!$1:$1048576,40,0),0)</f>
        <v>0</v>
      </c>
      <c r="K37" s="157">
        <f>IFERROR(VLOOKUP($A37,'Over Under Bill 1 COPY 到CO欄位'!$1:$1048576,45,0),0)</f>
        <v>0</v>
      </c>
      <c r="L37" s="157">
        <f>IFERROR(VLOOKUP($A37,'Over Under Bill 1 COPY 到CO欄位'!$1:$1048576,50,0),0)</f>
        <v>0</v>
      </c>
      <c r="M37" s="157">
        <f>IFERROR(VLOOKUP($A37,'Over Under Bill 1 COPY 到CO欄位'!$1:$1048576,55,0),0)</f>
        <v>0</v>
      </c>
      <c r="N37" s="157">
        <f>IFERROR(VLOOKUP($A37,'Over Under Bill 1 COPY 到CO欄位'!$1:$1048576,60,0),0)</f>
        <v>0</v>
      </c>
      <c r="O37" s="157">
        <f>IFERROR(VLOOKUP($A37,'Over Under Bill 1 COPY 到CO欄位'!$1:$1048576,65,0),0)</f>
        <v>0</v>
      </c>
      <c r="P37" s="157">
        <f>IFERROR(VLOOKUP($A37,'Over Under Bill 1 COPY 到CO欄位'!$1:$1048576,70,0),0)</f>
        <v>0</v>
      </c>
      <c r="Q37" s="157">
        <f>IFERROR(VLOOKUP($A37,'Over Under Bill 1 COPY 到CO欄位'!$1:$1048576,75,0),0)</f>
        <v>0</v>
      </c>
      <c r="R37" s="157">
        <f>IFERROR(VLOOKUP($A37,'Over Under Bill 1 COPY 到CO欄位'!$1:$1048576,80,0),0)</f>
        <v>0</v>
      </c>
      <c r="S37" s="157">
        <f>IFERROR(VLOOKUP($A37,'Over Under Bill 1 COPY 到CO欄位'!$1:$1048576,85,0),0)</f>
        <v>0</v>
      </c>
      <c r="T37" s="157">
        <f>IFERROR(VLOOKUP($A37,'Over Under Bill 1 COPY 到CO欄位'!$1:$1048576,90,0),0)</f>
        <v>0</v>
      </c>
    </row>
    <row r="38" spans="1:20">
      <c r="A38" s="171" t="s">
        <v>373</v>
      </c>
      <c r="B38" s="172" t="s">
        <v>374</v>
      </c>
      <c r="C38" s="157">
        <f>IFERROR(VLOOKUP($A38,'Over Under Bill 1 COPY 到CO欄位'!$1:$1048576,5,0),0)</f>
        <v>0</v>
      </c>
      <c r="D38" s="157">
        <f>IFERROR(VLOOKUP($A38,'Over Under Bill 1 COPY 到CO欄位'!$1:$1048576,10,0),0)</f>
        <v>0</v>
      </c>
      <c r="E38" s="157">
        <f>IFERROR(VLOOKUP($A38,'Over Under Bill 1 COPY 到CO欄位'!$1:$1048576,15,0),0)</f>
        <v>0</v>
      </c>
      <c r="F38" s="157">
        <f>IFERROR(VLOOKUP($A38,'Over Under Bill 1 COPY 到CO欄位'!$1:$1048576,20,0),0)</f>
        <v>0</v>
      </c>
      <c r="G38" s="157">
        <f>IFERROR(VLOOKUP($A38,'Over Under Bill 1 COPY 到CO欄位'!$1:$1048576,25,0),0)</f>
        <v>0</v>
      </c>
      <c r="H38" s="157">
        <f>IFERROR(VLOOKUP($A38,'Over Under Bill 1 COPY 到CO欄位'!$1:$1048576,30,0),0)</f>
        <v>0</v>
      </c>
      <c r="I38" s="157">
        <f>IFERROR(VLOOKUP($A38,'Over Under Bill 1 COPY 到CO欄位'!$1:$1048576,35,0),0)</f>
        <v>0</v>
      </c>
      <c r="J38" s="157">
        <f>IFERROR(VLOOKUP($A38,'Over Under Bill 1 COPY 到CO欄位'!$1:$1048576,40,0),0)</f>
        <v>0</v>
      </c>
      <c r="K38" s="157">
        <f>IFERROR(VLOOKUP($A38,'Over Under Bill 1 COPY 到CO欄位'!$1:$1048576,45,0),0)</f>
        <v>0</v>
      </c>
      <c r="L38" s="157">
        <f>IFERROR(VLOOKUP($A38,'Over Under Bill 1 COPY 到CO欄位'!$1:$1048576,50,0),0)</f>
        <v>0</v>
      </c>
      <c r="M38" s="157">
        <f>IFERROR(VLOOKUP($A38,'Over Under Bill 1 COPY 到CO欄位'!$1:$1048576,55,0),0)</f>
        <v>0</v>
      </c>
      <c r="N38" s="157">
        <f>IFERROR(VLOOKUP($A38,'Over Under Bill 1 COPY 到CO欄位'!$1:$1048576,60,0),0)</f>
        <v>0</v>
      </c>
      <c r="O38" s="157">
        <f>IFERROR(VLOOKUP($A38,'Over Under Bill 1 COPY 到CO欄位'!$1:$1048576,65,0),0)</f>
        <v>0</v>
      </c>
      <c r="P38" s="157">
        <f>IFERROR(VLOOKUP($A38,'Over Under Bill 1 COPY 到CO欄位'!$1:$1048576,70,0),0)</f>
        <v>0</v>
      </c>
      <c r="Q38" s="157">
        <f>IFERROR(VLOOKUP($A38,'Over Under Bill 1 COPY 到CO欄位'!$1:$1048576,75,0),0)</f>
        <v>0</v>
      </c>
      <c r="R38" s="157">
        <f>IFERROR(VLOOKUP($A38,'Over Under Bill 1 COPY 到CO欄位'!$1:$1048576,80,0),0)</f>
        <v>0</v>
      </c>
      <c r="S38" s="157">
        <f>IFERROR(VLOOKUP($A38,'Over Under Bill 1 COPY 到CO欄位'!$1:$1048576,85,0),0)</f>
        <v>0</v>
      </c>
      <c r="T38" s="157">
        <f>IFERROR(VLOOKUP($A38,'Over Under Bill 1 COPY 到CO欄位'!$1:$1048576,90,0),0)</f>
        <v>0</v>
      </c>
    </row>
    <row r="39" spans="1:20">
      <c r="A39" s="171" t="s">
        <v>375</v>
      </c>
      <c r="B39" s="172" t="s">
        <v>376</v>
      </c>
      <c r="C39" s="157">
        <f>IFERROR(VLOOKUP($A39,'Over Under Bill 1 COPY 到CO欄位'!$1:$1048576,5,0),0)</f>
        <v>0</v>
      </c>
      <c r="D39" s="157">
        <f>IFERROR(VLOOKUP($A39,'Over Under Bill 1 COPY 到CO欄位'!$1:$1048576,10,0),0)</f>
        <v>0</v>
      </c>
      <c r="E39" s="157">
        <f>IFERROR(VLOOKUP($A39,'Over Under Bill 1 COPY 到CO欄位'!$1:$1048576,15,0),0)</f>
        <v>0</v>
      </c>
      <c r="F39" s="157">
        <f>IFERROR(VLOOKUP($A39,'Over Under Bill 1 COPY 到CO欄位'!$1:$1048576,20,0),0)</f>
        <v>0</v>
      </c>
      <c r="G39" s="157">
        <f>IFERROR(VLOOKUP($A39,'Over Under Bill 1 COPY 到CO欄位'!$1:$1048576,25,0),0)</f>
        <v>0</v>
      </c>
      <c r="H39" s="157">
        <f>IFERROR(VLOOKUP($A39,'Over Under Bill 1 COPY 到CO欄位'!$1:$1048576,30,0),0)</f>
        <v>0</v>
      </c>
      <c r="I39" s="157">
        <f>IFERROR(VLOOKUP($A39,'Over Under Bill 1 COPY 到CO欄位'!$1:$1048576,35,0),0)</f>
        <v>0</v>
      </c>
      <c r="J39" s="157">
        <f>IFERROR(VLOOKUP($A39,'Over Under Bill 1 COPY 到CO欄位'!$1:$1048576,40,0),0)</f>
        <v>0</v>
      </c>
      <c r="K39" s="157">
        <f>IFERROR(VLOOKUP($A39,'Over Under Bill 1 COPY 到CO欄位'!$1:$1048576,45,0),0)</f>
        <v>0</v>
      </c>
      <c r="L39" s="157">
        <f>IFERROR(VLOOKUP($A39,'Over Under Bill 1 COPY 到CO欄位'!$1:$1048576,50,0),0)</f>
        <v>0</v>
      </c>
      <c r="M39" s="157">
        <f>IFERROR(VLOOKUP($A39,'Over Under Bill 1 COPY 到CO欄位'!$1:$1048576,55,0),0)</f>
        <v>0</v>
      </c>
      <c r="N39" s="157">
        <f>IFERROR(VLOOKUP($A39,'Over Under Bill 1 COPY 到CO欄位'!$1:$1048576,60,0),0)</f>
        <v>0</v>
      </c>
      <c r="O39" s="157">
        <f>IFERROR(VLOOKUP($A39,'Over Under Bill 1 COPY 到CO欄位'!$1:$1048576,65,0),0)</f>
        <v>0</v>
      </c>
      <c r="P39" s="157">
        <f>IFERROR(VLOOKUP($A39,'Over Under Bill 1 COPY 到CO欄位'!$1:$1048576,70,0),0)</f>
        <v>0</v>
      </c>
      <c r="Q39" s="157">
        <f>IFERROR(VLOOKUP($A39,'Over Under Bill 1 COPY 到CO欄位'!$1:$1048576,75,0),0)</f>
        <v>0</v>
      </c>
      <c r="R39" s="157">
        <f>IFERROR(VLOOKUP($A39,'Over Under Bill 1 COPY 到CO欄位'!$1:$1048576,80,0),0)</f>
        <v>0</v>
      </c>
      <c r="S39" s="157">
        <f>IFERROR(VLOOKUP($A39,'Over Under Bill 1 COPY 到CO欄位'!$1:$1048576,85,0),0)</f>
        <v>0</v>
      </c>
      <c r="T39" s="157">
        <f>IFERROR(VLOOKUP($A39,'Over Under Bill 1 COPY 到CO欄位'!$1:$1048576,90,0),0)</f>
        <v>0</v>
      </c>
    </row>
    <row r="40" spans="1:20">
      <c r="A40" s="171" t="s">
        <v>377</v>
      </c>
      <c r="B40" s="172" t="s">
        <v>378</v>
      </c>
      <c r="C40" s="157">
        <f>IFERROR(VLOOKUP($A40,'Over Under Bill 1 COPY 到CO欄位'!$1:$1048576,5,0),0)</f>
        <v>0</v>
      </c>
      <c r="D40" s="157">
        <f>IFERROR(VLOOKUP($A40,'Over Under Bill 1 COPY 到CO欄位'!$1:$1048576,10,0),0)</f>
        <v>0</v>
      </c>
      <c r="E40" s="157">
        <f>IFERROR(VLOOKUP($A40,'Over Under Bill 1 COPY 到CO欄位'!$1:$1048576,15,0),0)</f>
        <v>0</v>
      </c>
      <c r="F40" s="157">
        <f>IFERROR(VLOOKUP($A40,'Over Under Bill 1 COPY 到CO欄位'!$1:$1048576,20,0),0)</f>
        <v>0</v>
      </c>
      <c r="G40" s="157">
        <f>IFERROR(VLOOKUP($A40,'Over Under Bill 1 COPY 到CO欄位'!$1:$1048576,25,0),0)</f>
        <v>0</v>
      </c>
      <c r="H40" s="157">
        <f>IFERROR(VLOOKUP($A40,'Over Under Bill 1 COPY 到CO欄位'!$1:$1048576,30,0),0)</f>
        <v>0</v>
      </c>
      <c r="I40" s="157">
        <f>IFERROR(VLOOKUP($A40,'Over Under Bill 1 COPY 到CO欄位'!$1:$1048576,35,0),0)</f>
        <v>0</v>
      </c>
      <c r="J40" s="157">
        <f>IFERROR(VLOOKUP($A40,'Over Under Bill 1 COPY 到CO欄位'!$1:$1048576,40,0),0)</f>
        <v>0</v>
      </c>
      <c r="K40" s="157">
        <f>IFERROR(VLOOKUP($A40,'Over Under Bill 1 COPY 到CO欄位'!$1:$1048576,45,0),0)</f>
        <v>0</v>
      </c>
      <c r="L40" s="157">
        <f>IFERROR(VLOOKUP($A40,'Over Under Bill 1 COPY 到CO欄位'!$1:$1048576,50,0),0)</f>
        <v>0</v>
      </c>
      <c r="M40" s="157">
        <f>IFERROR(VLOOKUP($A40,'Over Under Bill 1 COPY 到CO欄位'!$1:$1048576,55,0),0)</f>
        <v>0</v>
      </c>
      <c r="N40" s="157">
        <f>IFERROR(VLOOKUP($A40,'Over Under Bill 1 COPY 到CO欄位'!$1:$1048576,60,0),0)</f>
        <v>0</v>
      </c>
      <c r="O40" s="157">
        <f>IFERROR(VLOOKUP($A40,'Over Under Bill 1 COPY 到CO欄位'!$1:$1048576,65,0),0)</f>
        <v>0</v>
      </c>
      <c r="P40" s="157">
        <f>IFERROR(VLOOKUP($A40,'Over Under Bill 1 COPY 到CO欄位'!$1:$1048576,70,0),0)</f>
        <v>0</v>
      </c>
      <c r="Q40" s="157">
        <f>IFERROR(VLOOKUP($A40,'Over Under Bill 1 COPY 到CO欄位'!$1:$1048576,75,0),0)</f>
        <v>0</v>
      </c>
      <c r="R40" s="157">
        <f>IFERROR(VLOOKUP($A40,'Over Under Bill 1 COPY 到CO欄位'!$1:$1048576,80,0),0)</f>
        <v>0</v>
      </c>
      <c r="S40" s="157">
        <f>IFERROR(VLOOKUP($A40,'Over Under Bill 1 COPY 到CO欄位'!$1:$1048576,85,0),0)</f>
        <v>0</v>
      </c>
      <c r="T40" s="157">
        <f>IFERROR(VLOOKUP($A40,'Over Under Bill 1 COPY 到CO欄位'!$1:$1048576,90,0),0)</f>
        <v>0</v>
      </c>
    </row>
    <row r="41" spans="1:20">
      <c r="A41" s="171" t="s">
        <v>379</v>
      </c>
      <c r="B41" s="172" t="s">
        <v>380</v>
      </c>
      <c r="C41" s="157">
        <f>IFERROR(VLOOKUP($A41,'Over Under Bill 1 COPY 到CO欄位'!$1:$1048576,5,0),0)</f>
        <v>0</v>
      </c>
      <c r="D41" s="157">
        <f>IFERROR(VLOOKUP($A41,'Over Under Bill 1 COPY 到CO欄位'!$1:$1048576,10,0),0)</f>
        <v>0</v>
      </c>
      <c r="E41" s="157">
        <f>IFERROR(VLOOKUP($A41,'Over Under Bill 1 COPY 到CO欄位'!$1:$1048576,15,0),0)</f>
        <v>0</v>
      </c>
      <c r="F41" s="157">
        <f>IFERROR(VLOOKUP($A41,'Over Under Bill 1 COPY 到CO欄位'!$1:$1048576,20,0),0)</f>
        <v>0</v>
      </c>
      <c r="G41" s="157">
        <f>IFERROR(VLOOKUP($A41,'Over Under Bill 1 COPY 到CO欄位'!$1:$1048576,25,0),0)</f>
        <v>0</v>
      </c>
      <c r="H41" s="157">
        <f>IFERROR(VLOOKUP($A41,'Over Under Bill 1 COPY 到CO欄位'!$1:$1048576,30,0),0)</f>
        <v>0</v>
      </c>
      <c r="I41" s="157">
        <f>IFERROR(VLOOKUP($A41,'Over Under Bill 1 COPY 到CO欄位'!$1:$1048576,35,0),0)</f>
        <v>0</v>
      </c>
      <c r="J41" s="157">
        <f>IFERROR(VLOOKUP($A41,'Over Under Bill 1 COPY 到CO欄位'!$1:$1048576,40,0),0)</f>
        <v>0</v>
      </c>
      <c r="K41" s="157">
        <f>IFERROR(VLOOKUP($A41,'Over Under Bill 1 COPY 到CO欄位'!$1:$1048576,45,0),0)</f>
        <v>0</v>
      </c>
      <c r="L41" s="157">
        <f>IFERROR(VLOOKUP($A41,'Over Under Bill 1 COPY 到CO欄位'!$1:$1048576,50,0),0)</f>
        <v>0</v>
      </c>
      <c r="M41" s="157">
        <f>IFERROR(VLOOKUP($A41,'Over Under Bill 1 COPY 到CO欄位'!$1:$1048576,55,0),0)</f>
        <v>0</v>
      </c>
      <c r="N41" s="157">
        <f>IFERROR(VLOOKUP($A41,'Over Under Bill 1 COPY 到CO欄位'!$1:$1048576,60,0),0)</f>
        <v>0</v>
      </c>
      <c r="O41" s="157">
        <f>IFERROR(VLOOKUP($A41,'Over Under Bill 1 COPY 到CO欄位'!$1:$1048576,65,0),0)</f>
        <v>0</v>
      </c>
      <c r="P41" s="157">
        <f>IFERROR(VLOOKUP($A41,'Over Under Bill 1 COPY 到CO欄位'!$1:$1048576,70,0),0)</f>
        <v>0</v>
      </c>
      <c r="Q41" s="157">
        <f>IFERROR(VLOOKUP($A41,'Over Under Bill 1 COPY 到CO欄位'!$1:$1048576,75,0),0)</f>
        <v>0</v>
      </c>
      <c r="R41" s="157">
        <f>IFERROR(VLOOKUP($A41,'Over Under Bill 1 COPY 到CO欄位'!$1:$1048576,80,0),0)</f>
        <v>0</v>
      </c>
      <c r="S41" s="157">
        <f>IFERROR(VLOOKUP($A41,'Over Under Bill 1 COPY 到CO欄位'!$1:$1048576,85,0),0)</f>
        <v>0</v>
      </c>
      <c r="T41" s="157">
        <f>IFERROR(VLOOKUP($A41,'Over Under Bill 1 COPY 到CO欄位'!$1:$1048576,90,0),0)</f>
        <v>0</v>
      </c>
    </row>
    <row r="42" spans="1:20">
      <c r="A42" s="171" t="s">
        <v>381</v>
      </c>
      <c r="B42" s="172" t="s">
        <v>382</v>
      </c>
      <c r="C42" s="157">
        <f>IFERROR(VLOOKUP($A42,'Over Under Bill 1 COPY 到CO欄位'!$1:$1048576,5,0),0)</f>
        <v>0</v>
      </c>
      <c r="D42" s="157">
        <f>IFERROR(VLOOKUP($A42,'Over Under Bill 1 COPY 到CO欄位'!$1:$1048576,10,0),0)</f>
        <v>0</v>
      </c>
      <c r="E42" s="157">
        <f>IFERROR(VLOOKUP($A42,'Over Under Bill 1 COPY 到CO欄位'!$1:$1048576,15,0),0)</f>
        <v>0</v>
      </c>
      <c r="F42" s="157">
        <f>IFERROR(VLOOKUP($A42,'Over Under Bill 1 COPY 到CO欄位'!$1:$1048576,20,0),0)</f>
        <v>0</v>
      </c>
      <c r="G42" s="157">
        <f>IFERROR(VLOOKUP($A42,'Over Under Bill 1 COPY 到CO欄位'!$1:$1048576,25,0),0)</f>
        <v>0</v>
      </c>
      <c r="H42" s="157">
        <f>IFERROR(VLOOKUP($A42,'Over Under Bill 1 COPY 到CO欄位'!$1:$1048576,30,0),0)</f>
        <v>0</v>
      </c>
      <c r="I42" s="157">
        <f>IFERROR(VLOOKUP($A42,'Over Under Bill 1 COPY 到CO欄位'!$1:$1048576,35,0),0)</f>
        <v>0</v>
      </c>
      <c r="J42" s="157">
        <f>IFERROR(VLOOKUP($A42,'Over Under Bill 1 COPY 到CO欄位'!$1:$1048576,40,0),0)</f>
        <v>0</v>
      </c>
      <c r="K42" s="157">
        <f>IFERROR(VLOOKUP($A42,'Over Under Bill 1 COPY 到CO欄位'!$1:$1048576,45,0),0)</f>
        <v>0</v>
      </c>
      <c r="L42" s="157">
        <f>IFERROR(VLOOKUP($A42,'Over Under Bill 1 COPY 到CO欄位'!$1:$1048576,50,0),0)</f>
        <v>0</v>
      </c>
      <c r="M42" s="157">
        <f>IFERROR(VLOOKUP($A42,'Over Under Bill 1 COPY 到CO欄位'!$1:$1048576,55,0),0)</f>
        <v>0</v>
      </c>
      <c r="N42" s="157">
        <f>IFERROR(VLOOKUP($A42,'Over Under Bill 1 COPY 到CO欄位'!$1:$1048576,60,0),0)</f>
        <v>0</v>
      </c>
      <c r="O42" s="157">
        <f>IFERROR(VLOOKUP($A42,'Over Under Bill 1 COPY 到CO欄位'!$1:$1048576,65,0),0)</f>
        <v>0</v>
      </c>
      <c r="P42" s="157">
        <f>IFERROR(VLOOKUP($A42,'Over Under Bill 1 COPY 到CO欄位'!$1:$1048576,70,0),0)</f>
        <v>0</v>
      </c>
      <c r="Q42" s="157">
        <f>IFERROR(VLOOKUP($A42,'Over Under Bill 1 COPY 到CO欄位'!$1:$1048576,75,0),0)</f>
        <v>0</v>
      </c>
      <c r="R42" s="157">
        <f>IFERROR(VLOOKUP($A42,'Over Under Bill 1 COPY 到CO欄位'!$1:$1048576,80,0),0)</f>
        <v>0</v>
      </c>
      <c r="S42" s="157">
        <f>IFERROR(VLOOKUP($A42,'Over Under Bill 1 COPY 到CO欄位'!$1:$1048576,85,0),0)</f>
        <v>0</v>
      </c>
      <c r="T42" s="157">
        <f>IFERROR(VLOOKUP($A42,'Over Under Bill 1 COPY 到CO欄位'!$1:$1048576,90,0),0)</f>
        <v>0</v>
      </c>
    </row>
    <row r="43" spans="1:20">
      <c r="A43" s="171" t="s">
        <v>383</v>
      </c>
      <c r="B43" s="172" t="s">
        <v>384</v>
      </c>
      <c r="C43" s="157">
        <f>IFERROR(VLOOKUP($A43,'Over Under Bill 1 COPY 到CO欄位'!$1:$1048576,5,0),0)</f>
        <v>0</v>
      </c>
      <c r="D43" s="157">
        <f>IFERROR(VLOOKUP($A43,'Over Under Bill 1 COPY 到CO欄位'!$1:$1048576,10,0),0)</f>
        <v>0</v>
      </c>
      <c r="E43" s="157">
        <f>IFERROR(VLOOKUP($A43,'Over Under Bill 1 COPY 到CO欄位'!$1:$1048576,15,0),0)</f>
        <v>0</v>
      </c>
      <c r="F43" s="157">
        <f>IFERROR(VLOOKUP($A43,'Over Under Bill 1 COPY 到CO欄位'!$1:$1048576,20,0),0)</f>
        <v>0</v>
      </c>
      <c r="G43" s="157">
        <f>IFERROR(VLOOKUP($A43,'Over Under Bill 1 COPY 到CO欄位'!$1:$1048576,25,0),0)</f>
        <v>0</v>
      </c>
      <c r="H43" s="157">
        <f>IFERROR(VLOOKUP($A43,'Over Under Bill 1 COPY 到CO欄位'!$1:$1048576,30,0),0)</f>
        <v>0</v>
      </c>
      <c r="I43" s="157">
        <f>IFERROR(VLOOKUP($A43,'Over Under Bill 1 COPY 到CO欄位'!$1:$1048576,35,0),0)</f>
        <v>0</v>
      </c>
      <c r="J43" s="157">
        <f>IFERROR(VLOOKUP($A43,'Over Under Bill 1 COPY 到CO欄位'!$1:$1048576,40,0),0)</f>
        <v>0</v>
      </c>
      <c r="K43" s="157">
        <f>IFERROR(VLOOKUP($A43,'Over Under Bill 1 COPY 到CO欄位'!$1:$1048576,45,0),0)</f>
        <v>0</v>
      </c>
      <c r="L43" s="157">
        <f>IFERROR(VLOOKUP($A43,'Over Under Bill 1 COPY 到CO欄位'!$1:$1048576,50,0),0)</f>
        <v>0</v>
      </c>
      <c r="M43" s="157">
        <f>IFERROR(VLOOKUP($A43,'Over Under Bill 1 COPY 到CO欄位'!$1:$1048576,55,0),0)</f>
        <v>0</v>
      </c>
      <c r="N43" s="157">
        <f>IFERROR(VLOOKUP($A43,'Over Under Bill 1 COPY 到CO欄位'!$1:$1048576,60,0),0)</f>
        <v>0</v>
      </c>
      <c r="O43" s="157">
        <f>IFERROR(VLOOKUP($A43,'Over Under Bill 1 COPY 到CO欄位'!$1:$1048576,65,0),0)</f>
        <v>0</v>
      </c>
      <c r="P43" s="157">
        <f>IFERROR(VLOOKUP($A43,'Over Under Bill 1 COPY 到CO欄位'!$1:$1048576,70,0),0)</f>
        <v>0</v>
      </c>
      <c r="Q43" s="157">
        <f>IFERROR(VLOOKUP($A43,'Over Under Bill 1 COPY 到CO欄位'!$1:$1048576,75,0),0)</f>
        <v>0</v>
      </c>
      <c r="R43" s="157">
        <f>IFERROR(VLOOKUP($A43,'Over Under Bill 1 COPY 到CO欄位'!$1:$1048576,80,0),0)</f>
        <v>0</v>
      </c>
      <c r="S43" s="157">
        <f>IFERROR(VLOOKUP($A43,'Over Under Bill 1 COPY 到CO欄位'!$1:$1048576,85,0),0)</f>
        <v>0</v>
      </c>
      <c r="T43" s="157">
        <f>IFERROR(VLOOKUP($A43,'Over Under Bill 1 COPY 到CO欄位'!$1:$1048576,90,0),0)</f>
        <v>0</v>
      </c>
    </row>
    <row r="44" spans="1:20">
      <c r="A44" s="171" t="s">
        <v>385</v>
      </c>
      <c r="B44" s="172" t="s">
        <v>386</v>
      </c>
      <c r="C44" s="157">
        <f>IFERROR(VLOOKUP($A44,'Over Under Bill 1 COPY 到CO欄位'!$1:$1048576,5,0),0)</f>
        <v>0</v>
      </c>
      <c r="D44" s="157">
        <f>IFERROR(VLOOKUP($A44,'Over Under Bill 1 COPY 到CO欄位'!$1:$1048576,10,0),0)</f>
        <v>0</v>
      </c>
      <c r="E44" s="157">
        <f>IFERROR(VLOOKUP($A44,'Over Under Bill 1 COPY 到CO欄位'!$1:$1048576,15,0),0)</f>
        <v>0</v>
      </c>
      <c r="F44" s="157">
        <f>IFERROR(VLOOKUP($A44,'Over Under Bill 1 COPY 到CO欄位'!$1:$1048576,20,0),0)</f>
        <v>0</v>
      </c>
      <c r="G44" s="157">
        <f>IFERROR(VLOOKUP($A44,'Over Under Bill 1 COPY 到CO欄位'!$1:$1048576,25,0),0)</f>
        <v>0</v>
      </c>
      <c r="H44" s="157">
        <f>IFERROR(VLOOKUP($A44,'Over Under Bill 1 COPY 到CO欄位'!$1:$1048576,30,0),0)</f>
        <v>0</v>
      </c>
      <c r="I44" s="157">
        <f>IFERROR(VLOOKUP($A44,'Over Under Bill 1 COPY 到CO欄位'!$1:$1048576,35,0),0)</f>
        <v>0</v>
      </c>
      <c r="J44" s="157">
        <f>IFERROR(VLOOKUP($A44,'Over Under Bill 1 COPY 到CO欄位'!$1:$1048576,40,0),0)</f>
        <v>0</v>
      </c>
      <c r="K44" s="157">
        <f>IFERROR(VLOOKUP($A44,'Over Under Bill 1 COPY 到CO欄位'!$1:$1048576,45,0),0)</f>
        <v>0</v>
      </c>
      <c r="L44" s="157">
        <f>IFERROR(VLOOKUP($A44,'Over Under Bill 1 COPY 到CO欄位'!$1:$1048576,50,0),0)</f>
        <v>0</v>
      </c>
      <c r="M44" s="157">
        <f>IFERROR(VLOOKUP($A44,'Over Under Bill 1 COPY 到CO欄位'!$1:$1048576,55,0),0)</f>
        <v>0</v>
      </c>
      <c r="N44" s="157">
        <f>IFERROR(VLOOKUP($A44,'Over Under Bill 1 COPY 到CO欄位'!$1:$1048576,60,0),0)</f>
        <v>0</v>
      </c>
      <c r="O44" s="157">
        <f>IFERROR(VLOOKUP($A44,'Over Under Bill 1 COPY 到CO欄位'!$1:$1048576,65,0),0)</f>
        <v>0</v>
      </c>
      <c r="P44" s="157">
        <f>IFERROR(VLOOKUP($A44,'Over Under Bill 1 COPY 到CO欄位'!$1:$1048576,70,0),0)</f>
        <v>0</v>
      </c>
      <c r="Q44" s="157">
        <f>IFERROR(VLOOKUP($A44,'Over Under Bill 1 COPY 到CO欄位'!$1:$1048576,75,0),0)</f>
        <v>0</v>
      </c>
      <c r="R44" s="157">
        <f>IFERROR(VLOOKUP($A44,'Over Under Bill 1 COPY 到CO欄位'!$1:$1048576,80,0),0)</f>
        <v>0</v>
      </c>
      <c r="S44" s="157">
        <f>IFERROR(VLOOKUP($A44,'Over Under Bill 1 COPY 到CO欄位'!$1:$1048576,85,0),0)</f>
        <v>0</v>
      </c>
      <c r="T44" s="157">
        <f>IFERROR(VLOOKUP($A44,'Over Under Bill 1 COPY 到CO欄位'!$1:$1048576,90,0),0)</f>
        <v>0</v>
      </c>
    </row>
    <row r="45" spans="1:20">
      <c r="A45" s="171" t="s">
        <v>387</v>
      </c>
      <c r="B45" s="172" t="s">
        <v>388</v>
      </c>
      <c r="C45" s="157">
        <f>IFERROR(VLOOKUP($A45,'Over Under Bill 1 COPY 到CO欄位'!$1:$1048576,5,0),0)</f>
        <v>0</v>
      </c>
      <c r="D45" s="157">
        <f>IFERROR(VLOOKUP($A45,'Over Under Bill 1 COPY 到CO欄位'!$1:$1048576,10,0),0)</f>
        <v>0</v>
      </c>
      <c r="E45" s="157">
        <f>IFERROR(VLOOKUP($A45,'Over Under Bill 1 COPY 到CO欄位'!$1:$1048576,15,0),0)</f>
        <v>0</v>
      </c>
      <c r="F45" s="157">
        <f>IFERROR(VLOOKUP($A45,'Over Under Bill 1 COPY 到CO欄位'!$1:$1048576,20,0),0)</f>
        <v>0</v>
      </c>
      <c r="G45" s="157">
        <f>IFERROR(VLOOKUP($A45,'Over Under Bill 1 COPY 到CO欄位'!$1:$1048576,25,0),0)</f>
        <v>0</v>
      </c>
      <c r="H45" s="157">
        <f>IFERROR(VLOOKUP($A45,'Over Under Bill 1 COPY 到CO欄位'!$1:$1048576,30,0),0)</f>
        <v>0</v>
      </c>
      <c r="I45" s="157">
        <f>IFERROR(VLOOKUP($A45,'Over Under Bill 1 COPY 到CO欄位'!$1:$1048576,35,0),0)</f>
        <v>0</v>
      </c>
      <c r="J45" s="157">
        <f>IFERROR(VLOOKUP($A45,'Over Under Bill 1 COPY 到CO欄位'!$1:$1048576,40,0),0)</f>
        <v>0</v>
      </c>
      <c r="K45" s="157">
        <f>IFERROR(VLOOKUP($A45,'Over Under Bill 1 COPY 到CO欄位'!$1:$1048576,45,0),0)</f>
        <v>0</v>
      </c>
      <c r="L45" s="157">
        <f>IFERROR(VLOOKUP($A45,'Over Under Bill 1 COPY 到CO欄位'!$1:$1048576,50,0),0)</f>
        <v>0</v>
      </c>
      <c r="M45" s="157">
        <f>IFERROR(VLOOKUP($A45,'Over Under Bill 1 COPY 到CO欄位'!$1:$1048576,55,0),0)</f>
        <v>0</v>
      </c>
      <c r="N45" s="157">
        <f>IFERROR(VLOOKUP($A45,'Over Under Bill 1 COPY 到CO欄位'!$1:$1048576,60,0),0)</f>
        <v>0</v>
      </c>
      <c r="O45" s="157">
        <f>IFERROR(VLOOKUP($A45,'Over Under Bill 1 COPY 到CO欄位'!$1:$1048576,65,0),0)</f>
        <v>0</v>
      </c>
      <c r="P45" s="157">
        <f>IFERROR(VLOOKUP($A45,'Over Under Bill 1 COPY 到CO欄位'!$1:$1048576,70,0),0)</f>
        <v>0</v>
      </c>
      <c r="Q45" s="157">
        <f>IFERROR(VLOOKUP($A45,'Over Under Bill 1 COPY 到CO欄位'!$1:$1048576,75,0),0)</f>
        <v>0</v>
      </c>
      <c r="R45" s="157">
        <f>IFERROR(VLOOKUP($A45,'Over Under Bill 1 COPY 到CO欄位'!$1:$1048576,80,0),0)</f>
        <v>0</v>
      </c>
      <c r="S45" s="157">
        <f>IFERROR(VLOOKUP($A45,'Over Under Bill 1 COPY 到CO欄位'!$1:$1048576,85,0),0)</f>
        <v>0</v>
      </c>
      <c r="T45" s="157">
        <f>IFERROR(VLOOKUP($A45,'Over Under Bill 1 COPY 到CO欄位'!$1:$1048576,90,0),0)</f>
        <v>0</v>
      </c>
    </row>
    <row r="46" spans="1:20">
      <c r="A46" s="171" t="s">
        <v>389</v>
      </c>
      <c r="B46" s="172" t="s">
        <v>390</v>
      </c>
      <c r="C46" s="157">
        <f>IFERROR(VLOOKUP($A46,'Over Under Bill 1 COPY 到CO欄位'!$1:$1048576,5,0),0)</f>
        <v>0</v>
      </c>
      <c r="D46" s="157">
        <f>IFERROR(VLOOKUP($A46,'Over Under Bill 1 COPY 到CO欄位'!$1:$1048576,10,0),0)</f>
        <v>0</v>
      </c>
      <c r="E46" s="157">
        <f>IFERROR(VLOOKUP($A46,'Over Under Bill 1 COPY 到CO欄位'!$1:$1048576,15,0),0)</f>
        <v>0</v>
      </c>
      <c r="F46" s="157">
        <f>IFERROR(VLOOKUP($A46,'Over Under Bill 1 COPY 到CO欄位'!$1:$1048576,20,0),0)</f>
        <v>0</v>
      </c>
      <c r="G46" s="157">
        <f>IFERROR(VLOOKUP($A46,'Over Under Bill 1 COPY 到CO欄位'!$1:$1048576,25,0),0)</f>
        <v>0</v>
      </c>
      <c r="H46" s="157">
        <f>IFERROR(VLOOKUP($A46,'Over Under Bill 1 COPY 到CO欄位'!$1:$1048576,30,0),0)</f>
        <v>0</v>
      </c>
      <c r="I46" s="157">
        <f>IFERROR(VLOOKUP($A46,'Over Under Bill 1 COPY 到CO欄位'!$1:$1048576,35,0),0)</f>
        <v>0</v>
      </c>
      <c r="J46" s="157">
        <f>IFERROR(VLOOKUP($A46,'Over Under Bill 1 COPY 到CO欄位'!$1:$1048576,40,0),0)</f>
        <v>0</v>
      </c>
      <c r="K46" s="157">
        <f>IFERROR(VLOOKUP($A46,'Over Under Bill 1 COPY 到CO欄位'!$1:$1048576,45,0),0)</f>
        <v>0</v>
      </c>
      <c r="L46" s="157">
        <f>IFERROR(VLOOKUP($A46,'Over Under Bill 1 COPY 到CO欄位'!$1:$1048576,50,0),0)</f>
        <v>0</v>
      </c>
      <c r="M46" s="157">
        <f>IFERROR(VLOOKUP($A46,'Over Under Bill 1 COPY 到CO欄位'!$1:$1048576,55,0),0)</f>
        <v>0</v>
      </c>
      <c r="N46" s="157">
        <f>IFERROR(VLOOKUP($A46,'Over Under Bill 1 COPY 到CO欄位'!$1:$1048576,60,0),0)</f>
        <v>0</v>
      </c>
      <c r="O46" s="157">
        <f>IFERROR(VLOOKUP($A46,'Over Under Bill 1 COPY 到CO欄位'!$1:$1048576,65,0),0)</f>
        <v>0</v>
      </c>
      <c r="P46" s="157">
        <f>IFERROR(VLOOKUP($A46,'Over Under Bill 1 COPY 到CO欄位'!$1:$1048576,70,0),0)</f>
        <v>0</v>
      </c>
      <c r="Q46" s="157">
        <f>IFERROR(VLOOKUP($A46,'Over Under Bill 1 COPY 到CO欄位'!$1:$1048576,75,0),0)</f>
        <v>0</v>
      </c>
      <c r="R46" s="157">
        <f>IFERROR(VLOOKUP($A46,'Over Under Bill 1 COPY 到CO欄位'!$1:$1048576,80,0),0)</f>
        <v>0</v>
      </c>
      <c r="S46" s="157">
        <f>IFERROR(VLOOKUP($A46,'Over Under Bill 1 COPY 到CO欄位'!$1:$1048576,85,0),0)</f>
        <v>0</v>
      </c>
      <c r="T46" s="157">
        <f>IFERROR(VLOOKUP($A46,'Over Under Bill 1 COPY 到CO欄位'!$1:$1048576,90,0),0)</f>
        <v>0</v>
      </c>
    </row>
    <row r="47" spans="1:20">
      <c r="A47" s="171" t="s">
        <v>391</v>
      </c>
      <c r="B47" s="172" t="s">
        <v>392</v>
      </c>
      <c r="C47" s="157">
        <f>IFERROR(VLOOKUP($A47,'Over Under Bill 1 COPY 到CO欄位'!$1:$1048576,5,0),0)</f>
        <v>0</v>
      </c>
      <c r="D47" s="157">
        <f>IFERROR(VLOOKUP($A47,'Over Under Bill 1 COPY 到CO欄位'!$1:$1048576,10,0),0)</f>
        <v>0</v>
      </c>
      <c r="E47" s="157">
        <f>IFERROR(VLOOKUP($A47,'Over Under Bill 1 COPY 到CO欄位'!$1:$1048576,15,0),0)</f>
        <v>0</v>
      </c>
      <c r="F47" s="157">
        <f>IFERROR(VLOOKUP($A47,'Over Under Bill 1 COPY 到CO欄位'!$1:$1048576,20,0),0)</f>
        <v>0</v>
      </c>
      <c r="G47" s="157">
        <f>IFERROR(VLOOKUP($A47,'Over Under Bill 1 COPY 到CO欄位'!$1:$1048576,25,0),0)</f>
        <v>0</v>
      </c>
      <c r="H47" s="157">
        <f>IFERROR(VLOOKUP($A47,'Over Under Bill 1 COPY 到CO欄位'!$1:$1048576,30,0),0)</f>
        <v>0</v>
      </c>
      <c r="I47" s="157">
        <f>IFERROR(VLOOKUP($A47,'Over Under Bill 1 COPY 到CO欄位'!$1:$1048576,35,0),0)</f>
        <v>0</v>
      </c>
      <c r="J47" s="157">
        <f>IFERROR(VLOOKUP($A47,'Over Under Bill 1 COPY 到CO欄位'!$1:$1048576,40,0),0)</f>
        <v>0</v>
      </c>
      <c r="K47" s="157">
        <f>IFERROR(VLOOKUP($A47,'Over Under Bill 1 COPY 到CO欄位'!$1:$1048576,45,0),0)</f>
        <v>0</v>
      </c>
      <c r="L47" s="157">
        <f>IFERROR(VLOOKUP($A47,'Over Under Bill 1 COPY 到CO欄位'!$1:$1048576,50,0),0)</f>
        <v>0</v>
      </c>
      <c r="M47" s="157">
        <f>IFERROR(VLOOKUP($A47,'Over Under Bill 1 COPY 到CO欄位'!$1:$1048576,55,0),0)</f>
        <v>0</v>
      </c>
      <c r="N47" s="157">
        <f>IFERROR(VLOOKUP($A47,'Over Under Bill 1 COPY 到CO欄位'!$1:$1048576,60,0),0)</f>
        <v>0</v>
      </c>
      <c r="O47" s="157">
        <f>IFERROR(VLOOKUP($A47,'Over Under Bill 1 COPY 到CO欄位'!$1:$1048576,65,0),0)</f>
        <v>0</v>
      </c>
      <c r="P47" s="157">
        <f>IFERROR(VLOOKUP($A47,'Over Under Bill 1 COPY 到CO欄位'!$1:$1048576,70,0),0)</f>
        <v>0</v>
      </c>
      <c r="Q47" s="157">
        <f>IFERROR(VLOOKUP($A47,'Over Under Bill 1 COPY 到CO欄位'!$1:$1048576,75,0),0)</f>
        <v>0</v>
      </c>
      <c r="R47" s="157">
        <f>IFERROR(VLOOKUP($A47,'Over Under Bill 1 COPY 到CO欄位'!$1:$1048576,80,0),0)</f>
        <v>0</v>
      </c>
      <c r="S47" s="157">
        <f>IFERROR(VLOOKUP($A47,'Over Under Bill 1 COPY 到CO欄位'!$1:$1048576,85,0),0)</f>
        <v>0</v>
      </c>
      <c r="T47" s="157">
        <f>IFERROR(VLOOKUP($A47,'Over Under Bill 1 COPY 到CO欄位'!$1:$1048576,90,0),0)</f>
        <v>0</v>
      </c>
    </row>
    <row r="48" spans="1:20">
      <c r="A48" s="171" t="s">
        <v>393</v>
      </c>
      <c r="B48" s="172" t="s">
        <v>394</v>
      </c>
      <c r="C48" s="157">
        <f>IFERROR(VLOOKUP($A48,'Over Under Bill 1 COPY 到CO欄位'!$1:$1048576,5,0),0)</f>
        <v>0</v>
      </c>
      <c r="D48" s="157">
        <f>IFERROR(VLOOKUP($A48,'Over Under Bill 1 COPY 到CO欄位'!$1:$1048576,10,0),0)</f>
        <v>0</v>
      </c>
      <c r="E48" s="157">
        <f>IFERROR(VLOOKUP($A48,'Over Under Bill 1 COPY 到CO欄位'!$1:$1048576,15,0),0)</f>
        <v>0</v>
      </c>
      <c r="F48" s="157">
        <f>IFERROR(VLOOKUP($A48,'Over Under Bill 1 COPY 到CO欄位'!$1:$1048576,20,0),0)</f>
        <v>0</v>
      </c>
      <c r="G48" s="157">
        <f>IFERROR(VLOOKUP($A48,'Over Under Bill 1 COPY 到CO欄位'!$1:$1048576,25,0),0)</f>
        <v>0</v>
      </c>
      <c r="H48" s="157">
        <f>IFERROR(VLOOKUP($A48,'Over Under Bill 1 COPY 到CO欄位'!$1:$1048576,30,0),0)</f>
        <v>0</v>
      </c>
      <c r="I48" s="157">
        <f>IFERROR(VLOOKUP($A48,'Over Under Bill 1 COPY 到CO欄位'!$1:$1048576,35,0),0)</f>
        <v>0</v>
      </c>
      <c r="J48" s="157">
        <f>IFERROR(VLOOKUP($A48,'Over Under Bill 1 COPY 到CO欄位'!$1:$1048576,40,0),0)</f>
        <v>0</v>
      </c>
      <c r="K48" s="157">
        <f>IFERROR(VLOOKUP($A48,'Over Under Bill 1 COPY 到CO欄位'!$1:$1048576,45,0),0)</f>
        <v>0</v>
      </c>
      <c r="L48" s="157">
        <f>IFERROR(VLOOKUP($A48,'Over Under Bill 1 COPY 到CO欄位'!$1:$1048576,50,0),0)</f>
        <v>0</v>
      </c>
      <c r="M48" s="157">
        <f>IFERROR(VLOOKUP($A48,'Over Under Bill 1 COPY 到CO欄位'!$1:$1048576,55,0),0)</f>
        <v>0</v>
      </c>
      <c r="N48" s="157">
        <f>IFERROR(VLOOKUP($A48,'Over Under Bill 1 COPY 到CO欄位'!$1:$1048576,60,0),0)</f>
        <v>0</v>
      </c>
      <c r="O48" s="157">
        <f>IFERROR(VLOOKUP($A48,'Over Under Bill 1 COPY 到CO欄位'!$1:$1048576,65,0),0)</f>
        <v>0</v>
      </c>
      <c r="P48" s="157">
        <f>IFERROR(VLOOKUP($A48,'Over Under Bill 1 COPY 到CO欄位'!$1:$1048576,70,0),0)</f>
        <v>0</v>
      </c>
      <c r="Q48" s="157">
        <f>IFERROR(VLOOKUP($A48,'Over Under Bill 1 COPY 到CO欄位'!$1:$1048576,75,0),0)</f>
        <v>0</v>
      </c>
      <c r="R48" s="157">
        <f>IFERROR(VLOOKUP($A48,'Over Under Bill 1 COPY 到CO欄位'!$1:$1048576,80,0),0)</f>
        <v>0</v>
      </c>
      <c r="S48" s="157">
        <f>IFERROR(VLOOKUP($A48,'Over Under Bill 1 COPY 到CO欄位'!$1:$1048576,85,0),0)</f>
        <v>0</v>
      </c>
      <c r="T48" s="157">
        <f>IFERROR(VLOOKUP($A48,'Over Under Bill 1 COPY 到CO欄位'!$1:$1048576,90,0),0)</f>
        <v>0</v>
      </c>
    </row>
    <row r="49" spans="1:20">
      <c r="A49" s="171" t="s">
        <v>395</v>
      </c>
      <c r="B49" s="172" t="s">
        <v>396</v>
      </c>
      <c r="C49" s="157">
        <f>IFERROR(VLOOKUP($A49,'Over Under Bill 1 COPY 到CO欄位'!$1:$1048576,5,0),0)</f>
        <v>0</v>
      </c>
      <c r="D49" s="157">
        <f>IFERROR(VLOOKUP($A49,'Over Under Bill 1 COPY 到CO欄位'!$1:$1048576,10,0),0)</f>
        <v>0</v>
      </c>
      <c r="E49" s="157">
        <f>IFERROR(VLOOKUP($A49,'Over Under Bill 1 COPY 到CO欄位'!$1:$1048576,15,0),0)</f>
        <v>0</v>
      </c>
      <c r="F49" s="157">
        <f>IFERROR(VLOOKUP($A49,'Over Under Bill 1 COPY 到CO欄位'!$1:$1048576,20,0),0)</f>
        <v>0</v>
      </c>
      <c r="G49" s="157">
        <f>IFERROR(VLOOKUP($A49,'Over Under Bill 1 COPY 到CO欄位'!$1:$1048576,25,0),0)</f>
        <v>0</v>
      </c>
      <c r="H49" s="157">
        <f>IFERROR(VLOOKUP($A49,'Over Under Bill 1 COPY 到CO欄位'!$1:$1048576,30,0),0)</f>
        <v>0</v>
      </c>
      <c r="I49" s="157">
        <f>IFERROR(VLOOKUP($A49,'Over Under Bill 1 COPY 到CO欄位'!$1:$1048576,35,0),0)</f>
        <v>0</v>
      </c>
      <c r="J49" s="157">
        <f>IFERROR(VLOOKUP($A49,'Over Under Bill 1 COPY 到CO欄位'!$1:$1048576,40,0),0)</f>
        <v>0</v>
      </c>
      <c r="K49" s="157">
        <f>IFERROR(VLOOKUP($A49,'Over Under Bill 1 COPY 到CO欄位'!$1:$1048576,45,0),0)</f>
        <v>0</v>
      </c>
      <c r="L49" s="157">
        <f>IFERROR(VLOOKUP($A49,'Over Under Bill 1 COPY 到CO欄位'!$1:$1048576,50,0),0)</f>
        <v>0</v>
      </c>
      <c r="M49" s="157">
        <f>IFERROR(VLOOKUP($A49,'Over Under Bill 1 COPY 到CO欄位'!$1:$1048576,55,0),0)</f>
        <v>0</v>
      </c>
      <c r="N49" s="157">
        <f>IFERROR(VLOOKUP($A49,'Over Under Bill 1 COPY 到CO欄位'!$1:$1048576,60,0),0)</f>
        <v>0</v>
      </c>
      <c r="O49" s="157">
        <f>IFERROR(VLOOKUP($A49,'Over Under Bill 1 COPY 到CO欄位'!$1:$1048576,65,0),0)</f>
        <v>0</v>
      </c>
      <c r="P49" s="157">
        <f>IFERROR(VLOOKUP($A49,'Over Under Bill 1 COPY 到CO欄位'!$1:$1048576,70,0),0)</f>
        <v>0</v>
      </c>
      <c r="Q49" s="157">
        <f>IFERROR(VLOOKUP($A49,'Over Under Bill 1 COPY 到CO欄位'!$1:$1048576,75,0),0)</f>
        <v>0</v>
      </c>
      <c r="R49" s="157">
        <f>IFERROR(VLOOKUP($A49,'Over Under Bill 1 COPY 到CO欄位'!$1:$1048576,80,0),0)</f>
        <v>0</v>
      </c>
      <c r="S49" s="157">
        <f>IFERROR(VLOOKUP($A49,'Over Under Bill 1 COPY 到CO欄位'!$1:$1048576,85,0),0)</f>
        <v>0</v>
      </c>
      <c r="T49" s="157">
        <f>IFERROR(VLOOKUP($A49,'Over Under Bill 1 COPY 到CO欄位'!$1:$1048576,90,0),0)</f>
        <v>0</v>
      </c>
    </row>
    <row r="50" spans="1:20">
      <c r="A50" s="171" t="s">
        <v>397</v>
      </c>
      <c r="B50" s="172" t="s">
        <v>398</v>
      </c>
      <c r="C50" s="157">
        <f>IFERROR(VLOOKUP($A50,'Over Under Bill 1 COPY 到CO欄位'!$1:$1048576,5,0),0)</f>
        <v>0</v>
      </c>
      <c r="D50" s="157">
        <f>IFERROR(VLOOKUP($A50,'Over Under Bill 1 COPY 到CO欄位'!$1:$1048576,10,0),0)</f>
        <v>0</v>
      </c>
      <c r="E50" s="157">
        <f>IFERROR(VLOOKUP($A50,'Over Under Bill 1 COPY 到CO欄位'!$1:$1048576,15,0),0)</f>
        <v>0</v>
      </c>
      <c r="F50" s="157">
        <f>IFERROR(VLOOKUP($A50,'Over Under Bill 1 COPY 到CO欄位'!$1:$1048576,20,0),0)</f>
        <v>0</v>
      </c>
      <c r="G50" s="157">
        <f>IFERROR(VLOOKUP($A50,'Over Under Bill 1 COPY 到CO欄位'!$1:$1048576,25,0),0)</f>
        <v>0</v>
      </c>
      <c r="H50" s="157">
        <f>IFERROR(VLOOKUP($A50,'Over Under Bill 1 COPY 到CO欄位'!$1:$1048576,30,0),0)</f>
        <v>0</v>
      </c>
      <c r="I50" s="157">
        <f>IFERROR(VLOOKUP($A50,'Over Under Bill 1 COPY 到CO欄位'!$1:$1048576,35,0),0)</f>
        <v>0</v>
      </c>
      <c r="J50" s="157">
        <f>IFERROR(VLOOKUP($A50,'Over Under Bill 1 COPY 到CO欄位'!$1:$1048576,40,0),0)</f>
        <v>0</v>
      </c>
      <c r="K50" s="157">
        <f>IFERROR(VLOOKUP($A50,'Over Under Bill 1 COPY 到CO欄位'!$1:$1048576,45,0),0)</f>
        <v>0</v>
      </c>
      <c r="L50" s="157">
        <f>IFERROR(VLOOKUP($A50,'Over Under Bill 1 COPY 到CO欄位'!$1:$1048576,50,0),0)</f>
        <v>0</v>
      </c>
      <c r="M50" s="157">
        <f>IFERROR(VLOOKUP($A50,'Over Under Bill 1 COPY 到CO欄位'!$1:$1048576,55,0),0)</f>
        <v>0</v>
      </c>
      <c r="N50" s="157">
        <f>IFERROR(VLOOKUP($A50,'Over Under Bill 1 COPY 到CO欄位'!$1:$1048576,60,0),0)</f>
        <v>0</v>
      </c>
      <c r="O50" s="157">
        <f>IFERROR(VLOOKUP($A50,'Over Under Bill 1 COPY 到CO欄位'!$1:$1048576,65,0),0)</f>
        <v>0</v>
      </c>
      <c r="P50" s="157">
        <f>IFERROR(VLOOKUP($A50,'Over Under Bill 1 COPY 到CO欄位'!$1:$1048576,70,0),0)</f>
        <v>0</v>
      </c>
      <c r="Q50" s="157">
        <f>IFERROR(VLOOKUP($A50,'Over Under Bill 1 COPY 到CO欄位'!$1:$1048576,75,0),0)</f>
        <v>0</v>
      </c>
      <c r="R50" s="157">
        <f>IFERROR(VLOOKUP($A50,'Over Under Bill 1 COPY 到CO欄位'!$1:$1048576,80,0),0)</f>
        <v>0</v>
      </c>
      <c r="S50" s="157">
        <f>IFERROR(VLOOKUP($A50,'Over Under Bill 1 COPY 到CO欄位'!$1:$1048576,85,0),0)</f>
        <v>0</v>
      </c>
      <c r="T50" s="157">
        <f>IFERROR(VLOOKUP($A50,'Over Under Bill 1 COPY 到CO欄位'!$1:$1048576,90,0),0)</f>
        <v>0</v>
      </c>
    </row>
    <row r="51" spans="1:20">
      <c r="A51" s="171" t="s">
        <v>399</v>
      </c>
      <c r="B51" s="172" t="s">
        <v>400</v>
      </c>
      <c r="C51" s="157">
        <f>IFERROR(VLOOKUP($A51,'Over Under Bill 1 COPY 到CO欄位'!$1:$1048576,5,0),0)</f>
        <v>0</v>
      </c>
      <c r="D51" s="157">
        <f>IFERROR(VLOOKUP($A51,'Over Under Bill 1 COPY 到CO欄位'!$1:$1048576,10,0),0)</f>
        <v>0</v>
      </c>
      <c r="E51" s="157">
        <f>IFERROR(VLOOKUP($A51,'Over Under Bill 1 COPY 到CO欄位'!$1:$1048576,15,0),0)</f>
        <v>0</v>
      </c>
      <c r="F51" s="157">
        <f>IFERROR(VLOOKUP($A51,'Over Under Bill 1 COPY 到CO欄位'!$1:$1048576,20,0),0)</f>
        <v>0</v>
      </c>
      <c r="G51" s="157">
        <f>IFERROR(VLOOKUP($A51,'Over Under Bill 1 COPY 到CO欄位'!$1:$1048576,25,0),0)</f>
        <v>0</v>
      </c>
      <c r="H51" s="157">
        <f>IFERROR(VLOOKUP($A51,'Over Under Bill 1 COPY 到CO欄位'!$1:$1048576,30,0),0)</f>
        <v>0</v>
      </c>
      <c r="I51" s="157">
        <f>IFERROR(VLOOKUP($A51,'Over Under Bill 1 COPY 到CO欄位'!$1:$1048576,35,0),0)</f>
        <v>0</v>
      </c>
      <c r="J51" s="157">
        <f>IFERROR(VLOOKUP($A51,'Over Under Bill 1 COPY 到CO欄位'!$1:$1048576,40,0),0)</f>
        <v>0</v>
      </c>
      <c r="K51" s="157">
        <f>IFERROR(VLOOKUP($A51,'Over Under Bill 1 COPY 到CO欄位'!$1:$1048576,45,0),0)</f>
        <v>0</v>
      </c>
      <c r="L51" s="157">
        <f>IFERROR(VLOOKUP($A51,'Over Under Bill 1 COPY 到CO欄位'!$1:$1048576,50,0),0)</f>
        <v>0</v>
      </c>
      <c r="M51" s="157">
        <f>IFERROR(VLOOKUP($A51,'Over Under Bill 1 COPY 到CO欄位'!$1:$1048576,55,0),0)</f>
        <v>0</v>
      </c>
      <c r="N51" s="157">
        <f>IFERROR(VLOOKUP($A51,'Over Under Bill 1 COPY 到CO欄位'!$1:$1048576,60,0),0)</f>
        <v>0</v>
      </c>
      <c r="O51" s="157">
        <f>IFERROR(VLOOKUP($A51,'Over Under Bill 1 COPY 到CO欄位'!$1:$1048576,65,0),0)</f>
        <v>0</v>
      </c>
      <c r="P51" s="157">
        <f>IFERROR(VLOOKUP($A51,'Over Under Bill 1 COPY 到CO欄位'!$1:$1048576,70,0),0)</f>
        <v>0</v>
      </c>
      <c r="Q51" s="157">
        <f>IFERROR(VLOOKUP($A51,'Over Under Bill 1 COPY 到CO欄位'!$1:$1048576,75,0),0)</f>
        <v>0</v>
      </c>
      <c r="R51" s="157">
        <f>IFERROR(VLOOKUP($A51,'Over Under Bill 1 COPY 到CO欄位'!$1:$1048576,80,0),0)</f>
        <v>0</v>
      </c>
      <c r="S51" s="157">
        <f>IFERROR(VLOOKUP($A51,'Over Under Bill 1 COPY 到CO欄位'!$1:$1048576,85,0),0)</f>
        <v>0</v>
      </c>
      <c r="T51" s="157">
        <f>IFERROR(VLOOKUP($A51,'Over Under Bill 1 COPY 到CO欄位'!$1:$1048576,90,0),0)</f>
        <v>0</v>
      </c>
    </row>
    <row r="52" spans="1:20">
      <c r="A52" s="171" t="s">
        <v>401</v>
      </c>
      <c r="B52" s="172" t="s">
        <v>402</v>
      </c>
      <c r="C52" s="157">
        <f>IFERROR(VLOOKUP($A52,'Over Under Bill 1 COPY 到CO欄位'!$1:$1048576,5,0),0)</f>
        <v>0</v>
      </c>
      <c r="D52" s="157">
        <f>IFERROR(VLOOKUP($A52,'Over Under Bill 1 COPY 到CO欄位'!$1:$1048576,10,0),0)</f>
        <v>0</v>
      </c>
      <c r="E52" s="157">
        <f>IFERROR(VLOOKUP($A52,'Over Under Bill 1 COPY 到CO欄位'!$1:$1048576,15,0),0)</f>
        <v>0</v>
      </c>
      <c r="F52" s="157">
        <f>IFERROR(VLOOKUP($A52,'Over Under Bill 1 COPY 到CO欄位'!$1:$1048576,20,0),0)</f>
        <v>0</v>
      </c>
      <c r="G52" s="157">
        <f>IFERROR(VLOOKUP($A52,'Over Under Bill 1 COPY 到CO欄位'!$1:$1048576,25,0),0)</f>
        <v>0</v>
      </c>
      <c r="H52" s="157">
        <f>IFERROR(VLOOKUP($A52,'Over Under Bill 1 COPY 到CO欄位'!$1:$1048576,30,0),0)</f>
        <v>0</v>
      </c>
      <c r="I52" s="157">
        <f>IFERROR(VLOOKUP($A52,'Over Under Bill 1 COPY 到CO欄位'!$1:$1048576,35,0),0)</f>
        <v>0</v>
      </c>
      <c r="J52" s="157">
        <f>IFERROR(VLOOKUP($A52,'Over Under Bill 1 COPY 到CO欄位'!$1:$1048576,40,0),0)</f>
        <v>0</v>
      </c>
      <c r="K52" s="157">
        <f>IFERROR(VLOOKUP($A52,'Over Under Bill 1 COPY 到CO欄位'!$1:$1048576,45,0),0)</f>
        <v>0</v>
      </c>
      <c r="L52" s="157">
        <f>IFERROR(VLOOKUP($A52,'Over Under Bill 1 COPY 到CO欄位'!$1:$1048576,50,0),0)</f>
        <v>0</v>
      </c>
      <c r="M52" s="157">
        <f>IFERROR(VLOOKUP($A52,'Over Under Bill 1 COPY 到CO欄位'!$1:$1048576,55,0),0)</f>
        <v>0</v>
      </c>
      <c r="N52" s="157">
        <f>IFERROR(VLOOKUP($A52,'Over Under Bill 1 COPY 到CO欄位'!$1:$1048576,60,0),0)</f>
        <v>0</v>
      </c>
      <c r="O52" s="157">
        <f>IFERROR(VLOOKUP($A52,'Over Under Bill 1 COPY 到CO欄位'!$1:$1048576,65,0),0)</f>
        <v>0</v>
      </c>
      <c r="P52" s="157">
        <f>IFERROR(VLOOKUP($A52,'Over Under Bill 1 COPY 到CO欄位'!$1:$1048576,70,0),0)</f>
        <v>0</v>
      </c>
      <c r="Q52" s="157">
        <f>IFERROR(VLOOKUP($A52,'Over Under Bill 1 COPY 到CO欄位'!$1:$1048576,75,0),0)</f>
        <v>0</v>
      </c>
      <c r="R52" s="157">
        <f>IFERROR(VLOOKUP($A52,'Over Under Bill 1 COPY 到CO欄位'!$1:$1048576,80,0),0)</f>
        <v>0</v>
      </c>
      <c r="S52" s="157">
        <f>IFERROR(VLOOKUP($A52,'Over Under Bill 1 COPY 到CO欄位'!$1:$1048576,85,0),0)</f>
        <v>0</v>
      </c>
      <c r="T52" s="157">
        <f>IFERROR(VLOOKUP($A52,'Over Under Bill 1 COPY 到CO欄位'!$1:$1048576,90,0),0)</f>
        <v>0</v>
      </c>
    </row>
    <row r="53" spans="1:20">
      <c r="A53" s="171" t="s">
        <v>565</v>
      </c>
      <c r="B53" s="172" t="s">
        <v>566</v>
      </c>
      <c r="C53" s="157">
        <f>IFERROR(VLOOKUP($A53,'Over Under Bill 1 COPY 到CO欄位'!$1:$1048576,5,0),0)</f>
        <v>0</v>
      </c>
      <c r="D53" s="157">
        <f>IFERROR(VLOOKUP($A53,'Over Under Bill 1 COPY 到CO欄位'!$1:$1048576,10,0),0)</f>
        <v>0</v>
      </c>
      <c r="E53" s="157">
        <f>IFERROR(VLOOKUP($A53,'Over Under Bill 1 COPY 到CO欄位'!$1:$1048576,15,0),0)</f>
        <v>0</v>
      </c>
      <c r="F53" s="157">
        <f>IFERROR(VLOOKUP($A53,'Over Under Bill 1 COPY 到CO欄位'!$1:$1048576,20,0),0)</f>
        <v>0</v>
      </c>
      <c r="G53" s="157">
        <f>IFERROR(VLOOKUP($A53,'Over Under Bill 1 COPY 到CO欄位'!$1:$1048576,25,0),0)</f>
        <v>0</v>
      </c>
      <c r="H53" s="157">
        <f>IFERROR(VLOOKUP($A53,'Over Under Bill 1 COPY 到CO欄位'!$1:$1048576,30,0),0)</f>
        <v>0</v>
      </c>
      <c r="I53" s="157">
        <f>IFERROR(VLOOKUP($A53,'Over Under Bill 1 COPY 到CO欄位'!$1:$1048576,35,0),0)</f>
        <v>0</v>
      </c>
      <c r="J53" s="157">
        <f>IFERROR(VLOOKUP($A53,'Over Under Bill 1 COPY 到CO欄位'!$1:$1048576,40,0),0)</f>
        <v>0</v>
      </c>
      <c r="K53" s="157">
        <f>IFERROR(VLOOKUP($A53,'Over Under Bill 1 COPY 到CO欄位'!$1:$1048576,45,0),0)</f>
        <v>0</v>
      </c>
      <c r="L53" s="157">
        <f>IFERROR(VLOOKUP($A53,'Over Under Bill 1 COPY 到CO欄位'!$1:$1048576,50,0),0)</f>
        <v>0</v>
      </c>
      <c r="M53" s="157">
        <f>IFERROR(VLOOKUP($A53,'Over Under Bill 1 COPY 到CO欄位'!$1:$1048576,55,0),0)</f>
        <v>0</v>
      </c>
      <c r="N53" s="157">
        <f>IFERROR(VLOOKUP($A53,'Over Under Bill 1 COPY 到CO欄位'!$1:$1048576,60,0),0)</f>
        <v>0</v>
      </c>
      <c r="O53" s="157">
        <f>IFERROR(VLOOKUP($A53,'Over Under Bill 1 COPY 到CO欄位'!$1:$1048576,65,0),0)</f>
        <v>0</v>
      </c>
      <c r="P53" s="157">
        <f>IFERROR(VLOOKUP($A53,'Over Under Bill 1 COPY 到CO欄位'!$1:$1048576,70,0),0)</f>
        <v>0</v>
      </c>
      <c r="Q53" s="157">
        <f>IFERROR(VLOOKUP($A53,'Over Under Bill 1 COPY 到CO欄位'!$1:$1048576,75,0),0)</f>
        <v>0</v>
      </c>
      <c r="R53" s="157">
        <f>IFERROR(VLOOKUP($A53,'Over Under Bill 1 COPY 到CO欄位'!$1:$1048576,80,0),0)</f>
        <v>0</v>
      </c>
      <c r="S53" s="157">
        <f>IFERROR(VLOOKUP($A53,'Over Under Bill 1 COPY 到CO欄位'!$1:$1048576,85,0),0)</f>
        <v>0</v>
      </c>
      <c r="T53" s="157">
        <f>IFERROR(VLOOKUP($A53,'Over Under Bill 1 COPY 到CO欄位'!$1:$1048576,90,0),0)</f>
        <v>0</v>
      </c>
    </row>
    <row r="54" spans="1:20">
      <c r="A54" s="171" t="s">
        <v>403</v>
      </c>
      <c r="B54" s="172" t="s">
        <v>404</v>
      </c>
      <c r="C54" s="157">
        <f>IFERROR(VLOOKUP($A54,'Over Under Bill 1 COPY 到CO欄位'!$1:$1048576,5,0),0)</f>
        <v>0</v>
      </c>
      <c r="D54" s="157">
        <f>IFERROR(VLOOKUP($A54,'Over Under Bill 1 COPY 到CO欄位'!$1:$1048576,10,0),0)</f>
        <v>0</v>
      </c>
      <c r="E54" s="157">
        <f>IFERROR(VLOOKUP($A54,'Over Under Bill 1 COPY 到CO欄位'!$1:$1048576,15,0),0)</f>
        <v>0</v>
      </c>
      <c r="F54" s="157">
        <f>IFERROR(VLOOKUP($A54,'Over Under Bill 1 COPY 到CO欄位'!$1:$1048576,20,0),0)</f>
        <v>0</v>
      </c>
      <c r="G54" s="157">
        <f>IFERROR(VLOOKUP($A54,'Over Under Bill 1 COPY 到CO欄位'!$1:$1048576,25,0),0)</f>
        <v>0</v>
      </c>
      <c r="H54" s="157">
        <f>IFERROR(VLOOKUP($A54,'Over Under Bill 1 COPY 到CO欄位'!$1:$1048576,30,0),0)</f>
        <v>0</v>
      </c>
      <c r="I54" s="157">
        <f>IFERROR(VLOOKUP($A54,'Over Under Bill 1 COPY 到CO欄位'!$1:$1048576,35,0),0)</f>
        <v>0</v>
      </c>
      <c r="J54" s="157">
        <f>IFERROR(VLOOKUP($A54,'Over Under Bill 1 COPY 到CO欄位'!$1:$1048576,40,0),0)</f>
        <v>0</v>
      </c>
      <c r="K54" s="157">
        <f>IFERROR(VLOOKUP($A54,'Over Under Bill 1 COPY 到CO欄位'!$1:$1048576,45,0),0)</f>
        <v>0</v>
      </c>
      <c r="L54" s="157">
        <f>IFERROR(VLOOKUP($A54,'Over Under Bill 1 COPY 到CO欄位'!$1:$1048576,50,0),0)</f>
        <v>0</v>
      </c>
      <c r="M54" s="157">
        <f>IFERROR(VLOOKUP($A54,'Over Under Bill 1 COPY 到CO欄位'!$1:$1048576,55,0),0)</f>
        <v>0</v>
      </c>
      <c r="N54" s="157">
        <f>IFERROR(VLOOKUP($A54,'Over Under Bill 1 COPY 到CO欄位'!$1:$1048576,60,0),0)</f>
        <v>0</v>
      </c>
      <c r="O54" s="157">
        <f>IFERROR(VLOOKUP($A54,'Over Under Bill 1 COPY 到CO欄位'!$1:$1048576,65,0),0)</f>
        <v>0</v>
      </c>
      <c r="P54" s="157">
        <f>IFERROR(VLOOKUP($A54,'Over Under Bill 1 COPY 到CO欄位'!$1:$1048576,70,0),0)</f>
        <v>0</v>
      </c>
      <c r="Q54" s="157">
        <f>IFERROR(VLOOKUP($A54,'Over Under Bill 1 COPY 到CO欄位'!$1:$1048576,75,0),0)</f>
        <v>0</v>
      </c>
      <c r="R54" s="157">
        <f>IFERROR(VLOOKUP($A54,'Over Under Bill 1 COPY 到CO欄位'!$1:$1048576,80,0),0)</f>
        <v>0</v>
      </c>
      <c r="S54" s="157">
        <f>IFERROR(VLOOKUP($A54,'Over Under Bill 1 COPY 到CO欄位'!$1:$1048576,85,0),0)</f>
        <v>0</v>
      </c>
      <c r="T54" s="157">
        <f>IFERROR(VLOOKUP($A54,'Over Under Bill 1 COPY 到CO欄位'!$1:$1048576,90,0),0)</f>
        <v>0</v>
      </c>
    </row>
    <row r="55" spans="1:20">
      <c r="A55" s="171" t="s">
        <v>405</v>
      </c>
      <c r="B55" s="172" t="s">
        <v>406</v>
      </c>
      <c r="C55" s="157">
        <f>IFERROR(VLOOKUP($A55,'Over Under Bill 1 COPY 到CO欄位'!$1:$1048576,5,0),0)</f>
        <v>0</v>
      </c>
      <c r="D55" s="157">
        <f>IFERROR(VLOOKUP($A55,'Over Under Bill 1 COPY 到CO欄位'!$1:$1048576,10,0),0)</f>
        <v>0</v>
      </c>
      <c r="E55" s="157">
        <f>IFERROR(VLOOKUP($A55,'Over Under Bill 1 COPY 到CO欄位'!$1:$1048576,15,0),0)</f>
        <v>0</v>
      </c>
      <c r="F55" s="157">
        <f>IFERROR(VLOOKUP($A55,'Over Under Bill 1 COPY 到CO欄位'!$1:$1048576,20,0),0)</f>
        <v>0</v>
      </c>
      <c r="G55" s="157">
        <f>IFERROR(VLOOKUP($A55,'Over Under Bill 1 COPY 到CO欄位'!$1:$1048576,25,0),0)</f>
        <v>0</v>
      </c>
      <c r="H55" s="157">
        <f>IFERROR(VLOOKUP($A55,'Over Under Bill 1 COPY 到CO欄位'!$1:$1048576,30,0),0)</f>
        <v>0</v>
      </c>
      <c r="I55" s="157">
        <f>IFERROR(VLOOKUP($A55,'Over Under Bill 1 COPY 到CO欄位'!$1:$1048576,35,0),0)</f>
        <v>0</v>
      </c>
      <c r="J55" s="157">
        <f>IFERROR(VLOOKUP($A55,'Over Under Bill 1 COPY 到CO欄位'!$1:$1048576,40,0),0)</f>
        <v>0</v>
      </c>
      <c r="K55" s="157">
        <f>IFERROR(VLOOKUP($A55,'Over Under Bill 1 COPY 到CO欄位'!$1:$1048576,45,0),0)</f>
        <v>0</v>
      </c>
      <c r="L55" s="157">
        <f>IFERROR(VLOOKUP($A55,'Over Under Bill 1 COPY 到CO欄位'!$1:$1048576,50,0),0)</f>
        <v>0</v>
      </c>
      <c r="M55" s="157">
        <f>IFERROR(VLOOKUP($A55,'Over Under Bill 1 COPY 到CO欄位'!$1:$1048576,55,0),0)</f>
        <v>0</v>
      </c>
      <c r="N55" s="157">
        <f>IFERROR(VLOOKUP($A55,'Over Under Bill 1 COPY 到CO欄位'!$1:$1048576,60,0),0)</f>
        <v>0</v>
      </c>
      <c r="O55" s="157">
        <f>IFERROR(VLOOKUP($A55,'Over Under Bill 1 COPY 到CO欄位'!$1:$1048576,65,0),0)</f>
        <v>0</v>
      </c>
      <c r="P55" s="157">
        <f>IFERROR(VLOOKUP($A55,'Over Under Bill 1 COPY 到CO欄位'!$1:$1048576,70,0),0)</f>
        <v>0</v>
      </c>
      <c r="Q55" s="157">
        <f>IFERROR(VLOOKUP($A55,'Over Under Bill 1 COPY 到CO欄位'!$1:$1048576,75,0),0)</f>
        <v>0</v>
      </c>
      <c r="R55" s="157">
        <f>IFERROR(VLOOKUP($A55,'Over Under Bill 1 COPY 到CO欄位'!$1:$1048576,80,0),0)</f>
        <v>0</v>
      </c>
      <c r="S55" s="157">
        <f>IFERROR(VLOOKUP($A55,'Over Under Bill 1 COPY 到CO欄位'!$1:$1048576,85,0),0)</f>
        <v>0</v>
      </c>
      <c r="T55" s="157">
        <f>IFERROR(VLOOKUP($A55,'Over Under Bill 1 COPY 到CO欄位'!$1:$1048576,90,0),0)</f>
        <v>0</v>
      </c>
    </row>
    <row r="56" spans="1:20">
      <c r="A56" s="158" t="s">
        <v>567</v>
      </c>
      <c r="B56" s="177" t="s">
        <v>568</v>
      </c>
      <c r="C56" s="157">
        <f>IFERROR(VLOOKUP($A56,'Over Under Bill 1 COPY 到CO欄位'!$1:$1048576,5,0),0)</f>
        <v>0</v>
      </c>
      <c r="D56" s="157">
        <f>IFERROR(VLOOKUP($A56,'Over Under Bill 1 COPY 到CO欄位'!$1:$1048576,10,0),0)</f>
        <v>0</v>
      </c>
      <c r="E56" s="157">
        <f>IFERROR(VLOOKUP($A56,'Over Under Bill 1 COPY 到CO欄位'!$1:$1048576,15,0),0)</f>
        <v>0</v>
      </c>
      <c r="F56" s="157">
        <f>IFERROR(VLOOKUP($A56,'Over Under Bill 1 COPY 到CO欄位'!$1:$1048576,20,0),0)</f>
        <v>0</v>
      </c>
      <c r="G56" s="157">
        <f>IFERROR(VLOOKUP($A56,'Over Under Bill 1 COPY 到CO欄位'!$1:$1048576,25,0),0)</f>
        <v>0</v>
      </c>
      <c r="H56" s="157">
        <f>IFERROR(VLOOKUP($A56,'Over Under Bill 1 COPY 到CO欄位'!$1:$1048576,30,0),0)</f>
        <v>0</v>
      </c>
      <c r="I56" s="157">
        <f>IFERROR(VLOOKUP($A56,'Over Under Bill 1 COPY 到CO欄位'!$1:$1048576,35,0),0)</f>
        <v>0</v>
      </c>
      <c r="J56" s="157">
        <f>IFERROR(VLOOKUP($A56,'Over Under Bill 1 COPY 到CO欄位'!$1:$1048576,40,0),0)</f>
        <v>0</v>
      </c>
      <c r="K56" s="157">
        <f>IFERROR(VLOOKUP($A56,'Over Under Bill 1 COPY 到CO欄位'!$1:$1048576,45,0),0)</f>
        <v>0</v>
      </c>
      <c r="L56" s="157">
        <f>IFERROR(VLOOKUP($A56,'Over Under Bill 1 COPY 到CO欄位'!$1:$1048576,50,0),0)</f>
        <v>0</v>
      </c>
      <c r="M56" s="157">
        <f>IFERROR(VLOOKUP($A56,'Over Under Bill 1 COPY 到CO欄位'!$1:$1048576,55,0),0)</f>
        <v>0</v>
      </c>
      <c r="N56" s="157">
        <f>IFERROR(VLOOKUP($A56,'Over Under Bill 1 COPY 到CO欄位'!$1:$1048576,60,0),0)</f>
        <v>0</v>
      </c>
      <c r="O56" s="157">
        <f>IFERROR(VLOOKUP($A56,'Over Under Bill 1 COPY 到CO欄位'!$1:$1048576,65,0),0)</f>
        <v>0</v>
      </c>
      <c r="P56" s="157">
        <f>IFERROR(VLOOKUP($A56,'Over Under Bill 1 COPY 到CO欄位'!$1:$1048576,70,0),0)</f>
        <v>0</v>
      </c>
      <c r="Q56" s="157">
        <f>IFERROR(VLOOKUP($A56,'Over Under Bill 1 COPY 到CO欄位'!$1:$1048576,75,0),0)</f>
        <v>0</v>
      </c>
      <c r="R56" s="157">
        <f>IFERROR(VLOOKUP($A56,'Over Under Bill 1 COPY 到CO欄位'!$1:$1048576,80,0),0)</f>
        <v>0</v>
      </c>
      <c r="S56" s="157">
        <f>IFERROR(VLOOKUP($A56,'Over Under Bill 1 COPY 到CO欄位'!$1:$1048576,85,0),0)</f>
        <v>0</v>
      </c>
      <c r="T56" s="157">
        <f>IFERROR(VLOOKUP($A56,'Over Under Bill 1 COPY 到CO欄位'!$1:$1048576,90,0),0)</f>
        <v>0</v>
      </c>
    </row>
    <row r="57" spans="1:20">
      <c r="A57" s="158" t="s">
        <v>407</v>
      </c>
      <c r="B57" s="177" t="s">
        <v>569</v>
      </c>
      <c r="C57" s="157">
        <f>IFERROR(VLOOKUP($A57,'Over Under Bill 1 COPY 到CO欄位'!$1:$1048576,5,0),0)</f>
        <v>0</v>
      </c>
      <c r="D57" s="157">
        <f>IFERROR(VLOOKUP($A57,'Over Under Bill 1 COPY 到CO欄位'!$1:$1048576,10,0),0)</f>
        <v>0</v>
      </c>
      <c r="E57" s="157">
        <f>IFERROR(VLOOKUP($A57,'Over Under Bill 1 COPY 到CO欄位'!$1:$1048576,15,0),0)</f>
        <v>0</v>
      </c>
      <c r="F57" s="157">
        <f>IFERROR(VLOOKUP($A57,'Over Under Bill 1 COPY 到CO欄位'!$1:$1048576,20,0),0)</f>
        <v>0</v>
      </c>
      <c r="G57" s="157">
        <f>IFERROR(VLOOKUP($A57,'Over Under Bill 1 COPY 到CO欄位'!$1:$1048576,25,0),0)</f>
        <v>0</v>
      </c>
      <c r="H57" s="157">
        <f>IFERROR(VLOOKUP($A57,'Over Under Bill 1 COPY 到CO欄位'!$1:$1048576,30,0),0)</f>
        <v>0</v>
      </c>
      <c r="I57" s="157">
        <f>IFERROR(VLOOKUP($A57,'Over Under Bill 1 COPY 到CO欄位'!$1:$1048576,35,0),0)</f>
        <v>0</v>
      </c>
      <c r="J57" s="157">
        <f>IFERROR(VLOOKUP($A57,'Over Under Bill 1 COPY 到CO欄位'!$1:$1048576,40,0),0)</f>
        <v>0</v>
      </c>
      <c r="K57" s="157">
        <f>IFERROR(VLOOKUP($A57,'Over Under Bill 1 COPY 到CO欄位'!$1:$1048576,45,0),0)</f>
        <v>0</v>
      </c>
      <c r="L57" s="157">
        <f>IFERROR(VLOOKUP($A57,'Over Under Bill 1 COPY 到CO欄位'!$1:$1048576,50,0),0)</f>
        <v>0</v>
      </c>
      <c r="M57" s="157">
        <f>IFERROR(VLOOKUP($A57,'Over Under Bill 1 COPY 到CO欄位'!$1:$1048576,55,0),0)</f>
        <v>0</v>
      </c>
      <c r="N57" s="157">
        <f>IFERROR(VLOOKUP($A57,'Over Under Bill 1 COPY 到CO欄位'!$1:$1048576,60,0),0)</f>
        <v>0</v>
      </c>
      <c r="O57" s="157">
        <f>IFERROR(VLOOKUP($A57,'Over Under Bill 1 COPY 到CO欄位'!$1:$1048576,65,0),0)</f>
        <v>0</v>
      </c>
      <c r="P57" s="157">
        <f>IFERROR(VLOOKUP($A57,'Over Under Bill 1 COPY 到CO欄位'!$1:$1048576,70,0),0)</f>
        <v>0</v>
      </c>
      <c r="Q57" s="157">
        <f>IFERROR(VLOOKUP($A57,'Over Under Bill 1 COPY 到CO欄位'!$1:$1048576,75,0),0)</f>
        <v>0</v>
      </c>
      <c r="R57" s="157">
        <f>IFERROR(VLOOKUP($A57,'Over Under Bill 1 COPY 到CO欄位'!$1:$1048576,80,0),0)</f>
        <v>0</v>
      </c>
      <c r="S57" s="157">
        <f>IFERROR(VLOOKUP($A57,'Over Under Bill 1 COPY 到CO欄位'!$1:$1048576,85,0),0)</f>
        <v>0</v>
      </c>
      <c r="T57" s="157">
        <f>IFERROR(VLOOKUP($A57,'Over Under Bill 1 COPY 到CO欄位'!$1:$1048576,90,0),0)</f>
        <v>0</v>
      </c>
    </row>
    <row r="58" spans="1:20">
      <c r="A58" s="171" t="s">
        <v>409</v>
      </c>
      <c r="B58" s="172" t="s">
        <v>410</v>
      </c>
      <c r="C58" s="157">
        <f>IFERROR(VLOOKUP($A58,'Over Under Bill 1 COPY 到CO欄位'!$1:$1048576,5,0),0)</f>
        <v>0</v>
      </c>
      <c r="D58" s="157">
        <f>IFERROR(VLOOKUP($A58,'Over Under Bill 1 COPY 到CO欄位'!$1:$1048576,10,0),0)</f>
        <v>0</v>
      </c>
      <c r="E58" s="157">
        <f>IFERROR(VLOOKUP($A58,'Over Under Bill 1 COPY 到CO欄位'!$1:$1048576,15,0),0)</f>
        <v>0</v>
      </c>
      <c r="F58" s="157">
        <f>IFERROR(VLOOKUP($A58,'Over Under Bill 1 COPY 到CO欄位'!$1:$1048576,20,0),0)</f>
        <v>0</v>
      </c>
      <c r="G58" s="157">
        <f>IFERROR(VLOOKUP($A58,'Over Under Bill 1 COPY 到CO欄位'!$1:$1048576,25,0),0)</f>
        <v>0</v>
      </c>
      <c r="H58" s="157">
        <f>IFERROR(VLOOKUP($A58,'Over Under Bill 1 COPY 到CO欄位'!$1:$1048576,30,0),0)</f>
        <v>0</v>
      </c>
      <c r="I58" s="157">
        <f>IFERROR(VLOOKUP($A58,'Over Under Bill 1 COPY 到CO欄位'!$1:$1048576,35,0),0)</f>
        <v>0</v>
      </c>
      <c r="J58" s="157">
        <f>IFERROR(VLOOKUP($A58,'Over Under Bill 1 COPY 到CO欄位'!$1:$1048576,40,0),0)</f>
        <v>0</v>
      </c>
      <c r="K58" s="157">
        <f>IFERROR(VLOOKUP($A58,'Over Under Bill 1 COPY 到CO欄位'!$1:$1048576,45,0),0)</f>
        <v>0</v>
      </c>
      <c r="L58" s="157">
        <f>IFERROR(VLOOKUP($A58,'Over Under Bill 1 COPY 到CO欄位'!$1:$1048576,50,0),0)</f>
        <v>0</v>
      </c>
      <c r="M58" s="157">
        <f>IFERROR(VLOOKUP($A58,'Over Under Bill 1 COPY 到CO欄位'!$1:$1048576,55,0),0)</f>
        <v>0</v>
      </c>
      <c r="N58" s="157">
        <f>IFERROR(VLOOKUP($A58,'Over Under Bill 1 COPY 到CO欄位'!$1:$1048576,60,0),0)</f>
        <v>0</v>
      </c>
      <c r="O58" s="157">
        <f>IFERROR(VLOOKUP($A58,'Over Under Bill 1 COPY 到CO欄位'!$1:$1048576,65,0),0)</f>
        <v>0</v>
      </c>
      <c r="P58" s="157">
        <f>IFERROR(VLOOKUP($A58,'Over Under Bill 1 COPY 到CO欄位'!$1:$1048576,70,0),0)</f>
        <v>0</v>
      </c>
      <c r="Q58" s="157">
        <f>IFERROR(VLOOKUP($A58,'Over Under Bill 1 COPY 到CO欄位'!$1:$1048576,75,0),0)</f>
        <v>0</v>
      </c>
      <c r="R58" s="157">
        <f>IFERROR(VLOOKUP($A58,'Over Under Bill 1 COPY 到CO欄位'!$1:$1048576,80,0),0)</f>
        <v>0</v>
      </c>
      <c r="S58" s="157">
        <f>IFERROR(VLOOKUP($A58,'Over Under Bill 1 COPY 到CO欄位'!$1:$1048576,85,0),0)</f>
        <v>0</v>
      </c>
      <c r="T58" s="157">
        <f>IFERROR(VLOOKUP($A58,'Over Under Bill 1 COPY 到CO欄位'!$1:$1048576,90,0),0)</f>
        <v>0</v>
      </c>
    </row>
    <row r="59" spans="1:20">
      <c r="A59" s="171" t="s">
        <v>411</v>
      </c>
      <c r="B59" s="172" t="s">
        <v>412</v>
      </c>
      <c r="C59" s="157">
        <f>IFERROR(VLOOKUP($A59,'Over Under Bill 1 COPY 到CO欄位'!$1:$1048576,5,0),0)</f>
        <v>0</v>
      </c>
      <c r="D59" s="157">
        <f>IFERROR(VLOOKUP($A59,'Over Under Bill 1 COPY 到CO欄位'!$1:$1048576,10,0),0)</f>
        <v>0</v>
      </c>
      <c r="E59" s="157">
        <f>IFERROR(VLOOKUP($A59,'Over Under Bill 1 COPY 到CO欄位'!$1:$1048576,15,0),0)</f>
        <v>0</v>
      </c>
      <c r="F59" s="157">
        <f>IFERROR(VLOOKUP($A59,'Over Under Bill 1 COPY 到CO欄位'!$1:$1048576,20,0),0)</f>
        <v>0</v>
      </c>
      <c r="G59" s="157">
        <f>IFERROR(VLOOKUP($A59,'Over Under Bill 1 COPY 到CO欄位'!$1:$1048576,25,0),0)</f>
        <v>0</v>
      </c>
      <c r="H59" s="157">
        <f>IFERROR(VLOOKUP($A59,'Over Under Bill 1 COPY 到CO欄位'!$1:$1048576,30,0),0)</f>
        <v>0</v>
      </c>
      <c r="I59" s="157">
        <f>IFERROR(VLOOKUP($A59,'Over Under Bill 1 COPY 到CO欄位'!$1:$1048576,35,0),0)</f>
        <v>0</v>
      </c>
      <c r="J59" s="157">
        <f>IFERROR(VLOOKUP($A59,'Over Under Bill 1 COPY 到CO欄位'!$1:$1048576,40,0),0)</f>
        <v>0</v>
      </c>
      <c r="K59" s="157">
        <f>IFERROR(VLOOKUP($A59,'Over Under Bill 1 COPY 到CO欄位'!$1:$1048576,45,0),0)</f>
        <v>0</v>
      </c>
      <c r="L59" s="157">
        <f>IFERROR(VLOOKUP($A59,'Over Under Bill 1 COPY 到CO欄位'!$1:$1048576,50,0),0)</f>
        <v>0</v>
      </c>
      <c r="M59" s="157">
        <f>IFERROR(VLOOKUP($A59,'Over Under Bill 1 COPY 到CO欄位'!$1:$1048576,55,0),0)</f>
        <v>0</v>
      </c>
      <c r="N59" s="157">
        <f>IFERROR(VLOOKUP($A59,'Over Under Bill 1 COPY 到CO欄位'!$1:$1048576,60,0),0)</f>
        <v>0</v>
      </c>
      <c r="O59" s="157">
        <f>IFERROR(VLOOKUP($A59,'Over Under Bill 1 COPY 到CO欄位'!$1:$1048576,65,0),0)</f>
        <v>0</v>
      </c>
      <c r="P59" s="157">
        <f>IFERROR(VLOOKUP($A59,'Over Under Bill 1 COPY 到CO欄位'!$1:$1048576,70,0),0)</f>
        <v>0</v>
      </c>
      <c r="Q59" s="157">
        <f>IFERROR(VLOOKUP($A59,'Over Under Bill 1 COPY 到CO欄位'!$1:$1048576,75,0),0)</f>
        <v>0</v>
      </c>
      <c r="R59" s="157">
        <f>IFERROR(VLOOKUP($A59,'Over Under Bill 1 COPY 到CO欄位'!$1:$1048576,80,0),0)</f>
        <v>0</v>
      </c>
      <c r="S59" s="157">
        <f>IFERROR(VLOOKUP($A59,'Over Under Bill 1 COPY 到CO欄位'!$1:$1048576,85,0),0)</f>
        <v>0</v>
      </c>
      <c r="T59" s="157">
        <f>IFERROR(VLOOKUP($A59,'Over Under Bill 1 COPY 到CO欄位'!$1:$1048576,90,0),0)</f>
        <v>0</v>
      </c>
    </row>
    <row r="60" spans="1:20">
      <c r="A60" s="171" t="s">
        <v>413</v>
      </c>
      <c r="B60" s="172" t="s">
        <v>414</v>
      </c>
      <c r="C60" s="157">
        <f>IFERROR(VLOOKUP($A60,'Over Under Bill 1 COPY 到CO欄位'!$1:$1048576,5,0),0)</f>
        <v>0</v>
      </c>
      <c r="D60" s="157">
        <f>IFERROR(VLOOKUP($A60,'Over Under Bill 1 COPY 到CO欄位'!$1:$1048576,10,0),0)</f>
        <v>0</v>
      </c>
      <c r="E60" s="157">
        <f>IFERROR(VLOOKUP($A60,'Over Under Bill 1 COPY 到CO欄位'!$1:$1048576,15,0),0)</f>
        <v>0</v>
      </c>
      <c r="F60" s="157">
        <f>IFERROR(VLOOKUP($A60,'Over Under Bill 1 COPY 到CO欄位'!$1:$1048576,20,0),0)</f>
        <v>0</v>
      </c>
      <c r="G60" s="157">
        <f>IFERROR(VLOOKUP($A60,'Over Under Bill 1 COPY 到CO欄位'!$1:$1048576,25,0),0)</f>
        <v>0</v>
      </c>
      <c r="H60" s="157">
        <f>IFERROR(VLOOKUP($A60,'Over Under Bill 1 COPY 到CO欄位'!$1:$1048576,30,0),0)</f>
        <v>0</v>
      </c>
      <c r="I60" s="157">
        <f>IFERROR(VLOOKUP($A60,'Over Under Bill 1 COPY 到CO欄位'!$1:$1048576,35,0),0)</f>
        <v>0</v>
      </c>
      <c r="J60" s="157">
        <f>IFERROR(VLOOKUP($A60,'Over Under Bill 1 COPY 到CO欄位'!$1:$1048576,40,0),0)</f>
        <v>0</v>
      </c>
      <c r="K60" s="157">
        <f>IFERROR(VLOOKUP($A60,'Over Under Bill 1 COPY 到CO欄位'!$1:$1048576,45,0),0)</f>
        <v>0</v>
      </c>
      <c r="L60" s="157">
        <f>IFERROR(VLOOKUP($A60,'Over Under Bill 1 COPY 到CO欄位'!$1:$1048576,50,0),0)</f>
        <v>0</v>
      </c>
      <c r="M60" s="157">
        <f>IFERROR(VLOOKUP($A60,'Over Under Bill 1 COPY 到CO欄位'!$1:$1048576,55,0),0)</f>
        <v>0</v>
      </c>
      <c r="N60" s="157">
        <f>IFERROR(VLOOKUP($A60,'Over Under Bill 1 COPY 到CO欄位'!$1:$1048576,60,0),0)</f>
        <v>0</v>
      </c>
      <c r="O60" s="157">
        <f>IFERROR(VLOOKUP($A60,'Over Under Bill 1 COPY 到CO欄位'!$1:$1048576,65,0),0)</f>
        <v>0</v>
      </c>
      <c r="P60" s="157">
        <f>IFERROR(VLOOKUP($A60,'Over Under Bill 1 COPY 到CO欄位'!$1:$1048576,70,0),0)</f>
        <v>0</v>
      </c>
      <c r="Q60" s="157">
        <f>IFERROR(VLOOKUP($A60,'Over Under Bill 1 COPY 到CO欄位'!$1:$1048576,75,0),0)</f>
        <v>0</v>
      </c>
      <c r="R60" s="157">
        <f>IFERROR(VLOOKUP($A60,'Over Under Bill 1 COPY 到CO欄位'!$1:$1048576,80,0),0)</f>
        <v>0</v>
      </c>
      <c r="S60" s="157">
        <f>IFERROR(VLOOKUP($A60,'Over Under Bill 1 COPY 到CO欄位'!$1:$1048576,85,0),0)</f>
        <v>0</v>
      </c>
      <c r="T60" s="157">
        <f>IFERROR(VLOOKUP($A60,'Over Under Bill 1 COPY 到CO欄位'!$1:$1048576,90,0),0)</f>
        <v>0</v>
      </c>
    </row>
    <row r="61" spans="1:20">
      <c r="A61" s="171" t="s">
        <v>415</v>
      </c>
      <c r="B61" s="172" t="s">
        <v>539</v>
      </c>
      <c r="C61" s="157">
        <f>IFERROR(VLOOKUP($A61,'Over Under Bill 1 COPY 到CO欄位'!$1:$1048576,5,0),0)</f>
        <v>0</v>
      </c>
      <c r="D61" s="157">
        <f>IFERROR(VLOOKUP($A61,'Over Under Bill 1 COPY 到CO欄位'!$1:$1048576,10,0),0)</f>
        <v>0</v>
      </c>
      <c r="E61" s="157">
        <f>IFERROR(VLOOKUP($A61,'Over Under Bill 1 COPY 到CO欄位'!$1:$1048576,15,0),0)</f>
        <v>0</v>
      </c>
      <c r="F61" s="157">
        <f>IFERROR(VLOOKUP($A61,'Over Under Bill 1 COPY 到CO欄位'!$1:$1048576,20,0),0)</f>
        <v>0</v>
      </c>
      <c r="G61" s="157">
        <f>IFERROR(VLOOKUP($A61,'Over Under Bill 1 COPY 到CO欄位'!$1:$1048576,25,0),0)</f>
        <v>0</v>
      </c>
      <c r="H61" s="157">
        <f>IFERROR(VLOOKUP($A61,'Over Under Bill 1 COPY 到CO欄位'!$1:$1048576,30,0),0)</f>
        <v>0</v>
      </c>
      <c r="I61" s="157">
        <f>IFERROR(VLOOKUP($A61,'Over Under Bill 1 COPY 到CO欄位'!$1:$1048576,35,0),0)</f>
        <v>0</v>
      </c>
      <c r="J61" s="157">
        <f>IFERROR(VLOOKUP($A61,'Over Under Bill 1 COPY 到CO欄位'!$1:$1048576,40,0),0)</f>
        <v>0</v>
      </c>
      <c r="K61" s="157">
        <f>IFERROR(VLOOKUP($A61,'Over Under Bill 1 COPY 到CO欄位'!$1:$1048576,45,0),0)</f>
        <v>0</v>
      </c>
      <c r="L61" s="157">
        <f>IFERROR(VLOOKUP($A61,'Over Under Bill 1 COPY 到CO欄位'!$1:$1048576,50,0),0)</f>
        <v>0</v>
      </c>
      <c r="M61" s="157">
        <f>IFERROR(VLOOKUP($A61,'Over Under Bill 1 COPY 到CO欄位'!$1:$1048576,55,0),0)</f>
        <v>0</v>
      </c>
      <c r="N61" s="157">
        <f>IFERROR(VLOOKUP($A61,'Over Under Bill 1 COPY 到CO欄位'!$1:$1048576,60,0),0)</f>
        <v>0</v>
      </c>
      <c r="O61" s="157">
        <f>IFERROR(VLOOKUP($A61,'Over Under Bill 1 COPY 到CO欄位'!$1:$1048576,65,0),0)</f>
        <v>0</v>
      </c>
      <c r="P61" s="157">
        <f>IFERROR(VLOOKUP($A61,'Over Under Bill 1 COPY 到CO欄位'!$1:$1048576,70,0),0)</f>
        <v>0</v>
      </c>
      <c r="Q61" s="157">
        <f>IFERROR(VLOOKUP($A61,'Over Under Bill 1 COPY 到CO欄位'!$1:$1048576,75,0),0)</f>
        <v>0</v>
      </c>
      <c r="R61" s="157">
        <f>IFERROR(VLOOKUP($A61,'Over Under Bill 1 COPY 到CO欄位'!$1:$1048576,80,0),0)</f>
        <v>0</v>
      </c>
      <c r="S61" s="157">
        <f>IFERROR(VLOOKUP($A61,'Over Under Bill 1 COPY 到CO欄位'!$1:$1048576,85,0),0)</f>
        <v>0</v>
      </c>
      <c r="T61" s="157">
        <f>IFERROR(VLOOKUP($A61,'Over Under Bill 1 COPY 到CO欄位'!$1:$1048576,90,0),0)</f>
        <v>0</v>
      </c>
    </row>
    <row r="62" spans="1:20">
      <c r="A62" s="171" t="s">
        <v>417</v>
      </c>
      <c r="B62" s="172" t="s">
        <v>540</v>
      </c>
      <c r="C62" s="157">
        <f>IFERROR(VLOOKUP($A62,'Over Under Bill 1 COPY 到CO欄位'!$1:$1048576,5,0),0)</f>
        <v>0</v>
      </c>
      <c r="D62" s="157">
        <f>IFERROR(VLOOKUP($A62,'Over Under Bill 1 COPY 到CO欄位'!$1:$1048576,10,0),0)</f>
        <v>0</v>
      </c>
      <c r="E62" s="157">
        <f>IFERROR(VLOOKUP($A62,'Over Under Bill 1 COPY 到CO欄位'!$1:$1048576,15,0),0)</f>
        <v>0</v>
      </c>
      <c r="F62" s="157">
        <f>IFERROR(VLOOKUP($A62,'Over Under Bill 1 COPY 到CO欄位'!$1:$1048576,20,0),0)</f>
        <v>0</v>
      </c>
      <c r="G62" s="157">
        <f>IFERROR(VLOOKUP($A62,'Over Under Bill 1 COPY 到CO欄位'!$1:$1048576,25,0),0)</f>
        <v>0</v>
      </c>
      <c r="H62" s="157">
        <f>IFERROR(VLOOKUP($A62,'Over Under Bill 1 COPY 到CO欄位'!$1:$1048576,30,0),0)</f>
        <v>0</v>
      </c>
      <c r="I62" s="157">
        <f>IFERROR(VLOOKUP($A62,'Over Under Bill 1 COPY 到CO欄位'!$1:$1048576,35,0),0)</f>
        <v>0</v>
      </c>
      <c r="J62" s="157">
        <f>IFERROR(VLOOKUP($A62,'Over Under Bill 1 COPY 到CO欄位'!$1:$1048576,40,0),0)</f>
        <v>0</v>
      </c>
      <c r="K62" s="157">
        <f>IFERROR(VLOOKUP($A62,'Over Under Bill 1 COPY 到CO欄位'!$1:$1048576,45,0),0)</f>
        <v>0</v>
      </c>
      <c r="L62" s="157">
        <f>IFERROR(VLOOKUP($A62,'Over Under Bill 1 COPY 到CO欄位'!$1:$1048576,50,0),0)</f>
        <v>0</v>
      </c>
      <c r="M62" s="157">
        <f>IFERROR(VLOOKUP($A62,'Over Under Bill 1 COPY 到CO欄位'!$1:$1048576,55,0),0)</f>
        <v>0</v>
      </c>
      <c r="N62" s="157">
        <f>IFERROR(VLOOKUP($A62,'Over Under Bill 1 COPY 到CO欄位'!$1:$1048576,60,0),0)</f>
        <v>0</v>
      </c>
      <c r="O62" s="157">
        <f>IFERROR(VLOOKUP($A62,'Over Under Bill 1 COPY 到CO欄位'!$1:$1048576,65,0),0)</f>
        <v>0</v>
      </c>
      <c r="P62" s="157">
        <f>IFERROR(VLOOKUP($A62,'Over Under Bill 1 COPY 到CO欄位'!$1:$1048576,70,0),0)</f>
        <v>0</v>
      </c>
      <c r="Q62" s="157">
        <f>IFERROR(VLOOKUP($A62,'Over Under Bill 1 COPY 到CO欄位'!$1:$1048576,75,0),0)</f>
        <v>0</v>
      </c>
      <c r="R62" s="157">
        <f>IFERROR(VLOOKUP($A62,'Over Under Bill 1 COPY 到CO欄位'!$1:$1048576,80,0),0)</f>
        <v>0</v>
      </c>
      <c r="S62" s="157">
        <f>IFERROR(VLOOKUP($A62,'Over Under Bill 1 COPY 到CO欄位'!$1:$1048576,85,0),0)</f>
        <v>0</v>
      </c>
      <c r="T62" s="157">
        <f>IFERROR(VLOOKUP($A62,'Over Under Bill 1 COPY 到CO欄位'!$1:$1048576,90,0),0)</f>
        <v>0</v>
      </c>
    </row>
    <row r="63" spans="1:20">
      <c r="A63" s="171" t="s">
        <v>419</v>
      </c>
      <c r="B63" s="172" t="s">
        <v>420</v>
      </c>
      <c r="C63" s="157">
        <f>IFERROR(VLOOKUP($A63,'Over Under Bill 1 COPY 到CO欄位'!$1:$1048576,5,0),0)</f>
        <v>0</v>
      </c>
      <c r="D63" s="157">
        <f>IFERROR(VLOOKUP($A63,'Over Under Bill 1 COPY 到CO欄位'!$1:$1048576,10,0),0)</f>
        <v>0</v>
      </c>
      <c r="E63" s="157">
        <f>IFERROR(VLOOKUP($A63,'Over Under Bill 1 COPY 到CO欄位'!$1:$1048576,15,0),0)</f>
        <v>0</v>
      </c>
      <c r="F63" s="157">
        <f>IFERROR(VLOOKUP($A63,'Over Under Bill 1 COPY 到CO欄位'!$1:$1048576,20,0),0)</f>
        <v>0</v>
      </c>
      <c r="G63" s="157">
        <f>IFERROR(VLOOKUP($A63,'Over Under Bill 1 COPY 到CO欄位'!$1:$1048576,25,0),0)</f>
        <v>0</v>
      </c>
      <c r="H63" s="157">
        <f>IFERROR(VLOOKUP($A63,'Over Under Bill 1 COPY 到CO欄位'!$1:$1048576,30,0),0)</f>
        <v>0</v>
      </c>
      <c r="I63" s="157">
        <f>IFERROR(VLOOKUP($A63,'Over Under Bill 1 COPY 到CO欄位'!$1:$1048576,35,0),0)</f>
        <v>0</v>
      </c>
      <c r="J63" s="157">
        <f>IFERROR(VLOOKUP($A63,'Over Under Bill 1 COPY 到CO欄位'!$1:$1048576,40,0),0)</f>
        <v>0</v>
      </c>
      <c r="K63" s="157">
        <f>IFERROR(VLOOKUP($A63,'Over Under Bill 1 COPY 到CO欄位'!$1:$1048576,45,0),0)</f>
        <v>0</v>
      </c>
      <c r="L63" s="157">
        <f>IFERROR(VLOOKUP($A63,'Over Under Bill 1 COPY 到CO欄位'!$1:$1048576,50,0),0)</f>
        <v>0</v>
      </c>
      <c r="M63" s="157">
        <f>IFERROR(VLOOKUP($A63,'Over Under Bill 1 COPY 到CO欄位'!$1:$1048576,55,0),0)</f>
        <v>0</v>
      </c>
      <c r="N63" s="157">
        <f>IFERROR(VLOOKUP($A63,'Over Under Bill 1 COPY 到CO欄位'!$1:$1048576,60,0),0)</f>
        <v>0</v>
      </c>
      <c r="O63" s="157">
        <f>IFERROR(VLOOKUP($A63,'Over Under Bill 1 COPY 到CO欄位'!$1:$1048576,65,0),0)</f>
        <v>0</v>
      </c>
      <c r="P63" s="157">
        <f>IFERROR(VLOOKUP($A63,'Over Under Bill 1 COPY 到CO欄位'!$1:$1048576,70,0),0)</f>
        <v>0</v>
      </c>
      <c r="Q63" s="157">
        <f>IFERROR(VLOOKUP($A63,'Over Under Bill 1 COPY 到CO欄位'!$1:$1048576,75,0),0)</f>
        <v>0</v>
      </c>
      <c r="R63" s="157">
        <f>IFERROR(VLOOKUP($A63,'Over Under Bill 1 COPY 到CO欄位'!$1:$1048576,80,0),0)</f>
        <v>0</v>
      </c>
      <c r="S63" s="157">
        <f>IFERROR(VLOOKUP($A63,'Over Under Bill 1 COPY 到CO欄位'!$1:$1048576,85,0),0)</f>
        <v>0</v>
      </c>
      <c r="T63" s="157">
        <f>IFERROR(VLOOKUP($A63,'Over Under Bill 1 COPY 到CO欄位'!$1:$1048576,90,0),0)</f>
        <v>0</v>
      </c>
    </row>
    <row r="64" spans="1:20">
      <c r="A64" s="171" t="s">
        <v>421</v>
      </c>
      <c r="B64" s="172" t="s">
        <v>422</v>
      </c>
      <c r="C64" s="157">
        <f>IFERROR(VLOOKUP($A64,'Over Under Bill 1 COPY 到CO欄位'!$1:$1048576,5,0),0)</f>
        <v>0</v>
      </c>
      <c r="D64" s="157">
        <f>IFERROR(VLOOKUP($A64,'Over Under Bill 1 COPY 到CO欄位'!$1:$1048576,10,0),0)</f>
        <v>0</v>
      </c>
      <c r="E64" s="157">
        <f>IFERROR(VLOOKUP($A64,'Over Under Bill 1 COPY 到CO欄位'!$1:$1048576,15,0),0)</f>
        <v>0</v>
      </c>
      <c r="F64" s="157">
        <f>IFERROR(VLOOKUP($A64,'Over Under Bill 1 COPY 到CO欄位'!$1:$1048576,20,0),0)</f>
        <v>0</v>
      </c>
      <c r="G64" s="157">
        <f>IFERROR(VLOOKUP($A64,'Over Under Bill 1 COPY 到CO欄位'!$1:$1048576,25,0),0)</f>
        <v>0</v>
      </c>
      <c r="H64" s="157">
        <f>IFERROR(VLOOKUP($A64,'Over Under Bill 1 COPY 到CO欄位'!$1:$1048576,30,0),0)</f>
        <v>0</v>
      </c>
      <c r="I64" s="157">
        <f>IFERROR(VLOOKUP($A64,'Over Under Bill 1 COPY 到CO欄位'!$1:$1048576,35,0),0)</f>
        <v>0</v>
      </c>
      <c r="J64" s="157">
        <f>IFERROR(VLOOKUP($A64,'Over Under Bill 1 COPY 到CO欄位'!$1:$1048576,40,0),0)</f>
        <v>0</v>
      </c>
      <c r="K64" s="157">
        <f>IFERROR(VLOOKUP($A64,'Over Under Bill 1 COPY 到CO欄位'!$1:$1048576,45,0),0)</f>
        <v>0</v>
      </c>
      <c r="L64" s="157">
        <f>IFERROR(VLOOKUP($A64,'Over Under Bill 1 COPY 到CO欄位'!$1:$1048576,50,0),0)</f>
        <v>0</v>
      </c>
      <c r="M64" s="157">
        <f>IFERROR(VLOOKUP($A64,'Over Under Bill 1 COPY 到CO欄位'!$1:$1048576,55,0),0)</f>
        <v>0</v>
      </c>
      <c r="N64" s="157">
        <f>IFERROR(VLOOKUP($A64,'Over Under Bill 1 COPY 到CO欄位'!$1:$1048576,60,0),0)</f>
        <v>0</v>
      </c>
      <c r="O64" s="157">
        <f>IFERROR(VLOOKUP($A64,'Over Under Bill 1 COPY 到CO欄位'!$1:$1048576,65,0),0)</f>
        <v>0</v>
      </c>
      <c r="P64" s="157">
        <f>IFERROR(VLOOKUP($A64,'Over Under Bill 1 COPY 到CO欄位'!$1:$1048576,70,0),0)</f>
        <v>0</v>
      </c>
      <c r="Q64" s="157">
        <f>IFERROR(VLOOKUP($A64,'Over Under Bill 1 COPY 到CO欄位'!$1:$1048576,75,0),0)</f>
        <v>0</v>
      </c>
      <c r="R64" s="157">
        <f>IFERROR(VLOOKUP($A64,'Over Under Bill 1 COPY 到CO欄位'!$1:$1048576,80,0),0)</f>
        <v>0</v>
      </c>
      <c r="S64" s="157">
        <f>IFERROR(VLOOKUP($A64,'Over Under Bill 1 COPY 到CO欄位'!$1:$1048576,85,0),0)</f>
        <v>0</v>
      </c>
      <c r="T64" s="157">
        <f>IFERROR(VLOOKUP($A64,'Over Under Bill 1 COPY 到CO欄位'!$1:$1048576,90,0),0)</f>
        <v>0</v>
      </c>
    </row>
    <row r="65" spans="1:20">
      <c r="A65" s="171" t="s">
        <v>423</v>
      </c>
      <c r="B65" s="172" t="s">
        <v>424</v>
      </c>
      <c r="C65" s="157">
        <f>IFERROR(VLOOKUP($A65,'Over Under Bill 1 COPY 到CO欄位'!$1:$1048576,5,0),0)</f>
        <v>0</v>
      </c>
      <c r="D65" s="157">
        <f>IFERROR(VLOOKUP($A65,'Over Under Bill 1 COPY 到CO欄位'!$1:$1048576,10,0),0)</f>
        <v>0</v>
      </c>
      <c r="E65" s="157">
        <f>IFERROR(VLOOKUP($A65,'Over Under Bill 1 COPY 到CO欄位'!$1:$1048576,15,0),0)</f>
        <v>0</v>
      </c>
      <c r="F65" s="157">
        <f>IFERROR(VLOOKUP($A65,'Over Under Bill 1 COPY 到CO欄位'!$1:$1048576,20,0),0)</f>
        <v>0</v>
      </c>
      <c r="G65" s="157">
        <f>IFERROR(VLOOKUP($A65,'Over Under Bill 1 COPY 到CO欄位'!$1:$1048576,25,0),0)</f>
        <v>0</v>
      </c>
      <c r="H65" s="157">
        <f>IFERROR(VLOOKUP($A65,'Over Under Bill 1 COPY 到CO欄位'!$1:$1048576,30,0),0)</f>
        <v>0</v>
      </c>
      <c r="I65" s="157">
        <f>IFERROR(VLOOKUP($A65,'Over Under Bill 1 COPY 到CO欄位'!$1:$1048576,35,0),0)</f>
        <v>0</v>
      </c>
      <c r="J65" s="157">
        <f>IFERROR(VLOOKUP($A65,'Over Under Bill 1 COPY 到CO欄位'!$1:$1048576,40,0),0)</f>
        <v>0</v>
      </c>
      <c r="K65" s="157">
        <f>IFERROR(VLOOKUP($A65,'Over Under Bill 1 COPY 到CO欄位'!$1:$1048576,45,0),0)</f>
        <v>0</v>
      </c>
      <c r="L65" s="157">
        <f>IFERROR(VLOOKUP($A65,'Over Under Bill 1 COPY 到CO欄位'!$1:$1048576,50,0),0)</f>
        <v>0</v>
      </c>
      <c r="M65" s="157">
        <f>IFERROR(VLOOKUP($A65,'Over Under Bill 1 COPY 到CO欄位'!$1:$1048576,55,0),0)</f>
        <v>0</v>
      </c>
      <c r="N65" s="157">
        <f>IFERROR(VLOOKUP($A65,'Over Under Bill 1 COPY 到CO欄位'!$1:$1048576,60,0),0)</f>
        <v>0</v>
      </c>
      <c r="O65" s="157">
        <f>IFERROR(VLOOKUP($A65,'Over Under Bill 1 COPY 到CO欄位'!$1:$1048576,65,0),0)</f>
        <v>0</v>
      </c>
      <c r="P65" s="157">
        <f>IFERROR(VLOOKUP($A65,'Over Under Bill 1 COPY 到CO欄位'!$1:$1048576,70,0),0)</f>
        <v>0</v>
      </c>
      <c r="Q65" s="157">
        <f>IFERROR(VLOOKUP($A65,'Over Under Bill 1 COPY 到CO欄位'!$1:$1048576,75,0),0)</f>
        <v>0</v>
      </c>
      <c r="R65" s="157">
        <f>IFERROR(VLOOKUP($A65,'Over Under Bill 1 COPY 到CO欄位'!$1:$1048576,80,0),0)</f>
        <v>0</v>
      </c>
      <c r="S65" s="157">
        <f>IFERROR(VLOOKUP($A65,'Over Under Bill 1 COPY 到CO欄位'!$1:$1048576,85,0),0)</f>
        <v>0</v>
      </c>
      <c r="T65" s="157">
        <f>IFERROR(VLOOKUP($A65,'Over Under Bill 1 COPY 到CO欄位'!$1:$1048576,90,0),0)</f>
        <v>0</v>
      </c>
    </row>
    <row r="66" spans="1:20">
      <c r="A66" s="171" t="s">
        <v>425</v>
      </c>
      <c r="B66" s="172" t="s">
        <v>426</v>
      </c>
      <c r="C66" s="157">
        <f>IFERROR(VLOOKUP($A66,'Over Under Bill 1 COPY 到CO欄位'!$1:$1048576,5,0),0)</f>
        <v>0</v>
      </c>
      <c r="D66" s="157">
        <f>IFERROR(VLOOKUP($A66,'Over Under Bill 1 COPY 到CO欄位'!$1:$1048576,10,0),0)</f>
        <v>0</v>
      </c>
      <c r="E66" s="157">
        <f>IFERROR(VLOOKUP($A66,'Over Under Bill 1 COPY 到CO欄位'!$1:$1048576,15,0),0)</f>
        <v>0</v>
      </c>
      <c r="F66" s="157">
        <f>IFERROR(VLOOKUP($A66,'Over Under Bill 1 COPY 到CO欄位'!$1:$1048576,20,0),0)</f>
        <v>0</v>
      </c>
      <c r="G66" s="157">
        <f>IFERROR(VLOOKUP($A66,'Over Under Bill 1 COPY 到CO欄位'!$1:$1048576,25,0),0)</f>
        <v>0</v>
      </c>
      <c r="H66" s="157">
        <f>IFERROR(VLOOKUP($A66,'Over Under Bill 1 COPY 到CO欄位'!$1:$1048576,30,0),0)</f>
        <v>0</v>
      </c>
      <c r="I66" s="157">
        <f>IFERROR(VLOOKUP($A66,'Over Under Bill 1 COPY 到CO欄位'!$1:$1048576,35,0),0)</f>
        <v>0</v>
      </c>
      <c r="J66" s="157">
        <f>IFERROR(VLOOKUP($A66,'Over Under Bill 1 COPY 到CO欄位'!$1:$1048576,40,0),0)</f>
        <v>0</v>
      </c>
      <c r="K66" s="157">
        <f>IFERROR(VLOOKUP($A66,'Over Under Bill 1 COPY 到CO欄位'!$1:$1048576,45,0),0)</f>
        <v>0</v>
      </c>
      <c r="L66" s="157">
        <f>IFERROR(VLOOKUP($A66,'Over Under Bill 1 COPY 到CO欄位'!$1:$1048576,50,0),0)</f>
        <v>0</v>
      </c>
      <c r="M66" s="157">
        <f>IFERROR(VLOOKUP($A66,'Over Under Bill 1 COPY 到CO欄位'!$1:$1048576,55,0),0)</f>
        <v>0</v>
      </c>
      <c r="N66" s="157">
        <f>IFERROR(VLOOKUP($A66,'Over Under Bill 1 COPY 到CO欄位'!$1:$1048576,60,0),0)</f>
        <v>0</v>
      </c>
      <c r="O66" s="157">
        <f>IFERROR(VLOOKUP($A66,'Over Under Bill 1 COPY 到CO欄位'!$1:$1048576,65,0),0)</f>
        <v>0</v>
      </c>
      <c r="P66" s="157">
        <f>IFERROR(VLOOKUP($A66,'Over Under Bill 1 COPY 到CO欄位'!$1:$1048576,70,0),0)</f>
        <v>0</v>
      </c>
      <c r="Q66" s="157">
        <f>IFERROR(VLOOKUP($A66,'Over Under Bill 1 COPY 到CO欄位'!$1:$1048576,75,0),0)</f>
        <v>0</v>
      </c>
      <c r="R66" s="157">
        <f>IFERROR(VLOOKUP($A66,'Over Under Bill 1 COPY 到CO欄位'!$1:$1048576,80,0),0)</f>
        <v>0</v>
      </c>
      <c r="S66" s="157">
        <f>IFERROR(VLOOKUP($A66,'Over Under Bill 1 COPY 到CO欄位'!$1:$1048576,85,0),0)</f>
        <v>0</v>
      </c>
      <c r="T66" s="157">
        <f>IFERROR(VLOOKUP($A66,'Over Under Bill 1 COPY 到CO欄位'!$1:$1048576,90,0),0)</f>
        <v>0</v>
      </c>
    </row>
    <row r="67" spans="1:20">
      <c r="A67" s="209" t="s">
        <v>427</v>
      </c>
      <c r="B67" s="172" t="s">
        <v>428</v>
      </c>
      <c r="C67" s="157">
        <f>IFERROR(VLOOKUP($A67,'Over Under Bill 1 COPY 到CO欄位'!$1:$1048576,5,0),0)</f>
        <v>0</v>
      </c>
      <c r="D67" s="157">
        <f>IFERROR(VLOOKUP($A67,'Over Under Bill 1 COPY 到CO欄位'!$1:$1048576,10,0),0)</f>
        <v>0</v>
      </c>
      <c r="E67" s="157">
        <f>IFERROR(VLOOKUP($A67,'Over Under Bill 1 COPY 到CO欄位'!$1:$1048576,15,0),0)</f>
        <v>0</v>
      </c>
      <c r="F67" s="157">
        <f>IFERROR(VLOOKUP($A67,'Over Under Bill 1 COPY 到CO欄位'!$1:$1048576,20,0),0)</f>
        <v>0</v>
      </c>
      <c r="G67" s="157">
        <f>IFERROR(VLOOKUP($A67,'Over Under Bill 1 COPY 到CO欄位'!$1:$1048576,25,0),0)</f>
        <v>0</v>
      </c>
      <c r="H67" s="157">
        <f>IFERROR(VLOOKUP($A67,'Over Under Bill 1 COPY 到CO欄位'!$1:$1048576,30,0),0)</f>
        <v>0</v>
      </c>
      <c r="I67" s="157">
        <f>IFERROR(VLOOKUP($A67,'Over Under Bill 1 COPY 到CO欄位'!$1:$1048576,35,0),0)</f>
        <v>0</v>
      </c>
      <c r="J67" s="157">
        <f>IFERROR(VLOOKUP($A67,'Over Under Bill 1 COPY 到CO欄位'!$1:$1048576,40,0),0)</f>
        <v>0</v>
      </c>
      <c r="K67" s="157">
        <f>IFERROR(VLOOKUP($A67,'Over Under Bill 1 COPY 到CO欄位'!$1:$1048576,45,0),0)</f>
        <v>0</v>
      </c>
      <c r="L67" s="157">
        <f>IFERROR(VLOOKUP($A67,'Over Under Bill 1 COPY 到CO欄位'!$1:$1048576,50,0),0)</f>
        <v>0</v>
      </c>
      <c r="M67" s="157">
        <f>IFERROR(VLOOKUP($A67,'Over Under Bill 1 COPY 到CO欄位'!$1:$1048576,55,0),0)</f>
        <v>0</v>
      </c>
      <c r="N67" s="157">
        <f>IFERROR(VLOOKUP($A67,'Over Under Bill 1 COPY 到CO欄位'!$1:$1048576,60,0),0)</f>
        <v>0</v>
      </c>
      <c r="O67" s="157">
        <f>IFERROR(VLOOKUP($A67,'Over Under Bill 1 COPY 到CO欄位'!$1:$1048576,65,0),0)</f>
        <v>0</v>
      </c>
      <c r="P67" s="157">
        <f>IFERROR(VLOOKUP($A67,'Over Under Bill 1 COPY 到CO欄位'!$1:$1048576,70,0),0)</f>
        <v>0</v>
      </c>
      <c r="Q67" s="157">
        <f>IFERROR(VLOOKUP($A67,'Over Under Bill 1 COPY 到CO欄位'!$1:$1048576,75,0),0)</f>
        <v>0</v>
      </c>
      <c r="R67" s="157">
        <f>IFERROR(VLOOKUP($A67,'Over Under Bill 1 COPY 到CO欄位'!$1:$1048576,80,0),0)</f>
        <v>0</v>
      </c>
      <c r="S67" s="157">
        <f>IFERROR(VLOOKUP($A67,'Over Under Bill 1 COPY 到CO欄位'!$1:$1048576,85,0),0)</f>
        <v>0</v>
      </c>
      <c r="T67" s="157">
        <f>IFERROR(VLOOKUP($A67,'Over Under Bill 1 COPY 到CO欄位'!$1:$1048576,90,0),0)</f>
        <v>0</v>
      </c>
    </row>
    <row r="68" spans="1:20">
      <c r="A68" s="209" t="s">
        <v>429</v>
      </c>
      <c r="B68" s="172" t="s">
        <v>430</v>
      </c>
      <c r="C68" s="157">
        <f>IFERROR(VLOOKUP($A68,'Over Under Bill 1 COPY 到CO欄位'!$1:$1048576,5,0),0)</f>
        <v>0</v>
      </c>
      <c r="D68" s="157">
        <f>IFERROR(VLOOKUP($A68,'Over Under Bill 1 COPY 到CO欄位'!$1:$1048576,10,0),0)</f>
        <v>0</v>
      </c>
      <c r="E68" s="157">
        <f>IFERROR(VLOOKUP($A68,'Over Under Bill 1 COPY 到CO欄位'!$1:$1048576,15,0),0)</f>
        <v>0</v>
      </c>
      <c r="F68" s="157">
        <f>IFERROR(VLOOKUP($A68,'Over Under Bill 1 COPY 到CO欄位'!$1:$1048576,20,0),0)</f>
        <v>0</v>
      </c>
      <c r="G68" s="157">
        <f>IFERROR(VLOOKUP($A68,'Over Under Bill 1 COPY 到CO欄位'!$1:$1048576,25,0),0)</f>
        <v>0</v>
      </c>
      <c r="H68" s="157">
        <f>IFERROR(VLOOKUP($A68,'Over Under Bill 1 COPY 到CO欄位'!$1:$1048576,30,0),0)</f>
        <v>0</v>
      </c>
      <c r="I68" s="157">
        <f>IFERROR(VLOOKUP($A68,'Over Under Bill 1 COPY 到CO欄位'!$1:$1048576,35,0),0)</f>
        <v>0</v>
      </c>
      <c r="J68" s="157">
        <f>IFERROR(VLOOKUP($A68,'Over Under Bill 1 COPY 到CO欄位'!$1:$1048576,40,0),0)</f>
        <v>0</v>
      </c>
      <c r="K68" s="157">
        <f>IFERROR(VLOOKUP($A68,'Over Under Bill 1 COPY 到CO欄位'!$1:$1048576,45,0),0)</f>
        <v>0</v>
      </c>
      <c r="L68" s="157">
        <f>IFERROR(VLOOKUP($A68,'Over Under Bill 1 COPY 到CO欄位'!$1:$1048576,50,0),0)</f>
        <v>0</v>
      </c>
      <c r="M68" s="157">
        <f>IFERROR(VLOOKUP($A68,'Over Under Bill 1 COPY 到CO欄位'!$1:$1048576,55,0),0)</f>
        <v>0</v>
      </c>
      <c r="N68" s="157">
        <f>IFERROR(VLOOKUP($A68,'Over Under Bill 1 COPY 到CO欄位'!$1:$1048576,60,0),0)</f>
        <v>0</v>
      </c>
      <c r="O68" s="157">
        <f>IFERROR(VLOOKUP($A68,'Over Under Bill 1 COPY 到CO欄位'!$1:$1048576,65,0),0)</f>
        <v>0</v>
      </c>
      <c r="P68" s="157">
        <f>IFERROR(VLOOKUP($A68,'Over Under Bill 1 COPY 到CO欄位'!$1:$1048576,70,0),0)</f>
        <v>0</v>
      </c>
      <c r="Q68" s="157">
        <f>IFERROR(VLOOKUP($A68,'Over Under Bill 1 COPY 到CO欄位'!$1:$1048576,75,0),0)</f>
        <v>0</v>
      </c>
      <c r="R68" s="157">
        <f>IFERROR(VLOOKUP($A68,'Over Under Bill 1 COPY 到CO欄位'!$1:$1048576,80,0),0)</f>
        <v>0</v>
      </c>
      <c r="S68" s="157">
        <f>IFERROR(VLOOKUP($A68,'Over Under Bill 1 COPY 到CO欄位'!$1:$1048576,85,0),0)</f>
        <v>0</v>
      </c>
      <c r="T68" s="157">
        <f>IFERROR(VLOOKUP($A68,'Over Under Bill 1 COPY 到CO欄位'!$1:$1048576,90,0),0)</f>
        <v>0</v>
      </c>
    </row>
    <row r="69" spans="1:20">
      <c r="A69" s="209" t="s">
        <v>431</v>
      </c>
      <c r="B69" s="172" t="s">
        <v>432</v>
      </c>
      <c r="C69" s="157">
        <f>IFERROR(VLOOKUP($A69,'Over Under Bill 1 COPY 到CO欄位'!$1:$1048576,5,0),0)</f>
        <v>0</v>
      </c>
      <c r="D69" s="157">
        <f>IFERROR(VLOOKUP($A69,'Over Under Bill 1 COPY 到CO欄位'!$1:$1048576,10,0),0)</f>
        <v>0</v>
      </c>
      <c r="E69" s="157">
        <f>IFERROR(VLOOKUP($A69,'Over Under Bill 1 COPY 到CO欄位'!$1:$1048576,15,0),0)</f>
        <v>0</v>
      </c>
      <c r="F69" s="157">
        <f>IFERROR(VLOOKUP($A69,'Over Under Bill 1 COPY 到CO欄位'!$1:$1048576,20,0),0)</f>
        <v>0</v>
      </c>
      <c r="G69" s="157">
        <f>IFERROR(VLOOKUP($A69,'Over Under Bill 1 COPY 到CO欄位'!$1:$1048576,25,0),0)</f>
        <v>0</v>
      </c>
      <c r="H69" s="157">
        <f>IFERROR(VLOOKUP($A69,'Over Under Bill 1 COPY 到CO欄位'!$1:$1048576,30,0),0)</f>
        <v>0</v>
      </c>
      <c r="I69" s="157">
        <f>IFERROR(VLOOKUP($A69,'Over Under Bill 1 COPY 到CO欄位'!$1:$1048576,35,0),0)</f>
        <v>0</v>
      </c>
      <c r="J69" s="157">
        <f>IFERROR(VLOOKUP($A69,'Over Under Bill 1 COPY 到CO欄位'!$1:$1048576,40,0),0)</f>
        <v>0</v>
      </c>
      <c r="K69" s="157">
        <f>IFERROR(VLOOKUP($A69,'Over Under Bill 1 COPY 到CO欄位'!$1:$1048576,45,0),0)</f>
        <v>0</v>
      </c>
      <c r="L69" s="157">
        <f>IFERROR(VLOOKUP($A69,'Over Under Bill 1 COPY 到CO欄位'!$1:$1048576,50,0),0)</f>
        <v>0</v>
      </c>
      <c r="M69" s="157">
        <f>IFERROR(VLOOKUP($A69,'Over Under Bill 1 COPY 到CO欄位'!$1:$1048576,55,0),0)</f>
        <v>0</v>
      </c>
      <c r="N69" s="157">
        <f>IFERROR(VLOOKUP($A69,'Over Under Bill 1 COPY 到CO欄位'!$1:$1048576,60,0),0)</f>
        <v>0</v>
      </c>
      <c r="O69" s="157">
        <f>IFERROR(VLOOKUP($A69,'Over Under Bill 1 COPY 到CO欄位'!$1:$1048576,65,0),0)</f>
        <v>0</v>
      </c>
      <c r="P69" s="157">
        <f>IFERROR(VLOOKUP($A69,'Over Under Bill 1 COPY 到CO欄位'!$1:$1048576,70,0),0)</f>
        <v>0</v>
      </c>
      <c r="Q69" s="157">
        <f>IFERROR(VLOOKUP($A69,'Over Under Bill 1 COPY 到CO欄位'!$1:$1048576,75,0),0)</f>
        <v>0</v>
      </c>
      <c r="R69" s="157">
        <f>IFERROR(VLOOKUP($A69,'Over Under Bill 1 COPY 到CO欄位'!$1:$1048576,80,0),0)</f>
        <v>0</v>
      </c>
      <c r="S69" s="157">
        <f>IFERROR(VLOOKUP($A69,'Over Under Bill 1 COPY 到CO欄位'!$1:$1048576,85,0),0)</f>
        <v>0</v>
      </c>
      <c r="T69" s="157">
        <f>IFERROR(VLOOKUP($A69,'Over Under Bill 1 COPY 到CO欄位'!$1:$1048576,90,0),0)</f>
        <v>0</v>
      </c>
    </row>
    <row r="70" spans="1:20">
      <c r="A70" s="209" t="s">
        <v>433</v>
      </c>
      <c r="B70" s="172" t="s">
        <v>541</v>
      </c>
      <c r="C70" s="157">
        <f>IFERROR(VLOOKUP($A70,'Over Under Bill 1 COPY 到CO欄位'!$1:$1048576,5,0),0)</f>
        <v>0</v>
      </c>
      <c r="D70" s="157">
        <f>IFERROR(VLOOKUP($A70,'Over Under Bill 1 COPY 到CO欄位'!$1:$1048576,10,0),0)</f>
        <v>0</v>
      </c>
      <c r="E70" s="157">
        <f>IFERROR(VLOOKUP($A70,'Over Under Bill 1 COPY 到CO欄位'!$1:$1048576,15,0),0)</f>
        <v>0</v>
      </c>
      <c r="F70" s="157">
        <f>IFERROR(VLOOKUP($A70,'Over Under Bill 1 COPY 到CO欄位'!$1:$1048576,20,0),0)</f>
        <v>0</v>
      </c>
      <c r="G70" s="157">
        <f>IFERROR(VLOOKUP($A70,'Over Under Bill 1 COPY 到CO欄位'!$1:$1048576,25,0),0)</f>
        <v>0</v>
      </c>
      <c r="H70" s="157">
        <f>IFERROR(VLOOKUP($A70,'Over Under Bill 1 COPY 到CO欄位'!$1:$1048576,30,0),0)</f>
        <v>0</v>
      </c>
      <c r="I70" s="157">
        <f>IFERROR(VLOOKUP($A70,'Over Under Bill 1 COPY 到CO欄位'!$1:$1048576,35,0),0)</f>
        <v>0</v>
      </c>
      <c r="J70" s="157">
        <f>IFERROR(VLOOKUP($A70,'Over Under Bill 1 COPY 到CO欄位'!$1:$1048576,40,0),0)</f>
        <v>0</v>
      </c>
      <c r="K70" s="157">
        <f>IFERROR(VLOOKUP($A70,'Over Under Bill 1 COPY 到CO欄位'!$1:$1048576,45,0),0)</f>
        <v>0</v>
      </c>
      <c r="L70" s="157">
        <f>IFERROR(VLOOKUP($A70,'Over Under Bill 1 COPY 到CO欄位'!$1:$1048576,50,0),0)</f>
        <v>0</v>
      </c>
      <c r="M70" s="157">
        <f>IFERROR(VLOOKUP($A70,'Over Under Bill 1 COPY 到CO欄位'!$1:$1048576,55,0),0)</f>
        <v>0</v>
      </c>
      <c r="N70" s="157">
        <f>IFERROR(VLOOKUP($A70,'Over Under Bill 1 COPY 到CO欄位'!$1:$1048576,60,0),0)</f>
        <v>0</v>
      </c>
      <c r="O70" s="157">
        <f>IFERROR(VLOOKUP($A70,'Over Under Bill 1 COPY 到CO欄位'!$1:$1048576,65,0),0)</f>
        <v>0</v>
      </c>
      <c r="P70" s="157">
        <f>IFERROR(VLOOKUP($A70,'Over Under Bill 1 COPY 到CO欄位'!$1:$1048576,70,0),0)</f>
        <v>0</v>
      </c>
      <c r="Q70" s="157">
        <f>IFERROR(VLOOKUP($A70,'Over Under Bill 1 COPY 到CO欄位'!$1:$1048576,75,0),0)</f>
        <v>0</v>
      </c>
      <c r="R70" s="157">
        <f>IFERROR(VLOOKUP($A70,'Over Under Bill 1 COPY 到CO欄位'!$1:$1048576,80,0),0)</f>
        <v>0</v>
      </c>
      <c r="S70" s="157">
        <f>IFERROR(VLOOKUP($A70,'Over Under Bill 1 COPY 到CO欄位'!$1:$1048576,85,0),0)</f>
        <v>0</v>
      </c>
      <c r="T70" s="157">
        <f>IFERROR(VLOOKUP($A70,'Over Under Bill 1 COPY 到CO欄位'!$1:$1048576,90,0),0)</f>
        <v>0</v>
      </c>
    </row>
    <row r="71" spans="1:20">
      <c r="A71" s="210" t="s">
        <v>435</v>
      </c>
      <c r="B71" s="172" t="s">
        <v>436</v>
      </c>
      <c r="C71" s="157">
        <f>IFERROR(VLOOKUP($A71,'Over Under Bill 1 COPY 到CO欄位'!$1:$1048576,5,0),0)</f>
        <v>0</v>
      </c>
      <c r="D71" s="157">
        <f>IFERROR(VLOOKUP($A71,'Over Under Bill 1 COPY 到CO欄位'!$1:$1048576,10,0),0)</f>
        <v>0</v>
      </c>
      <c r="E71" s="157">
        <f>IFERROR(VLOOKUP($A71,'Over Under Bill 1 COPY 到CO欄位'!$1:$1048576,15,0),0)</f>
        <v>0</v>
      </c>
      <c r="F71" s="157">
        <f>IFERROR(VLOOKUP($A71,'Over Under Bill 1 COPY 到CO欄位'!$1:$1048576,20,0),0)</f>
        <v>0</v>
      </c>
      <c r="G71" s="157">
        <f>IFERROR(VLOOKUP($A71,'Over Under Bill 1 COPY 到CO欄位'!$1:$1048576,25,0),0)</f>
        <v>0</v>
      </c>
      <c r="H71" s="157">
        <f>IFERROR(VLOOKUP($A71,'Over Under Bill 1 COPY 到CO欄位'!$1:$1048576,30,0),0)</f>
        <v>0</v>
      </c>
      <c r="I71" s="157">
        <f>IFERROR(VLOOKUP($A71,'Over Under Bill 1 COPY 到CO欄位'!$1:$1048576,35,0),0)</f>
        <v>0</v>
      </c>
      <c r="J71" s="157">
        <f>IFERROR(VLOOKUP($A71,'Over Under Bill 1 COPY 到CO欄位'!$1:$1048576,40,0),0)</f>
        <v>0</v>
      </c>
      <c r="K71" s="157">
        <f>IFERROR(VLOOKUP($A71,'Over Under Bill 1 COPY 到CO欄位'!$1:$1048576,45,0),0)</f>
        <v>0</v>
      </c>
      <c r="L71" s="157">
        <f>IFERROR(VLOOKUP($A71,'Over Under Bill 1 COPY 到CO欄位'!$1:$1048576,50,0),0)</f>
        <v>0</v>
      </c>
      <c r="M71" s="157">
        <f>IFERROR(VLOOKUP($A71,'Over Under Bill 1 COPY 到CO欄位'!$1:$1048576,55,0),0)</f>
        <v>0</v>
      </c>
      <c r="N71" s="157">
        <f>IFERROR(VLOOKUP($A71,'Over Under Bill 1 COPY 到CO欄位'!$1:$1048576,60,0),0)</f>
        <v>0</v>
      </c>
      <c r="O71" s="157">
        <f>IFERROR(VLOOKUP($A71,'Over Under Bill 1 COPY 到CO欄位'!$1:$1048576,65,0),0)</f>
        <v>0</v>
      </c>
      <c r="P71" s="157">
        <f>IFERROR(VLOOKUP($A71,'Over Under Bill 1 COPY 到CO欄位'!$1:$1048576,70,0),0)</f>
        <v>0</v>
      </c>
      <c r="Q71" s="157">
        <f>IFERROR(VLOOKUP($A71,'Over Under Bill 1 COPY 到CO欄位'!$1:$1048576,75,0),0)</f>
        <v>0</v>
      </c>
      <c r="R71" s="157">
        <f>IFERROR(VLOOKUP($A71,'Over Under Bill 1 COPY 到CO欄位'!$1:$1048576,80,0),0)</f>
        <v>0</v>
      </c>
      <c r="S71" s="157">
        <f>IFERROR(VLOOKUP($A71,'Over Under Bill 1 COPY 到CO欄位'!$1:$1048576,85,0),0)</f>
        <v>0</v>
      </c>
      <c r="T71" s="157">
        <f>IFERROR(VLOOKUP($A71,'Over Under Bill 1 COPY 到CO欄位'!$1:$1048576,90,0),0)</f>
        <v>0</v>
      </c>
    </row>
    <row r="72" spans="1:20">
      <c r="A72" s="210" t="s">
        <v>437</v>
      </c>
      <c r="B72" s="172" t="s">
        <v>438</v>
      </c>
      <c r="C72" s="157">
        <f>IFERROR(VLOOKUP($A72,'Over Under Bill 1 COPY 到CO欄位'!$1:$1048576,5,0),0)</f>
        <v>0</v>
      </c>
      <c r="D72" s="157">
        <f>IFERROR(VLOOKUP($A72,'Over Under Bill 1 COPY 到CO欄位'!$1:$1048576,10,0),0)</f>
        <v>0</v>
      </c>
      <c r="E72" s="157">
        <f>IFERROR(VLOOKUP($A72,'Over Under Bill 1 COPY 到CO欄位'!$1:$1048576,15,0),0)</f>
        <v>0</v>
      </c>
      <c r="F72" s="157">
        <f>IFERROR(VLOOKUP($A72,'Over Under Bill 1 COPY 到CO欄位'!$1:$1048576,20,0),0)</f>
        <v>0</v>
      </c>
      <c r="G72" s="157">
        <f>IFERROR(VLOOKUP($A72,'Over Under Bill 1 COPY 到CO欄位'!$1:$1048576,25,0),0)</f>
        <v>0</v>
      </c>
      <c r="H72" s="157">
        <f>IFERROR(VLOOKUP($A72,'Over Under Bill 1 COPY 到CO欄位'!$1:$1048576,30,0),0)</f>
        <v>0</v>
      </c>
      <c r="I72" s="157">
        <f>IFERROR(VLOOKUP($A72,'Over Under Bill 1 COPY 到CO欄位'!$1:$1048576,35,0),0)</f>
        <v>0</v>
      </c>
      <c r="J72" s="157">
        <f>IFERROR(VLOOKUP($A72,'Over Under Bill 1 COPY 到CO欄位'!$1:$1048576,40,0),0)</f>
        <v>0</v>
      </c>
      <c r="K72" s="157">
        <f>IFERROR(VLOOKUP($A72,'Over Under Bill 1 COPY 到CO欄位'!$1:$1048576,45,0),0)</f>
        <v>0</v>
      </c>
      <c r="L72" s="157">
        <f>IFERROR(VLOOKUP($A72,'Over Under Bill 1 COPY 到CO欄位'!$1:$1048576,50,0),0)</f>
        <v>0</v>
      </c>
      <c r="M72" s="157">
        <f>IFERROR(VLOOKUP($A72,'Over Under Bill 1 COPY 到CO欄位'!$1:$1048576,55,0),0)</f>
        <v>0</v>
      </c>
      <c r="N72" s="157">
        <f>IFERROR(VLOOKUP($A72,'Over Under Bill 1 COPY 到CO欄位'!$1:$1048576,60,0),0)</f>
        <v>0</v>
      </c>
      <c r="O72" s="157">
        <f>IFERROR(VLOOKUP($A72,'Over Under Bill 1 COPY 到CO欄位'!$1:$1048576,65,0),0)</f>
        <v>0</v>
      </c>
      <c r="P72" s="157">
        <f>IFERROR(VLOOKUP($A72,'Over Under Bill 1 COPY 到CO欄位'!$1:$1048576,70,0),0)</f>
        <v>0</v>
      </c>
      <c r="Q72" s="157">
        <f>IFERROR(VLOOKUP($A72,'Over Under Bill 1 COPY 到CO欄位'!$1:$1048576,75,0),0)</f>
        <v>0</v>
      </c>
      <c r="R72" s="157">
        <f>IFERROR(VLOOKUP($A72,'Over Under Bill 1 COPY 到CO欄位'!$1:$1048576,80,0),0)</f>
        <v>0</v>
      </c>
      <c r="S72" s="157">
        <f>IFERROR(VLOOKUP($A72,'Over Under Bill 1 COPY 到CO欄位'!$1:$1048576,85,0),0)</f>
        <v>0</v>
      </c>
      <c r="T72" s="157">
        <f>IFERROR(VLOOKUP($A72,'Over Under Bill 1 COPY 到CO欄位'!$1:$1048576,90,0),0)</f>
        <v>0</v>
      </c>
    </row>
    <row r="73" spans="1:20">
      <c r="A73" s="210" t="s">
        <v>439</v>
      </c>
      <c r="B73" s="172" t="s">
        <v>440</v>
      </c>
      <c r="C73" s="157">
        <f>IFERROR(VLOOKUP($A73,'Over Under Bill 1 COPY 到CO欄位'!$1:$1048576,5,0),0)</f>
        <v>0</v>
      </c>
      <c r="D73" s="157">
        <f>IFERROR(VLOOKUP($A73,'Over Under Bill 1 COPY 到CO欄位'!$1:$1048576,10,0),0)</f>
        <v>0</v>
      </c>
      <c r="E73" s="157">
        <f>IFERROR(VLOOKUP($A73,'Over Under Bill 1 COPY 到CO欄位'!$1:$1048576,15,0),0)</f>
        <v>0</v>
      </c>
      <c r="F73" s="157">
        <f>IFERROR(VLOOKUP($A73,'Over Under Bill 1 COPY 到CO欄位'!$1:$1048576,20,0),0)</f>
        <v>0</v>
      </c>
      <c r="G73" s="157">
        <f>IFERROR(VLOOKUP($A73,'Over Under Bill 1 COPY 到CO欄位'!$1:$1048576,25,0),0)</f>
        <v>0</v>
      </c>
      <c r="H73" s="157">
        <f>IFERROR(VLOOKUP($A73,'Over Under Bill 1 COPY 到CO欄位'!$1:$1048576,30,0),0)</f>
        <v>0</v>
      </c>
      <c r="I73" s="157">
        <f>IFERROR(VLOOKUP($A73,'Over Under Bill 1 COPY 到CO欄位'!$1:$1048576,35,0),0)</f>
        <v>0</v>
      </c>
      <c r="J73" s="157">
        <f>IFERROR(VLOOKUP($A73,'Over Under Bill 1 COPY 到CO欄位'!$1:$1048576,40,0),0)</f>
        <v>0</v>
      </c>
      <c r="K73" s="157">
        <f>IFERROR(VLOOKUP($A73,'Over Under Bill 1 COPY 到CO欄位'!$1:$1048576,45,0),0)</f>
        <v>0</v>
      </c>
      <c r="L73" s="157">
        <f>IFERROR(VLOOKUP($A73,'Over Under Bill 1 COPY 到CO欄位'!$1:$1048576,50,0),0)</f>
        <v>0</v>
      </c>
      <c r="M73" s="157">
        <f>IFERROR(VLOOKUP($A73,'Over Under Bill 1 COPY 到CO欄位'!$1:$1048576,55,0),0)</f>
        <v>0</v>
      </c>
      <c r="N73" s="157">
        <f>IFERROR(VLOOKUP($A73,'Over Under Bill 1 COPY 到CO欄位'!$1:$1048576,60,0),0)</f>
        <v>0</v>
      </c>
      <c r="O73" s="157">
        <f>IFERROR(VLOOKUP($A73,'Over Under Bill 1 COPY 到CO欄位'!$1:$1048576,65,0),0)</f>
        <v>0</v>
      </c>
      <c r="P73" s="157">
        <f>IFERROR(VLOOKUP($A73,'Over Under Bill 1 COPY 到CO欄位'!$1:$1048576,70,0),0)</f>
        <v>0</v>
      </c>
      <c r="Q73" s="157">
        <f>IFERROR(VLOOKUP($A73,'Over Under Bill 1 COPY 到CO欄位'!$1:$1048576,75,0),0)</f>
        <v>0</v>
      </c>
      <c r="R73" s="157">
        <f>IFERROR(VLOOKUP($A73,'Over Under Bill 1 COPY 到CO欄位'!$1:$1048576,80,0),0)</f>
        <v>0</v>
      </c>
      <c r="S73" s="157">
        <f>IFERROR(VLOOKUP($A73,'Over Under Bill 1 COPY 到CO欄位'!$1:$1048576,85,0),0)</f>
        <v>0</v>
      </c>
      <c r="T73" s="157">
        <f>IFERROR(VLOOKUP($A73,'Over Under Bill 1 COPY 到CO欄位'!$1:$1048576,90,0),0)</f>
        <v>0</v>
      </c>
    </row>
    <row r="74" spans="1:20">
      <c r="A74" s="210" t="s">
        <v>441</v>
      </c>
      <c r="B74" s="172" t="s">
        <v>442</v>
      </c>
      <c r="C74" s="157">
        <f>IFERROR(VLOOKUP($A74,'Over Under Bill 1 COPY 到CO欄位'!$1:$1048576,5,0),0)</f>
        <v>0</v>
      </c>
      <c r="D74" s="157">
        <f>IFERROR(VLOOKUP($A74,'Over Under Bill 1 COPY 到CO欄位'!$1:$1048576,10,0),0)</f>
        <v>0</v>
      </c>
      <c r="E74" s="157">
        <f>IFERROR(VLOOKUP($A74,'Over Under Bill 1 COPY 到CO欄位'!$1:$1048576,15,0),0)</f>
        <v>0</v>
      </c>
      <c r="F74" s="157">
        <f>IFERROR(VLOOKUP($A74,'Over Under Bill 1 COPY 到CO欄位'!$1:$1048576,20,0),0)</f>
        <v>0</v>
      </c>
      <c r="G74" s="157">
        <f>IFERROR(VLOOKUP($A74,'Over Under Bill 1 COPY 到CO欄位'!$1:$1048576,25,0),0)</f>
        <v>0</v>
      </c>
      <c r="H74" s="157">
        <f>IFERROR(VLOOKUP($A74,'Over Under Bill 1 COPY 到CO欄位'!$1:$1048576,30,0),0)</f>
        <v>0</v>
      </c>
      <c r="I74" s="157">
        <f>IFERROR(VLOOKUP($A74,'Over Under Bill 1 COPY 到CO欄位'!$1:$1048576,35,0),0)</f>
        <v>0</v>
      </c>
      <c r="J74" s="157">
        <f>IFERROR(VLOOKUP($A74,'Over Under Bill 1 COPY 到CO欄位'!$1:$1048576,40,0),0)</f>
        <v>0</v>
      </c>
      <c r="K74" s="157">
        <f>IFERROR(VLOOKUP($A74,'Over Under Bill 1 COPY 到CO欄位'!$1:$1048576,45,0),0)</f>
        <v>0</v>
      </c>
      <c r="L74" s="157">
        <f>IFERROR(VLOOKUP($A74,'Over Under Bill 1 COPY 到CO欄位'!$1:$1048576,50,0),0)</f>
        <v>0</v>
      </c>
      <c r="M74" s="157">
        <f>IFERROR(VLOOKUP($A74,'Over Under Bill 1 COPY 到CO欄位'!$1:$1048576,55,0),0)</f>
        <v>0</v>
      </c>
      <c r="N74" s="157">
        <f>IFERROR(VLOOKUP($A74,'Over Under Bill 1 COPY 到CO欄位'!$1:$1048576,60,0),0)</f>
        <v>0</v>
      </c>
      <c r="O74" s="157">
        <f>IFERROR(VLOOKUP($A74,'Over Under Bill 1 COPY 到CO欄位'!$1:$1048576,65,0),0)</f>
        <v>0</v>
      </c>
      <c r="P74" s="157">
        <f>IFERROR(VLOOKUP($A74,'Over Under Bill 1 COPY 到CO欄位'!$1:$1048576,70,0),0)</f>
        <v>0</v>
      </c>
      <c r="Q74" s="157">
        <f>IFERROR(VLOOKUP($A74,'Over Under Bill 1 COPY 到CO欄位'!$1:$1048576,75,0),0)</f>
        <v>0</v>
      </c>
      <c r="R74" s="157">
        <f>IFERROR(VLOOKUP($A74,'Over Under Bill 1 COPY 到CO欄位'!$1:$1048576,80,0),0)</f>
        <v>0</v>
      </c>
      <c r="S74" s="157">
        <f>IFERROR(VLOOKUP($A74,'Over Under Bill 1 COPY 到CO欄位'!$1:$1048576,85,0),0)</f>
        <v>0</v>
      </c>
      <c r="T74" s="157">
        <f>IFERROR(VLOOKUP($A74,'Over Under Bill 1 COPY 到CO欄位'!$1:$1048576,90,0),0)</f>
        <v>0</v>
      </c>
    </row>
    <row r="75" spans="1:20">
      <c r="A75" s="171" t="s">
        <v>443</v>
      </c>
      <c r="B75" s="172" t="s">
        <v>542</v>
      </c>
      <c r="C75" s="157">
        <f>IFERROR(VLOOKUP($A75,'Over Under Bill 1 COPY 到CO欄位'!$1:$1048576,5,0),0)</f>
        <v>0</v>
      </c>
      <c r="D75" s="157">
        <f>IFERROR(VLOOKUP($A75,'Over Under Bill 1 COPY 到CO欄位'!$1:$1048576,10,0),0)</f>
        <v>0</v>
      </c>
      <c r="E75" s="157">
        <f>IFERROR(VLOOKUP($A75,'Over Under Bill 1 COPY 到CO欄位'!$1:$1048576,15,0),0)</f>
        <v>0</v>
      </c>
      <c r="F75" s="157">
        <f>IFERROR(VLOOKUP($A75,'Over Under Bill 1 COPY 到CO欄位'!$1:$1048576,20,0),0)</f>
        <v>0</v>
      </c>
      <c r="G75" s="157">
        <f>IFERROR(VLOOKUP($A75,'Over Under Bill 1 COPY 到CO欄位'!$1:$1048576,25,0),0)</f>
        <v>0</v>
      </c>
      <c r="H75" s="157">
        <f>IFERROR(VLOOKUP($A75,'Over Under Bill 1 COPY 到CO欄位'!$1:$1048576,30,0),0)</f>
        <v>0</v>
      </c>
      <c r="I75" s="157">
        <f>IFERROR(VLOOKUP($A75,'Over Under Bill 1 COPY 到CO欄位'!$1:$1048576,35,0),0)</f>
        <v>0</v>
      </c>
      <c r="J75" s="157">
        <f>IFERROR(VLOOKUP($A75,'Over Under Bill 1 COPY 到CO欄位'!$1:$1048576,40,0),0)</f>
        <v>0</v>
      </c>
      <c r="K75" s="157">
        <f>IFERROR(VLOOKUP($A75,'Over Under Bill 1 COPY 到CO欄位'!$1:$1048576,45,0),0)</f>
        <v>0</v>
      </c>
      <c r="L75" s="157">
        <f>IFERROR(VLOOKUP($A75,'Over Under Bill 1 COPY 到CO欄位'!$1:$1048576,50,0),0)</f>
        <v>0</v>
      </c>
      <c r="M75" s="157">
        <f>IFERROR(VLOOKUP($A75,'Over Under Bill 1 COPY 到CO欄位'!$1:$1048576,55,0),0)</f>
        <v>0</v>
      </c>
      <c r="N75" s="157">
        <f>IFERROR(VLOOKUP($A75,'Over Under Bill 1 COPY 到CO欄位'!$1:$1048576,60,0),0)</f>
        <v>0</v>
      </c>
      <c r="O75" s="157">
        <f>IFERROR(VLOOKUP($A75,'Over Under Bill 1 COPY 到CO欄位'!$1:$1048576,65,0),0)</f>
        <v>0</v>
      </c>
      <c r="P75" s="157">
        <f>IFERROR(VLOOKUP($A75,'Over Under Bill 1 COPY 到CO欄位'!$1:$1048576,70,0),0)</f>
        <v>0</v>
      </c>
      <c r="Q75" s="157">
        <f>IFERROR(VLOOKUP($A75,'Over Under Bill 1 COPY 到CO欄位'!$1:$1048576,75,0),0)</f>
        <v>0</v>
      </c>
      <c r="R75" s="157">
        <f>IFERROR(VLOOKUP($A75,'Over Under Bill 1 COPY 到CO欄位'!$1:$1048576,80,0),0)</f>
        <v>0</v>
      </c>
      <c r="S75" s="157">
        <f>IFERROR(VLOOKUP($A75,'Over Under Bill 1 COPY 到CO欄位'!$1:$1048576,85,0),0)</f>
        <v>0</v>
      </c>
      <c r="T75" s="157">
        <f>IFERROR(VLOOKUP($A75,'Over Under Bill 1 COPY 到CO欄位'!$1:$1048576,90,0),0)</f>
        <v>0</v>
      </c>
    </row>
    <row r="76" spans="1:20">
      <c r="A76" s="171" t="s">
        <v>445</v>
      </c>
      <c r="B76" s="172" t="s">
        <v>446</v>
      </c>
      <c r="C76" s="157">
        <f>IFERROR(VLOOKUP($A76,'Over Under Bill 1 COPY 到CO欄位'!$1:$1048576,5,0),0)</f>
        <v>0</v>
      </c>
      <c r="D76" s="157">
        <f>IFERROR(VLOOKUP($A76,'Over Under Bill 1 COPY 到CO欄位'!$1:$1048576,10,0),0)</f>
        <v>0</v>
      </c>
      <c r="E76" s="157">
        <f>IFERROR(VLOOKUP($A76,'Over Under Bill 1 COPY 到CO欄位'!$1:$1048576,15,0),0)</f>
        <v>0</v>
      </c>
      <c r="F76" s="157">
        <f>IFERROR(VLOOKUP($A76,'Over Under Bill 1 COPY 到CO欄位'!$1:$1048576,20,0),0)</f>
        <v>0</v>
      </c>
      <c r="G76" s="157">
        <f>IFERROR(VLOOKUP($A76,'Over Under Bill 1 COPY 到CO欄位'!$1:$1048576,25,0),0)</f>
        <v>0</v>
      </c>
      <c r="H76" s="157">
        <f>IFERROR(VLOOKUP($A76,'Over Under Bill 1 COPY 到CO欄位'!$1:$1048576,30,0),0)</f>
        <v>0</v>
      </c>
      <c r="I76" s="157">
        <f>IFERROR(VLOOKUP($A76,'Over Under Bill 1 COPY 到CO欄位'!$1:$1048576,35,0),0)</f>
        <v>0</v>
      </c>
      <c r="J76" s="157">
        <f>IFERROR(VLOOKUP($A76,'Over Under Bill 1 COPY 到CO欄位'!$1:$1048576,40,0),0)</f>
        <v>0</v>
      </c>
      <c r="K76" s="157">
        <f>IFERROR(VLOOKUP($A76,'Over Under Bill 1 COPY 到CO欄位'!$1:$1048576,45,0),0)</f>
        <v>0</v>
      </c>
      <c r="L76" s="157">
        <f>IFERROR(VLOOKUP($A76,'Over Under Bill 1 COPY 到CO欄位'!$1:$1048576,50,0),0)</f>
        <v>0</v>
      </c>
      <c r="M76" s="157">
        <f>IFERROR(VLOOKUP($A76,'Over Under Bill 1 COPY 到CO欄位'!$1:$1048576,55,0),0)</f>
        <v>0</v>
      </c>
      <c r="N76" s="157">
        <f>IFERROR(VLOOKUP($A76,'Over Under Bill 1 COPY 到CO欄位'!$1:$1048576,60,0),0)</f>
        <v>0</v>
      </c>
      <c r="O76" s="157">
        <f>IFERROR(VLOOKUP($A76,'Over Under Bill 1 COPY 到CO欄位'!$1:$1048576,65,0),0)</f>
        <v>0</v>
      </c>
      <c r="P76" s="157">
        <f>IFERROR(VLOOKUP($A76,'Over Under Bill 1 COPY 到CO欄位'!$1:$1048576,70,0),0)</f>
        <v>0</v>
      </c>
      <c r="Q76" s="157">
        <f>IFERROR(VLOOKUP($A76,'Over Under Bill 1 COPY 到CO欄位'!$1:$1048576,75,0),0)</f>
        <v>0</v>
      </c>
      <c r="R76" s="157">
        <f>IFERROR(VLOOKUP($A76,'Over Under Bill 1 COPY 到CO欄位'!$1:$1048576,80,0),0)</f>
        <v>0</v>
      </c>
      <c r="S76" s="157">
        <f>IFERROR(VLOOKUP($A76,'Over Under Bill 1 COPY 到CO欄位'!$1:$1048576,85,0),0)</f>
        <v>0</v>
      </c>
      <c r="T76" s="157">
        <f>IFERROR(VLOOKUP($A76,'Over Under Bill 1 COPY 到CO欄位'!$1:$1048576,90,0),0)</f>
        <v>0</v>
      </c>
    </row>
    <row r="77" spans="1:20">
      <c r="A77" s="171" t="s">
        <v>447</v>
      </c>
      <c r="B77" s="172" t="s">
        <v>448</v>
      </c>
      <c r="C77" s="157">
        <f>IFERROR(VLOOKUP($A77,'Over Under Bill 1 COPY 到CO欄位'!$1:$1048576,5,0),0)</f>
        <v>0</v>
      </c>
      <c r="D77" s="157">
        <f>IFERROR(VLOOKUP($A77,'Over Under Bill 1 COPY 到CO欄位'!$1:$1048576,10,0),0)</f>
        <v>0</v>
      </c>
      <c r="E77" s="157">
        <f>IFERROR(VLOOKUP($A77,'Over Under Bill 1 COPY 到CO欄位'!$1:$1048576,15,0),0)</f>
        <v>0</v>
      </c>
      <c r="F77" s="157">
        <f>IFERROR(VLOOKUP($A77,'Over Under Bill 1 COPY 到CO欄位'!$1:$1048576,20,0),0)</f>
        <v>0</v>
      </c>
      <c r="G77" s="157">
        <f>IFERROR(VLOOKUP($A77,'Over Under Bill 1 COPY 到CO欄位'!$1:$1048576,25,0),0)</f>
        <v>0</v>
      </c>
      <c r="H77" s="157">
        <f>IFERROR(VLOOKUP($A77,'Over Under Bill 1 COPY 到CO欄位'!$1:$1048576,30,0),0)</f>
        <v>0</v>
      </c>
      <c r="I77" s="157">
        <f>IFERROR(VLOOKUP($A77,'Over Under Bill 1 COPY 到CO欄位'!$1:$1048576,35,0),0)</f>
        <v>0</v>
      </c>
      <c r="J77" s="157">
        <f>IFERROR(VLOOKUP($A77,'Over Under Bill 1 COPY 到CO欄位'!$1:$1048576,40,0),0)</f>
        <v>0</v>
      </c>
      <c r="K77" s="157">
        <f>IFERROR(VLOOKUP($A77,'Over Under Bill 1 COPY 到CO欄位'!$1:$1048576,45,0),0)</f>
        <v>0</v>
      </c>
      <c r="L77" s="157">
        <f>IFERROR(VLOOKUP($A77,'Over Under Bill 1 COPY 到CO欄位'!$1:$1048576,50,0),0)</f>
        <v>0</v>
      </c>
      <c r="M77" s="157">
        <f>IFERROR(VLOOKUP($A77,'Over Under Bill 1 COPY 到CO欄位'!$1:$1048576,55,0),0)</f>
        <v>0</v>
      </c>
      <c r="N77" s="157">
        <f>IFERROR(VLOOKUP($A77,'Over Under Bill 1 COPY 到CO欄位'!$1:$1048576,60,0),0)</f>
        <v>0</v>
      </c>
      <c r="O77" s="157">
        <f>IFERROR(VLOOKUP($A77,'Over Under Bill 1 COPY 到CO欄位'!$1:$1048576,65,0),0)</f>
        <v>0</v>
      </c>
      <c r="P77" s="157">
        <f>IFERROR(VLOOKUP($A77,'Over Under Bill 1 COPY 到CO欄位'!$1:$1048576,70,0),0)</f>
        <v>0</v>
      </c>
      <c r="Q77" s="157">
        <f>IFERROR(VLOOKUP($A77,'Over Under Bill 1 COPY 到CO欄位'!$1:$1048576,75,0),0)</f>
        <v>0</v>
      </c>
      <c r="R77" s="157">
        <f>IFERROR(VLOOKUP($A77,'Over Under Bill 1 COPY 到CO欄位'!$1:$1048576,80,0),0)</f>
        <v>0</v>
      </c>
      <c r="S77" s="157">
        <f>IFERROR(VLOOKUP($A77,'Over Under Bill 1 COPY 到CO欄位'!$1:$1048576,85,0),0)</f>
        <v>0</v>
      </c>
      <c r="T77" s="157">
        <f>IFERROR(VLOOKUP($A77,'Over Under Bill 1 COPY 到CO欄位'!$1:$1048576,90,0),0)</f>
        <v>0</v>
      </c>
    </row>
    <row r="78" spans="1:20">
      <c r="A78" s="171" t="s">
        <v>449</v>
      </c>
      <c r="B78" s="172" t="s">
        <v>450</v>
      </c>
      <c r="C78" s="157">
        <f>IFERROR(VLOOKUP($A78,'Over Under Bill 1 COPY 到CO欄位'!$1:$1048576,5,0),0)</f>
        <v>0</v>
      </c>
      <c r="D78" s="157">
        <f>IFERROR(VLOOKUP($A78,'Over Under Bill 1 COPY 到CO欄位'!$1:$1048576,10,0),0)</f>
        <v>0</v>
      </c>
      <c r="E78" s="157">
        <f>IFERROR(VLOOKUP($A78,'Over Under Bill 1 COPY 到CO欄位'!$1:$1048576,15,0),0)</f>
        <v>0</v>
      </c>
      <c r="F78" s="157">
        <f>IFERROR(VLOOKUP($A78,'Over Under Bill 1 COPY 到CO欄位'!$1:$1048576,20,0),0)</f>
        <v>0</v>
      </c>
      <c r="G78" s="157">
        <f>IFERROR(VLOOKUP($A78,'Over Under Bill 1 COPY 到CO欄位'!$1:$1048576,25,0),0)</f>
        <v>0</v>
      </c>
      <c r="H78" s="157">
        <f>IFERROR(VLOOKUP($A78,'Over Under Bill 1 COPY 到CO欄位'!$1:$1048576,30,0),0)</f>
        <v>0</v>
      </c>
      <c r="I78" s="157">
        <f>IFERROR(VLOOKUP($A78,'Over Under Bill 1 COPY 到CO欄位'!$1:$1048576,35,0),0)</f>
        <v>0</v>
      </c>
      <c r="J78" s="157">
        <f>IFERROR(VLOOKUP($A78,'Over Under Bill 1 COPY 到CO欄位'!$1:$1048576,40,0),0)</f>
        <v>0</v>
      </c>
      <c r="K78" s="157">
        <f>IFERROR(VLOOKUP($A78,'Over Under Bill 1 COPY 到CO欄位'!$1:$1048576,45,0),0)</f>
        <v>0</v>
      </c>
      <c r="L78" s="157">
        <f>IFERROR(VLOOKUP($A78,'Over Under Bill 1 COPY 到CO欄位'!$1:$1048576,50,0),0)</f>
        <v>0</v>
      </c>
      <c r="M78" s="157">
        <f>IFERROR(VLOOKUP($A78,'Over Under Bill 1 COPY 到CO欄位'!$1:$1048576,55,0),0)</f>
        <v>0</v>
      </c>
      <c r="N78" s="157">
        <f>IFERROR(VLOOKUP($A78,'Over Under Bill 1 COPY 到CO欄位'!$1:$1048576,60,0),0)</f>
        <v>0</v>
      </c>
      <c r="O78" s="157">
        <f>IFERROR(VLOOKUP($A78,'Over Under Bill 1 COPY 到CO欄位'!$1:$1048576,65,0),0)</f>
        <v>0</v>
      </c>
      <c r="P78" s="157">
        <f>IFERROR(VLOOKUP($A78,'Over Under Bill 1 COPY 到CO欄位'!$1:$1048576,70,0),0)</f>
        <v>0</v>
      </c>
      <c r="Q78" s="157">
        <f>IFERROR(VLOOKUP($A78,'Over Under Bill 1 COPY 到CO欄位'!$1:$1048576,75,0),0)</f>
        <v>0</v>
      </c>
      <c r="R78" s="157">
        <f>IFERROR(VLOOKUP($A78,'Over Under Bill 1 COPY 到CO欄位'!$1:$1048576,80,0),0)</f>
        <v>0</v>
      </c>
      <c r="S78" s="157">
        <f>IFERROR(VLOOKUP($A78,'Over Under Bill 1 COPY 到CO欄位'!$1:$1048576,85,0),0)</f>
        <v>0</v>
      </c>
      <c r="T78" s="157">
        <f>IFERROR(VLOOKUP($A78,'Over Under Bill 1 COPY 到CO欄位'!$1:$1048576,90,0),0)</f>
        <v>0</v>
      </c>
    </row>
    <row r="79" spans="1:20">
      <c r="A79" s="171" t="s">
        <v>451</v>
      </c>
      <c r="B79" s="172" t="s">
        <v>452</v>
      </c>
      <c r="C79" s="157">
        <f>IFERROR(VLOOKUP($A79,'Over Under Bill 1 COPY 到CO欄位'!$1:$1048576,5,0),0)</f>
        <v>0</v>
      </c>
      <c r="D79" s="157">
        <f>IFERROR(VLOOKUP($A79,'Over Under Bill 1 COPY 到CO欄位'!$1:$1048576,10,0),0)</f>
        <v>0</v>
      </c>
      <c r="E79" s="157">
        <f>IFERROR(VLOOKUP($A79,'Over Under Bill 1 COPY 到CO欄位'!$1:$1048576,15,0),0)</f>
        <v>0</v>
      </c>
      <c r="F79" s="157">
        <f>IFERROR(VLOOKUP($A79,'Over Under Bill 1 COPY 到CO欄位'!$1:$1048576,20,0),0)</f>
        <v>0</v>
      </c>
      <c r="G79" s="157">
        <f>IFERROR(VLOOKUP($A79,'Over Under Bill 1 COPY 到CO欄位'!$1:$1048576,25,0),0)</f>
        <v>0</v>
      </c>
      <c r="H79" s="157">
        <f>IFERROR(VLOOKUP($A79,'Over Under Bill 1 COPY 到CO欄位'!$1:$1048576,30,0),0)</f>
        <v>0</v>
      </c>
      <c r="I79" s="157">
        <f>IFERROR(VLOOKUP($A79,'Over Under Bill 1 COPY 到CO欄位'!$1:$1048576,35,0),0)</f>
        <v>0</v>
      </c>
      <c r="J79" s="157">
        <f>IFERROR(VLOOKUP($A79,'Over Under Bill 1 COPY 到CO欄位'!$1:$1048576,40,0),0)</f>
        <v>0</v>
      </c>
      <c r="K79" s="157">
        <f>IFERROR(VLOOKUP($A79,'Over Under Bill 1 COPY 到CO欄位'!$1:$1048576,45,0),0)</f>
        <v>0</v>
      </c>
      <c r="L79" s="157">
        <f>IFERROR(VLOOKUP($A79,'Over Under Bill 1 COPY 到CO欄位'!$1:$1048576,50,0),0)</f>
        <v>0</v>
      </c>
      <c r="M79" s="157">
        <f>IFERROR(VLOOKUP($A79,'Over Under Bill 1 COPY 到CO欄位'!$1:$1048576,55,0),0)</f>
        <v>0</v>
      </c>
      <c r="N79" s="157">
        <f>IFERROR(VLOOKUP($A79,'Over Under Bill 1 COPY 到CO欄位'!$1:$1048576,60,0),0)</f>
        <v>0</v>
      </c>
      <c r="O79" s="157">
        <f>IFERROR(VLOOKUP($A79,'Over Under Bill 1 COPY 到CO欄位'!$1:$1048576,65,0),0)</f>
        <v>0</v>
      </c>
      <c r="P79" s="157">
        <f>IFERROR(VLOOKUP($A79,'Over Under Bill 1 COPY 到CO欄位'!$1:$1048576,70,0),0)</f>
        <v>0</v>
      </c>
      <c r="Q79" s="157">
        <f>IFERROR(VLOOKUP($A79,'Over Under Bill 1 COPY 到CO欄位'!$1:$1048576,75,0),0)</f>
        <v>0</v>
      </c>
      <c r="R79" s="157">
        <f>IFERROR(VLOOKUP($A79,'Over Under Bill 1 COPY 到CO欄位'!$1:$1048576,80,0),0)</f>
        <v>0</v>
      </c>
      <c r="S79" s="157">
        <f>IFERROR(VLOOKUP($A79,'Over Under Bill 1 COPY 到CO欄位'!$1:$1048576,85,0),0)</f>
        <v>0</v>
      </c>
      <c r="T79" s="157">
        <f>IFERROR(VLOOKUP($A79,'Over Under Bill 1 COPY 到CO欄位'!$1:$1048576,90,0),0)</f>
        <v>0</v>
      </c>
    </row>
    <row r="80" spans="1:20">
      <c r="A80" s="171" t="s">
        <v>453</v>
      </c>
      <c r="B80" s="172" t="s">
        <v>454</v>
      </c>
      <c r="C80" s="157">
        <f>IFERROR(VLOOKUP($A80,'Over Under Bill 1 COPY 到CO欄位'!$1:$1048576,5,0),0)</f>
        <v>0</v>
      </c>
      <c r="D80" s="157">
        <f>IFERROR(VLOOKUP($A80,'Over Under Bill 1 COPY 到CO欄位'!$1:$1048576,10,0),0)</f>
        <v>0</v>
      </c>
      <c r="E80" s="157">
        <f>IFERROR(VLOOKUP($A80,'Over Under Bill 1 COPY 到CO欄位'!$1:$1048576,15,0),0)</f>
        <v>0</v>
      </c>
      <c r="F80" s="157">
        <f>IFERROR(VLOOKUP($A80,'Over Under Bill 1 COPY 到CO欄位'!$1:$1048576,20,0),0)</f>
        <v>0</v>
      </c>
      <c r="G80" s="157">
        <f>IFERROR(VLOOKUP($A80,'Over Under Bill 1 COPY 到CO欄位'!$1:$1048576,25,0),0)</f>
        <v>0</v>
      </c>
      <c r="H80" s="157">
        <f>IFERROR(VLOOKUP($A80,'Over Under Bill 1 COPY 到CO欄位'!$1:$1048576,30,0),0)</f>
        <v>0</v>
      </c>
      <c r="I80" s="157">
        <f>IFERROR(VLOOKUP($A80,'Over Under Bill 1 COPY 到CO欄位'!$1:$1048576,35,0),0)</f>
        <v>0</v>
      </c>
      <c r="J80" s="157">
        <f>IFERROR(VLOOKUP($A80,'Over Under Bill 1 COPY 到CO欄位'!$1:$1048576,40,0),0)</f>
        <v>0</v>
      </c>
      <c r="K80" s="157">
        <f>IFERROR(VLOOKUP($A80,'Over Under Bill 1 COPY 到CO欄位'!$1:$1048576,45,0),0)</f>
        <v>0</v>
      </c>
      <c r="L80" s="157">
        <f>IFERROR(VLOOKUP($A80,'Over Under Bill 1 COPY 到CO欄位'!$1:$1048576,50,0),0)</f>
        <v>0</v>
      </c>
      <c r="M80" s="157">
        <f>IFERROR(VLOOKUP($A80,'Over Under Bill 1 COPY 到CO欄位'!$1:$1048576,55,0),0)</f>
        <v>0</v>
      </c>
      <c r="N80" s="157">
        <f>IFERROR(VLOOKUP($A80,'Over Under Bill 1 COPY 到CO欄位'!$1:$1048576,60,0),0)</f>
        <v>0</v>
      </c>
      <c r="O80" s="157">
        <f>IFERROR(VLOOKUP($A80,'Over Under Bill 1 COPY 到CO欄位'!$1:$1048576,65,0),0)</f>
        <v>0</v>
      </c>
      <c r="P80" s="157">
        <f>IFERROR(VLOOKUP($A80,'Over Under Bill 1 COPY 到CO欄位'!$1:$1048576,70,0),0)</f>
        <v>0</v>
      </c>
      <c r="Q80" s="157">
        <f>IFERROR(VLOOKUP($A80,'Over Under Bill 1 COPY 到CO欄位'!$1:$1048576,75,0),0)</f>
        <v>0</v>
      </c>
      <c r="R80" s="157">
        <f>IFERROR(VLOOKUP($A80,'Over Under Bill 1 COPY 到CO欄位'!$1:$1048576,80,0),0)</f>
        <v>0</v>
      </c>
      <c r="S80" s="157">
        <f>IFERROR(VLOOKUP($A80,'Over Under Bill 1 COPY 到CO欄位'!$1:$1048576,85,0),0)</f>
        <v>0</v>
      </c>
      <c r="T80" s="157">
        <f>IFERROR(VLOOKUP($A80,'Over Under Bill 1 COPY 到CO欄位'!$1:$1048576,90,0),0)</f>
        <v>0</v>
      </c>
    </row>
    <row r="81" spans="1:20">
      <c r="A81" s="171" t="s">
        <v>455</v>
      </c>
      <c r="B81" s="172" t="s">
        <v>543</v>
      </c>
      <c r="C81" s="157">
        <f>IFERROR(VLOOKUP($A81,'Over Under Bill 1 COPY 到CO欄位'!$1:$1048576,5,0),0)</f>
        <v>0</v>
      </c>
      <c r="D81" s="157">
        <f>IFERROR(VLOOKUP($A81,'Over Under Bill 1 COPY 到CO欄位'!$1:$1048576,10,0),0)</f>
        <v>0</v>
      </c>
      <c r="E81" s="157">
        <f>IFERROR(VLOOKUP($A81,'Over Under Bill 1 COPY 到CO欄位'!$1:$1048576,15,0),0)</f>
        <v>0</v>
      </c>
      <c r="F81" s="157">
        <f>IFERROR(VLOOKUP($A81,'Over Under Bill 1 COPY 到CO欄位'!$1:$1048576,20,0),0)</f>
        <v>0</v>
      </c>
      <c r="G81" s="157">
        <f>IFERROR(VLOOKUP($A81,'Over Under Bill 1 COPY 到CO欄位'!$1:$1048576,25,0),0)</f>
        <v>0</v>
      </c>
      <c r="H81" s="157">
        <f>IFERROR(VLOOKUP($A81,'Over Under Bill 1 COPY 到CO欄位'!$1:$1048576,30,0),0)</f>
        <v>0</v>
      </c>
      <c r="I81" s="157">
        <f>IFERROR(VLOOKUP($A81,'Over Under Bill 1 COPY 到CO欄位'!$1:$1048576,35,0),0)</f>
        <v>0</v>
      </c>
      <c r="J81" s="157">
        <f>IFERROR(VLOOKUP($A81,'Over Under Bill 1 COPY 到CO欄位'!$1:$1048576,40,0),0)</f>
        <v>0</v>
      </c>
      <c r="K81" s="157">
        <f>IFERROR(VLOOKUP($A81,'Over Under Bill 1 COPY 到CO欄位'!$1:$1048576,45,0),0)</f>
        <v>0</v>
      </c>
      <c r="L81" s="157">
        <f>IFERROR(VLOOKUP($A81,'Over Under Bill 1 COPY 到CO欄位'!$1:$1048576,50,0),0)</f>
        <v>0</v>
      </c>
      <c r="M81" s="157">
        <f>IFERROR(VLOOKUP($A81,'Over Under Bill 1 COPY 到CO欄位'!$1:$1048576,55,0),0)</f>
        <v>0</v>
      </c>
      <c r="N81" s="157">
        <f>IFERROR(VLOOKUP($A81,'Over Under Bill 1 COPY 到CO欄位'!$1:$1048576,60,0),0)</f>
        <v>0</v>
      </c>
      <c r="O81" s="157">
        <f>IFERROR(VLOOKUP($A81,'Over Under Bill 1 COPY 到CO欄位'!$1:$1048576,65,0),0)</f>
        <v>0</v>
      </c>
      <c r="P81" s="157">
        <f>IFERROR(VLOOKUP($A81,'Over Under Bill 1 COPY 到CO欄位'!$1:$1048576,70,0),0)</f>
        <v>0</v>
      </c>
      <c r="Q81" s="157">
        <f>IFERROR(VLOOKUP($A81,'Over Under Bill 1 COPY 到CO欄位'!$1:$1048576,75,0),0)</f>
        <v>0</v>
      </c>
      <c r="R81" s="157">
        <f>IFERROR(VLOOKUP($A81,'Over Under Bill 1 COPY 到CO欄位'!$1:$1048576,80,0),0)</f>
        <v>0</v>
      </c>
      <c r="S81" s="157">
        <f>IFERROR(VLOOKUP($A81,'Over Under Bill 1 COPY 到CO欄位'!$1:$1048576,85,0),0)</f>
        <v>0</v>
      </c>
      <c r="T81" s="157">
        <f>IFERROR(VLOOKUP($A81,'Over Under Bill 1 COPY 到CO欄位'!$1:$1048576,90,0),0)</f>
        <v>0</v>
      </c>
    </row>
    <row r="82" spans="1:20">
      <c r="A82" s="171" t="s">
        <v>457</v>
      </c>
      <c r="B82" s="172" t="s">
        <v>544</v>
      </c>
      <c r="C82" s="157">
        <f>IFERROR(VLOOKUP($A82,'Over Under Bill 1 COPY 到CO欄位'!$1:$1048576,5,0),0)</f>
        <v>0</v>
      </c>
      <c r="D82" s="157">
        <f>IFERROR(VLOOKUP($A82,'Over Under Bill 1 COPY 到CO欄位'!$1:$1048576,10,0),0)</f>
        <v>0</v>
      </c>
      <c r="E82" s="157">
        <f>IFERROR(VLOOKUP($A82,'Over Under Bill 1 COPY 到CO欄位'!$1:$1048576,15,0),0)</f>
        <v>0</v>
      </c>
      <c r="F82" s="157">
        <f>IFERROR(VLOOKUP($A82,'Over Under Bill 1 COPY 到CO欄位'!$1:$1048576,20,0),0)</f>
        <v>0</v>
      </c>
      <c r="G82" s="157">
        <f>IFERROR(VLOOKUP($A82,'Over Under Bill 1 COPY 到CO欄位'!$1:$1048576,25,0),0)</f>
        <v>0</v>
      </c>
      <c r="H82" s="157">
        <f>IFERROR(VLOOKUP($A82,'Over Under Bill 1 COPY 到CO欄位'!$1:$1048576,30,0),0)</f>
        <v>0</v>
      </c>
      <c r="I82" s="157">
        <f>IFERROR(VLOOKUP($A82,'Over Under Bill 1 COPY 到CO欄位'!$1:$1048576,35,0),0)</f>
        <v>0</v>
      </c>
      <c r="J82" s="157">
        <f>IFERROR(VLOOKUP($A82,'Over Under Bill 1 COPY 到CO欄位'!$1:$1048576,40,0),0)</f>
        <v>0</v>
      </c>
      <c r="K82" s="157">
        <f>IFERROR(VLOOKUP($A82,'Over Under Bill 1 COPY 到CO欄位'!$1:$1048576,45,0),0)</f>
        <v>0</v>
      </c>
      <c r="L82" s="157">
        <f>IFERROR(VLOOKUP($A82,'Over Under Bill 1 COPY 到CO欄位'!$1:$1048576,50,0),0)</f>
        <v>0</v>
      </c>
      <c r="M82" s="157">
        <f>IFERROR(VLOOKUP($A82,'Over Under Bill 1 COPY 到CO欄位'!$1:$1048576,55,0),0)</f>
        <v>0</v>
      </c>
      <c r="N82" s="157">
        <f>IFERROR(VLOOKUP($A82,'Over Under Bill 1 COPY 到CO欄位'!$1:$1048576,60,0),0)</f>
        <v>0</v>
      </c>
      <c r="O82" s="157">
        <f>IFERROR(VLOOKUP($A82,'Over Under Bill 1 COPY 到CO欄位'!$1:$1048576,65,0),0)</f>
        <v>0</v>
      </c>
      <c r="P82" s="157">
        <f>IFERROR(VLOOKUP($A82,'Over Under Bill 1 COPY 到CO欄位'!$1:$1048576,70,0),0)</f>
        <v>0</v>
      </c>
      <c r="Q82" s="157">
        <f>IFERROR(VLOOKUP($A82,'Over Under Bill 1 COPY 到CO欄位'!$1:$1048576,75,0),0)</f>
        <v>0</v>
      </c>
      <c r="R82" s="157">
        <f>IFERROR(VLOOKUP($A82,'Over Under Bill 1 COPY 到CO欄位'!$1:$1048576,80,0),0)</f>
        <v>0</v>
      </c>
      <c r="S82" s="157">
        <f>IFERROR(VLOOKUP($A82,'Over Under Bill 1 COPY 到CO欄位'!$1:$1048576,85,0),0)</f>
        <v>0</v>
      </c>
      <c r="T82" s="157">
        <f>IFERROR(VLOOKUP($A82,'Over Under Bill 1 COPY 到CO欄位'!$1:$1048576,90,0),0)</f>
        <v>0</v>
      </c>
    </row>
    <row r="83" spans="1:20">
      <c r="A83" s="171" t="s">
        <v>459</v>
      </c>
      <c r="B83" s="172" t="s">
        <v>342</v>
      </c>
      <c r="C83" s="157">
        <f>IFERROR(VLOOKUP($A83,'Over Under Bill 1 COPY 到CO欄位'!$1:$1048576,5,0),0)</f>
        <v>0</v>
      </c>
      <c r="D83" s="157">
        <f>IFERROR(VLOOKUP($A83,'Over Under Bill 1 COPY 到CO欄位'!$1:$1048576,10,0),0)</f>
        <v>0</v>
      </c>
      <c r="E83" s="157">
        <f>IFERROR(VLOOKUP($A83,'Over Under Bill 1 COPY 到CO欄位'!$1:$1048576,15,0),0)</f>
        <v>0</v>
      </c>
      <c r="F83" s="157">
        <f>IFERROR(VLOOKUP($A83,'Over Under Bill 1 COPY 到CO欄位'!$1:$1048576,20,0),0)</f>
        <v>0</v>
      </c>
      <c r="G83" s="157">
        <f>IFERROR(VLOOKUP($A83,'Over Under Bill 1 COPY 到CO欄位'!$1:$1048576,25,0),0)</f>
        <v>0</v>
      </c>
      <c r="H83" s="157">
        <f>IFERROR(VLOOKUP($A83,'Over Under Bill 1 COPY 到CO欄位'!$1:$1048576,30,0),0)</f>
        <v>0</v>
      </c>
      <c r="I83" s="157">
        <f>IFERROR(VLOOKUP($A83,'Over Under Bill 1 COPY 到CO欄位'!$1:$1048576,35,0),0)</f>
        <v>0</v>
      </c>
      <c r="J83" s="157">
        <f>IFERROR(VLOOKUP($A83,'Over Under Bill 1 COPY 到CO欄位'!$1:$1048576,40,0),0)</f>
        <v>0</v>
      </c>
      <c r="K83" s="157">
        <f>IFERROR(VLOOKUP($A83,'Over Under Bill 1 COPY 到CO欄位'!$1:$1048576,45,0),0)</f>
        <v>0</v>
      </c>
      <c r="L83" s="157">
        <f>IFERROR(VLOOKUP($A83,'Over Under Bill 1 COPY 到CO欄位'!$1:$1048576,50,0),0)</f>
        <v>0</v>
      </c>
      <c r="M83" s="157">
        <f>IFERROR(VLOOKUP($A83,'Over Under Bill 1 COPY 到CO欄位'!$1:$1048576,55,0),0)</f>
        <v>0</v>
      </c>
      <c r="N83" s="157">
        <f>IFERROR(VLOOKUP($A83,'Over Under Bill 1 COPY 到CO欄位'!$1:$1048576,60,0),0)</f>
        <v>0</v>
      </c>
      <c r="O83" s="157">
        <f>IFERROR(VLOOKUP($A83,'Over Under Bill 1 COPY 到CO欄位'!$1:$1048576,65,0),0)</f>
        <v>0</v>
      </c>
      <c r="P83" s="157">
        <f>IFERROR(VLOOKUP($A83,'Over Under Bill 1 COPY 到CO欄位'!$1:$1048576,70,0),0)</f>
        <v>0</v>
      </c>
      <c r="Q83" s="157">
        <f>IFERROR(VLOOKUP($A83,'Over Under Bill 1 COPY 到CO欄位'!$1:$1048576,75,0),0)</f>
        <v>0</v>
      </c>
      <c r="R83" s="157">
        <f>IFERROR(VLOOKUP($A83,'Over Under Bill 1 COPY 到CO欄位'!$1:$1048576,80,0),0)</f>
        <v>0</v>
      </c>
      <c r="S83" s="157">
        <f>IFERROR(VLOOKUP($A83,'Over Under Bill 1 COPY 到CO欄位'!$1:$1048576,85,0),0)</f>
        <v>0</v>
      </c>
      <c r="T83" s="157">
        <f>IFERROR(VLOOKUP($A83,'Over Under Bill 1 COPY 到CO欄位'!$1:$1048576,90,0),0)</f>
        <v>0</v>
      </c>
    </row>
    <row r="84" spans="1:20">
      <c r="A84" s="171" t="s">
        <v>460</v>
      </c>
      <c r="B84" s="172" t="s">
        <v>344</v>
      </c>
      <c r="C84" s="157">
        <f>IFERROR(VLOOKUP($A84,'Over Under Bill 1 COPY 到CO欄位'!$1:$1048576,5,0),0)</f>
        <v>0</v>
      </c>
      <c r="D84" s="157">
        <f>IFERROR(VLOOKUP($A84,'Over Under Bill 1 COPY 到CO欄位'!$1:$1048576,10,0),0)</f>
        <v>0</v>
      </c>
      <c r="E84" s="157">
        <f>IFERROR(VLOOKUP($A84,'Over Under Bill 1 COPY 到CO欄位'!$1:$1048576,15,0),0)</f>
        <v>0</v>
      </c>
      <c r="F84" s="157">
        <f>IFERROR(VLOOKUP($A84,'Over Under Bill 1 COPY 到CO欄位'!$1:$1048576,20,0),0)</f>
        <v>0</v>
      </c>
      <c r="G84" s="157">
        <f>IFERROR(VLOOKUP($A84,'Over Under Bill 1 COPY 到CO欄位'!$1:$1048576,25,0),0)</f>
        <v>0</v>
      </c>
      <c r="H84" s="157">
        <f>IFERROR(VLOOKUP($A84,'Over Under Bill 1 COPY 到CO欄位'!$1:$1048576,30,0),0)</f>
        <v>0</v>
      </c>
      <c r="I84" s="157">
        <f>IFERROR(VLOOKUP($A84,'Over Under Bill 1 COPY 到CO欄位'!$1:$1048576,35,0),0)</f>
        <v>0</v>
      </c>
      <c r="J84" s="157">
        <f>IFERROR(VLOOKUP($A84,'Over Under Bill 1 COPY 到CO欄位'!$1:$1048576,40,0),0)</f>
        <v>0</v>
      </c>
      <c r="K84" s="157">
        <f>IFERROR(VLOOKUP($A84,'Over Under Bill 1 COPY 到CO欄位'!$1:$1048576,45,0),0)</f>
        <v>0</v>
      </c>
      <c r="L84" s="157">
        <f>IFERROR(VLOOKUP($A84,'Over Under Bill 1 COPY 到CO欄位'!$1:$1048576,50,0),0)</f>
        <v>0</v>
      </c>
      <c r="M84" s="157">
        <f>IFERROR(VLOOKUP($A84,'Over Under Bill 1 COPY 到CO欄位'!$1:$1048576,55,0),0)</f>
        <v>0</v>
      </c>
      <c r="N84" s="157">
        <f>IFERROR(VLOOKUP($A84,'Over Under Bill 1 COPY 到CO欄位'!$1:$1048576,60,0),0)</f>
        <v>0</v>
      </c>
      <c r="O84" s="157">
        <f>IFERROR(VLOOKUP($A84,'Over Under Bill 1 COPY 到CO欄位'!$1:$1048576,65,0),0)</f>
        <v>0</v>
      </c>
      <c r="P84" s="157">
        <f>IFERROR(VLOOKUP($A84,'Over Under Bill 1 COPY 到CO欄位'!$1:$1048576,70,0),0)</f>
        <v>0</v>
      </c>
      <c r="Q84" s="157">
        <f>IFERROR(VLOOKUP($A84,'Over Under Bill 1 COPY 到CO欄位'!$1:$1048576,75,0),0)</f>
        <v>0</v>
      </c>
      <c r="R84" s="157">
        <f>IFERROR(VLOOKUP($A84,'Over Under Bill 1 COPY 到CO欄位'!$1:$1048576,80,0),0)</f>
        <v>0</v>
      </c>
      <c r="S84" s="157">
        <f>IFERROR(VLOOKUP($A84,'Over Under Bill 1 COPY 到CO欄位'!$1:$1048576,85,0),0)</f>
        <v>0</v>
      </c>
      <c r="T84" s="157">
        <f>IFERROR(VLOOKUP($A84,'Over Under Bill 1 COPY 到CO欄位'!$1:$1048576,90,0),0)</f>
        <v>0</v>
      </c>
    </row>
    <row r="85" spans="1:20">
      <c r="A85" s="171" t="s">
        <v>461</v>
      </c>
      <c r="B85" s="172" t="s">
        <v>346</v>
      </c>
      <c r="C85" s="157">
        <f>IFERROR(VLOOKUP($A85,'Over Under Bill 1 COPY 到CO欄位'!$1:$1048576,5,0),0)</f>
        <v>0</v>
      </c>
      <c r="D85" s="157">
        <f>IFERROR(VLOOKUP($A85,'Over Under Bill 1 COPY 到CO欄位'!$1:$1048576,10,0),0)</f>
        <v>0</v>
      </c>
      <c r="E85" s="157">
        <f>IFERROR(VLOOKUP($A85,'Over Under Bill 1 COPY 到CO欄位'!$1:$1048576,15,0),0)</f>
        <v>0</v>
      </c>
      <c r="F85" s="157">
        <f>IFERROR(VLOOKUP($A85,'Over Under Bill 1 COPY 到CO欄位'!$1:$1048576,20,0),0)</f>
        <v>0</v>
      </c>
      <c r="G85" s="157">
        <f>IFERROR(VLOOKUP($A85,'Over Under Bill 1 COPY 到CO欄位'!$1:$1048576,25,0),0)</f>
        <v>0</v>
      </c>
      <c r="H85" s="157">
        <f>IFERROR(VLOOKUP($A85,'Over Under Bill 1 COPY 到CO欄位'!$1:$1048576,30,0),0)</f>
        <v>0</v>
      </c>
      <c r="I85" s="157">
        <f>IFERROR(VLOOKUP($A85,'Over Under Bill 1 COPY 到CO欄位'!$1:$1048576,35,0),0)</f>
        <v>0</v>
      </c>
      <c r="J85" s="157">
        <f>IFERROR(VLOOKUP($A85,'Over Under Bill 1 COPY 到CO欄位'!$1:$1048576,40,0),0)</f>
        <v>0</v>
      </c>
      <c r="K85" s="157">
        <f>IFERROR(VLOOKUP($A85,'Over Under Bill 1 COPY 到CO欄位'!$1:$1048576,45,0),0)</f>
        <v>0</v>
      </c>
      <c r="L85" s="157">
        <f>IFERROR(VLOOKUP($A85,'Over Under Bill 1 COPY 到CO欄位'!$1:$1048576,50,0),0)</f>
        <v>0</v>
      </c>
      <c r="M85" s="157">
        <f>IFERROR(VLOOKUP($A85,'Over Under Bill 1 COPY 到CO欄位'!$1:$1048576,55,0),0)</f>
        <v>0</v>
      </c>
      <c r="N85" s="157">
        <f>IFERROR(VLOOKUP($A85,'Over Under Bill 1 COPY 到CO欄位'!$1:$1048576,60,0),0)</f>
        <v>0</v>
      </c>
      <c r="O85" s="157">
        <f>IFERROR(VLOOKUP($A85,'Over Under Bill 1 COPY 到CO欄位'!$1:$1048576,65,0),0)</f>
        <v>0</v>
      </c>
      <c r="P85" s="157">
        <f>IFERROR(VLOOKUP($A85,'Over Under Bill 1 COPY 到CO欄位'!$1:$1048576,70,0),0)</f>
        <v>0</v>
      </c>
      <c r="Q85" s="157">
        <f>IFERROR(VLOOKUP($A85,'Over Under Bill 1 COPY 到CO欄位'!$1:$1048576,75,0),0)</f>
        <v>0</v>
      </c>
      <c r="R85" s="157">
        <f>IFERROR(VLOOKUP($A85,'Over Under Bill 1 COPY 到CO欄位'!$1:$1048576,80,0),0)</f>
        <v>0</v>
      </c>
      <c r="S85" s="157">
        <f>IFERROR(VLOOKUP($A85,'Over Under Bill 1 COPY 到CO欄位'!$1:$1048576,85,0),0)</f>
        <v>0</v>
      </c>
      <c r="T85" s="157">
        <f>IFERROR(VLOOKUP($A85,'Over Under Bill 1 COPY 到CO欄位'!$1:$1048576,90,0),0)</f>
        <v>0</v>
      </c>
    </row>
    <row r="86" spans="1:20">
      <c r="A86" s="171" t="s">
        <v>462</v>
      </c>
      <c r="B86" s="172" t="s">
        <v>348</v>
      </c>
      <c r="C86" s="157">
        <f>IFERROR(VLOOKUP($A86,'Over Under Bill 1 COPY 到CO欄位'!$1:$1048576,5,0),0)</f>
        <v>0</v>
      </c>
      <c r="D86" s="157">
        <f>IFERROR(VLOOKUP($A86,'Over Under Bill 1 COPY 到CO欄位'!$1:$1048576,10,0),0)</f>
        <v>0</v>
      </c>
      <c r="E86" s="157">
        <f>IFERROR(VLOOKUP($A86,'Over Under Bill 1 COPY 到CO欄位'!$1:$1048576,15,0),0)</f>
        <v>0</v>
      </c>
      <c r="F86" s="157">
        <f>IFERROR(VLOOKUP($A86,'Over Under Bill 1 COPY 到CO欄位'!$1:$1048576,20,0),0)</f>
        <v>0</v>
      </c>
      <c r="G86" s="157">
        <f>IFERROR(VLOOKUP($A86,'Over Under Bill 1 COPY 到CO欄位'!$1:$1048576,25,0),0)</f>
        <v>0</v>
      </c>
      <c r="H86" s="157">
        <f>IFERROR(VLOOKUP($A86,'Over Under Bill 1 COPY 到CO欄位'!$1:$1048576,30,0),0)</f>
        <v>0</v>
      </c>
      <c r="I86" s="157">
        <f>IFERROR(VLOOKUP($A86,'Over Under Bill 1 COPY 到CO欄位'!$1:$1048576,35,0),0)</f>
        <v>0</v>
      </c>
      <c r="J86" s="157">
        <f>IFERROR(VLOOKUP($A86,'Over Under Bill 1 COPY 到CO欄位'!$1:$1048576,40,0),0)</f>
        <v>0</v>
      </c>
      <c r="K86" s="157">
        <f>IFERROR(VLOOKUP($A86,'Over Under Bill 1 COPY 到CO欄位'!$1:$1048576,45,0),0)</f>
        <v>0</v>
      </c>
      <c r="L86" s="157">
        <f>IFERROR(VLOOKUP($A86,'Over Under Bill 1 COPY 到CO欄位'!$1:$1048576,50,0),0)</f>
        <v>0</v>
      </c>
      <c r="M86" s="157">
        <f>IFERROR(VLOOKUP($A86,'Over Under Bill 1 COPY 到CO欄位'!$1:$1048576,55,0),0)</f>
        <v>0</v>
      </c>
      <c r="N86" s="157">
        <f>IFERROR(VLOOKUP($A86,'Over Under Bill 1 COPY 到CO欄位'!$1:$1048576,60,0),0)</f>
        <v>0</v>
      </c>
      <c r="O86" s="157">
        <f>IFERROR(VLOOKUP($A86,'Over Under Bill 1 COPY 到CO欄位'!$1:$1048576,65,0),0)</f>
        <v>0</v>
      </c>
      <c r="P86" s="157">
        <f>IFERROR(VLOOKUP($A86,'Over Under Bill 1 COPY 到CO欄位'!$1:$1048576,70,0),0)</f>
        <v>0</v>
      </c>
      <c r="Q86" s="157">
        <f>IFERROR(VLOOKUP($A86,'Over Under Bill 1 COPY 到CO欄位'!$1:$1048576,75,0),0)</f>
        <v>0</v>
      </c>
      <c r="R86" s="157">
        <f>IFERROR(VLOOKUP($A86,'Over Under Bill 1 COPY 到CO欄位'!$1:$1048576,80,0),0)</f>
        <v>0</v>
      </c>
      <c r="S86" s="157">
        <f>IFERROR(VLOOKUP($A86,'Over Under Bill 1 COPY 到CO欄位'!$1:$1048576,85,0),0)</f>
        <v>0</v>
      </c>
      <c r="T86" s="157">
        <f>IFERROR(VLOOKUP($A86,'Over Under Bill 1 COPY 到CO欄位'!$1:$1048576,90,0),0)</f>
        <v>0</v>
      </c>
    </row>
    <row r="87" spans="1:20" ht="15" customHeight="1">
      <c r="A87" s="171" t="s">
        <v>463</v>
      </c>
      <c r="B87" s="172" t="s">
        <v>350</v>
      </c>
      <c r="C87" s="157">
        <f>IFERROR(VLOOKUP($A87,'Over Under Bill 1 COPY 到CO欄位'!$1:$1048576,5,0),0)</f>
        <v>0</v>
      </c>
      <c r="D87" s="157">
        <f>IFERROR(VLOOKUP($A87,'Over Under Bill 1 COPY 到CO欄位'!$1:$1048576,10,0),0)</f>
        <v>0</v>
      </c>
      <c r="E87" s="157">
        <f>IFERROR(VLOOKUP($A87,'Over Under Bill 1 COPY 到CO欄位'!$1:$1048576,15,0),0)</f>
        <v>0</v>
      </c>
      <c r="F87" s="157">
        <f>IFERROR(VLOOKUP($A87,'Over Under Bill 1 COPY 到CO欄位'!$1:$1048576,20,0),0)</f>
        <v>0</v>
      </c>
      <c r="G87" s="157">
        <f>IFERROR(VLOOKUP($A87,'Over Under Bill 1 COPY 到CO欄位'!$1:$1048576,25,0),0)</f>
        <v>0</v>
      </c>
      <c r="H87" s="157">
        <f>IFERROR(VLOOKUP($A87,'Over Under Bill 1 COPY 到CO欄位'!$1:$1048576,30,0),0)</f>
        <v>0</v>
      </c>
      <c r="I87" s="157">
        <f>IFERROR(VLOOKUP($A87,'Over Under Bill 1 COPY 到CO欄位'!$1:$1048576,35,0),0)</f>
        <v>0</v>
      </c>
      <c r="J87" s="157">
        <f>IFERROR(VLOOKUP($A87,'Over Under Bill 1 COPY 到CO欄位'!$1:$1048576,40,0),0)</f>
        <v>0</v>
      </c>
      <c r="K87" s="157">
        <f>IFERROR(VLOOKUP($A87,'Over Under Bill 1 COPY 到CO欄位'!$1:$1048576,45,0),0)</f>
        <v>0</v>
      </c>
      <c r="L87" s="157">
        <f>IFERROR(VLOOKUP($A87,'Over Under Bill 1 COPY 到CO欄位'!$1:$1048576,50,0),0)</f>
        <v>0</v>
      </c>
      <c r="M87" s="157">
        <f>IFERROR(VLOOKUP($A87,'Over Under Bill 1 COPY 到CO欄位'!$1:$1048576,55,0),0)</f>
        <v>0</v>
      </c>
      <c r="N87" s="157">
        <f>IFERROR(VLOOKUP($A87,'Over Under Bill 1 COPY 到CO欄位'!$1:$1048576,60,0),0)</f>
        <v>0</v>
      </c>
      <c r="O87" s="157">
        <f>IFERROR(VLOOKUP($A87,'Over Under Bill 1 COPY 到CO欄位'!$1:$1048576,65,0),0)</f>
        <v>0</v>
      </c>
      <c r="P87" s="157">
        <f>IFERROR(VLOOKUP($A87,'Over Under Bill 1 COPY 到CO欄位'!$1:$1048576,70,0),0)</f>
        <v>0</v>
      </c>
      <c r="Q87" s="157">
        <f>IFERROR(VLOOKUP($A87,'Over Under Bill 1 COPY 到CO欄位'!$1:$1048576,75,0),0)</f>
        <v>0</v>
      </c>
      <c r="R87" s="157">
        <f>IFERROR(VLOOKUP($A87,'Over Under Bill 1 COPY 到CO欄位'!$1:$1048576,80,0),0)</f>
        <v>0</v>
      </c>
      <c r="S87" s="157">
        <f>IFERROR(VLOOKUP($A87,'Over Under Bill 1 COPY 到CO欄位'!$1:$1048576,85,0),0)</f>
        <v>0</v>
      </c>
      <c r="T87" s="157">
        <f>IFERROR(VLOOKUP($A87,'Over Under Bill 1 COPY 到CO欄位'!$1:$1048576,90,0),0)</f>
        <v>0</v>
      </c>
    </row>
    <row r="88" spans="1:20">
      <c r="A88" s="171" t="s">
        <v>464</v>
      </c>
      <c r="B88" s="172" t="s">
        <v>352</v>
      </c>
      <c r="C88" s="157">
        <f>IFERROR(VLOOKUP($A88,'Over Under Bill 1 COPY 到CO欄位'!$1:$1048576,5,0),0)</f>
        <v>0</v>
      </c>
      <c r="D88" s="157">
        <f>IFERROR(VLOOKUP($A88,'Over Under Bill 1 COPY 到CO欄位'!$1:$1048576,10,0),0)</f>
        <v>0</v>
      </c>
      <c r="E88" s="157">
        <f>IFERROR(VLOOKUP($A88,'Over Under Bill 1 COPY 到CO欄位'!$1:$1048576,15,0),0)</f>
        <v>0</v>
      </c>
      <c r="F88" s="157">
        <f>IFERROR(VLOOKUP($A88,'Over Under Bill 1 COPY 到CO欄位'!$1:$1048576,20,0),0)</f>
        <v>0</v>
      </c>
      <c r="G88" s="157">
        <f>IFERROR(VLOOKUP($A88,'Over Under Bill 1 COPY 到CO欄位'!$1:$1048576,25,0),0)</f>
        <v>0</v>
      </c>
      <c r="H88" s="157">
        <f>IFERROR(VLOOKUP($A88,'Over Under Bill 1 COPY 到CO欄位'!$1:$1048576,30,0),0)</f>
        <v>0</v>
      </c>
      <c r="I88" s="157">
        <f>IFERROR(VLOOKUP($A88,'Over Under Bill 1 COPY 到CO欄位'!$1:$1048576,35,0),0)</f>
        <v>0</v>
      </c>
      <c r="J88" s="157">
        <f>IFERROR(VLOOKUP($A88,'Over Under Bill 1 COPY 到CO欄位'!$1:$1048576,40,0),0)</f>
        <v>0</v>
      </c>
      <c r="K88" s="157">
        <f>IFERROR(VLOOKUP($A88,'Over Under Bill 1 COPY 到CO欄位'!$1:$1048576,45,0),0)</f>
        <v>0</v>
      </c>
      <c r="L88" s="157">
        <f>IFERROR(VLOOKUP($A88,'Over Under Bill 1 COPY 到CO欄位'!$1:$1048576,50,0),0)</f>
        <v>0</v>
      </c>
      <c r="M88" s="157">
        <f>IFERROR(VLOOKUP($A88,'Over Under Bill 1 COPY 到CO欄位'!$1:$1048576,55,0),0)</f>
        <v>0</v>
      </c>
      <c r="N88" s="157">
        <f>IFERROR(VLOOKUP($A88,'Over Under Bill 1 COPY 到CO欄位'!$1:$1048576,60,0),0)</f>
        <v>0</v>
      </c>
      <c r="O88" s="157">
        <f>IFERROR(VLOOKUP($A88,'Over Under Bill 1 COPY 到CO欄位'!$1:$1048576,65,0),0)</f>
        <v>0</v>
      </c>
      <c r="P88" s="157">
        <f>IFERROR(VLOOKUP($A88,'Over Under Bill 1 COPY 到CO欄位'!$1:$1048576,70,0),0)</f>
        <v>0</v>
      </c>
      <c r="Q88" s="157">
        <f>IFERROR(VLOOKUP($A88,'Over Under Bill 1 COPY 到CO欄位'!$1:$1048576,75,0),0)</f>
        <v>0</v>
      </c>
      <c r="R88" s="157">
        <f>IFERROR(VLOOKUP($A88,'Over Under Bill 1 COPY 到CO欄位'!$1:$1048576,80,0),0)</f>
        <v>0</v>
      </c>
      <c r="S88" s="157">
        <f>IFERROR(VLOOKUP($A88,'Over Under Bill 1 COPY 到CO欄位'!$1:$1048576,85,0),0)</f>
        <v>0</v>
      </c>
      <c r="T88" s="157">
        <f>IFERROR(VLOOKUP($A88,'Over Under Bill 1 COPY 到CO欄位'!$1:$1048576,90,0),0)</f>
        <v>0</v>
      </c>
    </row>
    <row r="89" spans="1:20">
      <c r="A89" s="179" t="s">
        <v>465</v>
      </c>
      <c r="B89" s="172" t="s">
        <v>466</v>
      </c>
      <c r="C89" s="157">
        <f>IFERROR(VLOOKUP($A89,'Over Under Bill 1 COPY 到CO欄位'!$1:$1048576,5,0),0)</f>
        <v>0</v>
      </c>
      <c r="D89" s="157">
        <f>IFERROR(VLOOKUP($A89,'Over Under Bill 1 COPY 到CO欄位'!$1:$1048576,10,0),0)</f>
        <v>0</v>
      </c>
      <c r="E89" s="157">
        <f>IFERROR(VLOOKUP($A89,'Over Under Bill 1 COPY 到CO欄位'!$1:$1048576,15,0),0)</f>
        <v>0</v>
      </c>
      <c r="F89" s="157">
        <f>IFERROR(VLOOKUP($A89,'Over Under Bill 1 COPY 到CO欄位'!$1:$1048576,20,0),0)</f>
        <v>0</v>
      </c>
      <c r="G89" s="157">
        <f>IFERROR(VLOOKUP($A89,'Over Under Bill 1 COPY 到CO欄位'!$1:$1048576,25,0),0)</f>
        <v>0</v>
      </c>
      <c r="H89" s="157">
        <f>IFERROR(VLOOKUP($A89,'Over Under Bill 1 COPY 到CO欄位'!$1:$1048576,30,0),0)</f>
        <v>0</v>
      </c>
      <c r="I89" s="157">
        <f>IFERROR(VLOOKUP($A89,'Over Under Bill 1 COPY 到CO欄位'!$1:$1048576,35,0),0)</f>
        <v>0</v>
      </c>
      <c r="J89" s="157">
        <f>IFERROR(VLOOKUP($A89,'Over Under Bill 1 COPY 到CO欄位'!$1:$1048576,40,0),0)</f>
        <v>0</v>
      </c>
      <c r="K89" s="157">
        <f>IFERROR(VLOOKUP($A89,'Over Under Bill 1 COPY 到CO欄位'!$1:$1048576,45,0),0)</f>
        <v>0</v>
      </c>
      <c r="L89" s="157">
        <f>IFERROR(VLOOKUP($A89,'Over Under Bill 1 COPY 到CO欄位'!$1:$1048576,50,0),0)</f>
        <v>0</v>
      </c>
      <c r="M89" s="157">
        <f>IFERROR(VLOOKUP($A89,'Over Under Bill 1 COPY 到CO欄位'!$1:$1048576,55,0),0)</f>
        <v>0</v>
      </c>
      <c r="N89" s="157">
        <f>IFERROR(VLOOKUP($A89,'Over Under Bill 1 COPY 到CO欄位'!$1:$1048576,60,0),0)</f>
        <v>0</v>
      </c>
      <c r="O89" s="157">
        <f>IFERROR(VLOOKUP($A89,'Over Under Bill 1 COPY 到CO欄位'!$1:$1048576,65,0),0)</f>
        <v>0</v>
      </c>
      <c r="P89" s="157">
        <f>IFERROR(VLOOKUP($A89,'Over Under Bill 1 COPY 到CO欄位'!$1:$1048576,70,0),0)</f>
        <v>0</v>
      </c>
      <c r="Q89" s="157">
        <f>IFERROR(VLOOKUP($A89,'Over Under Bill 1 COPY 到CO欄位'!$1:$1048576,75,0),0)</f>
        <v>0</v>
      </c>
      <c r="R89" s="157">
        <f>IFERROR(VLOOKUP($A89,'Over Under Bill 1 COPY 到CO欄位'!$1:$1048576,80,0),0)</f>
        <v>0</v>
      </c>
      <c r="S89" s="157">
        <f>IFERROR(VLOOKUP($A89,'Over Under Bill 1 COPY 到CO欄位'!$1:$1048576,85,0),0)</f>
        <v>0</v>
      </c>
      <c r="T89" s="157">
        <f>IFERROR(VLOOKUP($A89,'Over Under Bill 1 COPY 到CO欄位'!$1:$1048576,90,0),0)</f>
        <v>0</v>
      </c>
    </row>
    <row r="90" spans="1:20">
      <c r="A90" s="179"/>
      <c r="B90" s="180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</row>
    <row r="91" spans="1:20">
      <c r="A91" s="179" t="s">
        <v>467</v>
      </c>
      <c r="B91" s="172" t="s">
        <v>468</v>
      </c>
      <c r="C91" s="157">
        <f>IFERROR(VLOOKUP($A91,'Over Under Bill 1 COPY 到CO欄位'!$1:$1048576,5,0),0)</f>
        <v>0</v>
      </c>
      <c r="D91" s="157">
        <f>IFERROR(VLOOKUP($A91,'Over Under Bill 1 COPY 到CO欄位'!$1:$1048576,10,0),0)</f>
        <v>0</v>
      </c>
      <c r="E91" s="157">
        <f>IFERROR(VLOOKUP($A91,'Over Under Bill 1 COPY 到CO欄位'!$1:$1048576,15,0),0)</f>
        <v>0</v>
      </c>
      <c r="F91" s="157">
        <f>IFERROR(VLOOKUP($A91,'Over Under Bill 1 COPY 到CO欄位'!$1:$1048576,20,0),0)</f>
        <v>0</v>
      </c>
      <c r="G91" s="157">
        <f>IFERROR(VLOOKUP($A91,'Over Under Bill 1 COPY 到CO欄位'!$1:$1048576,25,0),0)</f>
        <v>0</v>
      </c>
      <c r="H91" s="157">
        <f>IFERROR(VLOOKUP($A91,'Over Under Bill 1 COPY 到CO欄位'!$1:$1048576,30,0),0)</f>
        <v>0</v>
      </c>
      <c r="I91" s="157">
        <f>IFERROR(VLOOKUP($A91,'Over Under Bill 1 COPY 到CO欄位'!$1:$1048576,35,0),0)</f>
        <v>0</v>
      </c>
      <c r="J91" s="157">
        <f>IFERROR(VLOOKUP($A91,'Over Under Bill 1 COPY 到CO欄位'!$1:$1048576,40,0),0)</f>
        <v>0</v>
      </c>
      <c r="K91" s="157">
        <f>IFERROR(VLOOKUP($A91,'Over Under Bill 1 COPY 到CO欄位'!$1:$1048576,45,0),0)</f>
        <v>0</v>
      </c>
      <c r="L91" s="157">
        <f>IFERROR(VLOOKUP($A91,'Over Under Bill 1 COPY 到CO欄位'!$1:$1048576,50,0),0)</f>
        <v>0</v>
      </c>
      <c r="M91" s="157">
        <f>IFERROR(VLOOKUP($A91,'Over Under Bill 1 COPY 到CO欄位'!$1:$1048576,55,0),0)</f>
        <v>0</v>
      </c>
      <c r="N91" s="157">
        <f>IFERROR(VLOOKUP($A91,'Over Under Bill 1 COPY 到CO欄位'!$1:$1048576,60,0),0)</f>
        <v>0</v>
      </c>
      <c r="O91" s="157">
        <f>IFERROR(VLOOKUP($A91,'Over Under Bill 1 COPY 到CO欄位'!$1:$1048576,65,0),0)</f>
        <v>0</v>
      </c>
      <c r="P91" s="157">
        <f>IFERROR(VLOOKUP($A91,'Over Under Bill 1 COPY 到CO欄位'!$1:$1048576,70,0),0)</f>
        <v>0</v>
      </c>
      <c r="Q91" s="157">
        <f>IFERROR(VLOOKUP($A91,'Over Under Bill 1 COPY 到CO欄位'!$1:$1048576,75,0),0)</f>
        <v>0</v>
      </c>
      <c r="R91" s="157">
        <f>IFERROR(VLOOKUP($A91,'Over Under Bill 1 COPY 到CO欄位'!$1:$1048576,80,0),0)</f>
        <v>0</v>
      </c>
      <c r="S91" s="157">
        <f>IFERROR(VLOOKUP($A91,'Over Under Bill 1 COPY 到CO欄位'!$1:$1048576,85,0),0)</f>
        <v>0</v>
      </c>
      <c r="T91" s="157">
        <f>IFERROR(VLOOKUP($A91,'Over Under Bill 1 COPY 到CO欄位'!$1:$1048576,90,0),0)</f>
        <v>0</v>
      </c>
    </row>
    <row r="92" spans="1:20">
      <c r="A92" s="179" t="s">
        <v>469</v>
      </c>
      <c r="B92" s="172" t="s">
        <v>470</v>
      </c>
      <c r="C92" s="157">
        <f>IFERROR(VLOOKUP($A92,'Over Under Bill 1 COPY 到CO欄位'!$1:$1048576,5,0),0)</f>
        <v>0</v>
      </c>
      <c r="D92" s="157">
        <f>IFERROR(VLOOKUP($A92,'Over Under Bill 1 COPY 到CO欄位'!$1:$1048576,10,0),0)</f>
        <v>0</v>
      </c>
      <c r="E92" s="157">
        <f>IFERROR(VLOOKUP($A92,'Over Under Bill 1 COPY 到CO欄位'!$1:$1048576,15,0),0)</f>
        <v>0</v>
      </c>
      <c r="F92" s="157">
        <f>IFERROR(VLOOKUP($A92,'Over Under Bill 1 COPY 到CO欄位'!$1:$1048576,20,0),0)</f>
        <v>0</v>
      </c>
      <c r="G92" s="157">
        <f>IFERROR(VLOOKUP($A92,'Over Under Bill 1 COPY 到CO欄位'!$1:$1048576,25,0),0)</f>
        <v>0</v>
      </c>
      <c r="H92" s="157">
        <f>IFERROR(VLOOKUP($A92,'Over Under Bill 1 COPY 到CO欄位'!$1:$1048576,30,0),0)</f>
        <v>0</v>
      </c>
      <c r="I92" s="157">
        <f>IFERROR(VLOOKUP($A92,'Over Under Bill 1 COPY 到CO欄位'!$1:$1048576,35,0),0)</f>
        <v>0</v>
      </c>
      <c r="J92" s="157">
        <f>IFERROR(VLOOKUP($A92,'Over Under Bill 1 COPY 到CO欄位'!$1:$1048576,40,0),0)</f>
        <v>0</v>
      </c>
      <c r="K92" s="157">
        <f>IFERROR(VLOOKUP($A92,'Over Under Bill 1 COPY 到CO欄位'!$1:$1048576,45,0),0)</f>
        <v>0</v>
      </c>
      <c r="L92" s="157">
        <f>IFERROR(VLOOKUP($A92,'Over Under Bill 1 COPY 到CO欄位'!$1:$1048576,50,0),0)</f>
        <v>0</v>
      </c>
      <c r="M92" s="157">
        <f>IFERROR(VLOOKUP($A92,'Over Under Bill 1 COPY 到CO欄位'!$1:$1048576,55,0),0)</f>
        <v>0</v>
      </c>
      <c r="N92" s="157">
        <f>IFERROR(VLOOKUP($A92,'Over Under Bill 1 COPY 到CO欄位'!$1:$1048576,60,0),0)</f>
        <v>0</v>
      </c>
      <c r="O92" s="157">
        <f>IFERROR(VLOOKUP($A92,'Over Under Bill 1 COPY 到CO欄位'!$1:$1048576,65,0),0)</f>
        <v>0</v>
      </c>
      <c r="P92" s="157">
        <f>IFERROR(VLOOKUP($A92,'Over Under Bill 1 COPY 到CO欄位'!$1:$1048576,70,0),0)</f>
        <v>0</v>
      </c>
      <c r="Q92" s="157">
        <f>IFERROR(VLOOKUP($A92,'Over Under Bill 1 COPY 到CO欄位'!$1:$1048576,75,0),0)</f>
        <v>0</v>
      </c>
      <c r="R92" s="157">
        <f>IFERROR(VLOOKUP($A92,'Over Under Bill 1 COPY 到CO欄位'!$1:$1048576,80,0),0)</f>
        <v>0</v>
      </c>
      <c r="S92" s="157">
        <f>IFERROR(VLOOKUP($A92,'Over Under Bill 1 COPY 到CO欄位'!$1:$1048576,85,0),0)</f>
        <v>0</v>
      </c>
      <c r="T92" s="157">
        <f>IFERROR(VLOOKUP($A92,'Over Under Bill 1 COPY 到CO欄位'!$1:$1048576,90,0),0)</f>
        <v>0</v>
      </c>
    </row>
    <row r="93" spans="1:20">
      <c r="A93" s="179" t="s">
        <v>471</v>
      </c>
      <c r="B93" s="172" t="s">
        <v>472</v>
      </c>
      <c r="C93" s="157">
        <f>IFERROR(VLOOKUP($A93,'Over Under Bill 1 COPY 到CO欄位'!$1:$1048576,5,0),0)</f>
        <v>0</v>
      </c>
      <c r="D93" s="157">
        <f>IFERROR(VLOOKUP($A93,'Over Under Bill 1 COPY 到CO欄位'!$1:$1048576,10,0),0)</f>
        <v>0</v>
      </c>
      <c r="E93" s="157">
        <f>IFERROR(VLOOKUP($A93,'Over Under Bill 1 COPY 到CO欄位'!$1:$1048576,15,0),0)</f>
        <v>0</v>
      </c>
      <c r="F93" s="157">
        <f>IFERROR(VLOOKUP($A93,'Over Under Bill 1 COPY 到CO欄位'!$1:$1048576,20,0),0)</f>
        <v>0</v>
      </c>
      <c r="G93" s="157">
        <f>IFERROR(VLOOKUP($A93,'Over Under Bill 1 COPY 到CO欄位'!$1:$1048576,25,0),0)</f>
        <v>0</v>
      </c>
      <c r="H93" s="157">
        <f>IFERROR(VLOOKUP($A93,'Over Under Bill 1 COPY 到CO欄位'!$1:$1048576,30,0),0)</f>
        <v>0</v>
      </c>
      <c r="I93" s="157">
        <f>IFERROR(VLOOKUP($A93,'Over Under Bill 1 COPY 到CO欄位'!$1:$1048576,35,0),0)</f>
        <v>0</v>
      </c>
      <c r="J93" s="157">
        <f>IFERROR(VLOOKUP($A93,'Over Under Bill 1 COPY 到CO欄位'!$1:$1048576,40,0),0)</f>
        <v>0</v>
      </c>
      <c r="K93" s="157">
        <f>IFERROR(VLOOKUP($A93,'Over Under Bill 1 COPY 到CO欄位'!$1:$1048576,45,0),0)</f>
        <v>0</v>
      </c>
      <c r="L93" s="157">
        <f>IFERROR(VLOOKUP($A93,'Over Under Bill 1 COPY 到CO欄位'!$1:$1048576,50,0),0)</f>
        <v>0</v>
      </c>
      <c r="M93" s="157">
        <f>IFERROR(VLOOKUP($A93,'Over Under Bill 1 COPY 到CO欄位'!$1:$1048576,55,0),0)</f>
        <v>0</v>
      </c>
      <c r="N93" s="157">
        <f>IFERROR(VLOOKUP($A93,'Over Under Bill 1 COPY 到CO欄位'!$1:$1048576,60,0),0)</f>
        <v>0</v>
      </c>
      <c r="O93" s="157">
        <f>IFERROR(VLOOKUP($A93,'Over Under Bill 1 COPY 到CO欄位'!$1:$1048576,65,0),0)</f>
        <v>0</v>
      </c>
      <c r="P93" s="157">
        <f>IFERROR(VLOOKUP($A93,'Over Under Bill 1 COPY 到CO欄位'!$1:$1048576,70,0),0)</f>
        <v>0</v>
      </c>
      <c r="Q93" s="157">
        <f>IFERROR(VLOOKUP($A93,'Over Under Bill 1 COPY 到CO欄位'!$1:$1048576,75,0),0)</f>
        <v>0</v>
      </c>
      <c r="R93" s="157">
        <f>IFERROR(VLOOKUP($A93,'Over Under Bill 1 COPY 到CO欄位'!$1:$1048576,80,0),0)</f>
        <v>0</v>
      </c>
      <c r="S93" s="157">
        <f>IFERROR(VLOOKUP($A93,'Over Under Bill 1 COPY 到CO欄位'!$1:$1048576,85,0),0)</f>
        <v>0</v>
      </c>
      <c r="T93" s="157">
        <f>IFERROR(VLOOKUP($A93,'Over Under Bill 1 COPY 到CO欄位'!$1:$1048576,90,0),0)</f>
        <v>0</v>
      </c>
    </row>
    <row r="94" spans="1:20">
      <c r="A94" s="179" t="s">
        <v>473</v>
      </c>
      <c r="B94" s="172" t="s">
        <v>474</v>
      </c>
      <c r="C94" s="157">
        <f>IFERROR(VLOOKUP($A94,'Over Under Bill 1 COPY 到CO欄位'!$1:$1048576,5,0),0)</f>
        <v>0</v>
      </c>
      <c r="D94" s="157">
        <f>IFERROR(VLOOKUP($A94,'Over Under Bill 1 COPY 到CO欄位'!$1:$1048576,10,0),0)</f>
        <v>0</v>
      </c>
      <c r="E94" s="157">
        <f>IFERROR(VLOOKUP($A94,'Over Under Bill 1 COPY 到CO欄位'!$1:$1048576,15,0),0)</f>
        <v>0</v>
      </c>
      <c r="F94" s="157">
        <f>IFERROR(VLOOKUP($A94,'Over Under Bill 1 COPY 到CO欄位'!$1:$1048576,20,0),0)</f>
        <v>0</v>
      </c>
      <c r="G94" s="157">
        <f>IFERROR(VLOOKUP($A94,'Over Under Bill 1 COPY 到CO欄位'!$1:$1048576,25,0),0)</f>
        <v>0</v>
      </c>
      <c r="H94" s="157">
        <f>IFERROR(VLOOKUP($A94,'Over Under Bill 1 COPY 到CO欄位'!$1:$1048576,30,0),0)</f>
        <v>0</v>
      </c>
      <c r="I94" s="157">
        <f>IFERROR(VLOOKUP($A94,'Over Under Bill 1 COPY 到CO欄位'!$1:$1048576,35,0),0)</f>
        <v>0</v>
      </c>
      <c r="J94" s="157">
        <f>IFERROR(VLOOKUP($A94,'Over Under Bill 1 COPY 到CO欄位'!$1:$1048576,40,0),0)</f>
        <v>0</v>
      </c>
      <c r="K94" s="157">
        <f>IFERROR(VLOOKUP($A94,'Over Under Bill 1 COPY 到CO欄位'!$1:$1048576,45,0),0)</f>
        <v>0</v>
      </c>
      <c r="L94" s="157">
        <f>IFERROR(VLOOKUP($A94,'Over Under Bill 1 COPY 到CO欄位'!$1:$1048576,50,0),0)</f>
        <v>0</v>
      </c>
      <c r="M94" s="157">
        <f>IFERROR(VLOOKUP($A94,'Over Under Bill 1 COPY 到CO欄位'!$1:$1048576,55,0),0)</f>
        <v>0</v>
      </c>
      <c r="N94" s="157">
        <f>IFERROR(VLOOKUP($A94,'Over Under Bill 1 COPY 到CO欄位'!$1:$1048576,60,0),0)</f>
        <v>0</v>
      </c>
      <c r="O94" s="157">
        <f>IFERROR(VLOOKUP($A94,'Over Under Bill 1 COPY 到CO欄位'!$1:$1048576,65,0),0)</f>
        <v>0</v>
      </c>
      <c r="P94" s="157">
        <f>IFERROR(VLOOKUP($A94,'Over Under Bill 1 COPY 到CO欄位'!$1:$1048576,70,0),0)</f>
        <v>0</v>
      </c>
      <c r="Q94" s="157">
        <f>IFERROR(VLOOKUP($A94,'Over Under Bill 1 COPY 到CO欄位'!$1:$1048576,75,0),0)</f>
        <v>0</v>
      </c>
      <c r="R94" s="157">
        <f>IFERROR(VLOOKUP($A94,'Over Under Bill 1 COPY 到CO欄位'!$1:$1048576,80,0),0)</f>
        <v>0</v>
      </c>
      <c r="S94" s="157">
        <f>IFERROR(VLOOKUP($A94,'Over Under Bill 1 COPY 到CO欄位'!$1:$1048576,85,0),0)</f>
        <v>0</v>
      </c>
      <c r="T94" s="157">
        <f>IFERROR(VLOOKUP($A94,'Over Under Bill 1 COPY 到CO欄位'!$1:$1048576,90,0),0)</f>
        <v>0</v>
      </c>
    </row>
    <row r="95" spans="1:20">
      <c r="A95" s="179" t="s">
        <v>475</v>
      </c>
      <c r="B95" s="180" t="s">
        <v>545</v>
      </c>
      <c r="C95" s="157">
        <f>IFERROR(VLOOKUP($A95,'Over Under Bill 1 COPY 到CO欄位'!$1:$1048576,5,0),0)</f>
        <v>0</v>
      </c>
      <c r="D95" s="157">
        <f>IFERROR(VLOOKUP($A95,'Over Under Bill 1 COPY 到CO欄位'!$1:$1048576,10,0),0)</f>
        <v>0</v>
      </c>
      <c r="E95" s="157">
        <f>IFERROR(VLOOKUP($A95,'Over Under Bill 1 COPY 到CO欄位'!$1:$1048576,15,0),0)</f>
        <v>0</v>
      </c>
      <c r="F95" s="157">
        <f>IFERROR(VLOOKUP($A95,'Over Under Bill 1 COPY 到CO欄位'!$1:$1048576,20,0),0)</f>
        <v>0</v>
      </c>
      <c r="G95" s="157">
        <f>IFERROR(VLOOKUP($A95,'Over Under Bill 1 COPY 到CO欄位'!$1:$1048576,25,0),0)</f>
        <v>0</v>
      </c>
      <c r="H95" s="157">
        <f>IFERROR(VLOOKUP($A95,'Over Under Bill 1 COPY 到CO欄位'!$1:$1048576,30,0),0)</f>
        <v>0</v>
      </c>
      <c r="I95" s="157">
        <f>IFERROR(VLOOKUP($A95,'Over Under Bill 1 COPY 到CO欄位'!$1:$1048576,35,0),0)</f>
        <v>0</v>
      </c>
      <c r="J95" s="157">
        <f>IFERROR(VLOOKUP($A95,'Over Under Bill 1 COPY 到CO欄位'!$1:$1048576,40,0),0)</f>
        <v>0</v>
      </c>
      <c r="K95" s="157">
        <f>IFERROR(VLOOKUP($A95,'Over Under Bill 1 COPY 到CO欄位'!$1:$1048576,45,0),0)</f>
        <v>0</v>
      </c>
      <c r="L95" s="157">
        <f>IFERROR(VLOOKUP($A95,'Over Under Bill 1 COPY 到CO欄位'!$1:$1048576,50,0),0)</f>
        <v>0</v>
      </c>
      <c r="M95" s="157">
        <f>IFERROR(VLOOKUP($A95,'Over Under Bill 1 COPY 到CO欄位'!$1:$1048576,55,0),0)</f>
        <v>0</v>
      </c>
      <c r="N95" s="157">
        <f>IFERROR(VLOOKUP($A95,'Over Under Bill 1 COPY 到CO欄位'!$1:$1048576,60,0),0)</f>
        <v>0</v>
      </c>
      <c r="O95" s="157">
        <f>IFERROR(VLOOKUP($A95,'Over Under Bill 1 COPY 到CO欄位'!$1:$1048576,65,0),0)</f>
        <v>0</v>
      </c>
      <c r="P95" s="157">
        <f>IFERROR(VLOOKUP($A95,'Over Under Bill 1 COPY 到CO欄位'!$1:$1048576,70,0),0)</f>
        <v>0</v>
      </c>
      <c r="Q95" s="157">
        <f>IFERROR(VLOOKUP($A95,'Over Under Bill 1 COPY 到CO欄位'!$1:$1048576,75,0),0)</f>
        <v>0</v>
      </c>
      <c r="R95" s="157">
        <f>IFERROR(VLOOKUP($A95,'Over Under Bill 1 COPY 到CO欄位'!$1:$1048576,80,0),0)</f>
        <v>0</v>
      </c>
      <c r="S95" s="157">
        <f>IFERROR(VLOOKUP($A95,'Over Under Bill 1 COPY 到CO欄位'!$1:$1048576,85,0),0)</f>
        <v>0</v>
      </c>
      <c r="T95" s="157">
        <f>IFERROR(VLOOKUP($A95,'Over Under Bill 1 COPY 到CO欄位'!$1:$1048576,90,0),0)</f>
        <v>0</v>
      </c>
    </row>
    <row r="96" spans="1:20">
      <c r="A96" s="179" t="s">
        <v>477</v>
      </c>
      <c r="B96" s="172" t="s">
        <v>478</v>
      </c>
      <c r="C96" s="157">
        <f>IFERROR(VLOOKUP($A96,'Over Under Bill 1 COPY 到CO欄位'!$1:$1048576,5,0),0)</f>
        <v>0</v>
      </c>
      <c r="D96" s="157">
        <f>IFERROR(VLOOKUP($A96,'Over Under Bill 1 COPY 到CO欄位'!$1:$1048576,10,0),0)</f>
        <v>0</v>
      </c>
      <c r="E96" s="157">
        <f>IFERROR(VLOOKUP($A96,'Over Under Bill 1 COPY 到CO欄位'!$1:$1048576,15,0),0)</f>
        <v>0</v>
      </c>
      <c r="F96" s="157">
        <f>IFERROR(VLOOKUP($A96,'Over Under Bill 1 COPY 到CO欄位'!$1:$1048576,20,0),0)</f>
        <v>0</v>
      </c>
      <c r="G96" s="157">
        <f>IFERROR(VLOOKUP($A96,'Over Under Bill 1 COPY 到CO欄位'!$1:$1048576,25,0),0)</f>
        <v>0</v>
      </c>
      <c r="H96" s="157">
        <f>IFERROR(VLOOKUP($A96,'Over Under Bill 1 COPY 到CO欄位'!$1:$1048576,30,0),0)</f>
        <v>0</v>
      </c>
      <c r="I96" s="157">
        <f>IFERROR(VLOOKUP($A96,'Over Under Bill 1 COPY 到CO欄位'!$1:$1048576,35,0),0)</f>
        <v>0</v>
      </c>
      <c r="J96" s="157">
        <f>IFERROR(VLOOKUP($A96,'Over Under Bill 1 COPY 到CO欄位'!$1:$1048576,40,0),0)</f>
        <v>0</v>
      </c>
      <c r="K96" s="157">
        <f>IFERROR(VLOOKUP($A96,'Over Under Bill 1 COPY 到CO欄位'!$1:$1048576,45,0),0)</f>
        <v>0</v>
      </c>
      <c r="L96" s="157">
        <f>IFERROR(VLOOKUP($A96,'Over Under Bill 1 COPY 到CO欄位'!$1:$1048576,50,0),0)</f>
        <v>0</v>
      </c>
      <c r="M96" s="157">
        <f>IFERROR(VLOOKUP($A96,'Over Under Bill 1 COPY 到CO欄位'!$1:$1048576,55,0),0)</f>
        <v>0</v>
      </c>
      <c r="N96" s="157">
        <f>IFERROR(VLOOKUP($A96,'Over Under Bill 1 COPY 到CO欄位'!$1:$1048576,60,0),0)</f>
        <v>0</v>
      </c>
      <c r="O96" s="157">
        <f>IFERROR(VLOOKUP($A96,'Over Under Bill 1 COPY 到CO欄位'!$1:$1048576,65,0),0)</f>
        <v>0</v>
      </c>
      <c r="P96" s="157">
        <f>IFERROR(VLOOKUP($A96,'Over Under Bill 1 COPY 到CO欄位'!$1:$1048576,70,0),0)</f>
        <v>0</v>
      </c>
      <c r="Q96" s="157">
        <f>IFERROR(VLOOKUP($A96,'Over Under Bill 1 COPY 到CO欄位'!$1:$1048576,75,0),0)</f>
        <v>0</v>
      </c>
      <c r="R96" s="157">
        <f>IFERROR(VLOOKUP($A96,'Over Under Bill 1 COPY 到CO欄位'!$1:$1048576,80,0),0)</f>
        <v>0</v>
      </c>
      <c r="S96" s="157">
        <f>IFERROR(VLOOKUP($A96,'Over Under Bill 1 COPY 到CO欄位'!$1:$1048576,85,0),0)</f>
        <v>0</v>
      </c>
      <c r="T96" s="157">
        <f>IFERROR(VLOOKUP($A96,'Over Under Bill 1 COPY 到CO欄位'!$1:$1048576,90,0),0)</f>
        <v>0</v>
      </c>
    </row>
    <row r="97" spans="1:20">
      <c r="A97" s="179" t="s">
        <v>479</v>
      </c>
      <c r="B97" s="180" t="s">
        <v>480</v>
      </c>
      <c r="C97" s="157">
        <f>IFERROR(VLOOKUP($A97,'Over Under Bill 1 COPY 到CO欄位'!$1:$1048576,5,0),0)</f>
        <v>0</v>
      </c>
      <c r="D97" s="157">
        <f>IFERROR(VLOOKUP($A97,'Over Under Bill 1 COPY 到CO欄位'!$1:$1048576,10,0),0)</f>
        <v>0</v>
      </c>
      <c r="E97" s="157">
        <f>IFERROR(VLOOKUP($A97,'Over Under Bill 1 COPY 到CO欄位'!$1:$1048576,15,0),0)</f>
        <v>0</v>
      </c>
      <c r="F97" s="157">
        <f>IFERROR(VLOOKUP($A97,'Over Under Bill 1 COPY 到CO欄位'!$1:$1048576,20,0),0)</f>
        <v>0</v>
      </c>
      <c r="G97" s="157">
        <f>IFERROR(VLOOKUP($A97,'Over Under Bill 1 COPY 到CO欄位'!$1:$1048576,25,0),0)</f>
        <v>0</v>
      </c>
      <c r="H97" s="157">
        <f>IFERROR(VLOOKUP($A97,'Over Under Bill 1 COPY 到CO欄位'!$1:$1048576,30,0),0)</f>
        <v>0</v>
      </c>
      <c r="I97" s="157">
        <f>IFERROR(VLOOKUP($A97,'Over Under Bill 1 COPY 到CO欄位'!$1:$1048576,35,0),0)</f>
        <v>0</v>
      </c>
      <c r="J97" s="157">
        <f>IFERROR(VLOOKUP($A97,'Over Under Bill 1 COPY 到CO欄位'!$1:$1048576,40,0),0)</f>
        <v>0</v>
      </c>
      <c r="K97" s="157">
        <f>IFERROR(VLOOKUP($A97,'Over Under Bill 1 COPY 到CO欄位'!$1:$1048576,45,0),0)</f>
        <v>0</v>
      </c>
      <c r="L97" s="157">
        <f>IFERROR(VLOOKUP($A97,'Over Under Bill 1 COPY 到CO欄位'!$1:$1048576,50,0),0)</f>
        <v>0</v>
      </c>
      <c r="M97" s="157">
        <f>IFERROR(VLOOKUP($A97,'Over Under Bill 1 COPY 到CO欄位'!$1:$1048576,55,0),0)</f>
        <v>0</v>
      </c>
      <c r="N97" s="157">
        <f>IFERROR(VLOOKUP($A97,'Over Under Bill 1 COPY 到CO欄位'!$1:$1048576,60,0),0)</f>
        <v>0</v>
      </c>
      <c r="O97" s="157">
        <f>IFERROR(VLOOKUP($A97,'Over Under Bill 1 COPY 到CO欄位'!$1:$1048576,65,0),0)</f>
        <v>0</v>
      </c>
      <c r="P97" s="157">
        <f>IFERROR(VLOOKUP($A97,'Over Under Bill 1 COPY 到CO欄位'!$1:$1048576,70,0),0)</f>
        <v>0</v>
      </c>
      <c r="Q97" s="157">
        <f>IFERROR(VLOOKUP($A97,'Over Under Bill 1 COPY 到CO欄位'!$1:$1048576,75,0),0)</f>
        <v>0</v>
      </c>
      <c r="R97" s="157">
        <f>IFERROR(VLOOKUP($A97,'Over Under Bill 1 COPY 到CO欄位'!$1:$1048576,80,0),0)</f>
        <v>0</v>
      </c>
      <c r="S97" s="157">
        <f>IFERROR(VLOOKUP($A97,'Over Under Bill 1 COPY 到CO欄位'!$1:$1048576,85,0),0)</f>
        <v>0</v>
      </c>
      <c r="T97" s="157">
        <f>IFERROR(VLOOKUP($A97,'Over Under Bill 1 COPY 到CO欄位'!$1:$1048576,90,0),0)</f>
        <v>0</v>
      </c>
    </row>
    <row r="98" spans="1:20">
      <c r="A98" s="179" t="s">
        <v>481</v>
      </c>
      <c r="B98" s="172" t="s">
        <v>482</v>
      </c>
      <c r="C98" s="157">
        <f>IFERROR(VLOOKUP($A98,'Over Under Bill 1 COPY 到CO欄位'!$1:$1048576,5,0),0)</f>
        <v>0</v>
      </c>
      <c r="D98" s="157">
        <f>IFERROR(VLOOKUP($A98,'Over Under Bill 1 COPY 到CO欄位'!$1:$1048576,10,0),0)</f>
        <v>0</v>
      </c>
      <c r="E98" s="157">
        <f>IFERROR(VLOOKUP($A98,'Over Under Bill 1 COPY 到CO欄位'!$1:$1048576,15,0),0)</f>
        <v>0</v>
      </c>
      <c r="F98" s="157">
        <f>IFERROR(VLOOKUP($A98,'Over Under Bill 1 COPY 到CO欄位'!$1:$1048576,20,0),0)</f>
        <v>0</v>
      </c>
      <c r="G98" s="157">
        <f>IFERROR(VLOOKUP($A98,'Over Under Bill 1 COPY 到CO欄位'!$1:$1048576,25,0),0)</f>
        <v>0</v>
      </c>
      <c r="H98" s="157">
        <f>IFERROR(VLOOKUP($A98,'Over Under Bill 1 COPY 到CO欄位'!$1:$1048576,30,0),0)</f>
        <v>0</v>
      </c>
      <c r="I98" s="157">
        <f>IFERROR(VLOOKUP($A98,'Over Under Bill 1 COPY 到CO欄位'!$1:$1048576,35,0),0)</f>
        <v>0</v>
      </c>
      <c r="J98" s="157">
        <f>IFERROR(VLOOKUP($A98,'Over Under Bill 1 COPY 到CO欄位'!$1:$1048576,40,0),0)</f>
        <v>0</v>
      </c>
      <c r="K98" s="157">
        <f>IFERROR(VLOOKUP($A98,'Over Under Bill 1 COPY 到CO欄位'!$1:$1048576,45,0),0)</f>
        <v>0</v>
      </c>
      <c r="L98" s="157">
        <f>IFERROR(VLOOKUP($A98,'Over Under Bill 1 COPY 到CO欄位'!$1:$1048576,50,0),0)</f>
        <v>0</v>
      </c>
      <c r="M98" s="157">
        <f>IFERROR(VLOOKUP($A98,'Over Under Bill 1 COPY 到CO欄位'!$1:$1048576,55,0),0)</f>
        <v>0</v>
      </c>
      <c r="N98" s="157">
        <f>IFERROR(VLOOKUP($A98,'Over Under Bill 1 COPY 到CO欄位'!$1:$1048576,60,0),0)</f>
        <v>0</v>
      </c>
      <c r="O98" s="157">
        <f>IFERROR(VLOOKUP($A98,'Over Under Bill 1 COPY 到CO欄位'!$1:$1048576,65,0),0)</f>
        <v>0</v>
      </c>
      <c r="P98" s="157">
        <f>IFERROR(VLOOKUP($A98,'Over Under Bill 1 COPY 到CO欄位'!$1:$1048576,70,0),0)</f>
        <v>0</v>
      </c>
      <c r="Q98" s="157">
        <f>IFERROR(VLOOKUP($A98,'Over Under Bill 1 COPY 到CO欄位'!$1:$1048576,75,0),0)</f>
        <v>0</v>
      </c>
      <c r="R98" s="157">
        <f>IFERROR(VLOOKUP($A98,'Over Under Bill 1 COPY 到CO欄位'!$1:$1048576,80,0),0)</f>
        <v>0</v>
      </c>
      <c r="S98" s="157">
        <f>IFERROR(VLOOKUP($A98,'Over Under Bill 1 COPY 到CO欄位'!$1:$1048576,85,0),0)</f>
        <v>0</v>
      </c>
      <c r="T98" s="157">
        <f>IFERROR(VLOOKUP($A98,'Over Under Bill 1 COPY 到CO欄位'!$1:$1048576,90,0),0)</f>
        <v>0</v>
      </c>
    </row>
    <row r="99" spans="1:20">
      <c r="A99" s="179" t="s">
        <v>483</v>
      </c>
      <c r="B99" s="172" t="s">
        <v>484</v>
      </c>
      <c r="C99" s="157">
        <f>IFERROR(VLOOKUP($A99,'Over Under Bill 1 COPY 到CO欄位'!$1:$1048576,5,0),0)</f>
        <v>0</v>
      </c>
      <c r="D99" s="157">
        <f>IFERROR(VLOOKUP($A99,'Over Under Bill 1 COPY 到CO欄位'!$1:$1048576,10,0),0)</f>
        <v>0</v>
      </c>
      <c r="E99" s="157">
        <f>IFERROR(VLOOKUP($A99,'Over Under Bill 1 COPY 到CO欄位'!$1:$1048576,15,0),0)</f>
        <v>0</v>
      </c>
      <c r="F99" s="157">
        <f>IFERROR(VLOOKUP($A99,'Over Under Bill 1 COPY 到CO欄位'!$1:$1048576,20,0),0)</f>
        <v>0</v>
      </c>
      <c r="G99" s="157">
        <f>IFERROR(VLOOKUP($A99,'Over Under Bill 1 COPY 到CO欄位'!$1:$1048576,25,0),0)</f>
        <v>0</v>
      </c>
      <c r="H99" s="157">
        <f>IFERROR(VLOOKUP($A99,'Over Under Bill 1 COPY 到CO欄位'!$1:$1048576,30,0),0)</f>
        <v>0</v>
      </c>
      <c r="I99" s="157">
        <f>IFERROR(VLOOKUP($A99,'Over Under Bill 1 COPY 到CO欄位'!$1:$1048576,35,0),0)</f>
        <v>0</v>
      </c>
      <c r="J99" s="157">
        <f>IFERROR(VLOOKUP($A99,'Over Under Bill 1 COPY 到CO欄位'!$1:$1048576,40,0),0)</f>
        <v>0</v>
      </c>
      <c r="K99" s="157">
        <f>IFERROR(VLOOKUP($A99,'Over Under Bill 1 COPY 到CO欄位'!$1:$1048576,45,0),0)</f>
        <v>0</v>
      </c>
      <c r="L99" s="157">
        <f>IFERROR(VLOOKUP($A99,'Over Under Bill 1 COPY 到CO欄位'!$1:$1048576,50,0),0)</f>
        <v>0</v>
      </c>
      <c r="M99" s="157">
        <f>IFERROR(VLOOKUP($A99,'Over Under Bill 1 COPY 到CO欄位'!$1:$1048576,55,0),0)</f>
        <v>0</v>
      </c>
      <c r="N99" s="157">
        <f>IFERROR(VLOOKUP($A99,'Over Under Bill 1 COPY 到CO欄位'!$1:$1048576,60,0),0)</f>
        <v>0</v>
      </c>
      <c r="O99" s="157">
        <f>IFERROR(VLOOKUP($A99,'Over Under Bill 1 COPY 到CO欄位'!$1:$1048576,65,0),0)</f>
        <v>0</v>
      </c>
      <c r="P99" s="157">
        <f>IFERROR(VLOOKUP($A99,'Over Under Bill 1 COPY 到CO欄位'!$1:$1048576,70,0),0)</f>
        <v>0</v>
      </c>
      <c r="Q99" s="157">
        <f>IFERROR(VLOOKUP($A99,'Over Under Bill 1 COPY 到CO欄位'!$1:$1048576,75,0),0)</f>
        <v>0</v>
      </c>
      <c r="R99" s="157">
        <f>IFERROR(VLOOKUP($A99,'Over Under Bill 1 COPY 到CO欄位'!$1:$1048576,80,0),0)</f>
        <v>0</v>
      </c>
      <c r="S99" s="157">
        <f>IFERROR(VLOOKUP($A99,'Over Under Bill 1 COPY 到CO欄位'!$1:$1048576,85,0),0)</f>
        <v>0</v>
      </c>
      <c r="T99" s="157">
        <f>IFERROR(VLOOKUP($A99,'Over Under Bill 1 COPY 到CO欄位'!$1:$1048576,90,0),0)</f>
        <v>0</v>
      </c>
    </row>
    <row r="100" spans="1:20">
      <c r="A100" s="179" t="s">
        <v>485</v>
      </c>
      <c r="B100" s="172" t="s">
        <v>486</v>
      </c>
      <c r="C100" s="157">
        <f>IFERROR(VLOOKUP($A100,'Over Under Bill 1 COPY 到CO欄位'!$1:$1048576,5,0),0)</f>
        <v>0</v>
      </c>
      <c r="D100" s="157">
        <f>IFERROR(VLOOKUP($A100,'Over Under Bill 1 COPY 到CO欄位'!$1:$1048576,10,0),0)</f>
        <v>0</v>
      </c>
      <c r="E100" s="157">
        <f>IFERROR(VLOOKUP($A100,'Over Under Bill 1 COPY 到CO欄位'!$1:$1048576,15,0),0)</f>
        <v>0</v>
      </c>
      <c r="F100" s="157">
        <f>IFERROR(VLOOKUP($A100,'Over Under Bill 1 COPY 到CO欄位'!$1:$1048576,20,0),0)</f>
        <v>0</v>
      </c>
      <c r="G100" s="157">
        <f>IFERROR(VLOOKUP($A100,'Over Under Bill 1 COPY 到CO欄位'!$1:$1048576,25,0),0)</f>
        <v>0</v>
      </c>
      <c r="H100" s="157">
        <f>IFERROR(VLOOKUP($A100,'Over Under Bill 1 COPY 到CO欄位'!$1:$1048576,30,0),0)</f>
        <v>0</v>
      </c>
      <c r="I100" s="157">
        <f>IFERROR(VLOOKUP($A100,'Over Under Bill 1 COPY 到CO欄位'!$1:$1048576,35,0),0)</f>
        <v>0</v>
      </c>
      <c r="J100" s="157">
        <f>IFERROR(VLOOKUP($A100,'Over Under Bill 1 COPY 到CO欄位'!$1:$1048576,40,0),0)</f>
        <v>0</v>
      </c>
      <c r="K100" s="157">
        <f>IFERROR(VLOOKUP($A100,'Over Under Bill 1 COPY 到CO欄位'!$1:$1048576,45,0),0)</f>
        <v>0</v>
      </c>
      <c r="L100" s="157">
        <f>IFERROR(VLOOKUP($A100,'Over Under Bill 1 COPY 到CO欄位'!$1:$1048576,50,0),0)</f>
        <v>0</v>
      </c>
      <c r="M100" s="157">
        <f>IFERROR(VLOOKUP($A100,'Over Under Bill 1 COPY 到CO欄位'!$1:$1048576,55,0),0)</f>
        <v>0</v>
      </c>
      <c r="N100" s="157">
        <f>IFERROR(VLOOKUP($A100,'Over Under Bill 1 COPY 到CO欄位'!$1:$1048576,60,0),0)</f>
        <v>0</v>
      </c>
      <c r="O100" s="157">
        <f>IFERROR(VLOOKUP($A100,'Over Under Bill 1 COPY 到CO欄位'!$1:$1048576,65,0),0)</f>
        <v>0</v>
      </c>
      <c r="P100" s="157">
        <f>IFERROR(VLOOKUP($A100,'Over Under Bill 1 COPY 到CO欄位'!$1:$1048576,70,0),0)</f>
        <v>0</v>
      </c>
      <c r="Q100" s="157">
        <f>IFERROR(VLOOKUP($A100,'Over Under Bill 1 COPY 到CO欄位'!$1:$1048576,75,0),0)</f>
        <v>0</v>
      </c>
      <c r="R100" s="157">
        <f>IFERROR(VLOOKUP($A100,'Over Under Bill 1 COPY 到CO欄位'!$1:$1048576,80,0),0)</f>
        <v>0</v>
      </c>
      <c r="S100" s="157">
        <f>IFERROR(VLOOKUP($A100,'Over Under Bill 1 COPY 到CO欄位'!$1:$1048576,85,0),0)</f>
        <v>0</v>
      </c>
      <c r="T100" s="157">
        <f>IFERROR(VLOOKUP($A100,'Over Under Bill 1 COPY 到CO欄位'!$1:$1048576,90,0),0)</f>
        <v>0</v>
      </c>
    </row>
    <row r="101" spans="1:20">
      <c r="A101" s="179" t="s">
        <v>487</v>
      </c>
      <c r="B101" s="180" t="s">
        <v>488</v>
      </c>
      <c r="C101" s="157">
        <f>IFERROR(VLOOKUP($A101,'Over Under Bill 1 COPY 到CO欄位'!$1:$1048576,5,0),0)</f>
        <v>0</v>
      </c>
      <c r="D101" s="157">
        <f>IFERROR(VLOOKUP($A101,'Over Under Bill 1 COPY 到CO欄位'!$1:$1048576,10,0),0)</f>
        <v>0</v>
      </c>
      <c r="E101" s="157">
        <f>IFERROR(VLOOKUP($A101,'Over Under Bill 1 COPY 到CO欄位'!$1:$1048576,15,0),0)</f>
        <v>0</v>
      </c>
      <c r="F101" s="157">
        <f>IFERROR(VLOOKUP($A101,'Over Under Bill 1 COPY 到CO欄位'!$1:$1048576,20,0),0)</f>
        <v>0</v>
      </c>
      <c r="G101" s="157">
        <f>IFERROR(VLOOKUP($A101,'Over Under Bill 1 COPY 到CO欄位'!$1:$1048576,25,0),0)</f>
        <v>0</v>
      </c>
      <c r="H101" s="157">
        <f>IFERROR(VLOOKUP($A101,'Over Under Bill 1 COPY 到CO欄位'!$1:$1048576,30,0),0)</f>
        <v>0</v>
      </c>
      <c r="I101" s="157">
        <f>IFERROR(VLOOKUP($A101,'Over Under Bill 1 COPY 到CO欄位'!$1:$1048576,35,0),0)</f>
        <v>0</v>
      </c>
      <c r="J101" s="157">
        <f>IFERROR(VLOOKUP($A101,'Over Under Bill 1 COPY 到CO欄位'!$1:$1048576,40,0),0)</f>
        <v>0</v>
      </c>
      <c r="K101" s="157">
        <f>IFERROR(VLOOKUP($A101,'Over Under Bill 1 COPY 到CO欄位'!$1:$1048576,45,0),0)</f>
        <v>0</v>
      </c>
      <c r="L101" s="157">
        <f>IFERROR(VLOOKUP($A101,'Over Under Bill 1 COPY 到CO欄位'!$1:$1048576,50,0),0)</f>
        <v>0</v>
      </c>
      <c r="M101" s="157">
        <f>IFERROR(VLOOKUP($A101,'Over Under Bill 1 COPY 到CO欄位'!$1:$1048576,55,0),0)</f>
        <v>0</v>
      </c>
      <c r="N101" s="157">
        <f>IFERROR(VLOOKUP($A101,'Over Under Bill 1 COPY 到CO欄位'!$1:$1048576,60,0),0)</f>
        <v>0</v>
      </c>
      <c r="O101" s="157">
        <f>IFERROR(VLOOKUP($A101,'Over Under Bill 1 COPY 到CO欄位'!$1:$1048576,65,0),0)</f>
        <v>0</v>
      </c>
      <c r="P101" s="157">
        <f>IFERROR(VLOOKUP($A101,'Over Under Bill 1 COPY 到CO欄位'!$1:$1048576,70,0),0)</f>
        <v>0</v>
      </c>
      <c r="Q101" s="157">
        <f>IFERROR(VLOOKUP($A101,'Over Under Bill 1 COPY 到CO欄位'!$1:$1048576,75,0),0)</f>
        <v>0</v>
      </c>
      <c r="R101" s="157">
        <f>IFERROR(VLOOKUP($A101,'Over Under Bill 1 COPY 到CO欄位'!$1:$1048576,80,0),0)</f>
        <v>0</v>
      </c>
      <c r="S101" s="157">
        <f>IFERROR(VLOOKUP($A101,'Over Under Bill 1 COPY 到CO欄位'!$1:$1048576,85,0),0)</f>
        <v>0</v>
      </c>
      <c r="T101" s="157">
        <f>IFERROR(VLOOKUP($A101,'Over Under Bill 1 COPY 到CO欄位'!$1:$1048576,90,0),0)</f>
        <v>0</v>
      </c>
    </row>
    <row r="102" spans="1:20">
      <c r="A102" s="179" t="s">
        <v>489</v>
      </c>
      <c r="B102" s="172" t="s">
        <v>490</v>
      </c>
      <c r="C102" s="157">
        <f>IFERROR(VLOOKUP($A102,'Over Under Bill 1 COPY 到CO欄位'!$1:$1048576,5,0),0)</f>
        <v>0</v>
      </c>
      <c r="D102" s="157">
        <f>IFERROR(VLOOKUP($A102,'Over Under Bill 1 COPY 到CO欄位'!$1:$1048576,10,0),0)</f>
        <v>0</v>
      </c>
      <c r="E102" s="157">
        <f>IFERROR(VLOOKUP($A102,'Over Under Bill 1 COPY 到CO欄位'!$1:$1048576,15,0),0)</f>
        <v>0</v>
      </c>
      <c r="F102" s="157">
        <f>IFERROR(VLOOKUP($A102,'Over Under Bill 1 COPY 到CO欄位'!$1:$1048576,20,0),0)</f>
        <v>0</v>
      </c>
      <c r="G102" s="157">
        <f>IFERROR(VLOOKUP($A102,'Over Under Bill 1 COPY 到CO欄位'!$1:$1048576,25,0),0)</f>
        <v>0</v>
      </c>
      <c r="H102" s="157">
        <f>IFERROR(VLOOKUP($A102,'Over Under Bill 1 COPY 到CO欄位'!$1:$1048576,30,0),0)</f>
        <v>0</v>
      </c>
      <c r="I102" s="157">
        <f>IFERROR(VLOOKUP($A102,'Over Under Bill 1 COPY 到CO欄位'!$1:$1048576,35,0),0)</f>
        <v>0</v>
      </c>
      <c r="J102" s="157">
        <f>IFERROR(VLOOKUP($A102,'Over Under Bill 1 COPY 到CO欄位'!$1:$1048576,40,0),0)</f>
        <v>0</v>
      </c>
      <c r="K102" s="157">
        <f>IFERROR(VLOOKUP($A102,'Over Under Bill 1 COPY 到CO欄位'!$1:$1048576,45,0),0)</f>
        <v>0</v>
      </c>
      <c r="L102" s="157">
        <f>IFERROR(VLOOKUP($A102,'Over Under Bill 1 COPY 到CO欄位'!$1:$1048576,50,0),0)</f>
        <v>0</v>
      </c>
      <c r="M102" s="157">
        <f>IFERROR(VLOOKUP($A102,'Over Under Bill 1 COPY 到CO欄位'!$1:$1048576,55,0),0)</f>
        <v>0</v>
      </c>
      <c r="N102" s="157">
        <f>IFERROR(VLOOKUP($A102,'Over Under Bill 1 COPY 到CO欄位'!$1:$1048576,60,0),0)</f>
        <v>0</v>
      </c>
      <c r="O102" s="157">
        <f>IFERROR(VLOOKUP($A102,'Over Under Bill 1 COPY 到CO欄位'!$1:$1048576,65,0),0)</f>
        <v>0</v>
      </c>
      <c r="P102" s="157">
        <f>IFERROR(VLOOKUP($A102,'Over Under Bill 1 COPY 到CO欄位'!$1:$1048576,70,0),0)</f>
        <v>0</v>
      </c>
      <c r="Q102" s="157">
        <f>IFERROR(VLOOKUP($A102,'Over Under Bill 1 COPY 到CO欄位'!$1:$1048576,75,0),0)</f>
        <v>0</v>
      </c>
      <c r="R102" s="157">
        <f>IFERROR(VLOOKUP($A102,'Over Under Bill 1 COPY 到CO欄位'!$1:$1048576,80,0),0)</f>
        <v>0</v>
      </c>
      <c r="S102" s="157">
        <f>IFERROR(VLOOKUP($A102,'Over Under Bill 1 COPY 到CO欄位'!$1:$1048576,85,0),0)</f>
        <v>0</v>
      </c>
      <c r="T102" s="157">
        <f>IFERROR(VLOOKUP($A102,'Over Under Bill 1 COPY 到CO欄位'!$1:$1048576,90,0),0)</f>
        <v>0</v>
      </c>
    </row>
    <row r="103" spans="1:20">
      <c r="A103" s="179" t="s">
        <v>491</v>
      </c>
      <c r="B103" s="172" t="s">
        <v>342</v>
      </c>
      <c r="C103" s="157">
        <f>IFERROR(VLOOKUP($A103,'Over Under Bill 1 COPY 到CO欄位'!$1:$1048576,5,0),0)</f>
        <v>0</v>
      </c>
      <c r="D103" s="157">
        <f>IFERROR(VLOOKUP($A103,'Over Under Bill 1 COPY 到CO欄位'!$1:$1048576,10,0),0)</f>
        <v>0</v>
      </c>
      <c r="E103" s="157">
        <f>IFERROR(VLOOKUP($A103,'Over Under Bill 1 COPY 到CO欄位'!$1:$1048576,15,0),0)</f>
        <v>0</v>
      </c>
      <c r="F103" s="157">
        <f>IFERROR(VLOOKUP($A103,'Over Under Bill 1 COPY 到CO欄位'!$1:$1048576,20,0),0)</f>
        <v>0</v>
      </c>
      <c r="G103" s="157">
        <f>IFERROR(VLOOKUP($A103,'Over Under Bill 1 COPY 到CO欄位'!$1:$1048576,25,0),0)</f>
        <v>0</v>
      </c>
      <c r="H103" s="157">
        <f>IFERROR(VLOOKUP($A103,'Over Under Bill 1 COPY 到CO欄位'!$1:$1048576,30,0),0)</f>
        <v>0</v>
      </c>
      <c r="I103" s="157">
        <f>IFERROR(VLOOKUP($A103,'Over Under Bill 1 COPY 到CO欄位'!$1:$1048576,35,0),0)</f>
        <v>0</v>
      </c>
      <c r="J103" s="157">
        <f>IFERROR(VLOOKUP($A103,'Over Under Bill 1 COPY 到CO欄位'!$1:$1048576,40,0),0)</f>
        <v>0</v>
      </c>
      <c r="K103" s="157">
        <f>IFERROR(VLOOKUP($A103,'Over Under Bill 1 COPY 到CO欄位'!$1:$1048576,45,0),0)</f>
        <v>0</v>
      </c>
      <c r="L103" s="157">
        <f>IFERROR(VLOOKUP($A103,'Over Under Bill 1 COPY 到CO欄位'!$1:$1048576,50,0),0)</f>
        <v>0</v>
      </c>
      <c r="M103" s="157">
        <f>IFERROR(VLOOKUP($A103,'Over Under Bill 1 COPY 到CO欄位'!$1:$1048576,55,0),0)</f>
        <v>0</v>
      </c>
      <c r="N103" s="157">
        <f>IFERROR(VLOOKUP($A103,'Over Under Bill 1 COPY 到CO欄位'!$1:$1048576,60,0),0)</f>
        <v>0</v>
      </c>
      <c r="O103" s="157">
        <f>IFERROR(VLOOKUP($A103,'Over Under Bill 1 COPY 到CO欄位'!$1:$1048576,65,0),0)</f>
        <v>0</v>
      </c>
      <c r="P103" s="157">
        <f>IFERROR(VLOOKUP($A103,'Over Under Bill 1 COPY 到CO欄位'!$1:$1048576,70,0),0)</f>
        <v>0</v>
      </c>
      <c r="Q103" s="157">
        <f>IFERROR(VLOOKUP($A103,'Over Under Bill 1 COPY 到CO欄位'!$1:$1048576,75,0),0)</f>
        <v>0</v>
      </c>
      <c r="R103" s="157">
        <f>IFERROR(VLOOKUP($A103,'Over Under Bill 1 COPY 到CO欄位'!$1:$1048576,80,0),0)</f>
        <v>0</v>
      </c>
      <c r="S103" s="157">
        <f>IFERROR(VLOOKUP($A103,'Over Under Bill 1 COPY 到CO欄位'!$1:$1048576,85,0),0)</f>
        <v>0</v>
      </c>
      <c r="T103" s="157">
        <f>IFERROR(VLOOKUP($A103,'Over Under Bill 1 COPY 到CO欄位'!$1:$1048576,90,0),0)</f>
        <v>0</v>
      </c>
    </row>
    <row r="104" spans="1:20">
      <c r="A104" s="179" t="s">
        <v>492</v>
      </c>
      <c r="B104" s="172" t="s">
        <v>344</v>
      </c>
      <c r="C104" s="157">
        <f>IFERROR(VLOOKUP($A104,'Over Under Bill 1 COPY 到CO欄位'!$1:$1048576,5,0),0)</f>
        <v>0</v>
      </c>
      <c r="D104" s="157">
        <f>IFERROR(VLOOKUP($A104,'Over Under Bill 1 COPY 到CO欄位'!$1:$1048576,10,0),0)</f>
        <v>0</v>
      </c>
      <c r="E104" s="157">
        <f>IFERROR(VLOOKUP($A104,'Over Under Bill 1 COPY 到CO欄位'!$1:$1048576,15,0),0)</f>
        <v>0</v>
      </c>
      <c r="F104" s="157">
        <f>IFERROR(VLOOKUP($A104,'Over Under Bill 1 COPY 到CO欄位'!$1:$1048576,20,0),0)</f>
        <v>0</v>
      </c>
      <c r="G104" s="157">
        <f>IFERROR(VLOOKUP($A104,'Over Under Bill 1 COPY 到CO欄位'!$1:$1048576,25,0),0)</f>
        <v>0</v>
      </c>
      <c r="H104" s="157">
        <f>IFERROR(VLOOKUP($A104,'Over Under Bill 1 COPY 到CO欄位'!$1:$1048576,30,0),0)</f>
        <v>0</v>
      </c>
      <c r="I104" s="157">
        <f>IFERROR(VLOOKUP($A104,'Over Under Bill 1 COPY 到CO欄位'!$1:$1048576,35,0),0)</f>
        <v>0</v>
      </c>
      <c r="J104" s="157">
        <f>IFERROR(VLOOKUP($A104,'Over Under Bill 1 COPY 到CO欄位'!$1:$1048576,40,0),0)</f>
        <v>0</v>
      </c>
      <c r="K104" s="157">
        <f>IFERROR(VLOOKUP($A104,'Over Under Bill 1 COPY 到CO欄位'!$1:$1048576,45,0),0)</f>
        <v>0</v>
      </c>
      <c r="L104" s="157">
        <f>IFERROR(VLOOKUP($A104,'Over Under Bill 1 COPY 到CO欄位'!$1:$1048576,50,0),0)</f>
        <v>0</v>
      </c>
      <c r="M104" s="157">
        <f>IFERROR(VLOOKUP($A104,'Over Under Bill 1 COPY 到CO欄位'!$1:$1048576,55,0),0)</f>
        <v>0</v>
      </c>
      <c r="N104" s="157">
        <f>IFERROR(VLOOKUP($A104,'Over Under Bill 1 COPY 到CO欄位'!$1:$1048576,60,0),0)</f>
        <v>0</v>
      </c>
      <c r="O104" s="157">
        <f>IFERROR(VLOOKUP($A104,'Over Under Bill 1 COPY 到CO欄位'!$1:$1048576,65,0),0)</f>
        <v>0</v>
      </c>
      <c r="P104" s="157">
        <f>IFERROR(VLOOKUP($A104,'Over Under Bill 1 COPY 到CO欄位'!$1:$1048576,70,0),0)</f>
        <v>0</v>
      </c>
      <c r="Q104" s="157">
        <f>IFERROR(VLOOKUP($A104,'Over Under Bill 1 COPY 到CO欄位'!$1:$1048576,75,0),0)</f>
        <v>0</v>
      </c>
      <c r="R104" s="157">
        <f>IFERROR(VLOOKUP($A104,'Over Under Bill 1 COPY 到CO欄位'!$1:$1048576,80,0),0)</f>
        <v>0</v>
      </c>
      <c r="S104" s="157">
        <f>IFERROR(VLOOKUP($A104,'Over Under Bill 1 COPY 到CO欄位'!$1:$1048576,85,0),0)</f>
        <v>0</v>
      </c>
      <c r="T104" s="157">
        <f>IFERROR(VLOOKUP($A104,'Over Under Bill 1 COPY 到CO欄位'!$1:$1048576,90,0),0)</f>
        <v>0</v>
      </c>
    </row>
    <row r="105" spans="1:20">
      <c r="A105" s="179" t="s">
        <v>493</v>
      </c>
      <c r="B105" s="172" t="s">
        <v>346</v>
      </c>
      <c r="C105" s="157">
        <f>IFERROR(VLOOKUP($A105,'Over Under Bill 1 COPY 到CO欄位'!$1:$1048576,5,0),0)</f>
        <v>0</v>
      </c>
      <c r="D105" s="157">
        <f>IFERROR(VLOOKUP($A105,'Over Under Bill 1 COPY 到CO欄位'!$1:$1048576,10,0),0)</f>
        <v>0</v>
      </c>
      <c r="E105" s="157">
        <f>IFERROR(VLOOKUP($A105,'Over Under Bill 1 COPY 到CO欄位'!$1:$1048576,15,0),0)</f>
        <v>0</v>
      </c>
      <c r="F105" s="157">
        <f>IFERROR(VLOOKUP($A105,'Over Under Bill 1 COPY 到CO欄位'!$1:$1048576,20,0),0)</f>
        <v>0</v>
      </c>
      <c r="G105" s="157">
        <f>IFERROR(VLOOKUP($A105,'Over Under Bill 1 COPY 到CO欄位'!$1:$1048576,25,0),0)</f>
        <v>0</v>
      </c>
      <c r="H105" s="157">
        <f>IFERROR(VLOOKUP($A105,'Over Under Bill 1 COPY 到CO欄位'!$1:$1048576,30,0),0)</f>
        <v>0</v>
      </c>
      <c r="I105" s="157">
        <f>IFERROR(VLOOKUP($A105,'Over Under Bill 1 COPY 到CO欄位'!$1:$1048576,35,0),0)</f>
        <v>0</v>
      </c>
      <c r="J105" s="157">
        <f>IFERROR(VLOOKUP($A105,'Over Under Bill 1 COPY 到CO欄位'!$1:$1048576,40,0),0)</f>
        <v>0</v>
      </c>
      <c r="K105" s="157">
        <f>IFERROR(VLOOKUP($A105,'Over Under Bill 1 COPY 到CO欄位'!$1:$1048576,45,0),0)</f>
        <v>0</v>
      </c>
      <c r="L105" s="157">
        <f>IFERROR(VLOOKUP($A105,'Over Under Bill 1 COPY 到CO欄位'!$1:$1048576,50,0),0)</f>
        <v>0</v>
      </c>
      <c r="M105" s="157">
        <f>IFERROR(VLOOKUP($A105,'Over Under Bill 1 COPY 到CO欄位'!$1:$1048576,55,0),0)</f>
        <v>0</v>
      </c>
      <c r="N105" s="157">
        <f>IFERROR(VLOOKUP($A105,'Over Under Bill 1 COPY 到CO欄位'!$1:$1048576,60,0),0)</f>
        <v>0</v>
      </c>
      <c r="O105" s="157">
        <f>IFERROR(VLOOKUP($A105,'Over Under Bill 1 COPY 到CO欄位'!$1:$1048576,65,0),0)</f>
        <v>0</v>
      </c>
      <c r="P105" s="157">
        <f>IFERROR(VLOOKUP($A105,'Over Under Bill 1 COPY 到CO欄位'!$1:$1048576,70,0),0)</f>
        <v>0</v>
      </c>
      <c r="Q105" s="157">
        <f>IFERROR(VLOOKUP($A105,'Over Under Bill 1 COPY 到CO欄位'!$1:$1048576,75,0),0)</f>
        <v>0</v>
      </c>
      <c r="R105" s="157">
        <f>IFERROR(VLOOKUP($A105,'Over Under Bill 1 COPY 到CO欄位'!$1:$1048576,80,0),0)</f>
        <v>0</v>
      </c>
      <c r="S105" s="157">
        <f>IFERROR(VLOOKUP($A105,'Over Under Bill 1 COPY 到CO欄位'!$1:$1048576,85,0),0)</f>
        <v>0</v>
      </c>
      <c r="T105" s="157">
        <f>IFERROR(VLOOKUP($A105,'Over Under Bill 1 COPY 到CO欄位'!$1:$1048576,90,0),0)</f>
        <v>0</v>
      </c>
    </row>
    <row r="106" spans="1:20">
      <c r="A106" s="179" t="s">
        <v>494</v>
      </c>
      <c r="B106" s="172" t="s">
        <v>348</v>
      </c>
      <c r="C106" s="157">
        <f>IFERROR(VLOOKUP($A106,'Over Under Bill 1 COPY 到CO欄位'!$1:$1048576,5,0),0)</f>
        <v>0</v>
      </c>
      <c r="D106" s="157">
        <f>IFERROR(VLOOKUP($A106,'Over Under Bill 1 COPY 到CO欄位'!$1:$1048576,10,0),0)</f>
        <v>0</v>
      </c>
      <c r="E106" s="157">
        <f>IFERROR(VLOOKUP($A106,'Over Under Bill 1 COPY 到CO欄位'!$1:$1048576,15,0),0)</f>
        <v>0</v>
      </c>
      <c r="F106" s="157">
        <f>IFERROR(VLOOKUP($A106,'Over Under Bill 1 COPY 到CO欄位'!$1:$1048576,20,0),0)</f>
        <v>0</v>
      </c>
      <c r="G106" s="157">
        <f>IFERROR(VLOOKUP($A106,'Over Under Bill 1 COPY 到CO欄位'!$1:$1048576,25,0),0)</f>
        <v>0</v>
      </c>
      <c r="H106" s="157">
        <f>IFERROR(VLOOKUP($A106,'Over Under Bill 1 COPY 到CO欄位'!$1:$1048576,30,0),0)</f>
        <v>0</v>
      </c>
      <c r="I106" s="157">
        <f>IFERROR(VLOOKUP($A106,'Over Under Bill 1 COPY 到CO欄位'!$1:$1048576,35,0),0)</f>
        <v>0</v>
      </c>
      <c r="J106" s="157">
        <f>IFERROR(VLOOKUP($A106,'Over Under Bill 1 COPY 到CO欄位'!$1:$1048576,40,0),0)</f>
        <v>0</v>
      </c>
      <c r="K106" s="157">
        <f>IFERROR(VLOOKUP($A106,'Over Under Bill 1 COPY 到CO欄位'!$1:$1048576,45,0),0)</f>
        <v>0</v>
      </c>
      <c r="L106" s="157">
        <f>IFERROR(VLOOKUP($A106,'Over Under Bill 1 COPY 到CO欄位'!$1:$1048576,50,0),0)</f>
        <v>0</v>
      </c>
      <c r="M106" s="157">
        <f>IFERROR(VLOOKUP($A106,'Over Under Bill 1 COPY 到CO欄位'!$1:$1048576,55,0),0)</f>
        <v>0</v>
      </c>
      <c r="N106" s="157">
        <f>IFERROR(VLOOKUP($A106,'Over Under Bill 1 COPY 到CO欄位'!$1:$1048576,60,0),0)</f>
        <v>0</v>
      </c>
      <c r="O106" s="157">
        <f>IFERROR(VLOOKUP($A106,'Over Under Bill 1 COPY 到CO欄位'!$1:$1048576,65,0),0)</f>
        <v>0</v>
      </c>
      <c r="P106" s="157">
        <f>IFERROR(VLOOKUP($A106,'Over Under Bill 1 COPY 到CO欄位'!$1:$1048576,70,0),0)</f>
        <v>0</v>
      </c>
      <c r="Q106" s="157">
        <f>IFERROR(VLOOKUP($A106,'Over Under Bill 1 COPY 到CO欄位'!$1:$1048576,75,0),0)</f>
        <v>0</v>
      </c>
      <c r="R106" s="157">
        <f>IFERROR(VLOOKUP($A106,'Over Under Bill 1 COPY 到CO欄位'!$1:$1048576,80,0),0)</f>
        <v>0</v>
      </c>
      <c r="S106" s="157">
        <f>IFERROR(VLOOKUP($A106,'Over Under Bill 1 COPY 到CO欄位'!$1:$1048576,85,0),0)</f>
        <v>0</v>
      </c>
      <c r="T106" s="157">
        <f>IFERROR(VLOOKUP($A106,'Over Under Bill 1 COPY 到CO欄位'!$1:$1048576,90,0),0)</f>
        <v>0</v>
      </c>
    </row>
    <row r="107" spans="1:20">
      <c r="A107" s="179" t="s">
        <v>495</v>
      </c>
      <c r="B107" s="172" t="s">
        <v>350</v>
      </c>
      <c r="C107" s="157">
        <f>IFERROR(VLOOKUP($A107,'Over Under Bill 1 COPY 到CO欄位'!$1:$1048576,5,0),0)</f>
        <v>0</v>
      </c>
      <c r="D107" s="157">
        <f>IFERROR(VLOOKUP($A107,'Over Under Bill 1 COPY 到CO欄位'!$1:$1048576,10,0),0)</f>
        <v>0</v>
      </c>
      <c r="E107" s="157">
        <f>IFERROR(VLOOKUP($A107,'Over Under Bill 1 COPY 到CO欄位'!$1:$1048576,15,0),0)</f>
        <v>0</v>
      </c>
      <c r="F107" s="157">
        <f>IFERROR(VLOOKUP($A107,'Over Under Bill 1 COPY 到CO欄位'!$1:$1048576,20,0),0)</f>
        <v>0</v>
      </c>
      <c r="G107" s="157">
        <f>IFERROR(VLOOKUP($A107,'Over Under Bill 1 COPY 到CO欄位'!$1:$1048576,25,0),0)</f>
        <v>0</v>
      </c>
      <c r="H107" s="157">
        <f>IFERROR(VLOOKUP($A107,'Over Under Bill 1 COPY 到CO欄位'!$1:$1048576,30,0),0)</f>
        <v>0</v>
      </c>
      <c r="I107" s="157">
        <f>IFERROR(VLOOKUP($A107,'Over Under Bill 1 COPY 到CO欄位'!$1:$1048576,35,0),0)</f>
        <v>0</v>
      </c>
      <c r="J107" s="157">
        <f>IFERROR(VLOOKUP($A107,'Over Under Bill 1 COPY 到CO欄位'!$1:$1048576,40,0),0)</f>
        <v>0</v>
      </c>
      <c r="K107" s="157">
        <f>IFERROR(VLOOKUP($A107,'Over Under Bill 1 COPY 到CO欄位'!$1:$1048576,45,0),0)</f>
        <v>0</v>
      </c>
      <c r="L107" s="157">
        <f>IFERROR(VLOOKUP($A107,'Over Under Bill 1 COPY 到CO欄位'!$1:$1048576,50,0),0)</f>
        <v>0</v>
      </c>
      <c r="M107" s="157">
        <f>IFERROR(VLOOKUP($A107,'Over Under Bill 1 COPY 到CO欄位'!$1:$1048576,55,0),0)</f>
        <v>0</v>
      </c>
      <c r="N107" s="157">
        <f>IFERROR(VLOOKUP($A107,'Over Under Bill 1 COPY 到CO欄位'!$1:$1048576,60,0),0)</f>
        <v>0</v>
      </c>
      <c r="O107" s="157">
        <f>IFERROR(VLOOKUP($A107,'Over Under Bill 1 COPY 到CO欄位'!$1:$1048576,65,0),0)</f>
        <v>0</v>
      </c>
      <c r="P107" s="157">
        <f>IFERROR(VLOOKUP($A107,'Over Under Bill 1 COPY 到CO欄位'!$1:$1048576,70,0),0)</f>
        <v>0</v>
      </c>
      <c r="Q107" s="157">
        <f>IFERROR(VLOOKUP($A107,'Over Under Bill 1 COPY 到CO欄位'!$1:$1048576,75,0),0)</f>
        <v>0</v>
      </c>
      <c r="R107" s="157">
        <f>IFERROR(VLOOKUP($A107,'Over Under Bill 1 COPY 到CO欄位'!$1:$1048576,80,0),0)</f>
        <v>0</v>
      </c>
      <c r="S107" s="157">
        <f>IFERROR(VLOOKUP($A107,'Over Under Bill 1 COPY 到CO欄位'!$1:$1048576,85,0),0)</f>
        <v>0</v>
      </c>
      <c r="T107" s="157">
        <f>IFERROR(VLOOKUP($A107,'Over Under Bill 1 COPY 到CO欄位'!$1:$1048576,90,0),0)</f>
        <v>0</v>
      </c>
    </row>
    <row r="108" spans="1:20">
      <c r="A108" s="179" t="s">
        <v>496</v>
      </c>
      <c r="B108" s="172" t="s">
        <v>352</v>
      </c>
      <c r="C108" s="157">
        <f>IFERROR(VLOOKUP($A108,'Over Under Bill 1 COPY 到CO欄位'!$1:$1048576,5,0),0)</f>
        <v>0</v>
      </c>
      <c r="D108" s="157">
        <f>IFERROR(VLOOKUP($A108,'Over Under Bill 1 COPY 到CO欄位'!$1:$1048576,10,0),0)</f>
        <v>0</v>
      </c>
      <c r="E108" s="157">
        <f>IFERROR(VLOOKUP($A108,'Over Under Bill 1 COPY 到CO欄位'!$1:$1048576,15,0),0)</f>
        <v>0</v>
      </c>
      <c r="F108" s="157">
        <f>IFERROR(VLOOKUP($A108,'Over Under Bill 1 COPY 到CO欄位'!$1:$1048576,20,0),0)</f>
        <v>0</v>
      </c>
      <c r="G108" s="157">
        <f>IFERROR(VLOOKUP($A108,'Over Under Bill 1 COPY 到CO欄位'!$1:$1048576,25,0),0)</f>
        <v>0</v>
      </c>
      <c r="H108" s="157">
        <f>IFERROR(VLOOKUP($A108,'Over Under Bill 1 COPY 到CO欄位'!$1:$1048576,30,0),0)</f>
        <v>0</v>
      </c>
      <c r="I108" s="157">
        <f>IFERROR(VLOOKUP($A108,'Over Under Bill 1 COPY 到CO欄位'!$1:$1048576,35,0),0)</f>
        <v>0</v>
      </c>
      <c r="J108" s="157">
        <f>IFERROR(VLOOKUP($A108,'Over Under Bill 1 COPY 到CO欄位'!$1:$1048576,40,0),0)</f>
        <v>0</v>
      </c>
      <c r="K108" s="157">
        <f>IFERROR(VLOOKUP($A108,'Over Under Bill 1 COPY 到CO欄位'!$1:$1048576,45,0),0)</f>
        <v>0</v>
      </c>
      <c r="L108" s="157">
        <f>IFERROR(VLOOKUP($A108,'Over Under Bill 1 COPY 到CO欄位'!$1:$1048576,50,0),0)</f>
        <v>0</v>
      </c>
      <c r="M108" s="157">
        <f>IFERROR(VLOOKUP($A108,'Over Under Bill 1 COPY 到CO欄位'!$1:$1048576,55,0),0)</f>
        <v>0</v>
      </c>
      <c r="N108" s="157">
        <f>IFERROR(VLOOKUP($A108,'Over Under Bill 1 COPY 到CO欄位'!$1:$1048576,60,0),0)</f>
        <v>0</v>
      </c>
      <c r="O108" s="157">
        <f>IFERROR(VLOOKUP($A108,'Over Under Bill 1 COPY 到CO欄位'!$1:$1048576,65,0),0)</f>
        <v>0</v>
      </c>
      <c r="P108" s="157">
        <f>IFERROR(VLOOKUP($A108,'Over Under Bill 1 COPY 到CO欄位'!$1:$1048576,70,0),0)</f>
        <v>0</v>
      </c>
      <c r="Q108" s="157">
        <f>IFERROR(VLOOKUP($A108,'Over Under Bill 1 COPY 到CO欄位'!$1:$1048576,75,0),0)</f>
        <v>0</v>
      </c>
      <c r="R108" s="157">
        <f>IFERROR(VLOOKUP($A108,'Over Under Bill 1 COPY 到CO欄位'!$1:$1048576,80,0),0)</f>
        <v>0</v>
      </c>
      <c r="S108" s="157">
        <f>IFERROR(VLOOKUP($A108,'Over Under Bill 1 COPY 到CO欄位'!$1:$1048576,85,0),0)</f>
        <v>0</v>
      </c>
      <c r="T108" s="157">
        <f>IFERROR(VLOOKUP($A108,'Over Under Bill 1 COPY 到CO欄位'!$1:$1048576,90,0),0)</f>
        <v>0</v>
      </c>
    </row>
    <row r="109" spans="1:20">
      <c r="A109" s="175" t="s">
        <v>497</v>
      </c>
      <c r="B109" s="175" t="s">
        <v>498</v>
      </c>
      <c r="C109" s="157">
        <f>IFERROR(VLOOKUP($A109,'Over Under Bill 1 COPY 到CO欄位'!$1:$1048576,5,0),0)</f>
        <v>0</v>
      </c>
      <c r="D109" s="157">
        <f>IFERROR(VLOOKUP($A109,'Over Under Bill 1 COPY 到CO欄位'!$1:$1048576,10,0),0)</f>
        <v>0</v>
      </c>
      <c r="E109" s="157">
        <f>IFERROR(VLOOKUP($A109,'Over Under Bill 1 COPY 到CO欄位'!$1:$1048576,15,0),0)</f>
        <v>0</v>
      </c>
      <c r="F109" s="157">
        <f>IFERROR(VLOOKUP($A109,'Over Under Bill 1 COPY 到CO欄位'!$1:$1048576,20,0),0)</f>
        <v>0</v>
      </c>
      <c r="G109" s="157">
        <f>IFERROR(VLOOKUP($A109,'Over Under Bill 1 COPY 到CO欄位'!$1:$1048576,25,0),0)</f>
        <v>0</v>
      </c>
      <c r="H109" s="157">
        <f>IFERROR(VLOOKUP($A109,'Over Under Bill 1 COPY 到CO欄位'!$1:$1048576,30,0),0)</f>
        <v>0</v>
      </c>
      <c r="I109" s="157">
        <f>IFERROR(VLOOKUP($A109,'Over Under Bill 1 COPY 到CO欄位'!$1:$1048576,35,0),0)</f>
        <v>0</v>
      </c>
      <c r="J109" s="157">
        <f>IFERROR(VLOOKUP($A109,'Over Under Bill 1 COPY 到CO欄位'!$1:$1048576,40,0),0)</f>
        <v>0</v>
      </c>
      <c r="K109" s="157">
        <f>IFERROR(VLOOKUP($A109,'Over Under Bill 1 COPY 到CO欄位'!$1:$1048576,45,0),0)</f>
        <v>0</v>
      </c>
      <c r="L109" s="157">
        <f>IFERROR(VLOOKUP($A109,'Over Under Bill 1 COPY 到CO欄位'!$1:$1048576,50,0),0)</f>
        <v>0</v>
      </c>
      <c r="M109" s="157">
        <f>IFERROR(VLOOKUP($A109,'Over Under Bill 1 COPY 到CO欄位'!$1:$1048576,55,0),0)</f>
        <v>0</v>
      </c>
      <c r="N109" s="157">
        <f>IFERROR(VLOOKUP($A109,'Over Under Bill 1 COPY 到CO欄位'!$1:$1048576,60,0),0)</f>
        <v>0</v>
      </c>
      <c r="O109" s="157">
        <f>IFERROR(VLOOKUP($A109,'Over Under Bill 1 COPY 到CO欄位'!$1:$1048576,65,0),0)</f>
        <v>0</v>
      </c>
      <c r="P109" s="157">
        <f>IFERROR(VLOOKUP($A109,'Over Under Bill 1 COPY 到CO欄位'!$1:$1048576,70,0),0)</f>
        <v>0</v>
      </c>
      <c r="Q109" s="157">
        <f>IFERROR(VLOOKUP($A109,'Over Under Bill 1 COPY 到CO欄位'!$1:$1048576,75,0),0)</f>
        <v>0</v>
      </c>
      <c r="R109" s="157">
        <f>IFERROR(VLOOKUP($A109,'Over Under Bill 1 COPY 到CO欄位'!$1:$1048576,80,0),0)</f>
        <v>0</v>
      </c>
      <c r="S109" s="157">
        <f>IFERROR(VLOOKUP($A109,'Over Under Bill 1 COPY 到CO欄位'!$1:$1048576,85,0),0)</f>
        <v>0</v>
      </c>
      <c r="T109" s="157">
        <f>IFERROR(VLOOKUP($A109,'Over Under Bill 1 COPY 到CO欄位'!$1:$1048576,90,0),0)</f>
        <v>0</v>
      </c>
    </row>
    <row r="110" spans="1:20">
      <c r="A110" s="175" t="s">
        <v>499</v>
      </c>
      <c r="B110" s="175" t="s">
        <v>500</v>
      </c>
      <c r="C110" s="157">
        <f>IFERROR(VLOOKUP($A110,'Over Under Bill 1 COPY 到CO欄位'!$1:$1048576,5,0),0)</f>
        <v>0</v>
      </c>
      <c r="D110" s="157">
        <f>IFERROR(VLOOKUP($A110,'Over Under Bill 1 COPY 到CO欄位'!$1:$1048576,10,0),0)</f>
        <v>0</v>
      </c>
      <c r="E110" s="157">
        <f>IFERROR(VLOOKUP($A110,'Over Under Bill 1 COPY 到CO欄位'!$1:$1048576,15,0),0)</f>
        <v>0</v>
      </c>
      <c r="F110" s="157">
        <f>IFERROR(VLOOKUP($A110,'Over Under Bill 1 COPY 到CO欄位'!$1:$1048576,20,0),0)</f>
        <v>0</v>
      </c>
      <c r="G110" s="157">
        <f>IFERROR(VLOOKUP($A110,'Over Under Bill 1 COPY 到CO欄位'!$1:$1048576,25,0),0)</f>
        <v>0</v>
      </c>
      <c r="H110" s="157">
        <f>IFERROR(VLOOKUP($A110,'Over Under Bill 1 COPY 到CO欄位'!$1:$1048576,30,0),0)</f>
        <v>0</v>
      </c>
      <c r="I110" s="157">
        <f>IFERROR(VLOOKUP($A110,'Over Under Bill 1 COPY 到CO欄位'!$1:$1048576,35,0),0)</f>
        <v>0</v>
      </c>
      <c r="J110" s="157">
        <f>IFERROR(VLOOKUP($A110,'Over Under Bill 1 COPY 到CO欄位'!$1:$1048576,40,0),0)</f>
        <v>0</v>
      </c>
      <c r="K110" s="157">
        <f>IFERROR(VLOOKUP($A110,'Over Under Bill 1 COPY 到CO欄位'!$1:$1048576,45,0),0)</f>
        <v>0</v>
      </c>
      <c r="L110" s="157">
        <f>IFERROR(VLOOKUP($A110,'Over Under Bill 1 COPY 到CO欄位'!$1:$1048576,50,0),0)</f>
        <v>0</v>
      </c>
      <c r="M110" s="157">
        <f>IFERROR(VLOOKUP($A110,'Over Under Bill 1 COPY 到CO欄位'!$1:$1048576,55,0),0)</f>
        <v>0</v>
      </c>
      <c r="N110" s="157">
        <f>IFERROR(VLOOKUP($A110,'Over Under Bill 1 COPY 到CO欄位'!$1:$1048576,60,0),0)</f>
        <v>0</v>
      </c>
      <c r="O110" s="157">
        <f>IFERROR(VLOOKUP($A110,'Over Under Bill 1 COPY 到CO欄位'!$1:$1048576,65,0),0)</f>
        <v>0</v>
      </c>
      <c r="P110" s="157">
        <f>IFERROR(VLOOKUP($A110,'Over Under Bill 1 COPY 到CO欄位'!$1:$1048576,70,0),0)</f>
        <v>0</v>
      </c>
      <c r="Q110" s="157">
        <f>IFERROR(VLOOKUP($A110,'Over Under Bill 1 COPY 到CO欄位'!$1:$1048576,75,0),0)</f>
        <v>0</v>
      </c>
      <c r="R110" s="157">
        <f>IFERROR(VLOOKUP($A110,'Over Under Bill 1 COPY 到CO欄位'!$1:$1048576,80,0),0)</f>
        <v>0</v>
      </c>
      <c r="S110" s="157">
        <f>IFERROR(VLOOKUP($A110,'Over Under Bill 1 COPY 到CO欄位'!$1:$1048576,85,0),0)</f>
        <v>0</v>
      </c>
      <c r="T110" s="157">
        <f>IFERROR(VLOOKUP($A110,'Over Under Bill 1 COPY 到CO欄位'!$1:$1048576,90,0),0)</f>
        <v>0</v>
      </c>
    </row>
    <row r="111" spans="1:20">
      <c r="A111" s="175" t="s">
        <v>501</v>
      </c>
      <c r="B111" s="181" t="s">
        <v>502</v>
      </c>
      <c r="C111" s="157">
        <f>IFERROR(VLOOKUP($A111,'Over Under Bill 1 COPY 到CO欄位'!$1:$1048576,5,0),0)</f>
        <v>0</v>
      </c>
      <c r="D111" s="157">
        <f>IFERROR(VLOOKUP($A111,'Over Under Bill 1 COPY 到CO欄位'!$1:$1048576,10,0),0)</f>
        <v>0</v>
      </c>
      <c r="E111" s="157">
        <f>IFERROR(VLOOKUP($A111,'Over Under Bill 1 COPY 到CO欄位'!$1:$1048576,15,0),0)</f>
        <v>0</v>
      </c>
      <c r="F111" s="157">
        <f>IFERROR(VLOOKUP($A111,'Over Under Bill 1 COPY 到CO欄位'!$1:$1048576,20,0),0)</f>
        <v>0</v>
      </c>
      <c r="G111" s="157">
        <f>IFERROR(VLOOKUP($A111,'Over Under Bill 1 COPY 到CO欄位'!$1:$1048576,25,0),0)</f>
        <v>0</v>
      </c>
      <c r="H111" s="157">
        <f>IFERROR(VLOOKUP($A111,'Over Under Bill 1 COPY 到CO欄位'!$1:$1048576,30,0),0)</f>
        <v>0</v>
      </c>
      <c r="I111" s="157">
        <f>IFERROR(VLOOKUP($A111,'Over Under Bill 1 COPY 到CO欄位'!$1:$1048576,35,0),0)</f>
        <v>0</v>
      </c>
      <c r="J111" s="157">
        <f>IFERROR(VLOOKUP($A111,'Over Under Bill 1 COPY 到CO欄位'!$1:$1048576,40,0),0)</f>
        <v>0</v>
      </c>
      <c r="K111" s="157">
        <f>IFERROR(VLOOKUP($A111,'Over Under Bill 1 COPY 到CO欄位'!$1:$1048576,45,0),0)</f>
        <v>0</v>
      </c>
      <c r="L111" s="157">
        <f>IFERROR(VLOOKUP($A111,'Over Under Bill 1 COPY 到CO欄位'!$1:$1048576,50,0),0)</f>
        <v>0</v>
      </c>
      <c r="M111" s="157">
        <f>IFERROR(VLOOKUP($A111,'Over Under Bill 1 COPY 到CO欄位'!$1:$1048576,55,0),0)</f>
        <v>0</v>
      </c>
      <c r="N111" s="157">
        <f>IFERROR(VLOOKUP($A111,'Over Under Bill 1 COPY 到CO欄位'!$1:$1048576,60,0),0)</f>
        <v>0</v>
      </c>
      <c r="O111" s="157">
        <f>IFERROR(VLOOKUP($A111,'Over Under Bill 1 COPY 到CO欄位'!$1:$1048576,65,0),0)</f>
        <v>0</v>
      </c>
      <c r="P111" s="157">
        <f>IFERROR(VLOOKUP($A111,'Over Under Bill 1 COPY 到CO欄位'!$1:$1048576,70,0),0)</f>
        <v>0</v>
      </c>
      <c r="Q111" s="157">
        <f>IFERROR(VLOOKUP($A111,'Over Under Bill 1 COPY 到CO欄位'!$1:$1048576,75,0),0)</f>
        <v>0</v>
      </c>
      <c r="R111" s="157">
        <f>IFERROR(VLOOKUP($A111,'Over Under Bill 1 COPY 到CO欄位'!$1:$1048576,80,0),0)</f>
        <v>0</v>
      </c>
      <c r="S111" s="157">
        <f>IFERROR(VLOOKUP($A111,'Over Under Bill 1 COPY 到CO欄位'!$1:$1048576,85,0),0)</f>
        <v>0</v>
      </c>
      <c r="T111" s="157">
        <f>IFERROR(VLOOKUP($A111,'Over Under Bill 1 COPY 到CO欄位'!$1:$1048576,90,0),0)</f>
        <v>0</v>
      </c>
    </row>
    <row r="112" spans="1:20">
      <c r="A112" s="175" t="s">
        <v>503</v>
      </c>
      <c r="B112" s="181" t="s">
        <v>504</v>
      </c>
      <c r="C112" s="157">
        <f>IFERROR(VLOOKUP($A112,'Over Under Bill 1 COPY 到CO欄位'!$1:$1048576,5,0),0)</f>
        <v>0</v>
      </c>
      <c r="D112" s="157">
        <f>IFERROR(VLOOKUP($A112,'Over Under Bill 1 COPY 到CO欄位'!$1:$1048576,10,0),0)</f>
        <v>0</v>
      </c>
      <c r="E112" s="157">
        <f>IFERROR(VLOOKUP($A112,'Over Under Bill 1 COPY 到CO欄位'!$1:$1048576,15,0),0)</f>
        <v>0</v>
      </c>
      <c r="F112" s="157">
        <f>IFERROR(VLOOKUP($A112,'Over Under Bill 1 COPY 到CO欄位'!$1:$1048576,20,0),0)</f>
        <v>0</v>
      </c>
      <c r="G112" s="157">
        <f>IFERROR(VLOOKUP($A112,'Over Under Bill 1 COPY 到CO欄位'!$1:$1048576,25,0),0)</f>
        <v>0</v>
      </c>
      <c r="H112" s="157">
        <f>IFERROR(VLOOKUP($A112,'Over Under Bill 1 COPY 到CO欄位'!$1:$1048576,30,0),0)</f>
        <v>0</v>
      </c>
      <c r="I112" s="157">
        <f>IFERROR(VLOOKUP($A112,'Over Under Bill 1 COPY 到CO欄位'!$1:$1048576,35,0),0)</f>
        <v>0</v>
      </c>
      <c r="J112" s="157">
        <f>IFERROR(VLOOKUP($A112,'Over Under Bill 1 COPY 到CO欄位'!$1:$1048576,40,0),0)</f>
        <v>0</v>
      </c>
      <c r="K112" s="157">
        <f>IFERROR(VLOOKUP($A112,'Over Under Bill 1 COPY 到CO欄位'!$1:$1048576,45,0),0)</f>
        <v>0</v>
      </c>
      <c r="L112" s="157">
        <f>IFERROR(VLOOKUP($A112,'Over Under Bill 1 COPY 到CO欄位'!$1:$1048576,50,0),0)</f>
        <v>0</v>
      </c>
      <c r="M112" s="157">
        <f>IFERROR(VLOOKUP($A112,'Over Under Bill 1 COPY 到CO欄位'!$1:$1048576,55,0),0)</f>
        <v>0</v>
      </c>
      <c r="N112" s="157">
        <f>IFERROR(VLOOKUP($A112,'Over Under Bill 1 COPY 到CO欄位'!$1:$1048576,60,0),0)</f>
        <v>0</v>
      </c>
      <c r="O112" s="157">
        <f>IFERROR(VLOOKUP($A112,'Over Under Bill 1 COPY 到CO欄位'!$1:$1048576,65,0),0)</f>
        <v>0</v>
      </c>
      <c r="P112" s="157">
        <f>IFERROR(VLOOKUP($A112,'Over Under Bill 1 COPY 到CO欄位'!$1:$1048576,70,0),0)</f>
        <v>0</v>
      </c>
      <c r="Q112" s="157">
        <f>IFERROR(VLOOKUP($A112,'Over Under Bill 1 COPY 到CO欄位'!$1:$1048576,75,0),0)</f>
        <v>0</v>
      </c>
      <c r="R112" s="157">
        <f>IFERROR(VLOOKUP($A112,'Over Under Bill 1 COPY 到CO欄位'!$1:$1048576,80,0),0)</f>
        <v>0</v>
      </c>
      <c r="S112" s="157">
        <f>IFERROR(VLOOKUP($A112,'Over Under Bill 1 COPY 到CO欄位'!$1:$1048576,85,0),0)</f>
        <v>0</v>
      </c>
      <c r="T112" s="157">
        <f>IFERROR(VLOOKUP($A112,'Over Under Bill 1 COPY 到CO欄位'!$1:$1048576,90,0),0)</f>
        <v>0</v>
      </c>
    </row>
    <row r="113" spans="1:20">
      <c r="A113" s="175" t="s">
        <v>505</v>
      </c>
      <c r="B113" s="175" t="s">
        <v>480</v>
      </c>
      <c r="C113" s="157">
        <f>IFERROR(VLOOKUP($A113,'Over Under Bill 1 COPY 到CO欄位'!$1:$1048576,5,0),0)</f>
        <v>0</v>
      </c>
      <c r="D113" s="157">
        <f>IFERROR(VLOOKUP($A113,'Over Under Bill 1 COPY 到CO欄位'!$1:$1048576,10,0),0)</f>
        <v>0</v>
      </c>
      <c r="E113" s="157">
        <f>IFERROR(VLOOKUP($A113,'Over Under Bill 1 COPY 到CO欄位'!$1:$1048576,15,0),0)</f>
        <v>0</v>
      </c>
      <c r="F113" s="157">
        <f>IFERROR(VLOOKUP($A113,'Over Under Bill 1 COPY 到CO欄位'!$1:$1048576,20,0),0)</f>
        <v>0</v>
      </c>
      <c r="G113" s="157">
        <f>IFERROR(VLOOKUP($A113,'Over Under Bill 1 COPY 到CO欄位'!$1:$1048576,25,0),0)</f>
        <v>0</v>
      </c>
      <c r="H113" s="157">
        <f>IFERROR(VLOOKUP($A113,'Over Under Bill 1 COPY 到CO欄位'!$1:$1048576,30,0),0)</f>
        <v>0</v>
      </c>
      <c r="I113" s="157">
        <f>IFERROR(VLOOKUP($A113,'Over Under Bill 1 COPY 到CO欄位'!$1:$1048576,35,0),0)</f>
        <v>0</v>
      </c>
      <c r="J113" s="157">
        <f>IFERROR(VLOOKUP($A113,'Over Under Bill 1 COPY 到CO欄位'!$1:$1048576,40,0),0)</f>
        <v>0</v>
      </c>
      <c r="K113" s="157">
        <f>IFERROR(VLOOKUP($A113,'Over Under Bill 1 COPY 到CO欄位'!$1:$1048576,45,0),0)</f>
        <v>0</v>
      </c>
      <c r="L113" s="157">
        <f>IFERROR(VLOOKUP($A113,'Over Under Bill 1 COPY 到CO欄位'!$1:$1048576,50,0),0)</f>
        <v>0</v>
      </c>
      <c r="M113" s="157">
        <f>IFERROR(VLOOKUP($A113,'Over Under Bill 1 COPY 到CO欄位'!$1:$1048576,55,0),0)</f>
        <v>0</v>
      </c>
      <c r="N113" s="157">
        <f>IFERROR(VLOOKUP($A113,'Over Under Bill 1 COPY 到CO欄位'!$1:$1048576,60,0),0)</f>
        <v>0</v>
      </c>
      <c r="O113" s="157">
        <f>IFERROR(VLOOKUP($A113,'Over Under Bill 1 COPY 到CO欄位'!$1:$1048576,65,0),0)</f>
        <v>0</v>
      </c>
      <c r="P113" s="157">
        <f>IFERROR(VLOOKUP($A113,'Over Under Bill 1 COPY 到CO欄位'!$1:$1048576,70,0),0)</f>
        <v>0</v>
      </c>
      <c r="Q113" s="157">
        <f>IFERROR(VLOOKUP($A113,'Over Under Bill 1 COPY 到CO欄位'!$1:$1048576,75,0),0)</f>
        <v>0</v>
      </c>
      <c r="R113" s="157">
        <f>IFERROR(VLOOKUP($A113,'Over Under Bill 1 COPY 到CO欄位'!$1:$1048576,80,0),0)</f>
        <v>0</v>
      </c>
      <c r="S113" s="157">
        <f>IFERROR(VLOOKUP($A113,'Over Under Bill 1 COPY 到CO欄位'!$1:$1048576,85,0),0)</f>
        <v>0</v>
      </c>
      <c r="T113" s="157">
        <f>IFERROR(VLOOKUP($A113,'Over Under Bill 1 COPY 到CO欄位'!$1:$1048576,90,0),0)</f>
        <v>0</v>
      </c>
    </row>
    <row r="114" spans="1:20">
      <c r="A114" s="175" t="s">
        <v>506</v>
      </c>
      <c r="B114" s="181" t="s">
        <v>507</v>
      </c>
      <c r="C114" s="157">
        <f>IFERROR(VLOOKUP($A114,'Over Under Bill 1 COPY 到CO欄位'!$1:$1048576,5,0),0)</f>
        <v>0</v>
      </c>
      <c r="D114" s="157">
        <f>IFERROR(VLOOKUP($A114,'Over Under Bill 1 COPY 到CO欄位'!$1:$1048576,10,0),0)</f>
        <v>0</v>
      </c>
      <c r="E114" s="157">
        <f>IFERROR(VLOOKUP($A114,'Over Under Bill 1 COPY 到CO欄位'!$1:$1048576,15,0),0)</f>
        <v>0</v>
      </c>
      <c r="F114" s="157">
        <f>IFERROR(VLOOKUP($A114,'Over Under Bill 1 COPY 到CO欄位'!$1:$1048576,20,0),0)</f>
        <v>0</v>
      </c>
      <c r="G114" s="157">
        <f>IFERROR(VLOOKUP($A114,'Over Under Bill 1 COPY 到CO欄位'!$1:$1048576,25,0),0)</f>
        <v>0</v>
      </c>
      <c r="H114" s="157">
        <f>IFERROR(VLOOKUP($A114,'Over Under Bill 1 COPY 到CO欄位'!$1:$1048576,30,0),0)</f>
        <v>0</v>
      </c>
      <c r="I114" s="157">
        <f>IFERROR(VLOOKUP($A114,'Over Under Bill 1 COPY 到CO欄位'!$1:$1048576,35,0),0)</f>
        <v>0</v>
      </c>
      <c r="J114" s="157">
        <f>IFERROR(VLOOKUP($A114,'Over Under Bill 1 COPY 到CO欄位'!$1:$1048576,40,0),0)</f>
        <v>0</v>
      </c>
      <c r="K114" s="157">
        <f>IFERROR(VLOOKUP($A114,'Over Under Bill 1 COPY 到CO欄位'!$1:$1048576,45,0),0)</f>
        <v>0</v>
      </c>
      <c r="L114" s="157">
        <f>IFERROR(VLOOKUP($A114,'Over Under Bill 1 COPY 到CO欄位'!$1:$1048576,50,0),0)</f>
        <v>0</v>
      </c>
      <c r="M114" s="157">
        <f>IFERROR(VLOOKUP($A114,'Over Under Bill 1 COPY 到CO欄位'!$1:$1048576,55,0),0)</f>
        <v>0</v>
      </c>
      <c r="N114" s="157">
        <f>IFERROR(VLOOKUP($A114,'Over Under Bill 1 COPY 到CO欄位'!$1:$1048576,60,0),0)</f>
        <v>0</v>
      </c>
      <c r="O114" s="157">
        <f>IFERROR(VLOOKUP($A114,'Over Under Bill 1 COPY 到CO欄位'!$1:$1048576,65,0),0)</f>
        <v>0</v>
      </c>
      <c r="P114" s="157">
        <f>IFERROR(VLOOKUP($A114,'Over Under Bill 1 COPY 到CO欄位'!$1:$1048576,70,0),0)</f>
        <v>0</v>
      </c>
      <c r="Q114" s="157">
        <f>IFERROR(VLOOKUP($A114,'Over Under Bill 1 COPY 到CO欄位'!$1:$1048576,75,0),0)</f>
        <v>0</v>
      </c>
      <c r="R114" s="157">
        <f>IFERROR(VLOOKUP($A114,'Over Under Bill 1 COPY 到CO欄位'!$1:$1048576,80,0),0)</f>
        <v>0</v>
      </c>
      <c r="S114" s="157">
        <f>IFERROR(VLOOKUP($A114,'Over Under Bill 1 COPY 到CO欄位'!$1:$1048576,85,0),0)</f>
        <v>0</v>
      </c>
      <c r="T114" s="157">
        <f>IFERROR(VLOOKUP($A114,'Over Under Bill 1 COPY 到CO欄位'!$1:$1048576,90,0),0)</f>
        <v>0</v>
      </c>
    </row>
    <row r="115" spans="1:20">
      <c r="A115" s="175" t="s">
        <v>508</v>
      </c>
      <c r="B115" s="197" t="s">
        <v>509</v>
      </c>
      <c r="C115" s="157">
        <f>IFERROR(VLOOKUP($A115,'Over Under Bill 1 COPY 到CO欄位'!$1:$1048576,5,0),0)</f>
        <v>0</v>
      </c>
      <c r="D115" s="157">
        <f>IFERROR(VLOOKUP($A115,'Over Under Bill 1 COPY 到CO欄位'!$1:$1048576,10,0),0)</f>
        <v>0</v>
      </c>
      <c r="E115" s="157">
        <f>IFERROR(VLOOKUP($A115,'Over Under Bill 1 COPY 到CO欄位'!$1:$1048576,15,0),0)</f>
        <v>0</v>
      </c>
      <c r="F115" s="157">
        <f>IFERROR(VLOOKUP($A115,'Over Under Bill 1 COPY 到CO欄位'!$1:$1048576,20,0),0)</f>
        <v>0</v>
      </c>
      <c r="G115" s="157">
        <f>IFERROR(VLOOKUP($A115,'Over Under Bill 1 COPY 到CO欄位'!$1:$1048576,25,0),0)</f>
        <v>0</v>
      </c>
      <c r="H115" s="157">
        <f>IFERROR(VLOOKUP($A115,'Over Under Bill 1 COPY 到CO欄位'!$1:$1048576,30,0),0)</f>
        <v>0</v>
      </c>
      <c r="I115" s="157">
        <f>IFERROR(VLOOKUP($A115,'Over Under Bill 1 COPY 到CO欄位'!$1:$1048576,35,0),0)</f>
        <v>0</v>
      </c>
      <c r="J115" s="157">
        <f>IFERROR(VLOOKUP($A115,'Over Under Bill 1 COPY 到CO欄位'!$1:$1048576,40,0),0)</f>
        <v>0</v>
      </c>
      <c r="K115" s="157">
        <f>IFERROR(VLOOKUP($A115,'Over Under Bill 1 COPY 到CO欄位'!$1:$1048576,45,0),0)</f>
        <v>0</v>
      </c>
      <c r="L115" s="157">
        <f>IFERROR(VLOOKUP($A115,'Over Under Bill 1 COPY 到CO欄位'!$1:$1048576,50,0),0)</f>
        <v>0</v>
      </c>
      <c r="M115" s="157">
        <f>IFERROR(VLOOKUP($A115,'Over Under Bill 1 COPY 到CO欄位'!$1:$1048576,55,0),0)</f>
        <v>0</v>
      </c>
      <c r="N115" s="157">
        <f>IFERROR(VLOOKUP($A115,'Over Under Bill 1 COPY 到CO欄位'!$1:$1048576,60,0),0)</f>
        <v>0</v>
      </c>
      <c r="O115" s="157">
        <f>IFERROR(VLOOKUP($A115,'Over Under Bill 1 COPY 到CO欄位'!$1:$1048576,65,0),0)</f>
        <v>0</v>
      </c>
      <c r="P115" s="157">
        <f>IFERROR(VLOOKUP($A115,'Over Under Bill 1 COPY 到CO欄位'!$1:$1048576,70,0),0)</f>
        <v>0</v>
      </c>
      <c r="Q115" s="157">
        <f>IFERROR(VLOOKUP($A115,'Over Under Bill 1 COPY 到CO欄位'!$1:$1048576,75,0),0)</f>
        <v>0</v>
      </c>
      <c r="R115" s="157">
        <f>IFERROR(VLOOKUP($A115,'Over Under Bill 1 COPY 到CO欄位'!$1:$1048576,80,0),0)</f>
        <v>0</v>
      </c>
      <c r="S115" s="157">
        <f>IFERROR(VLOOKUP($A115,'Over Under Bill 1 COPY 到CO欄位'!$1:$1048576,85,0),0)</f>
        <v>0</v>
      </c>
      <c r="T115" s="157">
        <f>IFERROR(VLOOKUP($A115,'Over Under Bill 1 COPY 到CO欄位'!$1:$1048576,90,0),0)</f>
        <v>0</v>
      </c>
    </row>
    <row r="116" spans="1:20">
      <c r="A116" s="175" t="s">
        <v>510</v>
      </c>
      <c r="B116" s="198" t="s">
        <v>490</v>
      </c>
      <c r="C116" s="157">
        <f>IFERROR(VLOOKUP($A116,'Over Under Bill 1 COPY 到CO欄位'!$1:$1048576,5,0),0)</f>
        <v>0</v>
      </c>
      <c r="D116" s="157">
        <f>IFERROR(VLOOKUP($A116,'Over Under Bill 1 COPY 到CO欄位'!$1:$1048576,10,0),0)</f>
        <v>0</v>
      </c>
      <c r="E116" s="157">
        <f>IFERROR(VLOOKUP($A116,'Over Under Bill 1 COPY 到CO欄位'!$1:$1048576,15,0),0)</f>
        <v>0</v>
      </c>
      <c r="F116" s="157">
        <f>IFERROR(VLOOKUP($A116,'Over Under Bill 1 COPY 到CO欄位'!$1:$1048576,20,0),0)</f>
        <v>0</v>
      </c>
      <c r="G116" s="157">
        <f>IFERROR(VLOOKUP($A116,'Over Under Bill 1 COPY 到CO欄位'!$1:$1048576,25,0),0)</f>
        <v>0</v>
      </c>
      <c r="H116" s="157">
        <f>IFERROR(VLOOKUP($A116,'Over Under Bill 1 COPY 到CO欄位'!$1:$1048576,30,0),0)</f>
        <v>0</v>
      </c>
      <c r="I116" s="157">
        <f>IFERROR(VLOOKUP($A116,'Over Under Bill 1 COPY 到CO欄位'!$1:$1048576,35,0),0)</f>
        <v>0</v>
      </c>
      <c r="J116" s="157">
        <f>IFERROR(VLOOKUP($A116,'Over Under Bill 1 COPY 到CO欄位'!$1:$1048576,40,0),0)</f>
        <v>0</v>
      </c>
      <c r="K116" s="157">
        <f>IFERROR(VLOOKUP($A116,'Over Under Bill 1 COPY 到CO欄位'!$1:$1048576,45,0),0)</f>
        <v>0</v>
      </c>
      <c r="L116" s="157">
        <f>IFERROR(VLOOKUP($A116,'Over Under Bill 1 COPY 到CO欄位'!$1:$1048576,50,0),0)</f>
        <v>0</v>
      </c>
      <c r="M116" s="157">
        <f>IFERROR(VLOOKUP($A116,'Over Under Bill 1 COPY 到CO欄位'!$1:$1048576,55,0),0)</f>
        <v>0</v>
      </c>
      <c r="N116" s="157">
        <f>IFERROR(VLOOKUP($A116,'Over Under Bill 1 COPY 到CO欄位'!$1:$1048576,60,0),0)</f>
        <v>0</v>
      </c>
      <c r="O116" s="157">
        <f>IFERROR(VLOOKUP($A116,'Over Under Bill 1 COPY 到CO欄位'!$1:$1048576,65,0),0)</f>
        <v>0</v>
      </c>
      <c r="P116" s="157">
        <f>IFERROR(VLOOKUP($A116,'Over Under Bill 1 COPY 到CO欄位'!$1:$1048576,70,0),0)</f>
        <v>0</v>
      </c>
      <c r="Q116" s="157">
        <f>IFERROR(VLOOKUP($A116,'Over Under Bill 1 COPY 到CO欄位'!$1:$1048576,75,0),0)</f>
        <v>0</v>
      </c>
      <c r="R116" s="157">
        <f>IFERROR(VLOOKUP($A116,'Over Under Bill 1 COPY 到CO欄位'!$1:$1048576,80,0),0)</f>
        <v>0</v>
      </c>
      <c r="S116" s="157">
        <f>IFERROR(VLOOKUP($A116,'Over Under Bill 1 COPY 到CO欄位'!$1:$1048576,85,0),0)</f>
        <v>0</v>
      </c>
      <c r="T116" s="157">
        <f>IFERROR(VLOOKUP($A116,'Over Under Bill 1 COPY 到CO欄位'!$1:$1048576,90,0),0)</f>
        <v>0</v>
      </c>
    </row>
    <row r="117" spans="1:20">
      <c r="A117" s="175"/>
      <c r="B117" s="197"/>
      <c r="C117" s="157">
        <f>IFERROR(VLOOKUP($A117,'Over Under Bill 1 COPY 到CO欄位'!$1:$1048576,5,0),0)</f>
        <v>0</v>
      </c>
      <c r="D117" s="157">
        <f>IFERROR(VLOOKUP($A117,'Over Under Bill 1 COPY 到CO欄位'!$1:$1048576,10,0),0)</f>
        <v>0</v>
      </c>
      <c r="E117" s="157">
        <f>IFERROR(VLOOKUP($A117,'Over Under Bill 1 COPY 到CO欄位'!$1:$1048576,15,0),0)</f>
        <v>0</v>
      </c>
      <c r="F117" s="157">
        <f>IFERROR(VLOOKUP($A117,'Over Under Bill 1 COPY 到CO欄位'!$1:$1048576,20,0),0)</f>
        <v>0</v>
      </c>
      <c r="G117" s="157">
        <f>IFERROR(VLOOKUP($A117,'Over Under Bill 1 COPY 到CO欄位'!$1:$1048576,25,0),0)</f>
        <v>0</v>
      </c>
      <c r="H117" s="157">
        <f>IFERROR(VLOOKUP($A117,'Over Under Bill 1 COPY 到CO欄位'!$1:$1048576,30,0),0)</f>
        <v>0</v>
      </c>
      <c r="I117" s="157">
        <f>IFERROR(VLOOKUP($A117,'Over Under Bill 1 COPY 到CO欄位'!$1:$1048576,35,0),0)</f>
        <v>0</v>
      </c>
      <c r="J117" s="157">
        <f>IFERROR(VLOOKUP($A117,'Over Under Bill 1 COPY 到CO欄位'!$1:$1048576,40,0),0)</f>
        <v>0</v>
      </c>
      <c r="K117" s="157">
        <f>IFERROR(VLOOKUP($A117,'Over Under Bill 1 COPY 到CO欄位'!$1:$1048576,45,0),0)</f>
        <v>0</v>
      </c>
      <c r="L117" s="157">
        <f>IFERROR(VLOOKUP($A117,'Over Under Bill 1 COPY 到CO欄位'!$1:$1048576,50,0),0)</f>
        <v>0</v>
      </c>
      <c r="M117" s="157">
        <f>IFERROR(VLOOKUP($A117,'Over Under Bill 1 COPY 到CO欄位'!$1:$1048576,55,0),0)</f>
        <v>0</v>
      </c>
      <c r="N117" s="157">
        <f>IFERROR(VLOOKUP($A117,'Over Under Bill 1 COPY 到CO欄位'!$1:$1048576,60,0),0)</f>
        <v>0</v>
      </c>
      <c r="O117" s="157">
        <f>IFERROR(VLOOKUP($A117,'Over Under Bill 1 COPY 到CO欄位'!$1:$1048576,65,0),0)</f>
        <v>0</v>
      </c>
      <c r="P117" s="157">
        <f>IFERROR(VLOOKUP($A117,'Over Under Bill 1 COPY 到CO欄位'!$1:$1048576,70,0),0)</f>
        <v>0</v>
      </c>
      <c r="Q117" s="157">
        <f>IFERROR(VLOOKUP($A117,'Over Under Bill 1 COPY 到CO欄位'!$1:$1048576,75,0),0)</f>
        <v>0</v>
      </c>
      <c r="R117" s="157">
        <f>IFERROR(VLOOKUP($A117,'Over Under Bill 1 COPY 到CO欄位'!$1:$1048576,80,0),0)</f>
        <v>0</v>
      </c>
      <c r="S117" s="157">
        <f>IFERROR(VLOOKUP($A117,'Over Under Bill 1 COPY 到CO欄位'!$1:$1048576,85,0),0)</f>
        <v>0</v>
      </c>
      <c r="T117" s="157">
        <f>IFERROR(VLOOKUP($A117,'Over Under Bill 1 COPY 到CO欄位'!$1:$1048576,90,0),0)</f>
        <v>0</v>
      </c>
    </row>
    <row r="118" spans="1:20">
      <c r="A118" s="175"/>
      <c r="B118" s="175"/>
      <c r="C118" s="157">
        <f>IFERROR(VLOOKUP($A118,'Over Under Bill 1 COPY 到CO欄位'!$1:$1048576,5,0),0)</f>
        <v>0</v>
      </c>
      <c r="D118" s="157">
        <f>IFERROR(VLOOKUP($A118,'Over Under Bill 1 COPY 到CO欄位'!$1:$1048576,10,0),0)</f>
        <v>0</v>
      </c>
      <c r="E118" s="157">
        <f>IFERROR(VLOOKUP($A118,'Over Under Bill 1 COPY 到CO欄位'!$1:$1048576,15,0),0)</f>
        <v>0</v>
      </c>
      <c r="F118" s="157">
        <f>IFERROR(VLOOKUP($A118,'Over Under Bill 1 COPY 到CO欄位'!$1:$1048576,20,0),0)</f>
        <v>0</v>
      </c>
      <c r="G118" s="157">
        <f>IFERROR(VLOOKUP($A118,'Over Under Bill 1 COPY 到CO欄位'!$1:$1048576,25,0),0)</f>
        <v>0</v>
      </c>
      <c r="H118" s="157">
        <f>IFERROR(VLOOKUP($A118,'Over Under Bill 1 COPY 到CO欄位'!$1:$1048576,30,0),0)</f>
        <v>0</v>
      </c>
      <c r="I118" s="157">
        <f>IFERROR(VLOOKUP($A118,'Over Under Bill 1 COPY 到CO欄位'!$1:$1048576,35,0),0)</f>
        <v>0</v>
      </c>
      <c r="J118" s="157">
        <f>IFERROR(VLOOKUP($A118,'Over Under Bill 1 COPY 到CO欄位'!$1:$1048576,40,0),0)</f>
        <v>0</v>
      </c>
      <c r="K118" s="157">
        <f>IFERROR(VLOOKUP($A118,'Over Under Bill 1 COPY 到CO欄位'!$1:$1048576,45,0),0)</f>
        <v>0</v>
      </c>
      <c r="L118" s="157">
        <f>IFERROR(VLOOKUP($A118,'Over Under Bill 1 COPY 到CO欄位'!$1:$1048576,50,0),0)</f>
        <v>0</v>
      </c>
      <c r="M118" s="157">
        <f>IFERROR(VLOOKUP($A118,'Over Under Bill 1 COPY 到CO欄位'!$1:$1048576,55,0),0)</f>
        <v>0</v>
      </c>
      <c r="N118" s="157">
        <f>IFERROR(VLOOKUP($A118,'Over Under Bill 1 COPY 到CO欄位'!$1:$1048576,60,0),0)</f>
        <v>0</v>
      </c>
      <c r="O118" s="157">
        <f>IFERROR(VLOOKUP($A118,'Over Under Bill 1 COPY 到CO欄位'!$1:$1048576,65,0),0)</f>
        <v>0</v>
      </c>
      <c r="P118" s="157">
        <f>IFERROR(VLOOKUP($A118,'Over Under Bill 1 COPY 到CO欄位'!$1:$1048576,70,0),0)</f>
        <v>0</v>
      </c>
      <c r="Q118" s="157">
        <f>IFERROR(VLOOKUP($A118,'Over Under Bill 1 COPY 到CO欄位'!$1:$1048576,75,0),0)</f>
        <v>0</v>
      </c>
      <c r="R118" s="157">
        <f>IFERROR(VLOOKUP($A118,'Over Under Bill 1 COPY 到CO欄位'!$1:$1048576,80,0),0)</f>
        <v>0</v>
      </c>
      <c r="S118" s="157">
        <f>IFERROR(VLOOKUP($A118,'Over Under Bill 1 COPY 到CO欄位'!$1:$1048576,85,0),0)</f>
        <v>0</v>
      </c>
      <c r="T118" s="157">
        <f>IFERROR(VLOOKUP($A118,'Over Under Bill 1 COPY 到CO欄位'!$1:$1048576,90,0),0)</f>
        <v>0</v>
      </c>
    </row>
    <row r="119" spans="1:20">
      <c r="A119" s="175"/>
      <c r="B119" s="175"/>
      <c r="C119" s="157">
        <f>IFERROR(VLOOKUP($A119,'Over Under Bill 1 COPY 到CO欄位'!$1:$1048576,5,0),0)</f>
        <v>0</v>
      </c>
      <c r="D119" s="157">
        <f>IFERROR(VLOOKUP($A119,'Over Under Bill 1 COPY 到CO欄位'!$1:$1048576,10,0),0)</f>
        <v>0</v>
      </c>
      <c r="E119" s="157">
        <f>IFERROR(VLOOKUP($A119,'Over Under Bill 1 COPY 到CO欄位'!$1:$1048576,15,0),0)</f>
        <v>0</v>
      </c>
      <c r="F119" s="157">
        <f>IFERROR(VLOOKUP($A119,'Over Under Bill 1 COPY 到CO欄位'!$1:$1048576,20,0),0)</f>
        <v>0</v>
      </c>
      <c r="G119" s="157">
        <f>IFERROR(VLOOKUP($A119,'Over Under Bill 1 COPY 到CO欄位'!$1:$1048576,25,0),0)</f>
        <v>0</v>
      </c>
      <c r="H119" s="157">
        <f>IFERROR(VLOOKUP($A119,'Over Under Bill 1 COPY 到CO欄位'!$1:$1048576,30,0),0)</f>
        <v>0</v>
      </c>
      <c r="I119" s="157">
        <f>IFERROR(VLOOKUP($A119,'Over Under Bill 1 COPY 到CO欄位'!$1:$1048576,35,0),0)</f>
        <v>0</v>
      </c>
      <c r="J119" s="157">
        <f>IFERROR(VLOOKUP($A119,'Over Under Bill 1 COPY 到CO欄位'!$1:$1048576,40,0),0)</f>
        <v>0</v>
      </c>
      <c r="K119" s="157">
        <f>IFERROR(VLOOKUP($A119,'Over Under Bill 1 COPY 到CO欄位'!$1:$1048576,45,0),0)</f>
        <v>0</v>
      </c>
      <c r="L119" s="157">
        <f>IFERROR(VLOOKUP($A119,'Over Under Bill 1 COPY 到CO欄位'!$1:$1048576,50,0),0)</f>
        <v>0</v>
      </c>
      <c r="M119" s="157">
        <f>IFERROR(VLOOKUP($A119,'Over Under Bill 1 COPY 到CO欄位'!$1:$1048576,55,0),0)</f>
        <v>0</v>
      </c>
      <c r="N119" s="157">
        <f>IFERROR(VLOOKUP($A119,'Over Under Bill 1 COPY 到CO欄位'!$1:$1048576,60,0),0)</f>
        <v>0</v>
      </c>
      <c r="O119" s="157">
        <f>IFERROR(VLOOKUP($A119,'Over Under Bill 1 COPY 到CO欄位'!$1:$1048576,65,0),0)</f>
        <v>0</v>
      </c>
      <c r="P119" s="157">
        <f>IFERROR(VLOOKUP($A119,'Over Under Bill 1 COPY 到CO欄位'!$1:$1048576,70,0),0)</f>
        <v>0</v>
      </c>
      <c r="Q119" s="157">
        <f>IFERROR(VLOOKUP($A119,'Over Under Bill 1 COPY 到CO欄位'!$1:$1048576,75,0),0)</f>
        <v>0</v>
      </c>
      <c r="R119" s="157">
        <f>IFERROR(VLOOKUP($A119,'Over Under Bill 1 COPY 到CO欄位'!$1:$1048576,80,0),0)</f>
        <v>0</v>
      </c>
      <c r="S119" s="157">
        <f>IFERROR(VLOOKUP($A119,'Over Under Bill 1 COPY 到CO欄位'!$1:$1048576,85,0),0)</f>
        <v>0</v>
      </c>
      <c r="T119" s="157">
        <f>IFERROR(VLOOKUP($A119,'Over Under Bill 1 COPY 到CO欄位'!$1:$1048576,90,0),0)</f>
        <v>0</v>
      </c>
    </row>
    <row r="120" spans="1:20" hidden="1">
      <c r="A120" s="175"/>
      <c r="B120" s="175"/>
      <c r="C120" s="157">
        <f>IFERROR(VLOOKUP($A120,'Over Under Bill 1 COPY 到CO欄位'!$1:$1048576,5,0),0)</f>
        <v>0</v>
      </c>
      <c r="D120" s="157">
        <f>IFERROR(VLOOKUP($A120,'Over Under Bill 1 COPY 到CO欄位'!$1:$1048576,10,0),0)</f>
        <v>0</v>
      </c>
      <c r="E120" s="157">
        <f>IFERROR(VLOOKUP($A120,'Over Under Bill 1 COPY 到CO欄位'!$1:$1048576,15,0),0)</f>
        <v>0</v>
      </c>
      <c r="F120" s="157">
        <f>IFERROR(VLOOKUP($A120,'Over Under Bill 1 COPY 到CO欄位'!$1:$1048576,20,0),0)</f>
        <v>0</v>
      </c>
      <c r="G120" s="157">
        <f>IFERROR(VLOOKUP($A120,'Over Under Bill 1 COPY 到CO欄位'!$1:$1048576,25,0),0)</f>
        <v>0</v>
      </c>
      <c r="H120" s="157">
        <f>IFERROR(VLOOKUP($A120,'Over Under Bill 1 COPY 到CO欄位'!$1:$1048576,30,0),0)</f>
        <v>0</v>
      </c>
      <c r="I120" s="157">
        <f>IFERROR(VLOOKUP($A120,'Over Under Bill 1 COPY 到CO欄位'!$1:$1048576,35,0),0)</f>
        <v>0</v>
      </c>
      <c r="J120" s="157">
        <f>IFERROR(VLOOKUP($A120,'Over Under Bill 1 COPY 到CO欄位'!$1:$1048576,40,0),0)</f>
        <v>0</v>
      </c>
      <c r="K120" s="157">
        <f>IFERROR(VLOOKUP($A120,'Over Under Bill 1 COPY 到CO欄位'!$1:$1048576,45,0),0)</f>
        <v>0</v>
      </c>
      <c r="L120" s="157">
        <f>IFERROR(VLOOKUP($A120,'Over Under Bill 1 COPY 到CO欄位'!$1:$1048576,50,0),0)</f>
        <v>0</v>
      </c>
      <c r="M120" s="157">
        <f>IFERROR(VLOOKUP($A120,'Over Under Bill 1 COPY 到CO欄位'!$1:$1048576,55,0),0)</f>
        <v>0</v>
      </c>
      <c r="N120" s="157">
        <f>IFERROR(VLOOKUP($A120,'Over Under Bill 1 COPY 到CO欄位'!$1:$1048576,60,0),0)</f>
        <v>0</v>
      </c>
      <c r="O120" s="157">
        <f>IFERROR(VLOOKUP($A120,'Over Under Bill 1 COPY 到CO欄位'!$1:$1048576,65,0),0)</f>
        <v>0</v>
      </c>
      <c r="P120" s="157">
        <f>IFERROR(VLOOKUP($A120,'Over Under Bill 1 COPY 到CO欄位'!$1:$1048576,70,0),0)</f>
        <v>0</v>
      </c>
      <c r="Q120" s="157">
        <f>IFERROR(VLOOKUP($A120,'Over Under Bill 1 COPY 到CO欄位'!$1:$1048576,75,0),0)</f>
        <v>0</v>
      </c>
      <c r="R120" s="157">
        <f>IFERROR(VLOOKUP($A120,'Over Under Bill 1 COPY 到CO欄位'!$1:$1048576,80,0),0)</f>
        <v>0</v>
      </c>
      <c r="S120" s="157">
        <f>IFERROR(VLOOKUP($A120,'Over Under Bill 1 COPY 到CO欄位'!$1:$1048576,85,0),0)</f>
        <v>0</v>
      </c>
      <c r="T120" s="157">
        <f>IFERROR(VLOOKUP($A120,'Over Under Bill 1 COPY 到CO欄位'!$1:$1048576,90,0),0)</f>
        <v>0</v>
      </c>
    </row>
    <row r="121" spans="1:20" hidden="1">
      <c r="A121" s="175"/>
      <c r="B121" s="175"/>
      <c r="C121" s="157">
        <f>IFERROR(VLOOKUP($A121,'Over Under Bill 1 COPY 到CO欄位'!$1:$1048576,5,0),0)</f>
        <v>0</v>
      </c>
      <c r="D121" s="157">
        <f>IFERROR(VLOOKUP($A121,'Over Under Bill 1 COPY 到CO欄位'!$1:$1048576,10,0),0)</f>
        <v>0</v>
      </c>
      <c r="E121" s="157">
        <f>IFERROR(VLOOKUP($A121,'Over Under Bill 1 COPY 到CO欄位'!$1:$1048576,15,0),0)</f>
        <v>0</v>
      </c>
      <c r="F121" s="157">
        <f>IFERROR(VLOOKUP($A121,'Over Under Bill 1 COPY 到CO欄位'!$1:$1048576,20,0),0)</f>
        <v>0</v>
      </c>
      <c r="G121" s="157">
        <f>IFERROR(VLOOKUP($A121,'Over Under Bill 1 COPY 到CO欄位'!$1:$1048576,25,0),0)</f>
        <v>0</v>
      </c>
      <c r="H121" s="157">
        <f>IFERROR(VLOOKUP($A121,'Over Under Bill 1 COPY 到CO欄位'!$1:$1048576,30,0),0)</f>
        <v>0</v>
      </c>
      <c r="I121" s="157">
        <f>IFERROR(VLOOKUP($A121,'Over Under Bill 1 COPY 到CO欄位'!$1:$1048576,35,0),0)</f>
        <v>0</v>
      </c>
      <c r="J121" s="157">
        <f>IFERROR(VLOOKUP($A121,'Over Under Bill 1 COPY 到CO欄位'!$1:$1048576,40,0),0)</f>
        <v>0</v>
      </c>
      <c r="K121" s="157">
        <f>IFERROR(VLOOKUP($A121,'Over Under Bill 1 COPY 到CO欄位'!$1:$1048576,45,0),0)</f>
        <v>0</v>
      </c>
      <c r="L121" s="157">
        <f>IFERROR(VLOOKUP($A121,'Over Under Bill 1 COPY 到CO欄位'!$1:$1048576,50,0),0)</f>
        <v>0</v>
      </c>
      <c r="M121" s="157">
        <f>IFERROR(VLOOKUP($A121,'Over Under Bill 1 COPY 到CO欄位'!$1:$1048576,55,0),0)</f>
        <v>0</v>
      </c>
      <c r="N121" s="157">
        <f>IFERROR(VLOOKUP($A121,'Over Under Bill 1 COPY 到CO欄位'!$1:$1048576,60,0),0)</f>
        <v>0</v>
      </c>
      <c r="O121" s="157">
        <f>IFERROR(VLOOKUP($A121,'Over Under Bill 1 COPY 到CO欄位'!$1:$1048576,65,0),0)</f>
        <v>0</v>
      </c>
      <c r="P121" s="157">
        <f>IFERROR(VLOOKUP($A121,'Over Under Bill 1 COPY 到CO欄位'!$1:$1048576,70,0),0)</f>
        <v>0</v>
      </c>
      <c r="Q121" s="157">
        <f>IFERROR(VLOOKUP($A121,'Over Under Bill 1 COPY 到CO欄位'!$1:$1048576,75,0),0)</f>
        <v>0</v>
      </c>
      <c r="R121" s="157">
        <f>IFERROR(VLOOKUP($A121,'Over Under Bill 1 COPY 到CO欄位'!$1:$1048576,80,0),0)</f>
        <v>0</v>
      </c>
      <c r="S121" s="157">
        <f>IFERROR(VLOOKUP($A121,'Over Under Bill 1 COPY 到CO欄位'!$1:$1048576,85,0),0)</f>
        <v>0</v>
      </c>
      <c r="T121" s="157">
        <f>IFERROR(VLOOKUP($A121,'Over Under Bill 1 COPY 到CO欄位'!$1:$1048576,90,0),0)</f>
        <v>0</v>
      </c>
    </row>
    <row r="122" spans="1:20" hidden="1">
      <c r="A122" s="175"/>
      <c r="B122" s="175"/>
      <c r="C122" s="157">
        <f>IFERROR(VLOOKUP($A122,'Over Under Bill 1 COPY 到CO欄位'!$1:$1048576,5,0),0)</f>
        <v>0</v>
      </c>
      <c r="D122" s="157">
        <f>IFERROR(VLOOKUP($A122,'Over Under Bill 1 COPY 到CO欄位'!$1:$1048576,10,0),0)</f>
        <v>0</v>
      </c>
      <c r="E122" s="157">
        <f>IFERROR(VLOOKUP($A122,'Over Under Bill 1 COPY 到CO欄位'!$1:$1048576,15,0),0)</f>
        <v>0</v>
      </c>
      <c r="F122" s="157">
        <f>IFERROR(VLOOKUP($A122,'Over Under Bill 1 COPY 到CO欄位'!$1:$1048576,20,0),0)</f>
        <v>0</v>
      </c>
      <c r="G122" s="157">
        <f>IFERROR(VLOOKUP($A122,'Over Under Bill 1 COPY 到CO欄位'!$1:$1048576,25,0),0)</f>
        <v>0</v>
      </c>
      <c r="H122" s="157">
        <f>IFERROR(VLOOKUP($A122,'Over Under Bill 1 COPY 到CO欄位'!$1:$1048576,30,0),0)</f>
        <v>0</v>
      </c>
      <c r="I122" s="157">
        <f>IFERROR(VLOOKUP($A122,'Over Under Bill 1 COPY 到CO欄位'!$1:$1048576,35,0),0)</f>
        <v>0</v>
      </c>
      <c r="J122" s="157">
        <f>IFERROR(VLOOKUP($A122,'Over Under Bill 1 COPY 到CO欄位'!$1:$1048576,40,0),0)</f>
        <v>0</v>
      </c>
      <c r="K122" s="157">
        <f>IFERROR(VLOOKUP($A122,'Over Under Bill 1 COPY 到CO欄位'!$1:$1048576,45,0),0)</f>
        <v>0</v>
      </c>
      <c r="L122" s="157">
        <f>IFERROR(VLOOKUP($A122,'Over Under Bill 1 COPY 到CO欄位'!$1:$1048576,50,0),0)</f>
        <v>0</v>
      </c>
      <c r="M122" s="157">
        <f>IFERROR(VLOOKUP($A122,'Over Under Bill 1 COPY 到CO欄位'!$1:$1048576,55,0),0)</f>
        <v>0</v>
      </c>
      <c r="N122" s="157">
        <f>IFERROR(VLOOKUP($A122,'Over Under Bill 1 COPY 到CO欄位'!$1:$1048576,60,0),0)</f>
        <v>0</v>
      </c>
      <c r="O122" s="157">
        <f>IFERROR(VLOOKUP($A122,'Over Under Bill 1 COPY 到CO欄位'!$1:$1048576,65,0),0)</f>
        <v>0</v>
      </c>
      <c r="P122" s="157">
        <f>IFERROR(VLOOKUP($A122,'Over Under Bill 1 COPY 到CO欄位'!$1:$1048576,70,0),0)</f>
        <v>0</v>
      </c>
      <c r="Q122" s="157">
        <f>IFERROR(VLOOKUP($A122,'Over Under Bill 1 COPY 到CO欄位'!$1:$1048576,75,0),0)</f>
        <v>0</v>
      </c>
      <c r="R122" s="157">
        <f>IFERROR(VLOOKUP($A122,'Over Under Bill 1 COPY 到CO欄位'!$1:$1048576,80,0),0)</f>
        <v>0</v>
      </c>
      <c r="S122" s="157">
        <f>IFERROR(VLOOKUP($A122,'Over Under Bill 1 COPY 到CO欄位'!$1:$1048576,85,0),0)</f>
        <v>0</v>
      </c>
      <c r="T122" s="157">
        <f>IFERROR(VLOOKUP($A122,'Over Under Bill 1 COPY 到CO欄位'!$1:$1048576,90,0),0)</f>
        <v>0</v>
      </c>
    </row>
    <row r="123" spans="1:20" hidden="1">
      <c r="A123" s="175"/>
      <c r="B123" s="175"/>
      <c r="C123" s="157">
        <f>IFERROR(VLOOKUP($A123,'Over Under Bill 1 COPY 到CO欄位'!$1:$1048576,5,0),0)</f>
        <v>0</v>
      </c>
      <c r="D123" s="157">
        <f>IFERROR(VLOOKUP($A123,'Over Under Bill 1 COPY 到CO欄位'!$1:$1048576,10,0),0)</f>
        <v>0</v>
      </c>
      <c r="E123" s="157">
        <f>IFERROR(VLOOKUP($A123,'Over Under Bill 1 COPY 到CO欄位'!$1:$1048576,15,0),0)</f>
        <v>0</v>
      </c>
      <c r="F123" s="157">
        <f>IFERROR(VLOOKUP($A123,'Over Under Bill 1 COPY 到CO欄位'!$1:$1048576,20,0),0)</f>
        <v>0</v>
      </c>
      <c r="G123" s="157">
        <f>IFERROR(VLOOKUP($A123,'Over Under Bill 1 COPY 到CO欄位'!$1:$1048576,25,0),0)</f>
        <v>0</v>
      </c>
      <c r="H123" s="157">
        <f>IFERROR(VLOOKUP($A123,'Over Under Bill 1 COPY 到CO欄位'!$1:$1048576,30,0),0)</f>
        <v>0</v>
      </c>
      <c r="I123" s="157">
        <f>IFERROR(VLOOKUP($A123,'Over Under Bill 1 COPY 到CO欄位'!$1:$1048576,35,0),0)</f>
        <v>0</v>
      </c>
      <c r="J123" s="157">
        <f>IFERROR(VLOOKUP($A123,'Over Under Bill 1 COPY 到CO欄位'!$1:$1048576,40,0),0)</f>
        <v>0</v>
      </c>
      <c r="K123" s="157">
        <f>IFERROR(VLOOKUP($A123,'Over Under Bill 1 COPY 到CO欄位'!$1:$1048576,45,0),0)</f>
        <v>0</v>
      </c>
      <c r="L123" s="157">
        <f>IFERROR(VLOOKUP($A123,'Over Under Bill 1 COPY 到CO欄位'!$1:$1048576,50,0),0)</f>
        <v>0</v>
      </c>
      <c r="M123" s="157">
        <f>IFERROR(VLOOKUP($A123,'Over Under Bill 1 COPY 到CO欄位'!$1:$1048576,55,0),0)</f>
        <v>0</v>
      </c>
      <c r="N123" s="157">
        <f>IFERROR(VLOOKUP($A123,'Over Under Bill 1 COPY 到CO欄位'!$1:$1048576,60,0),0)</f>
        <v>0</v>
      </c>
      <c r="O123" s="157">
        <f>IFERROR(VLOOKUP($A123,'Over Under Bill 1 COPY 到CO欄位'!$1:$1048576,65,0),0)</f>
        <v>0</v>
      </c>
      <c r="P123" s="157">
        <f>IFERROR(VLOOKUP($A123,'Over Under Bill 1 COPY 到CO欄位'!$1:$1048576,70,0),0)</f>
        <v>0</v>
      </c>
      <c r="Q123" s="157">
        <f>IFERROR(VLOOKUP($A123,'Over Under Bill 1 COPY 到CO欄位'!$1:$1048576,75,0),0)</f>
        <v>0</v>
      </c>
      <c r="R123" s="157">
        <f>IFERROR(VLOOKUP($A123,'Over Under Bill 1 COPY 到CO欄位'!$1:$1048576,80,0),0)</f>
        <v>0</v>
      </c>
      <c r="S123" s="157">
        <f>IFERROR(VLOOKUP($A123,'Over Under Bill 1 COPY 到CO欄位'!$1:$1048576,85,0),0)</f>
        <v>0</v>
      </c>
      <c r="T123" s="157">
        <f>IFERROR(VLOOKUP($A123,'Over Under Bill 1 COPY 到CO欄位'!$1:$1048576,90,0),0)</f>
        <v>0</v>
      </c>
    </row>
    <row r="124" spans="1:20" hidden="1">
      <c r="A124" s="175"/>
      <c r="B124" s="175"/>
      <c r="C124" s="157">
        <f>IFERROR(VLOOKUP($A124,'Over Under Bill 1 COPY 到CO欄位'!$1:$1048576,5,0),0)</f>
        <v>0</v>
      </c>
      <c r="D124" s="157">
        <f>IFERROR(VLOOKUP($A124,'Over Under Bill 1 COPY 到CO欄位'!$1:$1048576,10,0),0)</f>
        <v>0</v>
      </c>
      <c r="E124" s="157">
        <f>IFERROR(VLOOKUP($A124,'Over Under Bill 1 COPY 到CO欄位'!$1:$1048576,15,0),0)</f>
        <v>0</v>
      </c>
      <c r="F124" s="157">
        <f>IFERROR(VLOOKUP($A124,'Over Under Bill 1 COPY 到CO欄位'!$1:$1048576,20,0),0)</f>
        <v>0</v>
      </c>
      <c r="G124" s="157">
        <f>IFERROR(VLOOKUP($A124,'Over Under Bill 1 COPY 到CO欄位'!$1:$1048576,25,0),0)</f>
        <v>0</v>
      </c>
      <c r="H124" s="157">
        <f>IFERROR(VLOOKUP($A124,'Over Under Bill 1 COPY 到CO欄位'!$1:$1048576,30,0),0)</f>
        <v>0</v>
      </c>
      <c r="I124" s="157">
        <f>IFERROR(VLOOKUP($A124,'Over Under Bill 1 COPY 到CO欄位'!$1:$1048576,35,0),0)</f>
        <v>0</v>
      </c>
      <c r="J124" s="157">
        <f>IFERROR(VLOOKUP($A124,'Over Under Bill 1 COPY 到CO欄位'!$1:$1048576,40,0),0)</f>
        <v>0</v>
      </c>
      <c r="K124" s="157">
        <f>IFERROR(VLOOKUP($A124,'Over Under Bill 1 COPY 到CO欄位'!$1:$1048576,45,0),0)</f>
        <v>0</v>
      </c>
      <c r="L124" s="157">
        <f>IFERROR(VLOOKUP($A124,'Over Under Bill 1 COPY 到CO欄位'!$1:$1048576,50,0),0)</f>
        <v>0</v>
      </c>
      <c r="M124" s="157">
        <f>IFERROR(VLOOKUP($A124,'Over Under Bill 1 COPY 到CO欄位'!$1:$1048576,55,0),0)</f>
        <v>0</v>
      </c>
      <c r="N124" s="157">
        <f>IFERROR(VLOOKUP($A124,'Over Under Bill 1 COPY 到CO欄位'!$1:$1048576,60,0),0)</f>
        <v>0</v>
      </c>
      <c r="O124" s="157">
        <f>IFERROR(VLOOKUP($A124,'Over Under Bill 1 COPY 到CO欄位'!$1:$1048576,65,0),0)</f>
        <v>0</v>
      </c>
      <c r="P124" s="157">
        <f>IFERROR(VLOOKUP($A124,'Over Under Bill 1 COPY 到CO欄位'!$1:$1048576,70,0),0)</f>
        <v>0</v>
      </c>
      <c r="Q124" s="157">
        <f>IFERROR(VLOOKUP($A124,'Over Under Bill 1 COPY 到CO欄位'!$1:$1048576,75,0),0)</f>
        <v>0</v>
      </c>
      <c r="R124" s="157">
        <f>IFERROR(VLOOKUP($A124,'Over Under Bill 1 COPY 到CO欄位'!$1:$1048576,80,0),0)</f>
        <v>0</v>
      </c>
      <c r="S124" s="157">
        <f>IFERROR(VLOOKUP($A124,'Over Under Bill 1 COPY 到CO欄位'!$1:$1048576,85,0),0)</f>
        <v>0</v>
      </c>
      <c r="T124" s="157">
        <f>IFERROR(VLOOKUP($A124,'Over Under Bill 1 COPY 到CO欄位'!$1:$1048576,90,0),0)</f>
        <v>0</v>
      </c>
    </row>
    <row r="125" spans="1:20" hidden="1">
      <c r="A125" s="175"/>
      <c r="B125" s="175"/>
      <c r="C125" s="157">
        <f>IFERROR(VLOOKUP($A125,'Over Under Bill 1 COPY 到CO欄位'!$1:$1048576,5,0),0)</f>
        <v>0</v>
      </c>
      <c r="D125" s="157">
        <f>IFERROR(VLOOKUP($A125,'Over Under Bill 1 COPY 到CO欄位'!$1:$1048576,10,0),0)</f>
        <v>0</v>
      </c>
      <c r="E125" s="157">
        <f>IFERROR(VLOOKUP($A125,'Over Under Bill 1 COPY 到CO欄位'!$1:$1048576,15,0),0)</f>
        <v>0</v>
      </c>
      <c r="F125" s="157">
        <f>IFERROR(VLOOKUP($A125,'Over Under Bill 1 COPY 到CO欄位'!$1:$1048576,20,0),0)</f>
        <v>0</v>
      </c>
      <c r="G125" s="157">
        <f>IFERROR(VLOOKUP($A125,'Over Under Bill 1 COPY 到CO欄位'!$1:$1048576,25,0),0)</f>
        <v>0</v>
      </c>
      <c r="H125" s="157">
        <f>IFERROR(VLOOKUP($A125,'Over Under Bill 1 COPY 到CO欄位'!$1:$1048576,30,0),0)</f>
        <v>0</v>
      </c>
      <c r="I125" s="157">
        <f>IFERROR(VLOOKUP($A125,'Over Under Bill 1 COPY 到CO欄位'!$1:$1048576,35,0),0)</f>
        <v>0</v>
      </c>
      <c r="J125" s="157">
        <f>IFERROR(VLOOKUP($A125,'Over Under Bill 1 COPY 到CO欄位'!$1:$1048576,40,0),0)</f>
        <v>0</v>
      </c>
      <c r="K125" s="157">
        <f>IFERROR(VLOOKUP($A125,'Over Under Bill 1 COPY 到CO欄位'!$1:$1048576,45,0),0)</f>
        <v>0</v>
      </c>
      <c r="L125" s="157">
        <f>IFERROR(VLOOKUP($A125,'Over Under Bill 1 COPY 到CO欄位'!$1:$1048576,50,0),0)</f>
        <v>0</v>
      </c>
      <c r="M125" s="157">
        <f>IFERROR(VLOOKUP($A125,'Over Under Bill 1 COPY 到CO欄位'!$1:$1048576,55,0),0)</f>
        <v>0</v>
      </c>
      <c r="N125" s="157">
        <f>IFERROR(VLOOKUP($A125,'Over Under Bill 1 COPY 到CO欄位'!$1:$1048576,60,0),0)</f>
        <v>0</v>
      </c>
      <c r="O125" s="157">
        <f>IFERROR(VLOOKUP($A125,'Over Under Bill 1 COPY 到CO欄位'!$1:$1048576,65,0),0)</f>
        <v>0</v>
      </c>
      <c r="P125" s="157">
        <f>IFERROR(VLOOKUP($A125,'Over Under Bill 1 COPY 到CO欄位'!$1:$1048576,70,0),0)</f>
        <v>0</v>
      </c>
      <c r="Q125" s="157">
        <f>IFERROR(VLOOKUP($A125,'Over Under Bill 1 COPY 到CO欄位'!$1:$1048576,75,0),0)</f>
        <v>0</v>
      </c>
      <c r="R125" s="157">
        <f>IFERROR(VLOOKUP($A125,'Over Under Bill 1 COPY 到CO欄位'!$1:$1048576,80,0),0)</f>
        <v>0</v>
      </c>
      <c r="S125" s="157">
        <f>IFERROR(VLOOKUP($A125,'Over Under Bill 1 COPY 到CO欄位'!$1:$1048576,85,0),0)</f>
        <v>0</v>
      </c>
      <c r="T125" s="157">
        <f>IFERROR(VLOOKUP($A125,'Over Under Bill 1 COPY 到CO欄位'!$1:$1048576,90,0),0)</f>
        <v>0</v>
      </c>
    </row>
    <row r="126" spans="1:20" hidden="1">
      <c r="A126" s="175"/>
      <c r="B126" s="175"/>
      <c r="C126" s="157">
        <f>IFERROR(VLOOKUP($A126,'Over Under Bill 1 COPY 到CO欄位'!$1:$1048576,5,0),0)</f>
        <v>0</v>
      </c>
      <c r="D126" s="157">
        <f>IFERROR(VLOOKUP($A126,'Over Under Bill 1 COPY 到CO欄位'!$1:$1048576,10,0),0)</f>
        <v>0</v>
      </c>
      <c r="E126" s="157">
        <f>IFERROR(VLOOKUP($A126,'Over Under Bill 1 COPY 到CO欄位'!$1:$1048576,15,0),0)</f>
        <v>0</v>
      </c>
      <c r="F126" s="157">
        <f>IFERROR(VLOOKUP($A126,'Over Under Bill 1 COPY 到CO欄位'!$1:$1048576,20,0),0)</f>
        <v>0</v>
      </c>
      <c r="G126" s="157">
        <f>IFERROR(VLOOKUP($A126,'Over Under Bill 1 COPY 到CO欄位'!$1:$1048576,25,0),0)</f>
        <v>0</v>
      </c>
      <c r="H126" s="157">
        <f>IFERROR(VLOOKUP($A126,'Over Under Bill 1 COPY 到CO欄位'!$1:$1048576,30,0),0)</f>
        <v>0</v>
      </c>
      <c r="I126" s="157">
        <f>IFERROR(VLOOKUP($A126,'Over Under Bill 1 COPY 到CO欄位'!$1:$1048576,35,0),0)</f>
        <v>0</v>
      </c>
      <c r="J126" s="157">
        <f>IFERROR(VLOOKUP($A126,'Over Under Bill 1 COPY 到CO欄位'!$1:$1048576,40,0),0)</f>
        <v>0</v>
      </c>
      <c r="K126" s="157">
        <f>IFERROR(VLOOKUP($A126,'Over Under Bill 1 COPY 到CO欄位'!$1:$1048576,45,0),0)</f>
        <v>0</v>
      </c>
      <c r="L126" s="157">
        <f>IFERROR(VLOOKUP($A126,'Over Under Bill 1 COPY 到CO欄位'!$1:$1048576,50,0),0)</f>
        <v>0</v>
      </c>
      <c r="M126" s="157">
        <f>IFERROR(VLOOKUP($A126,'Over Under Bill 1 COPY 到CO欄位'!$1:$1048576,55,0),0)</f>
        <v>0</v>
      </c>
      <c r="N126" s="157">
        <f>IFERROR(VLOOKUP($A126,'Over Under Bill 1 COPY 到CO欄位'!$1:$1048576,60,0),0)</f>
        <v>0</v>
      </c>
      <c r="O126" s="157">
        <f>IFERROR(VLOOKUP($A126,'Over Under Bill 1 COPY 到CO欄位'!$1:$1048576,65,0),0)</f>
        <v>0</v>
      </c>
      <c r="P126" s="157">
        <f>IFERROR(VLOOKUP($A126,'Over Under Bill 1 COPY 到CO欄位'!$1:$1048576,70,0),0)</f>
        <v>0</v>
      </c>
      <c r="Q126" s="157">
        <f>IFERROR(VLOOKUP($A126,'Over Under Bill 1 COPY 到CO欄位'!$1:$1048576,75,0),0)</f>
        <v>0</v>
      </c>
      <c r="R126" s="157">
        <f>IFERROR(VLOOKUP($A126,'Over Under Bill 1 COPY 到CO欄位'!$1:$1048576,80,0),0)</f>
        <v>0</v>
      </c>
      <c r="S126" s="157">
        <f>IFERROR(VLOOKUP($A126,'Over Under Bill 1 COPY 到CO欄位'!$1:$1048576,85,0),0)</f>
        <v>0</v>
      </c>
      <c r="T126" s="157">
        <f>IFERROR(VLOOKUP($A126,'Over Under Bill 1 COPY 到CO欄位'!$1:$1048576,90,0),0)</f>
        <v>0</v>
      </c>
    </row>
    <row r="127" spans="1:20" hidden="1">
      <c r="A127" s="175"/>
      <c r="B127" s="175"/>
      <c r="C127" s="157">
        <f>IFERROR(VLOOKUP($A127,'Over Under Bill 1 COPY 到CO欄位'!$1:$1048576,5,0),0)</f>
        <v>0</v>
      </c>
      <c r="D127" s="157">
        <f>IFERROR(VLOOKUP($A127,'Over Under Bill 1 COPY 到CO欄位'!$1:$1048576,10,0),0)</f>
        <v>0</v>
      </c>
      <c r="E127" s="157">
        <f>IFERROR(VLOOKUP($A127,'Over Under Bill 1 COPY 到CO欄位'!$1:$1048576,15,0),0)</f>
        <v>0</v>
      </c>
      <c r="F127" s="157">
        <f>IFERROR(VLOOKUP($A127,'Over Under Bill 1 COPY 到CO欄位'!$1:$1048576,20,0),0)</f>
        <v>0</v>
      </c>
      <c r="G127" s="157">
        <f>IFERROR(VLOOKUP($A127,'Over Under Bill 1 COPY 到CO欄位'!$1:$1048576,25,0),0)</f>
        <v>0</v>
      </c>
      <c r="H127" s="157">
        <f>IFERROR(VLOOKUP($A127,'Over Under Bill 1 COPY 到CO欄位'!$1:$1048576,30,0),0)</f>
        <v>0</v>
      </c>
      <c r="I127" s="157">
        <f>IFERROR(VLOOKUP($A127,'Over Under Bill 1 COPY 到CO欄位'!$1:$1048576,35,0),0)</f>
        <v>0</v>
      </c>
      <c r="J127" s="157">
        <f>IFERROR(VLOOKUP($A127,'Over Under Bill 1 COPY 到CO欄位'!$1:$1048576,40,0),0)</f>
        <v>0</v>
      </c>
      <c r="K127" s="157">
        <f>IFERROR(VLOOKUP($A127,'Over Under Bill 1 COPY 到CO欄位'!$1:$1048576,45,0),0)</f>
        <v>0</v>
      </c>
      <c r="L127" s="157">
        <f>IFERROR(VLOOKUP($A127,'Over Under Bill 1 COPY 到CO欄位'!$1:$1048576,50,0),0)</f>
        <v>0</v>
      </c>
      <c r="M127" s="157">
        <f>IFERROR(VLOOKUP($A127,'Over Under Bill 1 COPY 到CO欄位'!$1:$1048576,55,0),0)</f>
        <v>0</v>
      </c>
      <c r="N127" s="157">
        <f>IFERROR(VLOOKUP($A127,'Over Under Bill 1 COPY 到CO欄位'!$1:$1048576,60,0),0)</f>
        <v>0</v>
      </c>
      <c r="O127" s="157">
        <f>IFERROR(VLOOKUP($A127,'Over Under Bill 1 COPY 到CO欄位'!$1:$1048576,65,0),0)</f>
        <v>0</v>
      </c>
      <c r="P127" s="157">
        <f>IFERROR(VLOOKUP($A127,'Over Under Bill 1 COPY 到CO欄位'!$1:$1048576,70,0),0)</f>
        <v>0</v>
      </c>
      <c r="Q127" s="157">
        <f>IFERROR(VLOOKUP($A127,'Over Under Bill 1 COPY 到CO欄位'!$1:$1048576,75,0),0)</f>
        <v>0</v>
      </c>
      <c r="R127" s="157">
        <f>IFERROR(VLOOKUP($A127,'Over Under Bill 1 COPY 到CO欄位'!$1:$1048576,80,0),0)</f>
        <v>0</v>
      </c>
      <c r="S127" s="157">
        <f>IFERROR(VLOOKUP($A127,'Over Under Bill 1 COPY 到CO欄位'!$1:$1048576,85,0),0)</f>
        <v>0</v>
      </c>
      <c r="T127" s="157">
        <f>IFERROR(VLOOKUP($A127,'Over Under Bill 1 COPY 到CO欄位'!$1:$1048576,90,0),0)</f>
        <v>0</v>
      </c>
    </row>
    <row r="128" spans="1:20" hidden="1">
      <c r="A128" s="175"/>
      <c r="B128" s="175"/>
      <c r="C128" s="157">
        <f>IFERROR(VLOOKUP($A128,'Over Under Bill 1 COPY 到CO欄位'!$1:$1048576,5,0),0)</f>
        <v>0</v>
      </c>
      <c r="D128" s="157">
        <f>IFERROR(VLOOKUP($A128,'Over Under Bill 1 COPY 到CO欄位'!$1:$1048576,10,0),0)</f>
        <v>0</v>
      </c>
      <c r="E128" s="157">
        <f>IFERROR(VLOOKUP($A128,'Over Under Bill 1 COPY 到CO欄位'!$1:$1048576,15,0),0)</f>
        <v>0</v>
      </c>
      <c r="F128" s="157">
        <f>IFERROR(VLOOKUP($A128,'Over Under Bill 1 COPY 到CO欄位'!$1:$1048576,20,0),0)</f>
        <v>0</v>
      </c>
      <c r="G128" s="157">
        <f>IFERROR(VLOOKUP($A128,'Over Under Bill 1 COPY 到CO欄位'!$1:$1048576,25,0),0)</f>
        <v>0</v>
      </c>
      <c r="H128" s="157">
        <f>IFERROR(VLOOKUP($A128,'Over Under Bill 1 COPY 到CO欄位'!$1:$1048576,30,0),0)</f>
        <v>0</v>
      </c>
      <c r="I128" s="157">
        <f>IFERROR(VLOOKUP($A128,'Over Under Bill 1 COPY 到CO欄位'!$1:$1048576,35,0),0)</f>
        <v>0</v>
      </c>
      <c r="J128" s="157">
        <f>IFERROR(VLOOKUP($A128,'Over Under Bill 1 COPY 到CO欄位'!$1:$1048576,40,0),0)</f>
        <v>0</v>
      </c>
      <c r="K128" s="157">
        <f>IFERROR(VLOOKUP($A128,'Over Under Bill 1 COPY 到CO欄位'!$1:$1048576,45,0),0)</f>
        <v>0</v>
      </c>
      <c r="L128" s="157">
        <f>IFERROR(VLOOKUP($A128,'Over Under Bill 1 COPY 到CO欄位'!$1:$1048576,50,0),0)</f>
        <v>0</v>
      </c>
      <c r="M128" s="157">
        <f>IFERROR(VLOOKUP($A128,'Over Under Bill 1 COPY 到CO欄位'!$1:$1048576,55,0),0)</f>
        <v>0</v>
      </c>
      <c r="N128" s="157">
        <f>IFERROR(VLOOKUP($A128,'Over Under Bill 1 COPY 到CO欄位'!$1:$1048576,60,0),0)</f>
        <v>0</v>
      </c>
      <c r="O128" s="157">
        <f>IFERROR(VLOOKUP($A128,'Over Under Bill 1 COPY 到CO欄位'!$1:$1048576,65,0),0)</f>
        <v>0</v>
      </c>
      <c r="P128" s="157">
        <f>IFERROR(VLOOKUP($A128,'Over Under Bill 1 COPY 到CO欄位'!$1:$1048576,70,0),0)</f>
        <v>0</v>
      </c>
      <c r="Q128" s="157">
        <f>IFERROR(VLOOKUP($A128,'Over Under Bill 1 COPY 到CO欄位'!$1:$1048576,75,0),0)</f>
        <v>0</v>
      </c>
      <c r="R128" s="157">
        <f>IFERROR(VLOOKUP($A128,'Over Under Bill 1 COPY 到CO欄位'!$1:$1048576,80,0),0)</f>
        <v>0</v>
      </c>
      <c r="S128" s="157">
        <f>IFERROR(VLOOKUP($A128,'Over Under Bill 1 COPY 到CO欄位'!$1:$1048576,85,0),0)</f>
        <v>0</v>
      </c>
      <c r="T128" s="157">
        <f>IFERROR(VLOOKUP($A128,'Over Under Bill 1 COPY 到CO欄位'!$1:$1048576,90,0),0)</f>
        <v>0</v>
      </c>
    </row>
    <row r="129" spans="1:20" hidden="1">
      <c r="A129" s="175"/>
      <c r="B129" s="175"/>
      <c r="C129" s="157">
        <f>IFERROR(VLOOKUP($A129,'Over Under Bill 1 COPY 到CO欄位'!$1:$1048576,5,0),0)</f>
        <v>0</v>
      </c>
      <c r="D129" s="157">
        <f>IFERROR(VLOOKUP($A129,'Over Under Bill 1 COPY 到CO欄位'!$1:$1048576,10,0),0)</f>
        <v>0</v>
      </c>
      <c r="E129" s="157">
        <f>IFERROR(VLOOKUP($A129,'Over Under Bill 1 COPY 到CO欄位'!$1:$1048576,15,0),0)</f>
        <v>0</v>
      </c>
      <c r="F129" s="157">
        <f>IFERROR(VLOOKUP($A129,'Over Under Bill 1 COPY 到CO欄位'!$1:$1048576,20,0),0)</f>
        <v>0</v>
      </c>
      <c r="G129" s="157">
        <f>IFERROR(VLOOKUP($A129,'Over Under Bill 1 COPY 到CO欄位'!$1:$1048576,25,0),0)</f>
        <v>0</v>
      </c>
      <c r="H129" s="157">
        <f>IFERROR(VLOOKUP($A129,'Over Under Bill 1 COPY 到CO欄位'!$1:$1048576,30,0),0)</f>
        <v>0</v>
      </c>
      <c r="I129" s="157">
        <f>IFERROR(VLOOKUP($A129,'Over Under Bill 1 COPY 到CO欄位'!$1:$1048576,35,0),0)</f>
        <v>0</v>
      </c>
      <c r="J129" s="157">
        <f>IFERROR(VLOOKUP($A129,'Over Under Bill 1 COPY 到CO欄位'!$1:$1048576,40,0),0)</f>
        <v>0</v>
      </c>
      <c r="K129" s="157">
        <f>IFERROR(VLOOKUP($A129,'Over Under Bill 1 COPY 到CO欄位'!$1:$1048576,45,0),0)</f>
        <v>0</v>
      </c>
      <c r="L129" s="157">
        <f>IFERROR(VLOOKUP($A129,'Over Under Bill 1 COPY 到CO欄位'!$1:$1048576,50,0),0)</f>
        <v>0</v>
      </c>
      <c r="M129" s="157">
        <f>IFERROR(VLOOKUP($A129,'Over Under Bill 1 COPY 到CO欄位'!$1:$1048576,55,0),0)</f>
        <v>0</v>
      </c>
      <c r="N129" s="157">
        <f>IFERROR(VLOOKUP($A129,'Over Under Bill 1 COPY 到CO欄位'!$1:$1048576,60,0),0)</f>
        <v>0</v>
      </c>
      <c r="O129" s="157">
        <f>IFERROR(VLOOKUP($A129,'Over Under Bill 1 COPY 到CO欄位'!$1:$1048576,65,0),0)</f>
        <v>0</v>
      </c>
      <c r="P129" s="157">
        <f>IFERROR(VLOOKUP($A129,'Over Under Bill 1 COPY 到CO欄位'!$1:$1048576,70,0),0)</f>
        <v>0</v>
      </c>
      <c r="Q129" s="157">
        <f>IFERROR(VLOOKUP($A129,'Over Under Bill 1 COPY 到CO欄位'!$1:$1048576,75,0),0)</f>
        <v>0</v>
      </c>
      <c r="R129" s="157">
        <f>IFERROR(VLOOKUP($A129,'Over Under Bill 1 COPY 到CO欄位'!$1:$1048576,80,0),0)</f>
        <v>0</v>
      </c>
      <c r="S129" s="157">
        <f>IFERROR(VLOOKUP($A129,'Over Under Bill 1 COPY 到CO欄位'!$1:$1048576,85,0),0)</f>
        <v>0</v>
      </c>
      <c r="T129" s="157">
        <f>IFERROR(VLOOKUP($A129,'Over Under Bill 1 COPY 到CO欄位'!$1:$1048576,90,0),0)</f>
        <v>0</v>
      </c>
    </row>
    <row r="130" spans="1:20" hidden="1">
      <c r="A130" s="175"/>
      <c r="B130" s="175"/>
      <c r="C130" s="157">
        <f>IFERROR(VLOOKUP($A130,'Over Under Bill 1 COPY 到CO欄位'!$1:$1048576,5,0),0)</f>
        <v>0</v>
      </c>
      <c r="D130" s="157">
        <f>IFERROR(VLOOKUP($A130,'Over Under Bill 1 COPY 到CO欄位'!$1:$1048576,10,0),0)</f>
        <v>0</v>
      </c>
      <c r="E130" s="157">
        <f>IFERROR(VLOOKUP($A130,'Over Under Bill 1 COPY 到CO欄位'!$1:$1048576,15,0),0)</f>
        <v>0</v>
      </c>
      <c r="F130" s="157">
        <f>IFERROR(VLOOKUP($A130,'Over Under Bill 1 COPY 到CO欄位'!$1:$1048576,20,0),0)</f>
        <v>0</v>
      </c>
      <c r="G130" s="157">
        <f>IFERROR(VLOOKUP($A130,'Over Under Bill 1 COPY 到CO欄位'!$1:$1048576,25,0),0)</f>
        <v>0</v>
      </c>
      <c r="H130" s="157">
        <f>IFERROR(VLOOKUP($A130,'Over Under Bill 1 COPY 到CO欄位'!$1:$1048576,30,0),0)</f>
        <v>0</v>
      </c>
      <c r="I130" s="157">
        <f>IFERROR(VLOOKUP($A130,'Over Under Bill 1 COPY 到CO欄位'!$1:$1048576,35,0),0)</f>
        <v>0</v>
      </c>
      <c r="J130" s="157">
        <f>IFERROR(VLOOKUP($A130,'Over Under Bill 1 COPY 到CO欄位'!$1:$1048576,40,0),0)</f>
        <v>0</v>
      </c>
      <c r="K130" s="157">
        <f>IFERROR(VLOOKUP($A130,'Over Under Bill 1 COPY 到CO欄位'!$1:$1048576,45,0),0)</f>
        <v>0</v>
      </c>
      <c r="L130" s="157">
        <f>IFERROR(VLOOKUP($A130,'Over Under Bill 1 COPY 到CO欄位'!$1:$1048576,50,0),0)</f>
        <v>0</v>
      </c>
      <c r="M130" s="157">
        <f>IFERROR(VLOOKUP($A130,'Over Under Bill 1 COPY 到CO欄位'!$1:$1048576,55,0),0)</f>
        <v>0</v>
      </c>
      <c r="N130" s="157">
        <f>IFERROR(VLOOKUP($A130,'Over Under Bill 1 COPY 到CO欄位'!$1:$1048576,60,0),0)</f>
        <v>0</v>
      </c>
      <c r="O130" s="157">
        <f>IFERROR(VLOOKUP($A130,'Over Under Bill 1 COPY 到CO欄位'!$1:$1048576,65,0),0)</f>
        <v>0</v>
      </c>
      <c r="P130" s="157">
        <f>IFERROR(VLOOKUP($A130,'Over Under Bill 1 COPY 到CO欄位'!$1:$1048576,70,0),0)</f>
        <v>0</v>
      </c>
      <c r="Q130" s="157">
        <f>IFERROR(VLOOKUP($A130,'Over Under Bill 1 COPY 到CO欄位'!$1:$1048576,75,0),0)</f>
        <v>0</v>
      </c>
      <c r="R130" s="157">
        <f>IFERROR(VLOOKUP($A130,'Over Under Bill 1 COPY 到CO欄位'!$1:$1048576,80,0),0)</f>
        <v>0</v>
      </c>
      <c r="S130" s="157">
        <f>IFERROR(VLOOKUP($A130,'Over Under Bill 1 COPY 到CO欄位'!$1:$1048576,85,0),0)</f>
        <v>0</v>
      </c>
      <c r="T130" s="157">
        <f>IFERROR(VLOOKUP($A130,'Over Under Bill 1 COPY 到CO欄位'!$1:$1048576,90,0),0)</f>
        <v>0</v>
      </c>
    </row>
    <row r="131" spans="1:20" hidden="1">
      <c r="A131" s="175"/>
      <c r="B131" s="175"/>
      <c r="C131" s="157">
        <f>IFERROR(VLOOKUP($A131,'Over Under Bill 1 COPY 到CO欄位'!$1:$1048576,5,0),0)</f>
        <v>0</v>
      </c>
      <c r="D131" s="157">
        <f>IFERROR(VLOOKUP($A131,'Over Under Bill 1 COPY 到CO欄位'!$1:$1048576,10,0),0)</f>
        <v>0</v>
      </c>
      <c r="E131" s="157">
        <f>IFERROR(VLOOKUP($A131,'Over Under Bill 1 COPY 到CO欄位'!$1:$1048576,15,0),0)</f>
        <v>0</v>
      </c>
      <c r="F131" s="157">
        <f>IFERROR(VLOOKUP($A131,'Over Under Bill 1 COPY 到CO欄位'!$1:$1048576,20,0),0)</f>
        <v>0</v>
      </c>
      <c r="G131" s="157">
        <f>IFERROR(VLOOKUP($A131,'Over Under Bill 1 COPY 到CO欄位'!$1:$1048576,25,0),0)</f>
        <v>0</v>
      </c>
      <c r="H131" s="157">
        <f>IFERROR(VLOOKUP($A131,'Over Under Bill 1 COPY 到CO欄位'!$1:$1048576,30,0),0)</f>
        <v>0</v>
      </c>
      <c r="I131" s="157">
        <f>IFERROR(VLOOKUP($A131,'Over Under Bill 1 COPY 到CO欄位'!$1:$1048576,35,0),0)</f>
        <v>0</v>
      </c>
      <c r="J131" s="157">
        <f>IFERROR(VLOOKUP($A131,'Over Under Bill 1 COPY 到CO欄位'!$1:$1048576,40,0),0)</f>
        <v>0</v>
      </c>
      <c r="K131" s="157">
        <f>IFERROR(VLOOKUP($A131,'Over Under Bill 1 COPY 到CO欄位'!$1:$1048576,45,0),0)</f>
        <v>0</v>
      </c>
      <c r="L131" s="157">
        <f>IFERROR(VLOOKUP($A131,'Over Under Bill 1 COPY 到CO欄位'!$1:$1048576,50,0),0)</f>
        <v>0</v>
      </c>
      <c r="M131" s="157">
        <f>IFERROR(VLOOKUP($A131,'Over Under Bill 1 COPY 到CO欄位'!$1:$1048576,55,0),0)</f>
        <v>0</v>
      </c>
      <c r="N131" s="157">
        <f>IFERROR(VLOOKUP($A131,'Over Under Bill 1 COPY 到CO欄位'!$1:$1048576,60,0),0)</f>
        <v>0</v>
      </c>
      <c r="O131" s="157">
        <f>IFERROR(VLOOKUP($A131,'Over Under Bill 1 COPY 到CO欄位'!$1:$1048576,65,0),0)</f>
        <v>0</v>
      </c>
      <c r="P131" s="157">
        <f>IFERROR(VLOOKUP($A131,'Over Under Bill 1 COPY 到CO欄位'!$1:$1048576,70,0),0)</f>
        <v>0</v>
      </c>
      <c r="Q131" s="157">
        <f>IFERROR(VLOOKUP($A131,'Over Under Bill 1 COPY 到CO欄位'!$1:$1048576,75,0),0)</f>
        <v>0</v>
      </c>
      <c r="R131" s="157">
        <f>IFERROR(VLOOKUP($A131,'Over Under Bill 1 COPY 到CO欄位'!$1:$1048576,80,0),0)</f>
        <v>0</v>
      </c>
      <c r="S131" s="157">
        <f>IFERROR(VLOOKUP($A131,'Over Under Bill 1 COPY 到CO欄位'!$1:$1048576,85,0),0)</f>
        <v>0</v>
      </c>
      <c r="T131" s="157">
        <f>IFERROR(VLOOKUP($A131,'Over Under Bill 1 COPY 到CO欄位'!$1:$1048576,90,0),0)</f>
        <v>0</v>
      </c>
    </row>
    <row r="132" spans="1:20" hidden="1">
      <c r="A132" s="175"/>
      <c r="B132" s="175"/>
      <c r="C132" s="157">
        <f>IFERROR(VLOOKUP($A132,'Over Under Bill 1 COPY 到CO欄位'!$1:$1048576,5,0),0)</f>
        <v>0</v>
      </c>
      <c r="D132" s="157">
        <f>IFERROR(VLOOKUP($A132,'Over Under Bill 1 COPY 到CO欄位'!$1:$1048576,10,0),0)</f>
        <v>0</v>
      </c>
      <c r="E132" s="157">
        <f>IFERROR(VLOOKUP($A132,'Over Under Bill 1 COPY 到CO欄位'!$1:$1048576,15,0),0)</f>
        <v>0</v>
      </c>
      <c r="F132" s="157">
        <f>IFERROR(VLOOKUP($A132,'Over Under Bill 1 COPY 到CO欄位'!$1:$1048576,20,0),0)</f>
        <v>0</v>
      </c>
      <c r="G132" s="157">
        <f>IFERROR(VLOOKUP($A132,'Over Under Bill 1 COPY 到CO欄位'!$1:$1048576,25,0),0)</f>
        <v>0</v>
      </c>
      <c r="H132" s="157">
        <f>IFERROR(VLOOKUP($A132,'Over Under Bill 1 COPY 到CO欄位'!$1:$1048576,30,0),0)</f>
        <v>0</v>
      </c>
      <c r="I132" s="157">
        <f>IFERROR(VLOOKUP($A132,'Over Under Bill 1 COPY 到CO欄位'!$1:$1048576,35,0),0)</f>
        <v>0</v>
      </c>
      <c r="J132" s="157">
        <f>IFERROR(VLOOKUP($A132,'Over Under Bill 1 COPY 到CO欄位'!$1:$1048576,40,0),0)</f>
        <v>0</v>
      </c>
      <c r="K132" s="157">
        <f>IFERROR(VLOOKUP($A132,'Over Under Bill 1 COPY 到CO欄位'!$1:$1048576,45,0),0)</f>
        <v>0</v>
      </c>
      <c r="L132" s="157">
        <f>IFERROR(VLOOKUP($A132,'Over Under Bill 1 COPY 到CO欄位'!$1:$1048576,50,0),0)</f>
        <v>0</v>
      </c>
      <c r="M132" s="157">
        <f>IFERROR(VLOOKUP($A132,'Over Under Bill 1 COPY 到CO欄位'!$1:$1048576,55,0),0)</f>
        <v>0</v>
      </c>
      <c r="N132" s="157">
        <f>IFERROR(VLOOKUP($A132,'Over Under Bill 1 COPY 到CO欄位'!$1:$1048576,60,0),0)</f>
        <v>0</v>
      </c>
      <c r="O132" s="157">
        <f>IFERROR(VLOOKUP($A132,'Over Under Bill 1 COPY 到CO欄位'!$1:$1048576,65,0),0)</f>
        <v>0</v>
      </c>
      <c r="P132" s="157">
        <f>IFERROR(VLOOKUP($A132,'Over Under Bill 1 COPY 到CO欄位'!$1:$1048576,70,0),0)</f>
        <v>0</v>
      </c>
      <c r="Q132" s="157">
        <f>IFERROR(VLOOKUP($A132,'Over Under Bill 1 COPY 到CO欄位'!$1:$1048576,75,0),0)</f>
        <v>0</v>
      </c>
      <c r="R132" s="157">
        <f>IFERROR(VLOOKUP($A132,'Over Under Bill 1 COPY 到CO欄位'!$1:$1048576,80,0),0)</f>
        <v>0</v>
      </c>
      <c r="S132" s="157">
        <f>IFERROR(VLOOKUP($A132,'Over Under Bill 1 COPY 到CO欄位'!$1:$1048576,85,0),0)</f>
        <v>0</v>
      </c>
      <c r="T132" s="157">
        <f>IFERROR(VLOOKUP($A132,'Over Under Bill 1 COPY 到CO欄位'!$1:$1048576,90,0),0)</f>
        <v>0</v>
      </c>
    </row>
    <row r="133" spans="1:20" hidden="1">
      <c r="A133" s="175"/>
      <c r="B133" s="175"/>
      <c r="C133" s="157">
        <f>IFERROR(VLOOKUP($A133,'Over Under Bill 1 COPY 到CO欄位'!$1:$1048576,5,0),0)</f>
        <v>0</v>
      </c>
      <c r="D133" s="157">
        <f>IFERROR(VLOOKUP($A133,'Over Under Bill 1 COPY 到CO欄位'!$1:$1048576,10,0),0)</f>
        <v>0</v>
      </c>
      <c r="E133" s="157">
        <f>IFERROR(VLOOKUP($A133,'Over Under Bill 1 COPY 到CO欄位'!$1:$1048576,15,0),0)</f>
        <v>0</v>
      </c>
      <c r="F133" s="157">
        <f>IFERROR(VLOOKUP($A133,'Over Under Bill 1 COPY 到CO欄位'!$1:$1048576,20,0),0)</f>
        <v>0</v>
      </c>
      <c r="G133" s="157">
        <f>IFERROR(VLOOKUP($A133,'Over Under Bill 1 COPY 到CO欄位'!$1:$1048576,25,0),0)</f>
        <v>0</v>
      </c>
      <c r="H133" s="157">
        <f>IFERROR(VLOOKUP($A133,'Over Under Bill 1 COPY 到CO欄位'!$1:$1048576,30,0),0)</f>
        <v>0</v>
      </c>
      <c r="I133" s="157">
        <f>IFERROR(VLOOKUP($A133,'Over Under Bill 1 COPY 到CO欄位'!$1:$1048576,35,0),0)</f>
        <v>0</v>
      </c>
      <c r="J133" s="157">
        <f>IFERROR(VLOOKUP($A133,'Over Under Bill 1 COPY 到CO欄位'!$1:$1048576,40,0),0)</f>
        <v>0</v>
      </c>
      <c r="K133" s="157">
        <f>IFERROR(VLOOKUP($A133,'Over Under Bill 1 COPY 到CO欄位'!$1:$1048576,45,0),0)</f>
        <v>0</v>
      </c>
      <c r="L133" s="157">
        <f>IFERROR(VLOOKUP($A133,'Over Under Bill 1 COPY 到CO欄位'!$1:$1048576,50,0),0)</f>
        <v>0</v>
      </c>
      <c r="M133" s="157">
        <f>IFERROR(VLOOKUP($A133,'Over Under Bill 1 COPY 到CO欄位'!$1:$1048576,55,0),0)</f>
        <v>0</v>
      </c>
      <c r="N133" s="157">
        <f>IFERROR(VLOOKUP($A133,'Over Under Bill 1 COPY 到CO欄位'!$1:$1048576,60,0),0)</f>
        <v>0</v>
      </c>
      <c r="O133" s="157">
        <f>IFERROR(VLOOKUP($A133,'Over Under Bill 1 COPY 到CO欄位'!$1:$1048576,65,0),0)</f>
        <v>0</v>
      </c>
      <c r="P133" s="157">
        <f>IFERROR(VLOOKUP($A133,'Over Under Bill 1 COPY 到CO欄位'!$1:$1048576,70,0),0)</f>
        <v>0</v>
      </c>
      <c r="Q133" s="157">
        <f>IFERROR(VLOOKUP($A133,'Over Under Bill 1 COPY 到CO欄位'!$1:$1048576,75,0),0)</f>
        <v>0</v>
      </c>
      <c r="R133" s="157">
        <f>IFERROR(VLOOKUP($A133,'Over Under Bill 1 COPY 到CO欄位'!$1:$1048576,80,0),0)</f>
        <v>0</v>
      </c>
      <c r="S133" s="157">
        <f>IFERROR(VLOOKUP($A133,'Over Under Bill 1 COPY 到CO欄位'!$1:$1048576,85,0),0)</f>
        <v>0</v>
      </c>
      <c r="T133" s="157">
        <f>IFERROR(VLOOKUP($A133,'Over Under Bill 1 COPY 到CO欄位'!$1:$1048576,90,0),0)</f>
        <v>0</v>
      </c>
    </row>
    <row r="134" spans="1:20" hidden="1">
      <c r="A134" s="175"/>
      <c r="B134" s="175"/>
      <c r="C134" s="157">
        <f>IFERROR(VLOOKUP($A134,'Over Under Bill 1 COPY 到CO欄位'!$1:$1048576,5,0),0)</f>
        <v>0</v>
      </c>
      <c r="D134" s="157">
        <f>IFERROR(VLOOKUP($A134,'Over Under Bill 1 COPY 到CO欄位'!$1:$1048576,10,0),0)</f>
        <v>0</v>
      </c>
      <c r="E134" s="157">
        <f>IFERROR(VLOOKUP($A134,'Over Under Bill 1 COPY 到CO欄位'!$1:$1048576,15,0),0)</f>
        <v>0</v>
      </c>
      <c r="F134" s="157">
        <f>IFERROR(VLOOKUP($A134,'Over Under Bill 1 COPY 到CO欄位'!$1:$1048576,20,0),0)</f>
        <v>0</v>
      </c>
      <c r="G134" s="157">
        <f>IFERROR(VLOOKUP($A134,'Over Under Bill 1 COPY 到CO欄位'!$1:$1048576,25,0),0)</f>
        <v>0</v>
      </c>
      <c r="H134" s="157">
        <f>IFERROR(VLOOKUP($A134,'Over Under Bill 1 COPY 到CO欄位'!$1:$1048576,30,0),0)</f>
        <v>0</v>
      </c>
      <c r="I134" s="157">
        <f>IFERROR(VLOOKUP($A134,'Over Under Bill 1 COPY 到CO欄位'!$1:$1048576,35,0),0)</f>
        <v>0</v>
      </c>
      <c r="J134" s="157">
        <f>IFERROR(VLOOKUP($A134,'Over Under Bill 1 COPY 到CO欄位'!$1:$1048576,40,0),0)</f>
        <v>0</v>
      </c>
      <c r="K134" s="157">
        <f>IFERROR(VLOOKUP($A134,'Over Under Bill 1 COPY 到CO欄位'!$1:$1048576,45,0),0)</f>
        <v>0</v>
      </c>
      <c r="L134" s="157">
        <f>IFERROR(VLOOKUP($A134,'Over Under Bill 1 COPY 到CO欄位'!$1:$1048576,50,0),0)</f>
        <v>0</v>
      </c>
      <c r="M134" s="157">
        <f>IFERROR(VLOOKUP($A134,'Over Under Bill 1 COPY 到CO欄位'!$1:$1048576,55,0),0)</f>
        <v>0</v>
      </c>
      <c r="N134" s="157">
        <f>IFERROR(VLOOKUP($A134,'Over Under Bill 1 COPY 到CO欄位'!$1:$1048576,60,0),0)</f>
        <v>0</v>
      </c>
      <c r="O134" s="157">
        <f>IFERROR(VLOOKUP($A134,'Over Under Bill 1 COPY 到CO欄位'!$1:$1048576,65,0),0)</f>
        <v>0</v>
      </c>
      <c r="P134" s="157">
        <f>IFERROR(VLOOKUP($A134,'Over Under Bill 1 COPY 到CO欄位'!$1:$1048576,70,0),0)</f>
        <v>0</v>
      </c>
      <c r="Q134" s="157">
        <f>IFERROR(VLOOKUP($A134,'Over Under Bill 1 COPY 到CO欄位'!$1:$1048576,75,0),0)</f>
        <v>0</v>
      </c>
      <c r="R134" s="157">
        <f>IFERROR(VLOOKUP($A134,'Over Under Bill 1 COPY 到CO欄位'!$1:$1048576,80,0),0)</f>
        <v>0</v>
      </c>
      <c r="S134" s="157">
        <f>IFERROR(VLOOKUP($A134,'Over Under Bill 1 COPY 到CO欄位'!$1:$1048576,85,0),0)</f>
        <v>0</v>
      </c>
      <c r="T134" s="157">
        <f>IFERROR(VLOOKUP($A134,'Over Under Bill 1 COPY 到CO欄位'!$1:$1048576,90,0),0)</f>
        <v>0</v>
      </c>
    </row>
    <row r="135" spans="1:20" hidden="1">
      <c r="A135" s="175"/>
      <c r="B135" s="175"/>
      <c r="C135" s="157">
        <f>IFERROR(VLOOKUP($A135,'Over Under Bill 1 COPY 到CO欄位'!$1:$1048576,5,0),0)</f>
        <v>0</v>
      </c>
      <c r="D135" s="157">
        <f>IFERROR(VLOOKUP($A135,'Over Under Bill 1 COPY 到CO欄位'!$1:$1048576,10,0),0)</f>
        <v>0</v>
      </c>
      <c r="E135" s="157">
        <f>IFERROR(VLOOKUP($A135,'Over Under Bill 1 COPY 到CO欄位'!$1:$1048576,15,0),0)</f>
        <v>0</v>
      </c>
      <c r="F135" s="157">
        <f>IFERROR(VLOOKUP($A135,'Over Under Bill 1 COPY 到CO欄位'!$1:$1048576,20,0),0)</f>
        <v>0</v>
      </c>
      <c r="G135" s="157">
        <f>IFERROR(VLOOKUP($A135,'Over Under Bill 1 COPY 到CO欄位'!$1:$1048576,25,0),0)</f>
        <v>0</v>
      </c>
      <c r="H135" s="157">
        <f>IFERROR(VLOOKUP($A135,'Over Under Bill 1 COPY 到CO欄位'!$1:$1048576,30,0),0)</f>
        <v>0</v>
      </c>
      <c r="I135" s="157">
        <f>IFERROR(VLOOKUP($A135,'Over Under Bill 1 COPY 到CO欄位'!$1:$1048576,35,0),0)</f>
        <v>0</v>
      </c>
      <c r="J135" s="157">
        <f>IFERROR(VLOOKUP($A135,'Over Under Bill 1 COPY 到CO欄位'!$1:$1048576,40,0),0)</f>
        <v>0</v>
      </c>
      <c r="K135" s="157">
        <f>IFERROR(VLOOKUP($A135,'Over Under Bill 1 COPY 到CO欄位'!$1:$1048576,45,0),0)</f>
        <v>0</v>
      </c>
      <c r="L135" s="157">
        <f>IFERROR(VLOOKUP($A135,'Over Under Bill 1 COPY 到CO欄位'!$1:$1048576,50,0),0)</f>
        <v>0</v>
      </c>
      <c r="M135" s="157">
        <f>IFERROR(VLOOKUP($A135,'Over Under Bill 1 COPY 到CO欄位'!$1:$1048576,55,0),0)</f>
        <v>0</v>
      </c>
      <c r="N135" s="157">
        <f>IFERROR(VLOOKUP($A135,'Over Under Bill 1 COPY 到CO欄位'!$1:$1048576,60,0),0)</f>
        <v>0</v>
      </c>
      <c r="O135" s="157">
        <f>IFERROR(VLOOKUP($A135,'Over Under Bill 1 COPY 到CO欄位'!$1:$1048576,65,0),0)</f>
        <v>0</v>
      </c>
      <c r="P135" s="157">
        <f>IFERROR(VLOOKUP($A135,'Over Under Bill 1 COPY 到CO欄位'!$1:$1048576,70,0),0)</f>
        <v>0</v>
      </c>
      <c r="Q135" s="157">
        <f>IFERROR(VLOOKUP($A135,'Over Under Bill 1 COPY 到CO欄位'!$1:$1048576,75,0),0)</f>
        <v>0</v>
      </c>
      <c r="R135" s="157">
        <f>IFERROR(VLOOKUP($A135,'Over Under Bill 1 COPY 到CO欄位'!$1:$1048576,80,0),0)</f>
        <v>0</v>
      </c>
      <c r="S135" s="157">
        <f>IFERROR(VLOOKUP($A135,'Over Under Bill 1 COPY 到CO欄位'!$1:$1048576,85,0),0)</f>
        <v>0</v>
      </c>
      <c r="T135" s="157">
        <f>IFERROR(VLOOKUP($A135,'Over Under Bill 1 COPY 到CO欄位'!$1:$1048576,90,0),0)</f>
        <v>0</v>
      </c>
    </row>
    <row r="136" spans="1:20" hidden="1">
      <c r="A136" s="175"/>
      <c r="B136" s="175"/>
      <c r="C136" s="157">
        <f>IFERROR(VLOOKUP($A136,'Over Under Bill 1 COPY 到CO欄位'!$1:$1048576,5,0),0)</f>
        <v>0</v>
      </c>
      <c r="D136" s="157">
        <f>IFERROR(VLOOKUP($A136,'Over Under Bill 1 COPY 到CO欄位'!$1:$1048576,10,0),0)</f>
        <v>0</v>
      </c>
      <c r="E136" s="157">
        <f>IFERROR(VLOOKUP($A136,'Over Under Bill 1 COPY 到CO欄位'!$1:$1048576,15,0),0)</f>
        <v>0</v>
      </c>
      <c r="F136" s="157">
        <f>IFERROR(VLOOKUP($A136,'Over Under Bill 1 COPY 到CO欄位'!$1:$1048576,20,0),0)</f>
        <v>0</v>
      </c>
      <c r="G136" s="157">
        <f>IFERROR(VLOOKUP($A136,'Over Under Bill 1 COPY 到CO欄位'!$1:$1048576,25,0),0)</f>
        <v>0</v>
      </c>
      <c r="H136" s="157">
        <f>IFERROR(VLOOKUP($A136,'Over Under Bill 1 COPY 到CO欄位'!$1:$1048576,30,0),0)</f>
        <v>0</v>
      </c>
      <c r="I136" s="157">
        <f>IFERROR(VLOOKUP($A136,'Over Under Bill 1 COPY 到CO欄位'!$1:$1048576,35,0),0)</f>
        <v>0</v>
      </c>
      <c r="J136" s="157">
        <f>IFERROR(VLOOKUP($A136,'Over Under Bill 1 COPY 到CO欄位'!$1:$1048576,40,0),0)</f>
        <v>0</v>
      </c>
      <c r="K136" s="157">
        <f>IFERROR(VLOOKUP($A136,'Over Under Bill 1 COPY 到CO欄位'!$1:$1048576,45,0),0)</f>
        <v>0</v>
      </c>
      <c r="L136" s="157">
        <f>IFERROR(VLOOKUP($A136,'Over Under Bill 1 COPY 到CO欄位'!$1:$1048576,50,0),0)</f>
        <v>0</v>
      </c>
      <c r="M136" s="157">
        <f>IFERROR(VLOOKUP($A136,'Over Under Bill 1 COPY 到CO欄位'!$1:$1048576,55,0),0)</f>
        <v>0</v>
      </c>
      <c r="N136" s="157">
        <f>IFERROR(VLOOKUP($A136,'Over Under Bill 1 COPY 到CO欄位'!$1:$1048576,60,0),0)</f>
        <v>0</v>
      </c>
      <c r="O136" s="157">
        <f>IFERROR(VLOOKUP($A136,'Over Under Bill 1 COPY 到CO欄位'!$1:$1048576,65,0),0)</f>
        <v>0</v>
      </c>
      <c r="P136" s="157">
        <f>IFERROR(VLOOKUP($A136,'Over Under Bill 1 COPY 到CO欄位'!$1:$1048576,70,0),0)</f>
        <v>0</v>
      </c>
      <c r="Q136" s="157">
        <f>IFERROR(VLOOKUP($A136,'Over Under Bill 1 COPY 到CO欄位'!$1:$1048576,75,0),0)</f>
        <v>0</v>
      </c>
      <c r="R136" s="157">
        <f>IFERROR(VLOOKUP($A136,'Over Under Bill 1 COPY 到CO欄位'!$1:$1048576,80,0),0)</f>
        <v>0</v>
      </c>
      <c r="S136" s="157">
        <f>IFERROR(VLOOKUP($A136,'Over Under Bill 1 COPY 到CO欄位'!$1:$1048576,85,0),0)</f>
        <v>0</v>
      </c>
      <c r="T136" s="157">
        <f>IFERROR(VLOOKUP($A136,'Over Under Bill 1 COPY 到CO欄位'!$1:$1048576,90,0),0)</f>
        <v>0</v>
      </c>
    </row>
    <row r="137" spans="1:20" hidden="1">
      <c r="A137" s="175"/>
      <c r="B137" s="175"/>
      <c r="C137" s="157">
        <f>IFERROR(VLOOKUP($A137,'Over Under Bill 1 COPY 到CO欄位'!$1:$1048576,5,0),0)</f>
        <v>0</v>
      </c>
      <c r="D137" s="157">
        <f>IFERROR(VLOOKUP($A137,'Over Under Bill 1 COPY 到CO欄位'!$1:$1048576,10,0),0)</f>
        <v>0</v>
      </c>
      <c r="E137" s="157">
        <f>IFERROR(VLOOKUP($A137,'Over Under Bill 1 COPY 到CO欄位'!$1:$1048576,15,0),0)</f>
        <v>0</v>
      </c>
      <c r="F137" s="157">
        <f>IFERROR(VLOOKUP($A137,'Over Under Bill 1 COPY 到CO欄位'!$1:$1048576,20,0),0)</f>
        <v>0</v>
      </c>
      <c r="G137" s="157">
        <f>IFERROR(VLOOKUP($A137,'Over Under Bill 1 COPY 到CO欄位'!$1:$1048576,25,0),0)</f>
        <v>0</v>
      </c>
      <c r="H137" s="157">
        <f>IFERROR(VLOOKUP($A137,'Over Under Bill 1 COPY 到CO欄位'!$1:$1048576,30,0),0)</f>
        <v>0</v>
      </c>
      <c r="I137" s="157">
        <f>IFERROR(VLOOKUP($A137,'Over Under Bill 1 COPY 到CO欄位'!$1:$1048576,35,0),0)</f>
        <v>0</v>
      </c>
      <c r="J137" s="157">
        <f>IFERROR(VLOOKUP($A137,'Over Under Bill 1 COPY 到CO欄位'!$1:$1048576,40,0),0)</f>
        <v>0</v>
      </c>
      <c r="K137" s="157">
        <f>IFERROR(VLOOKUP($A137,'Over Under Bill 1 COPY 到CO欄位'!$1:$1048576,45,0),0)</f>
        <v>0</v>
      </c>
      <c r="L137" s="157">
        <f>IFERROR(VLOOKUP($A137,'Over Under Bill 1 COPY 到CO欄位'!$1:$1048576,50,0),0)</f>
        <v>0</v>
      </c>
      <c r="M137" s="157">
        <f>IFERROR(VLOOKUP($A137,'Over Under Bill 1 COPY 到CO欄位'!$1:$1048576,55,0),0)</f>
        <v>0</v>
      </c>
      <c r="N137" s="157">
        <f>IFERROR(VLOOKUP($A137,'Over Under Bill 1 COPY 到CO欄位'!$1:$1048576,60,0),0)</f>
        <v>0</v>
      </c>
      <c r="O137" s="157">
        <f>IFERROR(VLOOKUP($A137,'Over Under Bill 1 COPY 到CO欄位'!$1:$1048576,65,0),0)</f>
        <v>0</v>
      </c>
      <c r="P137" s="157">
        <f>IFERROR(VLOOKUP($A137,'Over Under Bill 1 COPY 到CO欄位'!$1:$1048576,70,0),0)</f>
        <v>0</v>
      </c>
      <c r="Q137" s="157">
        <f>IFERROR(VLOOKUP($A137,'Over Under Bill 1 COPY 到CO欄位'!$1:$1048576,75,0),0)</f>
        <v>0</v>
      </c>
      <c r="R137" s="157">
        <f>IFERROR(VLOOKUP($A137,'Over Under Bill 1 COPY 到CO欄位'!$1:$1048576,80,0),0)</f>
        <v>0</v>
      </c>
      <c r="S137" s="157">
        <f>IFERROR(VLOOKUP($A137,'Over Under Bill 1 COPY 到CO欄位'!$1:$1048576,85,0),0)</f>
        <v>0</v>
      </c>
      <c r="T137" s="157">
        <f>IFERROR(VLOOKUP($A137,'Over Under Bill 1 COPY 到CO欄位'!$1:$1048576,90,0),0)</f>
        <v>0</v>
      </c>
    </row>
    <row r="138" spans="1:20" hidden="1">
      <c r="A138" s="175"/>
      <c r="B138" s="175"/>
      <c r="C138" s="157">
        <f>IFERROR(VLOOKUP($A138,'Over Under Bill 1 COPY 到CO欄位'!$1:$1048576,5,0),0)</f>
        <v>0</v>
      </c>
      <c r="D138" s="157">
        <f>IFERROR(VLOOKUP($A138,'Over Under Bill 1 COPY 到CO欄位'!$1:$1048576,10,0),0)</f>
        <v>0</v>
      </c>
      <c r="E138" s="157">
        <f>IFERROR(VLOOKUP($A138,'Over Under Bill 1 COPY 到CO欄位'!$1:$1048576,15,0),0)</f>
        <v>0</v>
      </c>
      <c r="F138" s="157">
        <f>IFERROR(VLOOKUP($A138,'Over Under Bill 1 COPY 到CO欄位'!$1:$1048576,20,0),0)</f>
        <v>0</v>
      </c>
      <c r="G138" s="157">
        <f>IFERROR(VLOOKUP($A138,'Over Under Bill 1 COPY 到CO欄位'!$1:$1048576,25,0),0)</f>
        <v>0</v>
      </c>
      <c r="H138" s="157">
        <f>IFERROR(VLOOKUP($A138,'Over Under Bill 1 COPY 到CO欄位'!$1:$1048576,30,0),0)</f>
        <v>0</v>
      </c>
      <c r="I138" s="157">
        <f>IFERROR(VLOOKUP($A138,'Over Under Bill 1 COPY 到CO欄位'!$1:$1048576,35,0),0)</f>
        <v>0</v>
      </c>
      <c r="J138" s="157">
        <f>IFERROR(VLOOKUP($A138,'Over Under Bill 1 COPY 到CO欄位'!$1:$1048576,40,0),0)</f>
        <v>0</v>
      </c>
      <c r="K138" s="157">
        <f>IFERROR(VLOOKUP($A138,'Over Under Bill 1 COPY 到CO欄位'!$1:$1048576,45,0),0)</f>
        <v>0</v>
      </c>
      <c r="L138" s="157">
        <f>IFERROR(VLOOKUP($A138,'Over Under Bill 1 COPY 到CO欄位'!$1:$1048576,50,0),0)</f>
        <v>0</v>
      </c>
      <c r="M138" s="157">
        <f>IFERROR(VLOOKUP($A138,'Over Under Bill 1 COPY 到CO欄位'!$1:$1048576,55,0),0)</f>
        <v>0</v>
      </c>
      <c r="N138" s="157">
        <f>IFERROR(VLOOKUP($A138,'Over Under Bill 1 COPY 到CO欄位'!$1:$1048576,60,0),0)</f>
        <v>0</v>
      </c>
      <c r="O138" s="157">
        <f>IFERROR(VLOOKUP($A138,'Over Under Bill 1 COPY 到CO欄位'!$1:$1048576,65,0),0)</f>
        <v>0</v>
      </c>
      <c r="P138" s="157">
        <f>IFERROR(VLOOKUP($A138,'Over Under Bill 1 COPY 到CO欄位'!$1:$1048576,70,0),0)</f>
        <v>0</v>
      </c>
      <c r="Q138" s="157">
        <f>IFERROR(VLOOKUP($A138,'Over Under Bill 1 COPY 到CO欄位'!$1:$1048576,75,0),0)</f>
        <v>0</v>
      </c>
      <c r="R138" s="157">
        <f>IFERROR(VLOOKUP($A138,'Over Under Bill 1 COPY 到CO欄位'!$1:$1048576,80,0),0)</f>
        <v>0</v>
      </c>
      <c r="S138" s="157">
        <f>IFERROR(VLOOKUP($A138,'Over Under Bill 1 COPY 到CO欄位'!$1:$1048576,85,0),0)</f>
        <v>0</v>
      </c>
      <c r="T138" s="157">
        <f>IFERROR(VLOOKUP($A138,'Over Under Bill 1 COPY 到CO欄位'!$1:$1048576,90,0),0)</f>
        <v>0</v>
      </c>
    </row>
    <row r="139" spans="1:20" hidden="1">
      <c r="A139" s="175"/>
      <c r="B139" s="175"/>
      <c r="C139" s="157">
        <f>IFERROR(VLOOKUP($A139,'Over Under Bill 1 COPY 到CO欄位'!$1:$1048576,5,0),0)</f>
        <v>0</v>
      </c>
      <c r="D139" s="157">
        <f>IFERROR(VLOOKUP($A139,'Over Under Bill 1 COPY 到CO欄位'!$1:$1048576,10,0),0)</f>
        <v>0</v>
      </c>
      <c r="E139" s="157">
        <f>IFERROR(VLOOKUP($A139,'Over Under Bill 1 COPY 到CO欄位'!$1:$1048576,15,0),0)</f>
        <v>0</v>
      </c>
      <c r="F139" s="157">
        <f>IFERROR(VLOOKUP($A139,'Over Under Bill 1 COPY 到CO欄位'!$1:$1048576,20,0),0)</f>
        <v>0</v>
      </c>
      <c r="G139" s="157">
        <f>IFERROR(VLOOKUP($A139,'Over Under Bill 1 COPY 到CO欄位'!$1:$1048576,25,0),0)</f>
        <v>0</v>
      </c>
      <c r="H139" s="157">
        <f>IFERROR(VLOOKUP($A139,'Over Under Bill 1 COPY 到CO欄位'!$1:$1048576,30,0),0)</f>
        <v>0</v>
      </c>
      <c r="I139" s="157">
        <f>IFERROR(VLOOKUP($A139,'Over Under Bill 1 COPY 到CO欄位'!$1:$1048576,35,0),0)</f>
        <v>0</v>
      </c>
      <c r="J139" s="157">
        <f>IFERROR(VLOOKUP($A139,'Over Under Bill 1 COPY 到CO欄位'!$1:$1048576,40,0),0)</f>
        <v>0</v>
      </c>
      <c r="K139" s="157">
        <f>IFERROR(VLOOKUP($A139,'Over Under Bill 1 COPY 到CO欄位'!$1:$1048576,45,0),0)</f>
        <v>0</v>
      </c>
      <c r="L139" s="157">
        <f>IFERROR(VLOOKUP($A139,'Over Under Bill 1 COPY 到CO欄位'!$1:$1048576,50,0),0)</f>
        <v>0</v>
      </c>
      <c r="M139" s="157">
        <f>IFERROR(VLOOKUP($A139,'Over Under Bill 1 COPY 到CO欄位'!$1:$1048576,55,0),0)</f>
        <v>0</v>
      </c>
      <c r="N139" s="157">
        <f>IFERROR(VLOOKUP($A139,'Over Under Bill 1 COPY 到CO欄位'!$1:$1048576,60,0),0)</f>
        <v>0</v>
      </c>
      <c r="O139" s="157">
        <f>IFERROR(VLOOKUP($A139,'Over Under Bill 1 COPY 到CO欄位'!$1:$1048576,65,0),0)</f>
        <v>0</v>
      </c>
      <c r="P139" s="157">
        <f>IFERROR(VLOOKUP($A139,'Over Under Bill 1 COPY 到CO欄位'!$1:$1048576,70,0),0)</f>
        <v>0</v>
      </c>
      <c r="Q139" s="157">
        <f>IFERROR(VLOOKUP($A139,'Over Under Bill 1 COPY 到CO欄位'!$1:$1048576,75,0),0)</f>
        <v>0</v>
      </c>
      <c r="R139" s="157">
        <f>IFERROR(VLOOKUP($A139,'Over Under Bill 1 COPY 到CO欄位'!$1:$1048576,80,0),0)</f>
        <v>0</v>
      </c>
      <c r="S139" s="157">
        <f>IFERROR(VLOOKUP($A139,'Over Under Bill 1 COPY 到CO欄位'!$1:$1048576,85,0),0)</f>
        <v>0</v>
      </c>
      <c r="T139" s="157">
        <f>IFERROR(VLOOKUP($A139,'Over Under Bill 1 COPY 到CO欄位'!$1:$1048576,90,0),0)</f>
        <v>0</v>
      </c>
    </row>
    <row r="140" spans="1:20" hidden="1">
      <c r="A140" s="175"/>
      <c r="B140" s="175"/>
      <c r="C140" s="157">
        <f>IFERROR(VLOOKUP($A140,'Over Under Bill 1 COPY 到CO欄位'!$1:$1048576,5,0),0)</f>
        <v>0</v>
      </c>
      <c r="D140" s="157">
        <f>IFERROR(VLOOKUP($A140,'Over Under Bill 1 COPY 到CO欄位'!$1:$1048576,10,0),0)</f>
        <v>0</v>
      </c>
      <c r="E140" s="157">
        <f>IFERROR(VLOOKUP($A140,'Over Under Bill 1 COPY 到CO欄位'!$1:$1048576,15,0),0)</f>
        <v>0</v>
      </c>
      <c r="F140" s="157">
        <f>IFERROR(VLOOKUP($A140,'Over Under Bill 1 COPY 到CO欄位'!$1:$1048576,20,0),0)</f>
        <v>0</v>
      </c>
      <c r="G140" s="157">
        <f>IFERROR(VLOOKUP($A140,'Over Under Bill 1 COPY 到CO欄位'!$1:$1048576,25,0),0)</f>
        <v>0</v>
      </c>
      <c r="H140" s="157">
        <f>IFERROR(VLOOKUP($A140,'Over Under Bill 1 COPY 到CO欄位'!$1:$1048576,30,0),0)</f>
        <v>0</v>
      </c>
      <c r="I140" s="157">
        <f>IFERROR(VLOOKUP($A140,'Over Under Bill 1 COPY 到CO欄位'!$1:$1048576,35,0),0)</f>
        <v>0</v>
      </c>
      <c r="J140" s="157">
        <f>IFERROR(VLOOKUP($A140,'Over Under Bill 1 COPY 到CO欄位'!$1:$1048576,40,0),0)</f>
        <v>0</v>
      </c>
      <c r="K140" s="157">
        <f>IFERROR(VLOOKUP($A140,'Over Under Bill 1 COPY 到CO欄位'!$1:$1048576,45,0),0)</f>
        <v>0</v>
      </c>
      <c r="L140" s="157">
        <f>IFERROR(VLOOKUP($A140,'Over Under Bill 1 COPY 到CO欄位'!$1:$1048576,50,0),0)</f>
        <v>0</v>
      </c>
      <c r="M140" s="157">
        <f>IFERROR(VLOOKUP($A140,'Over Under Bill 1 COPY 到CO欄位'!$1:$1048576,55,0),0)</f>
        <v>0</v>
      </c>
      <c r="N140" s="157">
        <f>IFERROR(VLOOKUP($A140,'Over Under Bill 1 COPY 到CO欄位'!$1:$1048576,60,0),0)</f>
        <v>0</v>
      </c>
      <c r="O140" s="157">
        <f>IFERROR(VLOOKUP($A140,'Over Under Bill 1 COPY 到CO欄位'!$1:$1048576,65,0),0)</f>
        <v>0</v>
      </c>
      <c r="P140" s="157">
        <f>IFERROR(VLOOKUP($A140,'Over Under Bill 1 COPY 到CO欄位'!$1:$1048576,70,0),0)</f>
        <v>0</v>
      </c>
      <c r="Q140" s="157">
        <f>IFERROR(VLOOKUP($A140,'Over Under Bill 1 COPY 到CO欄位'!$1:$1048576,75,0),0)</f>
        <v>0</v>
      </c>
      <c r="R140" s="157">
        <f>IFERROR(VLOOKUP($A140,'Over Under Bill 1 COPY 到CO欄位'!$1:$1048576,80,0),0)</f>
        <v>0</v>
      </c>
      <c r="S140" s="157">
        <f>IFERROR(VLOOKUP($A140,'Over Under Bill 1 COPY 到CO欄位'!$1:$1048576,85,0),0)</f>
        <v>0</v>
      </c>
      <c r="T140" s="157">
        <f>IFERROR(VLOOKUP($A140,'Over Under Bill 1 COPY 到CO欄位'!$1:$1048576,90,0),0)</f>
        <v>0</v>
      </c>
    </row>
    <row r="141" spans="1:20" hidden="1">
      <c r="A141" s="175"/>
      <c r="B141" s="175"/>
      <c r="C141" s="157">
        <f>IFERROR(VLOOKUP($A141,'Over Under Bill 1 COPY 到CO欄位'!$1:$1048576,5,0),0)</f>
        <v>0</v>
      </c>
      <c r="D141" s="157">
        <f>IFERROR(VLOOKUP($A141,'Over Under Bill 1 COPY 到CO欄位'!$1:$1048576,10,0),0)</f>
        <v>0</v>
      </c>
      <c r="E141" s="157">
        <f>IFERROR(VLOOKUP($A141,'Over Under Bill 1 COPY 到CO欄位'!$1:$1048576,15,0),0)</f>
        <v>0</v>
      </c>
      <c r="F141" s="157">
        <f>IFERROR(VLOOKUP($A141,'Over Under Bill 1 COPY 到CO欄位'!$1:$1048576,20,0),0)</f>
        <v>0</v>
      </c>
      <c r="G141" s="157">
        <f>IFERROR(VLOOKUP($A141,'Over Under Bill 1 COPY 到CO欄位'!$1:$1048576,25,0),0)</f>
        <v>0</v>
      </c>
      <c r="H141" s="157">
        <f>IFERROR(VLOOKUP($A141,'Over Under Bill 1 COPY 到CO欄位'!$1:$1048576,30,0),0)</f>
        <v>0</v>
      </c>
      <c r="I141" s="157">
        <f>IFERROR(VLOOKUP($A141,'Over Under Bill 1 COPY 到CO欄位'!$1:$1048576,35,0),0)</f>
        <v>0</v>
      </c>
      <c r="J141" s="157">
        <f>IFERROR(VLOOKUP($A141,'Over Under Bill 1 COPY 到CO欄位'!$1:$1048576,40,0),0)</f>
        <v>0</v>
      </c>
      <c r="K141" s="157">
        <f>IFERROR(VLOOKUP($A141,'Over Under Bill 1 COPY 到CO欄位'!$1:$1048576,45,0),0)</f>
        <v>0</v>
      </c>
      <c r="L141" s="157">
        <f>IFERROR(VLOOKUP($A141,'Over Under Bill 1 COPY 到CO欄位'!$1:$1048576,50,0),0)</f>
        <v>0</v>
      </c>
      <c r="M141" s="157">
        <f>IFERROR(VLOOKUP($A141,'Over Under Bill 1 COPY 到CO欄位'!$1:$1048576,55,0),0)</f>
        <v>0</v>
      </c>
      <c r="N141" s="157">
        <f>IFERROR(VLOOKUP($A141,'Over Under Bill 1 COPY 到CO欄位'!$1:$1048576,60,0),0)</f>
        <v>0</v>
      </c>
      <c r="O141" s="157">
        <f>IFERROR(VLOOKUP($A141,'Over Under Bill 1 COPY 到CO欄位'!$1:$1048576,65,0),0)</f>
        <v>0</v>
      </c>
      <c r="P141" s="157">
        <f>IFERROR(VLOOKUP($A141,'Over Under Bill 1 COPY 到CO欄位'!$1:$1048576,70,0),0)</f>
        <v>0</v>
      </c>
      <c r="Q141" s="157">
        <f>IFERROR(VLOOKUP($A141,'Over Under Bill 1 COPY 到CO欄位'!$1:$1048576,75,0),0)</f>
        <v>0</v>
      </c>
      <c r="R141" s="157">
        <f>IFERROR(VLOOKUP($A141,'Over Under Bill 1 COPY 到CO欄位'!$1:$1048576,80,0),0)</f>
        <v>0</v>
      </c>
      <c r="S141" s="157">
        <f>IFERROR(VLOOKUP($A141,'Over Under Bill 1 COPY 到CO欄位'!$1:$1048576,85,0),0)</f>
        <v>0</v>
      </c>
      <c r="T141" s="157">
        <f>IFERROR(VLOOKUP($A141,'Over Under Bill 1 COPY 到CO欄位'!$1:$1048576,90,0),0)</f>
        <v>0</v>
      </c>
    </row>
    <row r="142" spans="1:20" hidden="1">
      <c r="A142" s="175"/>
      <c r="B142" s="175"/>
      <c r="C142" s="157">
        <f>IFERROR(VLOOKUP($A142,'Over Under Bill 1 COPY 到CO欄位'!$1:$1048576,5,0),0)</f>
        <v>0</v>
      </c>
      <c r="D142" s="157">
        <f>IFERROR(VLOOKUP($A142,'Over Under Bill 1 COPY 到CO欄位'!$1:$1048576,10,0),0)</f>
        <v>0</v>
      </c>
      <c r="E142" s="157">
        <f>IFERROR(VLOOKUP($A142,'Over Under Bill 1 COPY 到CO欄位'!$1:$1048576,15,0),0)</f>
        <v>0</v>
      </c>
      <c r="F142" s="157">
        <f>IFERROR(VLOOKUP($A142,'Over Under Bill 1 COPY 到CO欄位'!$1:$1048576,20,0),0)</f>
        <v>0</v>
      </c>
      <c r="G142" s="157">
        <f>IFERROR(VLOOKUP($A142,'Over Under Bill 1 COPY 到CO欄位'!$1:$1048576,25,0),0)</f>
        <v>0</v>
      </c>
      <c r="H142" s="157">
        <f>IFERROR(VLOOKUP($A142,'Over Under Bill 1 COPY 到CO欄位'!$1:$1048576,30,0),0)</f>
        <v>0</v>
      </c>
      <c r="I142" s="157">
        <f>IFERROR(VLOOKUP($A142,'Over Under Bill 1 COPY 到CO欄位'!$1:$1048576,35,0),0)</f>
        <v>0</v>
      </c>
      <c r="J142" s="157">
        <f>IFERROR(VLOOKUP($A142,'Over Under Bill 1 COPY 到CO欄位'!$1:$1048576,40,0),0)</f>
        <v>0</v>
      </c>
      <c r="K142" s="157">
        <f>IFERROR(VLOOKUP($A142,'Over Under Bill 1 COPY 到CO欄位'!$1:$1048576,45,0),0)</f>
        <v>0</v>
      </c>
      <c r="L142" s="157">
        <f>IFERROR(VLOOKUP($A142,'Over Under Bill 1 COPY 到CO欄位'!$1:$1048576,50,0),0)</f>
        <v>0</v>
      </c>
      <c r="M142" s="157">
        <f>IFERROR(VLOOKUP($A142,'Over Under Bill 1 COPY 到CO欄位'!$1:$1048576,55,0),0)</f>
        <v>0</v>
      </c>
      <c r="N142" s="157">
        <f>IFERROR(VLOOKUP($A142,'Over Under Bill 1 COPY 到CO欄位'!$1:$1048576,60,0),0)</f>
        <v>0</v>
      </c>
      <c r="O142" s="157">
        <f>IFERROR(VLOOKUP($A142,'Over Under Bill 1 COPY 到CO欄位'!$1:$1048576,65,0),0)</f>
        <v>0</v>
      </c>
      <c r="P142" s="157">
        <f>IFERROR(VLOOKUP($A142,'Over Under Bill 1 COPY 到CO欄位'!$1:$1048576,70,0),0)</f>
        <v>0</v>
      </c>
      <c r="Q142" s="157">
        <f>IFERROR(VLOOKUP($A142,'Over Under Bill 1 COPY 到CO欄位'!$1:$1048576,75,0),0)</f>
        <v>0</v>
      </c>
      <c r="R142" s="157">
        <f>IFERROR(VLOOKUP($A142,'Over Under Bill 1 COPY 到CO欄位'!$1:$1048576,80,0),0)</f>
        <v>0</v>
      </c>
      <c r="S142" s="157">
        <f>IFERROR(VLOOKUP($A142,'Over Under Bill 1 COPY 到CO欄位'!$1:$1048576,85,0),0)</f>
        <v>0</v>
      </c>
      <c r="T142" s="157">
        <f>IFERROR(VLOOKUP($A142,'Over Under Bill 1 COPY 到CO欄位'!$1:$1048576,90,0),0)</f>
        <v>0</v>
      </c>
    </row>
    <row r="143" spans="1:20" hidden="1">
      <c r="A143" s="175"/>
      <c r="B143" s="175"/>
      <c r="C143" s="157">
        <f>IFERROR(VLOOKUP($A143,'Over Under Bill 1 COPY 到CO欄位'!$1:$1048576,5,0),0)</f>
        <v>0</v>
      </c>
      <c r="D143" s="157">
        <f>IFERROR(VLOOKUP($A143,'Over Under Bill 1 COPY 到CO欄位'!$1:$1048576,10,0),0)</f>
        <v>0</v>
      </c>
      <c r="E143" s="157">
        <f>IFERROR(VLOOKUP($A143,'Over Under Bill 1 COPY 到CO欄位'!$1:$1048576,15,0),0)</f>
        <v>0</v>
      </c>
      <c r="F143" s="157">
        <f>IFERROR(VLOOKUP($A143,'Over Under Bill 1 COPY 到CO欄位'!$1:$1048576,20,0),0)</f>
        <v>0</v>
      </c>
      <c r="G143" s="157">
        <f>IFERROR(VLOOKUP($A143,'Over Under Bill 1 COPY 到CO欄位'!$1:$1048576,25,0),0)</f>
        <v>0</v>
      </c>
      <c r="H143" s="157">
        <f>IFERROR(VLOOKUP($A143,'Over Under Bill 1 COPY 到CO欄位'!$1:$1048576,30,0),0)</f>
        <v>0</v>
      </c>
      <c r="I143" s="157">
        <f>IFERROR(VLOOKUP($A143,'Over Under Bill 1 COPY 到CO欄位'!$1:$1048576,35,0),0)</f>
        <v>0</v>
      </c>
      <c r="J143" s="157">
        <f>IFERROR(VLOOKUP($A143,'Over Under Bill 1 COPY 到CO欄位'!$1:$1048576,40,0),0)</f>
        <v>0</v>
      </c>
      <c r="K143" s="157">
        <f>IFERROR(VLOOKUP($A143,'Over Under Bill 1 COPY 到CO欄位'!$1:$1048576,45,0),0)</f>
        <v>0</v>
      </c>
      <c r="L143" s="157">
        <f>IFERROR(VLOOKUP($A143,'Over Under Bill 1 COPY 到CO欄位'!$1:$1048576,50,0),0)</f>
        <v>0</v>
      </c>
      <c r="M143" s="157">
        <f>IFERROR(VLOOKUP($A143,'Over Under Bill 1 COPY 到CO欄位'!$1:$1048576,55,0),0)</f>
        <v>0</v>
      </c>
      <c r="N143" s="157">
        <f>IFERROR(VLOOKUP($A143,'Over Under Bill 1 COPY 到CO欄位'!$1:$1048576,60,0),0)</f>
        <v>0</v>
      </c>
      <c r="O143" s="157">
        <f>IFERROR(VLOOKUP($A143,'Over Under Bill 1 COPY 到CO欄位'!$1:$1048576,65,0),0)</f>
        <v>0</v>
      </c>
      <c r="P143" s="157">
        <f>IFERROR(VLOOKUP($A143,'Over Under Bill 1 COPY 到CO欄位'!$1:$1048576,70,0),0)</f>
        <v>0</v>
      </c>
      <c r="Q143" s="157">
        <f>IFERROR(VLOOKUP($A143,'Over Under Bill 1 COPY 到CO欄位'!$1:$1048576,75,0),0)</f>
        <v>0</v>
      </c>
      <c r="R143" s="157">
        <f>IFERROR(VLOOKUP($A143,'Over Under Bill 1 COPY 到CO欄位'!$1:$1048576,80,0),0)</f>
        <v>0</v>
      </c>
      <c r="S143" s="157">
        <f>IFERROR(VLOOKUP($A143,'Over Under Bill 1 COPY 到CO欄位'!$1:$1048576,85,0),0)</f>
        <v>0</v>
      </c>
      <c r="T143" s="157">
        <f>IFERROR(VLOOKUP($A143,'Over Under Bill 1 COPY 到CO欄位'!$1:$1048576,90,0),0)</f>
        <v>0</v>
      </c>
    </row>
    <row r="144" spans="1:20">
      <c r="A144" s="211"/>
      <c r="B144" s="212" t="s">
        <v>570</v>
      </c>
      <c r="C144" s="157">
        <f t="shared" ref="C144:T144" si="0">SUM(C5:C143)</f>
        <v>0</v>
      </c>
      <c r="D144" s="157">
        <f t="shared" si="0"/>
        <v>0</v>
      </c>
      <c r="E144" s="157">
        <f t="shared" si="0"/>
        <v>0</v>
      </c>
      <c r="F144" s="157">
        <f t="shared" si="0"/>
        <v>0</v>
      </c>
      <c r="G144" s="157">
        <f t="shared" si="0"/>
        <v>0</v>
      </c>
      <c r="H144" s="157">
        <f t="shared" si="0"/>
        <v>0</v>
      </c>
      <c r="I144" s="157">
        <f t="shared" si="0"/>
        <v>0</v>
      </c>
      <c r="J144" s="157">
        <f t="shared" si="0"/>
        <v>0</v>
      </c>
      <c r="K144" s="157">
        <f t="shared" si="0"/>
        <v>0</v>
      </c>
      <c r="L144" s="157">
        <f t="shared" si="0"/>
        <v>0</v>
      </c>
      <c r="M144" s="157">
        <f t="shared" si="0"/>
        <v>0</v>
      </c>
      <c r="N144" s="157">
        <f t="shared" si="0"/>
        <v>0</v>
      </c>
      <c r="O144" s="157">
        <f t="shared" si="0"/>
        <v>0</v>
      </c>
      <c r="P144" s="157">
        <f t="shared" si="0"/>
        <v>0</v>
      </c>
      <c r="Q144" s="157">
        <f t="shared" si="0"/>
        <v>0</v>
      </c>
      <c r="R144" s="157">
        <f t="shared" si="0"/>
        <v>0</v>
      </c>
      <c r="S144" s="157">
        <f t="shared" si="0"/>
        <v>0</v>
      </c>
      <c r="T144" s="157">
        <f t="shared" si="0"/>
        <v>0</v>
      </c>
    </row>
    <row r="147" spans="1:20">
      <c r="A147" s="189" t="s">
        <v>571</v>
      </c>
    </row>
    <row r="148" spans="1:20">
      <c r="A148" s="189" t="s">
        <v>285</v>
      </c>
      <c r="C148" s="98">
        <f t="shared" ref="C148:T148" si="1">SUMIF(C5:C143,"&gt;=0")</f>
        <v>0</v>
      </c>
      <c r="D148" s="98">
        <f t="shared" si="1"/>
        <v>0</v>
      </c>
      <c r="E148" s="98">
        <f t="shared" si="1"/>
        <v>0</v>
      </c>
      <c r="F148" s="98">
        <f t="shared" si="1"/>
        <v>0</v>
      </c>
      <c r="G148" s="98">
        <f t="shared" si="1"/>
        <v>0</v>
      </c>
      <c r="H148" s="98">
        <f t="shared" si="1"/>
        <v>0</v>
      </c>
      <c r="I148" s="98">
        <f t="shared" si="1"/>
        <v>0</v>
      </c>
      <c r="J148" s="98">
        <f t="shared" si="1"/>
        <v>0</v>
      </c>
      <c r="K148" s="98">
        <f t="shared" si="1"/>
        <v>0</v>
      </c>
      <c r="L148" s="98">
        <f t="shared" si="1"/>
        <v>0</v>
      </c>
      <c r="M148" s="98">
        <f t="shared" si="1"/>
        <v>0</v>
      </c>
      <c r="N148" s="98">
        <f t="shared" si="1"/>
        <v>0</v>
      </c>
      <c r="O148" s="98">
        <f t="shared" si="1"/>
        <v>0</v>
      </c>
      <c r="P148" s="98">
        <f t="shared" si="1"/>
        <v>0</v>
      </c>
      <c r="Q148" s="98">
        <f t="shared" si="1"/>
        <v>0</v>
      </c>
      <c r="R148" s="98">
        <f t="shared" si="1"/>
        <v>0</v>
      </c>
      <c r="S148" s="98">
        <f t="shared" si="1"/>
        <v>0</v>
      </c>
      <c r="T148" s="98">
        <f t="shared" si="1"/>
        <v>0</v>
      </c>
    </row>
    <row r="149" spans="1:20">
      <c r="A149" s="189" t="s">
        <v>286</v>
      </c>
      <c r="C149" s="98">
        <f t="shared" ref="C149:T149" si="2">SUMIF(C5:C143,"&lt;0")*-1</f>
        <v>0</v>
      </c>
      <c r="D149" s="98">
        <f t="shared" si="2"/>
        <v>0</v>
      </c>
      <c r="E149" s="98">
        <f t="shared" si="2"/>
        <v>0</v>
      </c>
      <c r="F149" s="98">
        <f t="shared" si="2"/>
        <v>0</v>
      </c>
      <c r="G149" s="98">
        <f t="shared" si="2"/>
        <v>0</v>
      </c>
      <c r="H149" s="98">
        <f t="shared" si="2"/>
        <v>0</v>
      </c>
      <c r="I149" s="98">
        <f t="shared" si="2"/>
        <v>0</v>
      </c>
      <c r="J149" s="98">
        <f t="shared" si="2"/>
        <v>0</v>
      </c>
      <c r="K149" s="98">
        <f t="shared" si="2"/>
        <v>0</v>
      </c>
      <c r="L149" s="98">
        <f t="shared" si="2"/>
        <v>0</v>
      </c>
      <c r="M149" s="98">
        <f t="shared" si="2"/>
        <v>0</v>
      </c>
      <c r="N149" s="98">
        <f t="shared" si="2"/>
        <v>0</v>
      </c>
      <c r="O149" s="98">
        <f t="shared" si="2"/>
        <v>0</v>
      </c>
      <c r="P149" s="98">
        <f t="shared" si="2"/>
        <v>0</v>
      </c>
      <c r="Q149" s="98">
        <f t="shared" si="2"/>
        <v>0</v>
      </c>
      <c r="R149" s="98">
        <f t="shared" si="2"/>
        <v>0</v>
      </c>
      <c r="S149" s="98">
        <f t="shared" si="2"/>
        <v>0</v>
      </c>
      <c r="T149" s="98">
        <f t="shared" si="2"/>
        <v>0</v>
      </c>
    </row>
    <row r="150" spans="1:20">
      <c r="A150" s="97" t="s">
        <v>291</v>
      </c>
      <c r="C150" s="109">
        <f t="shared" ref="C150:T150" si="3">+C148-C149</f>
        <v>0</v>
      </c>
      <c r="D150" s="109">
        <f t="shared" si="3"/>
        <v>0</v>
      </c>
      <c r="E150" s="109">
        <f t="shared" si="3"/>
        <v>0</v>
      </c>
      <c r="F150" s="109">
        <f t="shared" si="3"/>
        <v>0</v>
      </c>
      <c r="G150" s="109">
        <f t="shared" si="3"/>
        <v>0</v>
      </c>
      <c r="H150" s="109">
        <f t="shared" si="3"/>
        <v>0</v>
      </c>
      <c r="I150" s="109">
        <f t="shared" si="3"/>
        <v>0</v>
      </c>
      <c r="J150" s="109">
        <f t="shared" si="3"/>
        <v>0</v>
      </c>
      <c r="K150" s="109">
        <f t="shared" si="3"/>
        <v>0</v>
      </c>
      <c r="L150" s="109">
        <f t="shared" si="3"/>
        <v>0</v>
      </c>
      <c r="M150" s="109">
        <f t="shared" si="3"/>
        <v>0</v>
      </c>
      <c r="N150" s="109">
        <f t="shared" si="3"/>
        <v>0</v>
      </c>
      <c r="O150" s="109">
        <f t="shared" si="3"/>
        <v>0</v>
      </c>
      <c r="P150" s="109">
        <f t="shared" si="3"/>
        <v>0</v>
      </c>
      <c r="Q150" s="109">
        <f t="shared" si="3"/>
        <v>0</v>
      </c>
      <c r="R150" s="109">
        <f t="shared" si="3"/>
        <v>0</v>
      </c>
      <c r="S150" s="109">
        <f t="shared" si="3"/>
        <v>0</v>
      </c>
      <c r="T150" s="109">
        <f t="shared" si="3"/>
        <v>0</v>
      </c>
    </row>
    <row r="151" spans="1:20">
      <c r="C151" s="98">
        <f t="shared" ref="C151:T151" si="4">+C144-C150</f>
        <v>0</v>
      </c>
      <c r="D151" s="98">
        <f t="shared" si="4"/>
        <v>0</v>
      </c>
      <c r="E151" s="98">
        <f t="shared" si="4"/>
        <v>0</v>
      </c>
      <c r="F151" s="98">
        <f t="shared" si="4"/>
        <v>0</v>
      </c>
      <c r="G151" s="98">
        <f t="shared" si="4"/>
        <v>0</v>
      </c>
      <c r="H151" s="98">
        <f t="shared" si="4"/>
        <v>0</v>
      </c>
      <c r="I151" s="98">
        <f t="shared" si="4"/>
        <v>0</v>
      </c>
      <c r="J151" s="98">
        <f t="shared" si="4"/>
        <v>0</v>
      </c>
      <c r="K151" s="98">
        <f t="shared" si="4"/>
        <v>0</v>
      </c>
      <c r="L151" s="98">
        <f t="shared" si="4"/>
        <v>0</v>
      </c>
      <c r="M151" s="98">
        <f t="shared" si="4"/>
        <v>0</v>
      </c>
      <c r="N151" s="98">
        <f t="shared" si="4"/>
        <v>0</v>
      </c>
      <c r="O151" s="98">
        <f t="shared" si="4"/>
        <v>0</v>
      </c>
      <c r="P151" s="98">
        <f t="shared" si="4"/>
        <v>0</v>
      </c>
      <c r="Q151" s="98">
        <f t="shared" si="4"/>
        <v>0</v>
      </c>
      <c r="R151" s="98">
        <f t="shared" si="4"/>
        <v>0</v>
      </c>
      <c r="S151" s="98">
        <f t="shared" si="4"/>
        <v>0</v>
      </c>
      <c r="T151" s="98">
        <f t="shared" si="4"/>
        <v>0</v>
      </c>
    </row>
    <row r="153" spans="1:20">
      <c r="A153" s="213" t="s">
        <v>572</v>
      </c>
      <c r="C153" s="205" t="str">
        <f>+C4</f>
        <v>累計至2025/8</v>
      </c>
      <c r="D153" s="205" t="s">
        <v>518</v>
      </c>
      <c r="E153" s="205" t="s">
        <v>527</v>
      </c>
      <c r="F153" s="205" t="s">
        <v>528</v>
      </c>
      <c r="G153" s="205" t="s">
        <v>529</v>
      </c>
      <c r="H153" s="205" t="s">
        <v>530</v>
      </c>
      <c r="I153" s="205" t="s">
        <v>531</v>
      </c>
      <c r="J153" s="205" t="s">
        <v>532</v>
      </c>
      <c r="K153" s="205" t="s">
        <v>533</v>
      </c>
      <c r="L153" s="205" t="s">
        <v>534</v>
      </c>
      <c r="M153" s="205" t="s">
        <v>535</v>
      </c>
      <c r="N153" s="205" t="s">
        <v>536</v>
      </c>
      <c r="O153" s="205" t="s">
        <v>537</v>
      </c>
      <c r="P153" s="205" t="s">
        <v>538</v>
      </c>
      <c r="Q153" s="205" t="s">
        <v>24</v>
      </c>
      <c r="R153" s="205" t="s">
        <v>25</v>
      </c>
      <c r="S153" s="205" t="s">
        <v>26</v>
      </c>
      <c r="T153" s="205" t="s">
        <v>27</v>
      </c>
    </row>
    <row r="154" spans="1:20">
      <c r="A154" s="97" t="s">
        <v>573</v>
      </c>
      <c r="C154" s="98">
        <f>+C148</f>
        <v>0</v>
      </c>
      <c r="D154" s="98">
        <f t="shared" ref="D154:T154" si="5">+D148-C148</f>
        <v>0</v>
      </c>
      <c r="E154" s="98">
        <f t="shared" si="5"/>
        <v>0</v>
      </c>
      <c r="F154" s="98">
        <f t="shared" si="5"/>
        <v>0</v>
      </c>
      <c r="G154" s="98">
        <f t="shared" si="5"/>
        <v>0</v>
      </c>
      <c r="H154" s="98">
        <f t="shared" si="5"/>
        <v>0</v>
      </c>
      <c r="I154" s="98">
        <f t="shared" si="5"/>
        <v>0</v>
      </c>
      <c r="J154" s="98">
        <f t="shared" si="5"/>
        <v>0</v>
      </c>
      <c r="K154" s="98">
        <f t="shared" si="5"/>
        <v>0</v>
      </c>
      <c r="L154" s="98">
        <f t="shared" si="5"/>
        <v>0</v>
      </c>
      <c r="M154" s="98">
        <f t="shared" si="5"/>
        <v>0</v>
      </c>
      <c r="N154" s="98">
        <f t="shared" si="5"/>
        <v>0</v>
      </c>
      <c r="O154" s="98">
        <f t="shared" si="5"/>
        <v>0</v>
      </c>
      <c r="P154" s="98">
        <f t="shared" si="5"/>
        <v>0</v>
      </c>
      <c r="Q154" s="98">
        <f t="shared" si="5"/>
        <v>0</v>
      </c>
      <c r="R154" s="98">
        <f t="shared" si="5"/>
        <v>0</v>
      </c>
      <c r="S154" s="98">
        <f t="shared" si="5"/>
        <v>0</v>
      </c>
      <c r="T154" s="98">
        <f t="shared" si="5"/>
        <v>0</v>
      </c>
    </row>
    <row r="155" spans="1:20">
      <c r="A155" s="97" t="s">
        <v>574</v>
      </c>
      <c r="C155" s="98">
        <f>+C149</f>
        <v>0</v>
      </c>
      <c r="D155" s="98">
        <f t="shared" ref="D155:T155" si="6">+D149-C149</f>
        <v>0</v>
      </c>
      <c r="E155" s="98">
        <f t="shared" si="6"/>
        <v>0</v>
      </c>
      <c r="F155" s="98">
        <f t="shared" si="6"/>
        <v>0</v>
      </c>
      <c r="G155" s="98">
        <f t="shared" si="6"/>
        <v>0</v>
      </c>
      <c r="H155" s="98">
        <f t="shared" si="6"/>
        <v>0</v>
      </c>
      <c r="I155" s="98">
        <f t="shared" si="6"/>
        <v>0</v>
      </c>
      <c r="J155" s="98">
        <f t="shared" si="6"/>
        <v>0</v>
      </c>
      <c r="K155" s="98">
        <f t="shared" si="6"/>
        <v>0</v>
      </c>
      <c r="L155" s="98">
        <f t="shared" si="6"/>
        <v>0</v>
      </c>
      <c r="M155" s="98">
        <f t="shared" si="6"/>
        <v>0</v>
      </c>
      <c r="N155" s="98">
        <f t="shared" si="6"/>
        <v>0</v>
      </c>
      <c r="O155" s="98">
        <f t="shared" si="6"/>
        <v>0</v>
      </c>
      <c r="P155" s="98">
        <f t="shared" si="6"/>
        <v>0</v>
      </c>
      <c r="Q155" s="98">
        <f t="shared" si="6"/>
        <v>0</v>
      </c>
      <c r="R155" s="98">
        <f t="shared" si="6"/>
        <v>0</v>
      </c>
      <c r="S155" s="98">
        <f t="shared" si="6"/>
        <v>0</v>
      </c>
      <c r="T155" s="98">
        <f t="shared" si="6"/>
        <v>0</v>
      </c>
    </row>
    <row r="156" spans="1:20">
      <c r="A156" s="97" t="s">
        <v>291</v>
      </c>
      <c r="C156" s="109">
        <f t="shared" ref="C156:T156" si="7">+C154-C155</f>
        <v>0</v>
      </c>
      <c r="D156" s="109">
        <f t="shared" si="7"/>
        <v>0</v>
      </c>
      <c r="E156" s="109">
        <f t="shared" si="7"/>
        <v>0</v>
      </c>
      <c r="F156" s="109">
        <f t="shared" si="7"/>
        <v>0</v>
      </c>
      <c r="G156" s="109">
        <f t="shared" si="7"/>
        <v>0</v>
      </c>
      <c r="H156" s="109">
        <f t="shared" si="7"/>
        <v>0</v>
      </c>
      <c r="I156" s="109">
        <f t="shared" si="7"/>
        <v>0</v>
      </c>
      <c r="J156" s="109">
        <f t="shared" si="7"/>
        <v>0</v>
      </c>
      <c r="K156" s="109">
        <f t="shared" si="7"/>
        <v>0</v>
      </c>
      <c r="L156" s="109">
        <f t="shared" si="7"/>
        <v>0</v>
      </c>
      <c r="M156" s="109">
        <f t="shared" si="7"/>
        <v>0</v>
      </c>
      <c r="N156" s="109">
        <f t="shared" si="7"/>
        <v>0</v>
      </c>
      <c r="O156" s="109">
        <f t="shared" si="7"/>
        <v>0</v>
      </c>
      <c r="P156" s="109">
        <f t="shared" si="7"/>
        <v>0</v>
      </c>
      <c r="Q156" s="109">
        <f t="shared" si="7"/>
        <v>0</v>
      </c>
      <c r="R156" s="109">
        <f t="shared" si="7"/>
        <v>0</v>
      </c>
      <c r="S156" s="109">
        <f t="shared" si="7"/>
        <v>0</v>
      </c>
      <c r="T156" s="109">
        <f t="shared" si="7"/>
        <v>0</v>
      </c>
    </row>
    <row r="157" spans="1:20">
      <c r="C157" s="98" t="e">
        <f>+C156-#REF!</f>
        <v>#REF!</v>
      </c>
    </row>
    <row r="158" spans="1:20">
      <c r="B158" s="214"/>
      <c r="P158" s="205" t="s">
        <v>23</v>
      </c>
    </row>
    <row r="159" spans="1:20">
      <c r="A159" s="97" t="s">
        <v>573</v>
      </c>
      <c r="P159" s="98">
        <f>SUM(E154:P154)</f>
        <v>0</v>
      </c>
    </row>
    <row r="160" spans="1:20">
      <c r="A160" s="97" t="s">
        <v>574</v>
      </c>
      <c r="P160" s="98">
        <f>SUM(E155:P155)</f>
        <v>0</v>
      </c>
    </row>
    <row r="161" spans="1:17">
      <c r="A161" s="97" t="s">
        <v>291</v>
      </c>
      <c r="P161" s="109">
        <f>SUM(P159:P160)</f>
        <v>0</v>
      </c>
    </row>
    <row r="164" spans="1:17">
      <c r="A164" s="189" t="s">
        <v>575</v>
      </c>
    </row>
    <row r="165" spans="1:17">
      <c r="A165" s="97" t="s">
        <v>576</v>
      </c>
    </row>
    <row r="166" spans="1:17">
      <c r="A166" s="97" t="s">
        <v>577</v>
      </c>
      <c r="P166" s="98">
        <f>-D13-D18</f>
        <v>0</v>
      </c>
    </row>
    <row r="167" spans="1:17">
      <c r="A167" s="97" t="s">
        <v>578</v>
      </c>
      <c r="P167" s="98">
        <f>-D18</f>
        <v>0</v>
      </c>
    </row>
    <row r="168" spans="1:17">
      <c r="A168" s="97" t="s">
        <v>579</v>
      </c>
    </row>
    <row r="169" spans="1:17">
      <c r="A169" s="97" t="s">
        <v>580</v>
      </c>
      <c r="P169" s="98">
        <f>+P17-D17</f>
        <v>0</v>
      </c>
    </row>
    <row r="170" spans="1:17">
      <c r="A170" s="189" t="s">
        <v>430</v>
      </c>
      <c r="P170" s="98">
        <f>+P68-D68</f>
        <v>0</v>
      </c>
    </row>
    <row r="171" spans="1:17">
      <c r="P171" s="109">
        <f>SUM(P166:P170)</f>
        <v>0</v>
      </c>
    </row>
    <row r="172" spans="1:17">
      <c r="A172" s="97" t="s">
        <v>581</v>
      </c>
    </row>
    <row r="173" spans="1:17">
      <c r="A173" s="97" t="s">
        <v>582</v>
      </c>
      <c r="Q173" s="98">
        <f>+Q46</f>
        <v>0</v>
      </c>
    </row>
    <row r="174" spans="1:17">
      <c r="Q174" s="98">
        <f>+Q95-P95</f>
        <v>0</v>
      </c>
    </row>
    <row r="187" spans="1:20">
      <c r="A187" s="189" t="s">
        <v>571</v>
      </c>
    </row>
    <row r="188" spans="1:20">
      <c r="A188" s="189" t="s">
        <v>281</v>
      </c>
      <c r="C188" s="98">
        <f>SUMIF('Over Under Bill 1 COPY 到CO欄位'!G5:G142,"&gt;=0")</f>
        <v>0</v>
      </c>
      <c r="D188" s="98">
        <f>SUMIF('Over Under Bill 1 COPY 到CO欄位'!L5:L142,"&gt;=0")</f>
        <v>0</v>
      </c>
      <c r="E188" s="98">
        <f>SUMIF('Over Under Bill 1 COPY 到CO欄位'!Q5:Q142,"&gt;=0")</f>
        <v>0</v>
      </c>
      <c r="F188" s="98">
        <f>SUMIF('Over Under Bill 1 COPY 到CO欄位'!V5:V142,"&gt;=0")</f>
        <v>0</v>
      </c>
      <c r="G188" s="98">
        <f>SUMIF('Over Under Bill 1 COPY 到CO欄位'!AA5:AA142,"&gt;=0")</f>
        <v>0</v>
      </c>
      <c r="H188" s="98">
        <f>SUMIF('Over Under Bill 1 COPY 到CO欄位'!AF5:AF142,"&gt;=0")</f>
        <v>0</v>
      </c>
      <c r="I188" s="98">
        <f>SUMIF('Over Under Bill 1 COPY 到CO欄位'!AK5:AK142,"&gt;=0")</f>
        <v>0</v>
      </c>
      <c r="J188" s="98">
        <f>SUMIF('Over Under Bill 1 COPY 到CO欄位'!AP5:AP142,"&gt;=0")</f>
        <v>0</v>
      </c>
      <c r="K188" s="98">
        <f>SUMIF('Over Under Bill 1 COPY 到CO欄位'!AU5:AU142,"&gt;=0")</f>
        <v>0</v>
      </c>
      <c r="L188" s="98">
        <f>SUMIF('Over Under Bill 1 COPY 到CO欄位'!AZ5:AZ142,"&gt;=0")</f>
        <v>0</v>
      </c>
      <c r="M188" s="98">
        <f>SUMIF('Over Under Bill 1 COPY 到CO欄位'!BE5:BE142,"&gt;=0")</f>
        <v>0</v>
      </c>
      <c r="N188" s="98">
        <f>SUMIF('Over Under Bill 1 COPY 到CO欄位'!BJ5:BJ142,"&gt;=0")</f>
        <v>0</v>
      </c>
      <c r="O188" s="98">
        <f>SUMIF('Over Under Bill 1 COPY 到CO欄位'!BO5:BO142,"&gt;=0")</f>
        <v>0</v>
      </c>
      <c r="P188" s="98">
        <f>SUMIF('Over Under Bill 1 COPY 到CO欄位'!BT5:BT142,"&gt;=0")</f>
        <v>0</v>
      </c>
      <c r="Q188" s="98">
        <f>SUMIF('Over Under Bill 1 COPY 到CO欄位'!BY5:BY142,"&gt;=0")</f>
        <v>0</v>
      </c>
      <c r="R188" s="98">
        <f>SUMIF('Over Under Bill 1 COPY 到CO欄位'!CD5:CD142,"&gt;=0")</f>
        <v>0</v>
      </c>
      <c r="S188" s="98">
        <f>SUMIF('Over Under Bill 1 COPY 到CO欄位'!CE5:CE142,"&gt;=0")</f>
        <v>0</v>
      </c>
      <c r="T188" s="98">
        <f>SUMIF('Over Under Bill 1 COPY 到CO欄位'!CF5:CF142,"&gt;=0")</f>
        <v>0</v>
      </c>
    </row>
    <row r="189" spans="1:20">
      <c r="A189" s="97" t="s">
        <v>583</v>
      </c>
    </row>
    <row r="190" spans="1:20">
      <c r="A190" s="97" t="s">
        <v>584</v>
      </c>
    </row>
    <row r="191" spans="1:20">
      <c r="A191" s="97" t="s">
        <v>585</v>
      </c>
    </row>
    <row r="192" spans="1:20">
      <c r="A192" s="97" t="s">
        <v>586</v>
      </c>
    </row>
    <row r="193" spans="1:20">
      <c r="A193" s="97" t="s">
        <v>587</v>
      </c>
      <c r="C193" s="98">
        <f>SUMIF('Over Under Bill 1 COPY 到CO欄位'!G5:G142,"&lt;0")*-1</f>
        <v>0</v>
      </c>
      <c r="D193" s="98">
        <f>SUMIF('Over Under Bill 1 COPY 到CO欄位'!L5:L142,"&lt;0")*-1</f>
        <v>0</v>
      </c>
      <c r="E193" s="98">
        <f>SUMIF('Over Under Bill 1 COPY 到CO欄位'!Q5:Q142,"&lt;0")*-1</f>
        <v>0</v>
      </c>
      <c r="F193" s="98">
        <f>SUMIF('Over Under Bill 1 COPY 到CO欄位'!V5:V142,"&lt;0")*-1</f>
        <v>0</v>
      </c>
      <c r="G193" s="98">
        <f>SUMIF('Over Under Bill 1 COPY 到CO欄位'!AA5:AA142,"&lt;0")*-1</f>
        <v>0</v>
      </c>
      <c r="H193" s="98">
        <f>SUMIF('Over Under Bill 1 COPY 到CO欄位'!AF5:AF142,"&lt;0")*-1</f>
        <v>0</v>
      </c>
      <c r="I193" s="98">
        <f>SUMIF('Over Under Bill 1 COPY 到CO欄位'!AK5:AK142,"&lt;0")*-1</f>
        <v>0</v>
      </c>
      <c r="J193" s="98">
        <f>SUMIF('Over Under Bill 1 COPY 到CO欄位'!AP5:AP142,"&lt;0")*-1</f>
        <v>0</v>
      </c>
      <c r="K193" s="98">
        <f>SUMIF('Over Under Bill 1 COPY 到CO欄位'!AU5:AU142,"&lt;0")*-1</f>
        <v>0</v>
      </c>
      <c r="L193" s="98">
        <f>SUMIF('Over Under Bill 1 COPY 到CO欄位'!AZ5:AZ142,"&lt;0")*-1</f>
        <v>0</v>
      </c>
      <c r="M193" s="98">
        <f>SUMIF('Over Under Bill 1 COPY 到CO欄位'!BE5:BE142,"&lt;0")*-1</f>
        <v>0</v>
      </c>
      <c r="N193" s="98">
        <f>SUMIF('Over Under Bill 1 COPY 到CO欄位'!BJ5:BJ142,"&lt;0")*-1</f>
        <v>0</v>
      </c>
      <c r="O193" s="98">
        <f>SUMIF('Over Under Bill 1 COPY 到CO欄位'!BO5:BO142,"&lt;0")*-1</f>
        <v>0</v>
      </c>
      <c r="P193" s="98">
        <f>SUMIF('Over Under Bill 1 COPY 到CO欄位'!BT5:BT142,"&lt;0")*-1</f>
        <v>0</v>
      </c>
      <c r="Q193" s="98">
        <f>SUMIF('Over Under Bill 1 COPY 到CO欄位'!BY5:BY142,"&lt;0")*-1</f>
        <v>0</v>
      </c>
      <c r="R193" s="98">
        <f>SUMIF('Over Under Bill 1 COPY 到CO欄位'!CD5:CD142,"&lt;0")*-1</f>
        <v>0</v>
      </c>
      <c r="S193" s="98">
        <f>SUMIF('Over Under Bill 1 COPY 到CO欄位'!CE5:CE142,"&lt;0")*-1</f>
        <v>0</v>
      </c>
      <c r="T193" s="98">
        <f>SUMIF('Over Under Bill 1 COPY 到CO欄位'!CF5:CF142,"&lt;0")*-1</f>
        <v>0</v>
      </c>
    </row>
    <row r="194" spans="1:20">
      <c r="A194" s="97" t="s">
        <v>585</v>
      </c>
    </row>
    <row r="195" spans="1:20">
      <c r="A195" s="97" t="s">
        <v>586</v>
      </c>
    </row>
    <row r="196" spans="1:20">
      <c r="A196" s="97" t="s">
        <v>583</v>
      </c>
    </row>
    <row r="197" spans="1:20">
      <c r="A197" s="97" t="s">
        <v>584</v>
      </c>
    </row>
    <row r="198" spans="1:20">
      <c r="A198" s="97" t="s">
        <v>291</v>
      </c>
      <c r="B198" s="98"/>
      <c r="C198" s="109">
        <f t="shared" ref="C198:T198" si="8">+C188-C193</f>
        <v>0</v>
      </c>
      <c r="D198" s="109">
        <f t="shared" si="8"/>
        <v>0</v>
      </c>
      <c r="E198" s="109">
        <f t="shared" si="8"/>
        <v>0</v>
      </c>
      <c r="F198" s="109">
        <f t="shared" si="8"/>
        <v>0</v>
      </c>
      <c r="G198" s="109">
        <f t="shared" si="8"/>
        <v>0</v>
      </c>
      <c r="H198" s="109">
        <f t="shared" si="8"/>
        <v>0</v>
      </c>
      <c r="I198" s="109">
        <f t="shared" si="8"/>
        <v>0</v>
      </c>
      <c r="J198" s="109">
        <f t="shared" si="8"/>
        <v>0</v>
      </c>
      <c r="K198" s="109">
        <f t="shared" si="8"/>
        <v>0</v>
      </c>
      <c r="L198" s="109">
        <f t="shared" si="8"/>
        <v>0</v>
      </c>
      <c r="M198" s="109">
        <f t="shared" si="8"/>
        <v>0</v>
      </c>
      <c r="N198" s="109">
        <f t="shared" si="8"/>
        <v>0</v>
      </c>
      <c r="O198" s="109">
        <f t="shared" si="8"/>
        <v>0</v>
      </c>
      <c r="P198" s="109">
        <f t="shared" si="8"/>
        <v>0</v>
      </c>
      <c r="Q198" s="109">
        <f t="shared" si="8"/>
        <v>0</v>
      </c>
      <c r="R198" s="109">
        <f t="shared" si="8"/>
        <v>0</v>
      </c>
      <c r="S198" s="109">
        <f t="shared" si="8"/>
        <v>0</v>
      </c>
      <c r="T198" s="109">
        <f t="shared" si="8"/>
        <v>0</v>
      </c>
    </row>
    <row r="199" spans="1:20">
      <c r="C199" s="98">
        <f>+C198-'Over Under Bill 1 COPY 到CO欄位'!G143</f>
        <v>0</v>
      </c>
      <c r="D199" s="98">
        <f>+D198-'Over Under Bill 1 COPY 到CO欄位'!L143</f>
        <v>0</v>
      </c>
      <c r="E199" s="98">
        <f>+E198-'Over Under Bill 1 COPY 到CO欄位'!Q143</f>
        <v>0</v>
      </c>
      <c r="F199" s="98">
        <f>+F198-'Over Under Bill 1 COPY 到CO欄位'!V143</f>
        <v>0</v>
      </c>
      <c r="G199" s="98">
        <f>+G198-'Over Under Bill 1 COPY 到CO欄位'!AA143</f>
        <v>0</v>
      </c>
      <c r="H199" s="98">
        <f>+H198-'Over Under Bill 1 COPY 到CO欄位'!AF143</f>
        <v>0</v>
      </c>
      <c r="I199" s="98">
        <f>+I198-'Over Under Bill 1 COPY 到CO欄位'!AK143</f>
        <v>0</v>
      </c>
      <c r="J199" s="98">
        <f>+J198-'Over Under Bill 1 COPY 到CO欄位'!AP143</f>
        <v>0</v>
      </c>
      <c r="K199" s="98">
        <f>+K198-'Over Under Bill 1 COPY 到CO欄位'!AU143</f>
        <v>0</v>
      </c>
      <c r="L199" s="98">
        <f>+L198-'Over Under Bill 1 COPY 到CO欄位'!AZ143</f>
        <v>0</v>
      </c>
      <c r="M199" s="98">
        <f>+M198-'Over Under Bill 1 COPY 到CO欄位'!BE143</f>
        <v>0</v>
      </c>
      <c r="N199" s="98">
        <f>+N198-'Over Under Bill 1 COPY 到CO欄位'!BJ143</f>
        <v>0</v>
      </c>
      <c r="O199" s="98">
        <f>+O198-'Over Under Bill 1 COPY 到CO欄位'!BO143</f>
        <v>0</v>
      </c>
      <c r="P199" s="98">
        <f>+P198-'Over Under Bill 1 COPY 到CO欄位'!BT143</f>
        <v>0</v>
      </c>
      <c r="Q199" s="98">
        <f>+Q198-'Over Under Bill 1 COPY 到CO欄位'!BY143</f>
        <v>0</v>
      </c>
      <c r="R199" s="98">
        <f>+R198-'Over Under Bill 1 COPY 到CO欄位'!CD143</f>
        <v>0</v>
      </c>
      <c r="S199" s="98">
        <f>+S198-'Over Under Bill 1 COPY 到CO欄位'!CE143</f>
        <v>0</v>
      </c>
      <c r="T199" s="98">
        <f>+T198-'Over Under Bill 1 COPY 到CO欄位'!CF143</f>
        <v>0</v>
      </c>
    </row>
    <row r="201" spans="1:20">
      <c r="A201" s="213" t="s">
        <v>572</v>
      </c>
      <c r="C201" s="205" t="str">
        <f t="shared" ref="C201:T201" si="9">C153</f>
        <v>累計至2025/8</v>
      </c>
      <c r="D201" s="205" t="str">
        <f t="shared" si="9"/>
        <v>2025/9-2025/12</v>
      </c>
      <c r="E201" s="205" t="str">
        <f t="shared" si="9"/>
        <v>2026/1</v>
      </c>
      <c r="F201" s="205" t="str">
        <f t="shared" si="9"/>
        <v>2026/2</v>
      </c>
      <c r="G201" s="205" t="str">
        <f t="shared" si="9"/>
        <v>2026/3</v>
      </c>
      <c r="H201" s="205" t="str">
        <f t="shared" si="9"/>
        <v>2026/4</v>
      </c>
      <c r="I201" s="205" t="str">
        <f t="shared" si="9"/>
        <v>2026/5</v>
      </c>
      <c r="J201" s="205" t="str">
        <f t="shared" si="9"/>
        <v>2026/6</v>
      </c>
      <c r="K201" s="205" t="str">
        <f t="shared" si="9"/>
        <v>2026/7</v>
      </c>
      <c r="L201" s="205" t="str">
        <f t="shared" si="9"/>
        <v>2026/8</v>
      </c>
      <c r="M201" s="205" t="str">
        <f t="shared" si="9"/>
        <v>2026/9</v>
      </c>
      <c r="N201" s="205" t="str">
        <f t="shared" si="9"/>
        <v>2026/10</v>
      </c>
      <c r="O201" s="205" t="str">
        <f t="shared" si="9"/>
        <v>2026/11</v>
      </c>
      <c r="P201" s="205" t="str">
        <f t="shared" si="9"/>
        <v>2026/12</v>
      </c>
      <c r="Q201" s="205" t="str">
        <f t="shared" si="9"/>
        <v>Year 2027</v>
      </c>
      <c r="R201" s="205" t="str">
        <f t="shared" si="9"/>
        <v>Year 2028</v>
      </c>
      <c r="S201" s="205" t="str">
        <f t="shared" si="9"/>
        <v>Year 2029</v>
      </c>
      <c r="T201" s="205" t="str">
        <f t="shared" si="9"/>
        <v>Year 2030</v>
      </c>
    </row>
    <row r="202" spans="1:20">
      <c r="A202" s="97" t="s">
        <v>588</v>
      </c>
      <c r="C202" s="98">
        <f>+C188</f>
        <v>0</v>
      </c>
      <c r="D202" s="98">
        <f t="shared" ref="D202:T202" si="10">+D188-C188</f>
        <v>0</v>
      </c>
      <c r="E202" s="98">
        <f t="shared" si="10"/>
        <v>0</v>
      </c>
      <c r="F202" s="98">
        <f t="shared" si="10"/>
        <v>0</v>
      </c>
      <c r="G202" s="98">
        <f t="shared" si="10"/>
        <v>0</v>
      </c>
      <c r="H202" s="98">
        <f t="shared" si="10"/>
        <v>0</v>
      </c>
      <c r="I202" s="98">
        <f t="shared" si="10"/>
        <v>0</v>
      </c>
      <c r="J202" s="98">
        <f t="shared" si="10"/>
        <v>0</v>
      </c>
      <c r="K202" s="98">
        <f t="shared" si="10"/>
        <v>0</v>
      </c>
      <c r="L202" s="98">
        <f t="shared" si="10"/>
        <v>0</v>
      </c>
      <c r="M202" s="98">
        <f t="shared" si="10"/>
        <v>0</v>
      </c>
      <c r="N202" s="98">
        <f t="shared" si="10"/>
        <v>0</v>
      </c>
      <c r="O202" s="98">
        <f t="shared" si="10"/>
        <v>0</v>
      </c>
      <c r="P202" s="98">
        <f t="shared" si="10"/>
        <v>0</v>
      </c>
      <c r="Q202" s="98">
        <f t="shared" si="10"/>
        <v>0</v>
      </c>
      <c r="R202" s="98">
        <f t="shared" si="10"/>
        <v>0</v>
      </c>
      <c r="S202" s="98">
        <f t="shared" si="10"/>
        <v>0</v>
      </c>
      <c r="T202" s="98">
        <f t="shared" si="10"/>
        <v>0</v>
      </c>
    </row>
    <row r="203" spans="1:20">
      <c r="A203" s="97" t="s">
        <v>583</v>
      </c>
    </row>
    <row r="204" spans="1:20">
      <c r="A204" s="97" t="s">
        <v>584</v>
      </c>
    </row>
    <row r="205" spans="1:20">
      <c r="A205" s="97" t="s">
        <v>585</v>
      </c>
    </row>
    <row r="206" spans="1:20">
      <c r="A206" s="97" t="s">
        <v>586</v>
      </c>
    </row>
    <row r="207" spans="1:20">
      <c r="A207" s="97" t="s">
        <v>589</v>
      </c>
      <c r="C207" s="98">
        <f>+C193</f>
        <v>0</v>
      </c>
      <c r="D207" s="98">
        <f t="shared" ref="D207:T207" si="11">+D193-C193</f>
        <v>0</v>
      </c>
      <c r="E207" s="98">
        <f t="shared" si="11"/>
        <v>0</v>
      </c>
      <c r="F207" s="98">
        <f t="shared" si="11"/>
        <v>0</v>
      </c>
      <c r="G207" s="98">
        <f t="shared" si="11"/>
        <v>0</v>
      </c>
      <c r="H207" s="98">
        <f t="shared" si="11"/>
        <v>0</v>
      </c>
      <c r="I207" s="98">
        <f t="shared" si="11"/>
        <v>0</v>
      </c>
      <c r="J207" s="98">
        <f t="shared" si="11"/>
        <v>0</v>
      </c>
      <c r="K207" s="98">
        <f t="shared" si="11"/>
        <v>0</v>
      </c>
      <c r="L207" s="98">
        <f t="shared" si="11"/>
        <v>0</v>
      </c>
      <c r="M207" s="98">
        <f t="shared" si="11"/>
        <v>0</v>
      </c>
      <c r="N207" s="98">
        <f t="shared" si="11"/>
        <v>0</v>
      </c>
      <c r="O207" s="98">
        <f t="shared" si="11"/>
        <v>0</v>
      </c>
      <c r="P207" s="98">
        <f t="shared" si="11"/>
        <v>0</v>
      </c>
      <c r="Q207" s="98">
        <f t="shared" si="11"/>
        <v>0</v>
      </c>
      <c r="R207" s="98">
        <f t="shared" si="11"/>
        <v>0</v>
      </c>
      <c r="S207" s="98">
        <f t="shared" si="11"/>
        <v>0</v>
      </c>
      <c r="T207" s="98">
        <f t="shared" si="11"/>
        <v>0</v>
      </c>
    </row>
    <row r="208" spans="1:20">
      <c r="A208" s="97" t="s">
        <v>585</v>
      </c>
    </row>
    <row r="209" spans="1:20">
      <c r="A209" s="97" t="s">
        <v>586</v>
      </c>
    </row>
    <row r="210" spans="1:20">
      <c r="A210" s="97" t="s">
        <v>583</v>
      </c>
    </row>
    <row r="211" spans="1:20">
      <c r="A211" s="97" t="s">
        <v>584</v>
      </c>
    </row>
    <row r="212" spans="1:20">
      <c r="A212" s="97" t="s">
        <v>291</v>
      </c>
      <c r="C212" s="109">
        <f t="shared" ref="C212:T212" si="12">+C202-C207</f>
        <v>0</v>
      </c>
      <c r="D212" s="109">
        <f t="shared" si="12"/>
        <v>0</v>
      </c>
      <c r="E212" s="109">
        <f t="shared" si="12"/>
        <v>0</v>
      </c>
      <c r="F212" s="109">
        <f t="shared" si="12"/>
        <v>0</v>
      </c>
      <c r="G212" s="109">
        <f t="shared" si="12"/>
        <v>0</v>
      </c>
      <c r="H212" s="109">
        <f t="shared" si="12"/>
        <v>0</v>
      </c>
      <c r="I212" s="109">
        <f t="shared" si="12"/>
        <v>0</v>
      </c>
      <c r="J212" s="109">
        <f t="shared" si="12"/>
        <v>0</v>
      </c>
      <c r="K212" s="109">
        <f t="shared" si="12"/>
        <v>0</v>
      </c>
      <c r="L212" s="109">
        <f t="shared" si="12"/>
        <v>0</v>
      </c>
      <c r="M212" s="109">
        <f t="shared" si="12"/>
        <v>0</v>
      </c>
      <c r="N212" s="109">
        <f t="shared" si="12"/>
        <v>0</v>
      </c>
      <c r="O212" s="109">
        <f t="shared" si="12"/>
        <v>0</v>
      </c>
      <c r="P212" s="109">
        <f t="shared" si="12"/>
        <v>0</v>
      </c>
      <c r="Q212" s="109">
        <f t="shared" si="12"/>
        <v>0</v>
      </c>
      <c r="R212" s="109">
        <f t="shared" si="12"/>
        <v>0</v>
      </c>
      <c r="S212" s="109">
        <f t="shared" si="12"/>
        <v>0</v>
      </c>
      <c r="T212" s="109">
        <f t="shared" si="12"/>
        <v>0</v>
      </c>
    </row>
    <row r="213" spans="1:20">
      <c r="A213" s="194"/>
      <c r="B213" s="193"/>
      <c r="C213" s="98" t="e">
        <f>+C212-#REF!</f>
        <v>#REF!</v>
      </c>
    </row>
    <row r="214" spans="1:20">
      <c r="A214" s="193"/>
      <c r="B214" s="193"/>
    </row>
    <row r="215" spans="1:20">
      <c r="A215" s="194"/>
      <c r="B215" s="193"/>
    </row>
    <row r="216" spans="1:20">
      <c r="A216" s="193"/>
      <c r="B216" s="193"/>
    </row>
    <row r="217" spans="1:20">
      <c r="A217" s="193"/>
      <c r="B217" s="193"/>
    </row>
    <row r="218" spans="1:20">
      <c r="A218" s="193"/>
      <c r="B218" s="193"/>
    </row>
    <row r="219" spans="1:20">
      <c r="A219" s="193"/>
      <c r="B219" s="193"/>
    </row>
    <row r="220" spans="1:20">
      <c r="A220" s="193"/>
      <c r="B220" s="193"/>
    </row>
    <row r="221" spans="1:20">
      <c r="A221" s="193"/>
      <c r="B221" s="193"/>
    </row>
    <row r="222" spans="1:20">
      <c r="A222" s="193"/>
      <c r="B222" s="193"/>
    </row>
    <row r="223" spans="1:20">
      <c r="A223" s="194"/>
      <c r="B223" s="193"/>
    </row>
    <row r="224" spans="1:20">
      <c r="A224" s="194"/>
      <c r="B224" s="193"/>
    </row>
    <row r="225" spans="1:20">
      <c r="A225" s="179" t="s">
        <v>524</v>
      </c>
      <c r="B225" s="172" t="s">
        <v>525</v>
      </c>
      <c r="C225" s="157">
        <f>IFERROR(VLOOKUP($A225,'Over Under Bill 1 COPY 到CO欄位'!$1:$1048576,5,0),0)</f>
        <v>0</v>
      </c>
      <c r="D225" s="157">
        <f>IFERROR(VLOOKUP($A225,'Over Under Bill 1 COPY 到CO欄位'!$1:$1048576,10,0),0)</f>
        <v>0</v>
      </c>
      <c r="E225" s="157">
        <f>IFERROR(VLOOKUP($A225,'Over Under Bill 1 COPY 到CO欄位'!$1:$1048576,15,0),0)</f>
        <v>0</v>
      </c>
      <c r="F225" s="157">
        <f>IFERROR(VLOOKUP($A225,'Over Under Bill 1 COPY 到CO欄位'!$1:$1048576,20,0),0)</f>
        <v>0</v>
      </c>
      <c r="G225" s="157">
        <f>IFERROR(VLOOKUP($A225,'Over Under Bill 1 COPY 到CO欄位'!$1:$1048576,25,0),0)</f>
        <v>0</v>
      </c>
      <c r="H225" s="157">
        <f>IFERROR(VLOOKUP($A225,'Over Under Bill 1 COPY 到CO欄位'!$1:$1048576,30,0),0)</f>
        <v>0</v>
      </c>
      <c r="I225" s="157">
        <f>IFERROR(VLOOKUP($A225,'Over Under Bill 1 COPY 到CO欄位'!$1:$1048576,35,0),0)</f>
        <v>0</v>
      </c>
      <c r="J225" s="157">
        <f>IFERROR(VLOOKUP($A225,'Over Under Bill 1 COPY 到CO欄位'!$1:$1048576,40,0),0)</f>
        <v>0</v>
      </c>
      <c r="K225" s="157">
        <f>IFERROR(VLOOKUP($A225,'Over Under Bill 1 COPY 到CO欄位'!$1:$1048576,45,0),0)</f>
        <v>0</v>
      </c>
      <c r="L225" s="157">
        <f>IFERROR(VLOOKUP($A225,'Over Under Bill 1 COPY 到CO欄位'!$1:$1048576,50,0),0)</f>
        <v>0</v>
      </c>
      <c r="M225" s="157">
        <f>IFERROR(VLOOKUP($A225,'Over Under Bill 1 COPY 到CO欄位'!$1:$1048576,55,0),0)</f>
        <v>0</v>
      </c>
      <c r="N225" s="157">
        <f>IFERROR(VLOOKUP($A225,'Over Under Bill 1 COPY 到CO欄位'!$1:$1048576,60,0),0)</f>
        <v>0</v>
      </c>
      <c r="O225" s="157">
        <f>IFERROR(VLOOKUP($A225,'Over Under Bill 1 COPY 到CO欄位'!$1:$1048576,65,0),0)</f>
        <v>0</v>
      </c>
      <c r="P225" s="157">
        <f>IFERROR(VLOOKUP($A225,'Over Under Bill 1 COPY 到CO欄位'!$1:$1048576,70,0),0)</f>
        <v>0</v>
      </c>
      <c r="Q225" s="157">
        <f>IFERROR(VLOOKUP($A225,'Over Under Bill 1 COPY 到CO欄位'!$1:$1048576,75,0),0)</f>
        <v>0</v>
      </c>
      <c r="R225" s="157">
        <f>IFERROR(VLOOKUP($A225,'Over Under Bill 1 COPY 到CO欄位'!$1:$1048576,80,0),0)</f>
        <v>0</v>
      </c>
      <c r="S225" s="157">
        <f>IFERROR(VLOOKUP($A225,'Over Under Bill 1 COPY 到CO欄位'!$1:$1048576,85,0),0)</f>
        <v>0</v>
      </c>
      <c r="T225" s="157">
        <f>IFERROR(VLOOKUP($A225,'Over Under Bill 1 COPY 到CO欄位'!$1:$1048576,90,0),0)</f>
        <v>0</v>
      </c>
    </row>
    <row r="226" spans="1:20">
      <c r="A226" s="193"/>
      <c r="B226" s="193"/>
    </row>
    <row r="227" spans="1:20">
      <c r="A227" s="193"/>
      <c r="B227" s="193"/>
    </row>
    <row r="228" spans="1:20">
      <c r="A228" s="193"/>
      <c r="B228" s="193"/>
    </row>
    <row r="229" spans="1:20">
      <c r="A229" s="193"/>
      <c r="B229" s="193"/>
    </row>
    <row r="230" spans="1:20">
      <c r="A230" s="193"/>
      <c r="B230" s="193"/>
    </row>
    <row r="231" spans="1:20">
      <c r="A231" s="194"/>
      <c r="B231" s="193"/>
    </row>
    <row r="232" spans="1:20">
      <c r="A232" s="194"/>
      <c r="B232" s="193"/>
    </row>
    <row r="233" spans="1:20">
      <c r="A233" s="193"/>
      <c r="B233" s="193"/>
    </row>
    <row r="234" spans="1:20">
      <c r="A234" s="193"/>
      <c r="B234" s="193"/>
    </row>
    <row r="254" spans="1:1">
      <c r="A254" s="98"/>
    </row>
    <row r="255" spans="1:1">
      <c r="A255" s="98"/>
    </row>
    <row r="256" spans="1:1">
      <c r="A256" s="98"/>
    </row>
    <row r="257" spans="1:1">
      <c r="A257" s="98"/>
    </row>
    <row r="258" spans="1:1">
      <c r="A258" s="98"/>
    </row>
    <row r="259" spans="1:1">
      <c r="A259" s="98"/>
    </row>
    <row r="260" spans="1:1">
      <c r="A260" s="98"/>
    </row>
    <row r="261" spans="1:1">
      <c r="A261" s="98"/>
    </row>
    <row r="262" spans="1:1">
      <c r="A262" s="98"/>
    </row>
    <row r="263" spans="1:1">
      <c r="A263" s="98"/>
    </row>
  </sheetData>
  <phoneticPr fontId="101" type="noConversion"/>
  <pageMargins left="0.70833333333333304" right="0.70833333333333304" top="0.74791666666666701" bottom="0.74791666666666701" header="0.511811023622047" footer="0.511811023622047"/>
  <pageSetup paperSize="8" scale="71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DD7EE"/>
  </sheetPr>
  <dimension ref="A1:GC252"/>
  <sheetViews>
    <sheetView showGridLines="0" tabSelected="1" zoomScale="70" zoomScaleNormal="70" workbookViewId="0">
      <pane xSplit="7" ySplit="5" topLeftCell="H224" activePane="bottomRight" state="frozen"/>
      <selection pane="topRight" activeCell="CI1" sqref="CI1"/>
      <selection pane="bottomLeft" activeCell="A6" sqref="A6"/>
      <selection pane="bottomRight" activeCell="I236" sqref="I236"/>
    </sheetView>
  </sheetViews>
  <sheetFormatPr defaultColWidth="9" defaultRowHeight="15.6" outlineLevelRow="1" outlineLevelCol="1"/>
  <cols>
    <col min="1" max="1" width="14.44140625" style="97" customWidth="1"/>
    <col min="2" max="2" width="31.109375" style="97" customWidth="1"/>
    <col min="3" max="3" width="13.109375" style="97" customWidth="1"/>
    <col min="4" max="4" width="13.88671875" style="97" customWidth="1" outlineLevel="1"/>
    <col min="5" max="5" width="16.6640625" style="97" customWidth="1" outlineLevel="1"/>
    <col min="6" max="6" width="19.33203125" style="97" customWidth="1" outlineLevel="1"/>
    <col min="7" max="7" width="14" style="97" customWidth="1" outlineLevel="1"/>
    <col min="8" max="8" width="19.6640625" style="97" customWidth="1"/>
    <col min="9" max="9" width="17.44140625" style="97" customWidth="1" outlineLevel="1"/>
    <col min="10" max="10" width="17.21875" style="97" customWidth="1" outlineLevel="1"/>
    <col min="11" max="11" width="14.33203125" style="97" customWidth="1" outlineLevel="1"/>
    <col min="12" max="12" width="17.109375" style="97" customWidth="1"/>
    <col min="13" max="13" width="15.88671875" style="97" customWidth="1"/>
    <col min="14" max="14" width="16.88671875" style="97" customWidth="1"/>
    <col min="15" max="15" width="15.88671875" style="97" customWidth="1"/>
    <col min="16" max="17" width="16.88671875" style="98" customWidth="1" outlineLevel="1"/>
    <col min="18" max="18" width="15.109375" style="97" customWidth="1" outlineLevel="1"/>
    <col min="19" max="19" width="15.109375" style="98" customWidth="1" outlineLevel="1"/>
    <col min="20" max="20" width="16" style="98" customWidth="1" outlineLevel="1"/>
    <col min="21" max="21" width="15" style="98" customWidth="1" outlineLevel="1"/>
    <col min="22" max="22" width="15.88671875" style="97" customWidth="1" outlineLevel="1"/>
    <col min="23" max="23" width="13.44140625" style="98" customWidth="1" outlineLevel="1"/>
    <col min="24" max="25" width="16.109375" style="98" customWidth="1" outlineLevel="1"/>
    <col min="26" max="26" width="16.109375" style="97" customWidth="1" outlineLevel="1"/>
    <col min="27" max="29" width="16.109375" style="98" customWidth="1" outlineLevel="1"/>
    <col min="30" max="30" width="16.109375" style="97" customWidth="1" outlineLevel="1"/>
    <col min="31" max="33" width="16.109375" style="98" customWidth="1" outlineLevel="1"/>
    <col min="34" max="34" width="15.109375" style="97" customWidth="1" outlineLevel="1"/>
    <col min="35" max="35" width="15.109375" style="98" customWidth="1" outlineLevel="1"/>
    <col min="36" max="36" width="15.6640625" style="98" customWidth="1" outlineLevel="1"/>
    <col min="37" max="37" width="16.109375" style="98" customWidth="1" outlineLevel="1"/>
    <col min="38" max="38" width="15.44140625" style="97" customWidth="1" outlineLevel="1"/>
    <col min="39" max="39" width="13.44140625" style="98" customWidth="1" outlineLevel="1"/>
    <col min="40" max="41" width="16.33203125" style="98" customWidth="1" outlineLevel="1"/>
    <col min="42" max="42" width="16.33203125" style="97" customWidth="1" outlineLevel="1"/>
    <col min="43" max="45" width="16.33203125" style="98" customWidth="1" outlineLevel="1"/>
    <col min="46" max="46" width="16.33203125" style="97" customWidth="1" outlineLevel="1"/>
    <col min="47" max="47" width="13.44140625" style="98" customWidth="1" outlineLevel="1"/>
    <col min="48" max="49" width="15.109375" style="98" customWidth="1" outlineLevel="1"/>
    <col min="50" max="50" width="15.109375" style="97" customWidth="1" outlineLevel="1"/>
    <col min="51" max="51" width="15.109375" style="98" customWidth="1" outlineLevel="1"/>
    <col min="52" max="52" width="15.88671875" style="98" customWidth="1" outlineLevel="1"/>
    <col min="53" max="53" width="15.21875" style="98" customWidth="1" outlineLevel="1"/>
    <col min="54" max="54" width="15.44140625" style="97" customWidth="1" outlineLevel="1"/>
    <col min="55" max="55" width="13.44140625" style="98" customWidth="1" outlineLevel="1"/>
    <col min="56" max="56" width="17.88671875" style="98" customWidth="1" outlineLevel="1"/>
    <col min="57" max="57" width="16.88671875" style="98" customWidth="1" outlineLevel="1"/>
    <col min="58" max="58" width="15.109375" style="97" customWidth="1" outlineLevel="1"/>
    <col min="59" max="59" width="15.109375" style="98" customWidth="1" outlineLevel="1"/>
    <col min="60" max="60" width="16" style="98" customWidth="1" outlineLevel="1"/>
    <col min="61" max="61" width="15.44140625" style="98" customWidth="1" outlineLevel="1"/>
    <col min="62" max="62" width="18.109375" style="97" customWidth="1" outlineLevel="1"/>
    <col min="63" max="63" width="13.44140625" style="98" customWidth="1" outlineLevel="1"/>
    <col min="64" max="64" width="18.33203125" style="98" customWidth="1"/>
    <col min="65" max="65" width="17.21875" style="98" customWidth="1"/>
    <col min="66" max="66" width="17.88671875" style="97" customWidth="1"/>
    <col min="67" max="67" width="15.109375" style="98" customWidth="1"/>
    <col min="68" max="68" width="17.109375" style="98" customWidth="1"/>
    <col min="69" max="69" width="16.6640625" style="98" customWidth="1"/>
    <col min="70" max="70" width="17.109375" style="97" customWidth="1"/>
    <col min="71" max="71" width="14.6640625" style="98" customWidth="1"/>
    <col min="72" max="72" width="18.33203125" style="98" customWidth="1"/>
    <col min="73" max="73" width="17.77734375" style="98" customWidth="1"/>
    <col min="74" max="74" width="15.88671875" style="97" customWidth="1"/>
    <col min="75" max="75" width="15.109375" style="98" customWidth="1"/>
    <col min="76" max="76" width="16.88671875" style="98" customWidth="1"/>
    <col min="77" max="77" width="15.44140625" style="98" customWidth="1"/>
    <col min="78" max="78" width="16.88671875" style="97" customWidth="1"/>
    <col min="79" max="79" width="14.109375" style="98" customWidth="1"/>
    <col min="80" max="80" width="18.33203125" style="98" customWidth="1"/>
    <col min="81" max="81" width="17.77734375" style="98" customWidth="1"/>
    <col min="82" max="82" width="16.88671875" style="97" customWidth="1"/>
    <col min="83" max="83" width="15.109375" style="98" customWidth="1"/>
    <col min="84" max="84" width="18.109375" style="98" customWidth="1"/>
    <col min="85" max="85" width="16.6640625" style="98" customWidth="1"/>
    <col min="86" max="86" width="18.88671875" style="97" customWidth="1"/>
    <col min="87" max="87" width="13.44140625" style="98" customWidth="1"/>
    <col min="88" max="88" width="18.33203125" style="98" customWidth="1"/>
    <col min="89" max="89" width="17.77734375" style="98" customWidth="1"/>
    <col min="90" max="90" width="17.88671875" style="97" customWidth="1"/>
    <col min="91" max="91" width="15.109375" style="98" customWidth="1"/>
    <col min="92" max="92" width="18.109375" style="98" customWidth="1"/>
    <col min="93" max="93" width="16.6640625" style="98" customWidth="1"/>
    <col min="94" max="94" width="18.88671875" style="97" customWidth="1"/>
    <col min="95" max="95" width="13.44140625" style="98" customWidth="1"/>
    <col min="96" max="96" width="18.33203125" style="98" customWidth="1"/>
    <col min="97" max="97" width="17.77734375" style="98" customWidth="1"/>
    <col min="98" max="98" width="16.88671875" style="97" customWidth="1"/>
    <col min="99" max="99" width="15.109375" style="98" customWidth="1"/>
    <col min="100" max="100" width="18.109375" style="98" customWidth="1"/>
    <col min="101" max="101" width="16.6640625" style="98" customWidth="1"/>
    <col min="102" max="102" width="18.88671875" style="97" customWidth="1"/>
    <col min="103" max="103" width="13.44140625" style="98" customWidth="1"/>
    <col min="104" max="16384" width="9" style="98"/>
  </cols>
  <sheetData>
    <row r="1" spans="1:103">
      <c r="A1" s="215">
        <v>2027</v>
      </c>
      <c r="B1" s="101" t="s">
        <v>590</v>
      </c>
      <c r="C1" s="101"/>
      <c r="D1" s="216">
        <v>3</v>
      </c>
      <c r="E1" s="216">
        <v>4</v>
      </c>
      <c r="F1" s="216">
        <v>5</v>
      </c>
      <c r="G1" s="216">
        <v>6</v>
      </c>
      <c r="H1" s="216">
        <v>7</v>
      </c>
      <c r="I1" s="216">
        <v>8</v>
      </c>
      <c r="J1" s="216">
        <v>9</v>
      </c>
      <c r="K1" s="216">
        <v>10</v>
      </c>
      <c r="L1" s="216">
        <v>11</v>
      </c>
      <c r="M1" s="216">
        <v>12</v>
      </c>
      <c r="N1" s="216">
        <v>13</v>
      </c>
      <c r="O1" s="216">
        <v>14</v>
      </c>
      <c r="P1" s="216">
        <v>15</v>
      </c>
      <c r="Q1" s="216">
        <v>16</v>
      </c>
      <c r="R1" s="216">
        <v>17</v>
      </c>
      <c r="S1" s="216">
        <v>18</v>
      </c>
      <c r="T1" s="216">
        <v>19</v>
      </c>
      <c r="U1" s="216">
        <v>20</v>
      </c>
      <c r="V1" s="216">
        <v>21</v>
      </c>
      <c r="W1" s="216">
        <v>22</v>
      </c>
      <c r="X1" s="216">
        <v>23</v>
      </c>
      <c r="Y1" s="216">
        <v>24</v>
      </c>
      <c r="Z1" s="216">
        <v>25</v>
      </c>
      <c r="AA1" s="216">
        <v>26</v>
      </c>
      <c r="AB1" s="216">
        <v>27</v>
      </c>
      <c r="AC1" s="216">
        <v>28</v>
      </c>
      <c r="AD1" s="216">
        <v>29</v>
      </c>
      <c r="AE1" s="216">
        <v>30</v>
      </c>
      <c r="AF1" s="216">
        <v>31</v>
      </c>
      <c r="AG1" s="216">
        <v>32</v>
      </c>
      <c r="AH1" s="216">
        <v>33</v>
      </c>
      <c r="AI1" s="216">
        <v>34</v>
      </c>
      <c r="AJ1" s="216">
        <v>35</v>
      </c>
      <c r="AK1" s="216">
        <v>36</v>
      </c>
      <c r="AL1" s="216">
        <v>37</v>
      </c>
      <c r="AM1" s="216">
        <v>38</v>
      </c>
      <c r="AN1" s="216">
        <v>39</v>
      </c>
      <c r="AO1" s="216">
        <v>40</v>
      </c>
      <c r="AP1" s="216">
        <v>41</v>
      </c>
      <c r="AQ1" s="216">
        <v>42</v>
      </c>
      <c r="AR1" s="216">
        <v>43</v>
      </c>
      <c r="AS1" s="216">
        <v>44</v>
      </c>
      <c r="AT1" s="216">
        <v>45</v>
      </c>
      <c r="AU1" s="216">
        <v>46</v>
      </c>
      <c r="AV1" s="216">
        <v>47</v>
      </c>
      <c r="AW1" s="216">
        <v>48</v>
      </c>
      <c r="AX1" s="216">
        <v>49</v>
      </c>
      <c r="AY1" s="216">
        <v>50</v>
      </c>
      <c r="AZ1" s="216">
        <v>51</v>
      </c>
      <c r="BA1" s="216">
        <v>52</v>
      </c>
      <c r="BB1" s="216">
        <v>53</v>
      </c>
      <c r="BC1" s="216">
        <v>54</v>
      </c>
      <c r="BD1" s="216">
        <v>55</v>
      </c>
      <c r="BE1" s="216">
        <v>56</v>
      </c>
      <c r="BF1" s="216">
        <v>57</v>
      </c>
      <c r="BG1" s="216">
        <v>58</v>
      </c>
      <c r="BH1" s="216">
        <v>59</v>
      </c>
      <c r="BI1" s="216">
        <v>60</v>
      </c>
      <c r="BJ1" s="216">
        <v>61</v>
      </c>
      <c r="BK1" s="216">
        <v>62</v>
      </c>
      <c r="BL1" s="216">
        <v>63</v>
      </c>
      <c r="BM1" s="216">
        <v>64</v>
      </c>
      <c r="BN1" s="216">
        <v>65</v>
      </c>
      <c r="BO1" s="216">
        <v>66</v>
      </c>
      <c r="BP1" s="216">
        <v>67</v>
      </c>
      <c r="BQ1" s="216">
        <v>68</v>
      </c>
      <c r="BR1" s="216">
        <v>69</v>
      </c>
      <c r="BS1" s="216">
        <v>70</v>
      </c>
      <c r="BT1" s="216">
        <v>71</v>
      </c>
      <c r="BU1" s="216">
        <v>72</v>
      </c>
      <c r="BV1" s="216">
        <v>73</v>
      </c>
      <c r="BW1" s="216">
        <v>74</v>
      </c>
      <c r="BX1" s="216">
        <v>75</v>
      </c>
      <c r="BY1" s="216">
        <v>76</v>
      </c>
      <c r="BZ1" s="217">
        <v>77</v>
      </c>
      <c r="CA1" s="216">
        <v>78</v>
      </c>
      <c r="CB1" s="216">
        <v>79</v>
      </c>
      <c r="CC1" s="216">
        <v>80</v>
      </c>
      <c r="CD1" s="216">
        <v>81</v>
      </c>
      <c r="CE1" s="216">
        <v>82</v>
      </c>
      <c r="CF1" s="216">
        <v>83</v>
      </c>
      <c r="CG1" s="216">
        <v>84</v>
      </c>
      <c r="CH1" s="216">
        <v>85</v>
      </c>
      <c r="CI1" s="216">
        <v>86</v>
      </c>
      <c r="CJ1" s="216">
        <v>87</v>
      </c>
      <c r="CK1" s="216">
        <v>88</v>
      </c>
      <c r="CL1" s="216">
        <v>89</v>
      </c>
      <c r="CM1" s="216">
        <v>90</v>
      </c>
      <c r="CN1" s="216">
        <v>91</v>
      </c>
      <c r="CO1" s="216">
        <v>92</v>
      </c>
      <c r="CP1" s="216">
        <v>93</v>
      </c>
      <c r="CQ1" s="216">
        <v>94</v>
      </c>
      <c r="CR1" s="216">
        <v>95</v>
      </c>
      <c r="CS1" s="216">
        <v>96</v>
      </c>
      <c r="CT1" s="216">
        <v>97</v>
      </c>
      <c r="CU1" s="216">
        <v>98</v>
      </c>
      <c r="CV1" s="216">
        <v>99</v>
      </c>
      <c r="CW1" s="216">
        <v>100</v>
      </c>
      <c r="CX1" s="216">
        <v>101</v>
      </c>
      <c r="CY1" s="216">
        <v>102</v>
      </c>
    </row>
    <row r="2" spans="1:103">
      <c r="A2" s="100"/>
      <c r="B2" s="101"/>
      <c r="C2" s="101"/>
      <c r="D2" s="218"/>
      <c r="E2" s="216"/>
      <c r="F2" s="216"/>
      <c r="G2" s="216"/>
      <c r="H2" s="219" t="s">
        <v>591</v>
      </c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6"/>
      <c r="BP2" s="216"/>
      <c r="BQ2" s="216"/>
      <c r="BR2" s="216"/>
      <c r="BS2" s="216"/>
      <c r="BT2" s="216"/>
      <c r="BU2" s="216"/>
      <c r="BV2" s="216"/>
      <c r="BW2" s="216"/>
      <c r="BX2" s="216"/>
      <c r="BY2" s="216"/>
      <c r="BZ2" s="216"/>
      <c r="CA2" s="216"/>
      <c r="CB2" s="216"/>
      <c r="CC2" s="216"/>
      <c r="CD2" s="216"/>
      <c r="CE2" s="216"/>
      <c r="CF2" s="216"/>
      <c r="CG2" s="216"/>
      <c r="CH2" s="216"/>
      <c r="CI2" s="216"/>
      <c r="CJ2" s="216"/>
      <c r="CK2" s="216"/>
      <c r="CL2" s="216"/>
      <c r="CM2" s="216"/>
      <c r="CN2" s="216"/>
      <c r="CO2" s="216"/>
      <c r="CP2" s="216"/>
      <c r="CQ2" s="216"/>
      <c r="CR2" s="216"/>
      <c r="CS2" s="216"/>
      <c r="CT2" s="216"/>
      <c r="CU2" s="216"/>
      <c r="CV2" s="216"/>
      <c r="CW2" s="216"/>
      <c r="CX2" s="216"/>
      <c r="CY2" s="216"/>
    </row>
    <row r="3" spans="1:103" ht="19.5" customHeight="1">
      <c r="A3" s="157"/>
      <c r="B3" s="1412" t="s">
        <v>254</v>
      </c>
      <c r="C3" s="1393" t="s">
        <v>1960</v>
      </c>
      <c r="D3" s="2471" t="s">
        <v>592</v>
      </c>
      <c r="E3" s="2471"/>
      <c r="F3" s="2471"/>
      <c r="G3" s="2471"/>
      <c r="H3" s="108"/>
      <c r="I3" s="220" t="s">
        <v>593</v>
      </c>
      <c r="J3" s="220"/>
      <c r="K3" s="111"/>
      <c r="L3" s="108"/>
      <c r="M3" s="206" t="s">
        <v>594</v>
      </c>
      <c r="N3" s="220"/>
      <c r="O3" s="111"/>
      <c r="P3" s="108"/>
      <c r="Q3" s="220" t="s">
        <v>595</v>
      </c>
      <c r="R3" s="220"/>
      <c r="S3" s="111"/>
      <c r="T3" s="108"/>
      <c r="U3" s="220" t="s">
        <v>596</v>
      </c>
      <c r="V3" s="220"/>
      <c r="W3" s="109"/>
      <c r="X3" s="108"/>
      <c r="Y3" s="220" t="s">
        <v>597</v>
      </c>
      <c r="Z3" s="220"/>
      <c r="AA3" s="111"/>
      <c r="AB3" s="108"/>
      <c r="AC3" s="220" t="s">
        <v>598</v>
      </c>
      <c r="AD3" s="220"/>
      <c r="AE3" s="111"/>
      <c r="AF3" s="108"/>
      <c r="AG3" s="220" t="s">
        <v>599</v>
      </c>
      <c r="AH3" s="220"/>
      <c r="AI3" s="111"/>
      <c r="AJ3" s="108"/>
      <c r="AK3" s="220" t="s">
        <v>600</v>
      </c>
      <c r="AL3" s="220"/>
      <c r="AM3" s="111"/>
      <c r="AN3" s="108"/>
      <c r="AO3" s="220" t="s">
        <v>601</v>
      </c>
      <c r="AP3" s="220"/>
      <c r="AQ3" s="111"/>
      <c r="AR3" s="108"/>
      <c r="AS3" s="220" t="s">
        <v>602</v>
      </c>
      <c r="AT3" s="220"/>
      <c r="AU3" s="111"/>
      <c r="AV3" s="108"/>
      <c r="AW3" s="220" t="s">
        <v>603</v>
      </c>
      <c r="AX3" s="220"/>
      <c r="AY3" s="111"/>
      <c r="AZ3" s="108"/>
      <c r="BA3" s="220" t="s">
        <v>604</v>
      </c>
      <c r="BB3" s="220"/>
      <c r="BC3" s="111"/>
      <c r="BD3" s="108"/>
      <c r="BE3" s="220" t="s">
        <v>605</v>
      </c>
      <c r="BF3" s="220"/>
      <c r="BG3" s="111"/>
      <c r="BH3" s="108"/>
      <c r="BI3" s="220" t="s">
        <v>606</v>
      </c>
      <c r="BJ3" s="220"/>
      <c r="BK3" s="111"/>
      <c r="BL3" s="108"/>
      <c r="BM3" s="220" t="s">
        <v>24</v>
      </c>
      <c r="BN3" s="220"/>
      <c r="BO3" s="111"/>
      <c r="BP3" s="108"/>
      <c r="BQ3" s="206" t="s">
        <v>607</v>
      </c>
      <c r="BR3" s="220"/>
      <c r="BS3" s="111"/>
      <c r="BT3" s="108"/>
      <c r="BU3" s="220" t="s">
        <v>25</v>
      </c>
      <c r="BV3" s="220"/>
      <c r="BW3" s="111"/>
      <c r="BX3" s="108"/>
      <c r="BY3" s="206" t="s">
        <v>608</v>
      </c>
      <c r="BZ3" s="220"/>
      <c r="CA3" s="111"/>
      <c r="CB3" s="108"/>
      <c r="CC3" s="220" t="s">
        <v>26</v>
      </c>
      <c r="CD3" s="220"/>
      <c r="CE3" s="111"/>
      <c r="CF3" s="108"/>
      <c r="CG3" s="206" t="s">
        <v>609</v>
      </c>
      <c r="CH3" s="220"/>
      <c r="CI3" s="111"/>
      <c r="CJ3" s="108"/>
      <c r="CK3" s="220" t="s">
        <v>27</v>
      </c>
      <c r="CL3" s="220"/>
      <c r="CM3" s="111"/>
      <c r="CN3" s="108"/>
      <c r="CO3" s="206" t="s">
        <v>610</v>
      </c>
      <c r="CP3" s="220"/>
      <c r="CQ3" s="111"/>
      <c r="CR3" s="108"/>
      <c r="CS3" s="220" t="s">
        <v>611</v>
      </c>
      <c r="CT3" s="220"/>
      <c r="CU3" s="111"/>
      <c r="CV3" s="108"/>
      <c r="CW3" s="206" t="s">
        <v>612</v>
      </c>
      <c r="CX3" s="220"/>
      <c r="CY3" s="111"/>
    </row>
    <row r="4" spans="1:103" s="223" customFormat="1" ht="15" customHeight="1">
      <c r="A4" s="212"/>
      <c r="B4" s="212"/>
      <c r="C4" s="212"/>
      <c r="D4" s="221">
        <v>12400000</v>
      </c>
      <c r="E4" s="221">
        <v>12470000</v>
      </c>
      <c r="F4" s="221" t="s">
        <v>277</v>
      </c>
      <c r="G4" s="221" t="s">
        <v>613</v>
      </c>
      <c r="H4" s="222">
        <v>12400000</v>
      </c>
      <c r="I4" s="222">
        <v>12470000</v>
      </c>
      <c r="J4" s="222" t="s">
        <v>277</v>
      </c>
      <c r="K4" s="222" t="s">
        <v>614</v>
      </c>
      <c r="L4" s="221">
        <v>12400000</v>
      </c>
      <c r="M4" s="221">
        <v>12470000</v>
      </c>
      <c r="N4" s="221" t="s">
        <v>277</v>
      </c>
      <c r="O4" s="221" t="s">
        <v>614</v>
      </c>
      <c r="P4" s="221">
        <v>12400000</v>
      </c>
      <c r="Q4" s="221">
        <v>12470000</v>
      </c>
      <c r="R4" s="221" t="s">
        <v>277</v>
      </c>
      <c r="S4" s="221" t="s">
        <v>614</v>
      </c>
      <c r="T4" s="221">
        <v>12400000</v>
      </c>
      <c r="U4" s="221">
        <v>12470000</v>
      </c>
      <c r="V4" s="221" t="s">
        <v>277</v>
      </c>
      <c r="W4" s="221" t="s">
        <v>614</v>
      </c>
      <c r="X4" s="222">
        <v>12400000</v>
      </c>
      <c r="Y4" s="222">
        <v>12470000</v>
      </c>
      <c r="Z4" s="222" t="s">
        <v>277</v>
      </c>
      <c r="AA4" s="222" t="s">
        <v>614</v>
      </c>
      <c r="AB4" s="221">
        <v>12400000</v>
      </c>
      <c r="AC4" s="221">
        <v>12470000</v>
      </c>
      <c r="AD4" s="221" t="s">
        <v>277</v>
      </c>
      <c r="AE4" s="221" t="s">
        <v>614</v>
      </c>
      <c r="AF4" s="221">
        <v>12400000</v>
      </c>
      <c r="AG4" s="221">
        <v>12470000</v>
      </c>
      <c r="AH4" s="221" t="s">
        <v>277</v>
      </c>
      <c r="AI4" s="221" t="s">
        <v>614</v>
      </c>
      <c r="AJ4" s="221">
        <v>12400000</v>
      </c>
      <c r="AK4" s="221">
        <v>12470000</v>
      </c>
      <c r="AL4" s="221" t="s">
        <v>277</v>
      </c>
      <c r="AM4" s="221" t="s">
        <v>614</v>
      </c>
      <c r="AN4" s="221">
        <v>12400000</v>
      </c>
      <c r="AO4" s="221">
        <v>12470000</v>
      </c>
      <c r="AP4" s="221" t="s">
        <v>277</v>
      </c>
      <c r="AQ4" s="221" t="s">
        <v>614</v>
      </c>
      <c r="AR4" s="221">
        <v>12400000</v>
      </c>
      <c r="AS4" s="221">
        <v>12470000</v>
      </c>
      <c r="AT4" s="221" t="s">
        <v>277</v>
      </c>
      <c r="AU4" s="221" t="s">
        <v>614</v>
      </c>
      <c r="AV4" s="221">
        <v>12400000</v>
      </c>
      <c r="AW4" s="221">
        <v>12470000</v>
      </c>
      <c r="AX4" s="221" t="s">
        <v>277</v>
      </c>
      <c r="AY4" s="221" t="s">
        <v>614</v>
      </c>
      <c r="AZ4" s="221">
        <v>12400000</v>
      </c>
      <c r="BA4" s="221">
        <v>12470000</v>
      </c>
      <c r="BB4" s="221" t="s">
        <v>277</v>
      </c>
      <c r="BC4" s="221" t="s">
        <v>614</v>
      </c>
      <c r="BD4" s="221">
        <v>12400000</v>
      </c>
      <c r="BE4" s="221">
        <v>12470000</v>
      </c>
      <c r="BF4" s="221" t="s">
        <v>277</v>
      </c>
      <c r="BG4" s="221" t="s">
        <v>614</v>
      </c>
      <c r="BH4" s="221">
        <v>12400000</v>
      </c>
      <c r="BI4" s="221">
        <v>12470000</v>
      </c>
      <c r="BJ4" s="221" t="s">
        <v>277</v>
      </c>
      <c r="BK4" s="221" t="s">
        <v>614</v>
      </c>
      <c r="BL4" s="221">
        <v>12400000</v>
      </c>
      <c r="BM4" s="221">
        <v>12470000</v>
      </c>
      <c r="BN4" s="221" t="s">
        <v>277</v>
      </c>
      <c r="BO4" s="221" t="s">
        <v>614</v>
      </c>
      <c r="BP4" s="221">
        <v>12400000</v>
      </c>
      <c r="BQ4" s="221">
        <v>12470000</v>
      </c>
      <c r="BR4" s="221" t="s">
        <v>277</v>
      </c>
      <c r="BS4" s="221" t="s">
        <v>614</v>
      </c>
      <c r="BT4" s="221">
        <v>12400000</v>
      </c>
      <c r="BU4" s="221">
        <v>12470000</v>
      </c>
      <c r="BV4" s="221" t="s">
        <v>277</v>
      </c>
      <c r="BW4" s="221" t="s">
        <v>614</v>
      </c>
      <c r="BX4" s="221">
        <v>12400000</v>
      </c>
      <c r="BY4" s="221">
        <v>12470000</v>
      </c>
      <c r="BZ4" s="221" t="s">
        <v>277</v>
      </c>
      <c r="CA4" s="221" t="s">
        <v>614</v>
      </c>
      <c r="CB4" s="222">
        <v>12400000</v>
      </c>
      <c r="CC4" s="222">
        <v>12470000</v>
      </c>
      <c r="CD4" s="222" t="s">
        <v>277</v>
      </c>
      <c r="CE4" s="222" t="s">
        <v>614</v>
      </c>
      <c r="CF4" s="221">
        <v>12400000</v>
      </c>
      <c r="CG4" s="221">
        <v>12470000</v>
      </c>
      <c r="CH4" s="221" t="s">
        <v>277</v>
      </c>
      <c r="CI4" s="221" t="s">
        <v>614</v>
      </c>
      <c r="CJ4" s="221">
        <v>12400000</v>
      </c>
      <c r="CK4" s="221">
        <v>12470000</v>
      </c>
      <c r="CL4" s="221" t="s">
        <v>277</v>
      </c>
      <c r="CM4" s="221" t="s">
        <v>614</v>
      </c>
      <c r="CN4" s="221">
        <v>12400000</v>
      </c>
      <c r="CO4" s="221">
        <v>12470000</v>
      </c>
      <c r="CP4" s="221" t="s">
        <v>277</v>
      </c>
      <c r="CQ4" s="221" t="s">
        <v>614</v>
      </c>
      <c r="CR4" s="221">
        <v>12400000</v>
      </c>
      <c r="CS4" s="221">
        <v>12470000</v>
      </c>
      <c r="CT4" s="221" t="s">
        <v>277</v>
      </c>
      <c r="CU4" s="221" t="s">
        <v>614</v>
      </c>
      <c r="CV4" s="221">
        <v>12400000</v>
      </c>
      <c r="CW4" s="221">
        <v>12470000</v>
      </c>
      <c r="CX4" s="221" t="s">
        <v>277</v>
      </c>
      <c r="CY4" s="221" t="s">
        <v>614</v>
      </c>
    </row>
    <row r="5" spans="1:103" s="102" customFormat="1" outlineLevel="1">
      <c r="A5" s="212" t="s">
        <v>292</v>
      </c>
      <c r="B5" s="212" t="s">
        <v>293</v>
      </c>
      <c r="C5" s="212"/>
      <c r="D5" s="3" t="s">
        <v>615</v>
      </c>
      <c r="E5" s="3" t="s">
        <v>616</v>
      </c>
      <c r="F5" s="224" t="s">
        <v>291</v>
      </c>
      <c r="G5" s="3" t="s">
        <v>617</v>
      </c>
      <c r="H5" s="3" t="s">
        <v>615</v>
      </c>
      <c r="I5" s="3" t="s">
        <v>616</v>
      </c>
      <c r="J5" s="3" t="s">
        <v>618</v>
      </c>
      <c r="K5" s="3" t="s">
        <v>619</v>
      </c>
      <c r="L5" s="3" t="s">
        <v>615</v>
      </c>
      <c r="M5" s="3" t="s">
        <v>616</v>
      </c>
      <c r="N5" s="224" t="s">
        <v>291</v>
      </c>
      <c r="O5" s="3" t="s">
        <v>619</v>
      </c>
      <c r="P5" s="3" t="s">
        <v>615</v>
      </c>
      <c r="Q5" s="3" t="s">
        <v>616</v>
      </c>
      <c r="R5" s="224" t="s">
        <v>291</v>
      </c>
      <c r="S5" s="3" t="s">
        <v>619</v>
      </c>
      <c r="T5" s="3" t="s">
        <v>615</v>
      </c>
      <c r="U5" s="3" t="s">
        <v>616</v>
      </c>
      <c r="V5" s="224" t="s">
        <v>291</v>
      </c>
      <c r="W5" s="3" t="s">
        <v>619</v>
      </c>
      <c r="X5" s="3" t="s">
        <v>615</v>
      </c>
      <c r="Y5" s="3" t="s">
        <v>616</v>
      </c>
      <c r="Z5" s="224" t="s">
        <v>291</v>
      </c>
      <c r="AA5" s="3" t="s">
        <v>619</v>
      </c>
      <c r="AB5" s="3" t="s">
        <v>615</v>
      </c>
      <c r="AC5" s="3" t="s">
        <v>616</v>
      </c>
      <c r="AD5" s="224" t="s">
        <v>291</v>
      </c>
      <c r="AE5" s="3" t="s">
        <v>619</v>
      </c>
      <c r="AF5" s="3" t="s">
        <v>615</v>
      </c>
      <c r="AG5" s="3" t="s">
        <v>616</v>
      </c>
      <c r="AH5" s="224" t="s">
        <v>291</v>
      </c>
      <c r="AI5" s="3" t="s">
        <v>619</v>
      </c>
      <c r="AJ5" s="3" t="s">
        <v>615</v>
      </c>
      <c r="AK5" s="3" t="s">
        <v>616</v>
      </c>
      <c r="AL5" s="224" t="s">
        <v>291</v>
      </c>
      <c r="AM5" s="3" t="s">
        <v>619</v>
      </c>
      <c r="AN5" s="3" t="s">
        <v>615</v>
      </c>
      <c r="AO5" s="3" t="s">
        <v>616</v>
      </c>
      <c r="AP5" s="224" t="s">
        <v>291</v>
      </c>
      <c r="AQ5" s="3" t="s">
        <v>619</v>
      </c>
      <c r="AR5" s="3" t="s">
        <v>615</v>
      </c>
      <c r="AS5" s="3" t="s">
        <v>616</v>
      </c>
      <c r="AT5" s="224" t="s">
        <v>291</v>
      </c>
      <c r="AU5" s="3" t="s">
        <v>619</v>
      </c>
      <c r="AV5" s="3" t="s">
        <v>615</v>
      </c>
      <c r="AW5" s="3" t="s">
        <v>616</v>
      </c>
      <c r="AX5" s="224" t="s">
        <v>291</v>
      </c>
      <c r="AY5" s="3" t="s">
        <v>619</v>
      </c>
      <c r="AZ5" s="3" t="s">
        <v>615</v>
      </c>
      <c r="BA5" s="3" t="s">
        <v>616</v>
      </c>
      <c r="BB5" s="224" t="s">
        <v>291</v>
      </c>
      <c r="BC5" s="3" t="s">
        <v>619</v>
      </c>
      <c r="BD5" s="3" t="s">
        <v>615</v>
      </c>
      <c r="BE5" s="3" t="s">
        <v>616</v>
      </c>
      <c r="BF5" s="224" t="s">
        <v>291</v>
      </c>
      <c r="BG5" s="3" t="s">
        <v>619</v>
      </c>
      <c r="BH5" s="3" t="s">
        <v>615</v>
      </c>
      <c r="BI5" s="3" t="s">
        <v>616</v>
      </c>
      <c r="BJ5" s="224" t="s">
        <v>291</v>
      </c>
      <c r="BK5" s="3" t="s">
        <v>619</v>
      </c>
      <c r="BL5" s="3" t="s">
        <v>615</v>
      </c>
      <c r="BM5" s="3" t="s">
        <v>616</v>
      </c>
      <c r="BN5" s="224" t="s">
        <v>291</v>
      </c>
      <c r="BO5" s="3" t="s">
        <v>619</v>
      </c>
      <c r="BP5" s="3" t="s">
        <v>615</v>
      </c>
      <c r="BQ5" s="3" t="s">
        <v>616</v>
      </c>
      <c r="BR5" s="224" t="s">
        <v>291</v>
      </c>
      <c r="BS5" s="3" t="s">
        <v>619</v>
      </c>
      <c r="BT5" s="3" t="s">
        <v>615</v>
      </c>
      <c r="BU5" s="3" t="s">
        <v>616</v>
      </c>
      <c r="BV5" s="224" t="s">
        <v>291</v>
      </c>
      <c r="BW5" s="3" t="s">
        <v>619</v>
      </c>
      <c r="BX5" s="3" t="s">
        <v>615</v>
      </c>
      <c r="BY5" s="3" t="s">
        <v>616</v>
      </c>
      <c r="BZ5" s="224" t="s">
        <v>291</v>
      </c>
      <c r="CA5" s="3" t="s">
        <v>619</v>
      </c>
      <c r="CB5" s="3" t="s">
        <v>615</v>
      </c>
      <c r="CC5" s="3" t="s">
        <v>616</v>
      </c>
      <c r="CD5" s="224" t="s">
        <v>291</v>
      </c>
      <c r="CE5" s="3" t="s">
        <v>619</v>
      </c>
      <c r="CF5" s="3" t="s">
        <v>615</v>
      </c>
      <c r="CG5" s="3" t="s">
        <v>616</v>
      </c>
      <c r="CH5" s="224" t="s">
        <v>291</v>
      </c>
      <c r="CI5" s="3" t="s">
        <v>619</v>
      </c>
      <c r="CJ5" s="3" t="s">
        <v>615</v>
      </c>
      <c r="CK5" s="3" t="s">
        <v>616</v>
      </c>
      <c r="CL5" s="224" t="s">
        <v>291</v>
      </c>
      <c r="CM5" s="3" t="s">
        <v>619</v>
      </c>
      <c r="CN5" s="3" t="s">
        <v>615</v>
      </c>
      <c r="CO5" s="3" t="s">
        <v>616</v>
      </c>
      <c r="CP5" s="224" t="s">
        <v>291</v>
      </c>
      <c r="CQ5" s="3" t="s">
        <v>619</v>
      </c>
      <c r="CR5" s="3" t="s">
        <v>615</v>
      </c>
      <c r="CS5" s="3" t="s">
        <v>616</v>
      </c>
      <c r="CT5" s="224" t="s">
        <v>291</v>
      </c>
      <c r="CU5" s="3" t="s">
        <v>619</v>
      </c>
      <c r="CV5" s="3" t="s">
        <v>615</v>
      </c>
      <c r="CW5" s="3" t="s">
        <v>616</v>
      </c>
      <c r="CX5" s="224" t="s">
        <v>291</v>
      </c>
      <c r="CY5" s="3" t="s">
        <v>619</v>
      </c>
    </row>
    <row r="6" spans="1:103" outlineLevel="1">
      <c r="A6" s="175" t="s">
        <v>620</v>
      </c>
      <c r="B6" s="164" t="s">
        <v>621</v>
      </c>
      <c r="C6" s="164" t="s">
        <v>1037</v>
      </c>
      <c r="D6" s="225">
        <f>IFERROR(VLOOKUP(A6,'202608收入成本表'!A:Y,23,0),0)</f>
        <v>768190</v>
      </c>
      <c r="E6" s="225">
        <f>IFERROR(VLOOKUP(A6,'202608收入成本表'!A:Z,24,0),0)</f>
        <v>779203</v>
      </c>
      <c r="F6" s="226">
        <f t="shared" ref="F6" si="0">SUM(D6:E6)</f>
        <v>1547393</v>
      </c>
      <c r="G6" s="226"/>
      <c r="H6" s="226" cm="1">
        <f t="array" ref="H6">IFERROR(SUM(VLOOKUP(A6,'預算A1 BIM'!$A$77:$BB$143,{19,20,21,22},0)),0)+K6</f>
        <v>10956</v>
      </c>
      <c r="I6" s="1411" cm="1">
        <f t="array" ref="I6">IFERROR(SUM(VLOOKUP(A6,'預算A1 BIM'!$A$151:$BB$220,{19,20,21,22},0)),0)-K6</f>
        <v>-911673</v>
      </c>
      <c r="J6" s="1411">
        <f>SUM(H6:I6)</f>
        <v>-900717</v>
      </c>
      <c r="K6" s="226">
        <f>-VLOOKUP(A6,'2026FCST%'!A:AC,27,FALSE)</f>
        <v>-201922</v>
      </c>
      <c r="L6" s="226">
        <f>+D6+H6</f>
        <v>779146</v>
      </c>
      <c r="M6" s="226">
        <f>+E6+I6</f>
        <v>-132470</v>
      </c>
      <c r="N6" s="226">
        <f t="shared" ref="N6:N28" si="1">SUM(L6:M6)</f>
        <v>646676</v>
      </c>
      <c r="O6" s="226">
        <f>+G6+K6</f>
        <v>-201922</v>
      </c>
      <c r="P6" s="226" cm="1">
        <f t="array" ref="P6">IFERROR(SUM(VLOOKUP($A6,'預算A1 BIM'!$A$77:$BB$143,{25},0)),0)+S6</f>
        <v>3574</v>
      </c>
      <c r="Q6" s="226" cm="1">
        <f t="array" ref="Q6">IFERROR(SUM(VLOOKUP($A6,'預算A1 BIM'!$A$151:$BB$220,{25},0)),0)-S6</f>
        <v>-608</v>
      </c>
      <c r="R6" s="226">
        <f t="shared" ref="R6:R28" si="2">SUM(P6:Q6)</f>
        <v>2966</v>
      </c>
      <c r="S6" s="226">
        <f>-VLOOKUP($A6,'202609-202712-2031完比法各月收入彙總'!$A$70:$AE$78,'202609-202712-2031完比法各月收入彙總'!$N$1,FALSE)</f>
        <v>608</v>
      </c>
      <c r="T6" s="226" cm="1">
        <f t="array" ref="T6">IFERROR(SUM(VLOOKUP($A6,'預算A1 BIM'!$A$77:$BB$143,{26},0)),0)+W6</f>
        <v>3574</v>
      </c>
      <c r="U6" s="226" cm="1">
        <f t="array" ref="U6">IFERROR(SUM(VLOOKUP($A6,'預算A1 BIM'!$A$151:$BB$220,{26},0)),0)-W6</f>
        <v>-607</v>
      </c>
      <c r="V6" s="226">
        <f t="shared" ref="V6:V28" si="3">SUM(T6:U6)</f>
        <v>2967</v>
      </c>
      <c r="W6" s="226">
        <f>-VLOOKUP($A6,'202609-202712-2031完比法各月收入彙總'!$A$70:$AE$78,'202609-202712-2031完比法各月收入彙總'!$O$1,FALSE)</f>
        <v>607</v>
      </c>
      <c r="X6" s="226" cm="1">
        <f t="array" ref="X6">IFERROR(SUM(VLOOKUP($A6,'預算A1 BIM'!$A$77:$BB$143,{27},0)),0)+AA6</f>
        <v>3574</v>
      </c>
      <c r="Y6" s="226" cm="1">
        <f t="array" ref="Y6">IFERROR(SUM(VLOOKUP($A6,'預算A1 BIM'!$A$151:$BB$220,{27},0)),0)-AA6</f>
        <v>-608</v>
      </c>
      <c r="Z6" s="226">
        <f t="shared" ref="Z6:Z28" si="4">SUM(X6:Y6)</f>
        <v>2966</v>
      </c>
      <c r="AA6" s="226">
        <f>-VLOOKUP($A6,'202609-202712-2031完比法各月收入彙總'!$A$70:$AE$78,'202609-202712-2031完比法各月收入彙總'!$P$1,FALSE)</f>
        <v>608</v>
      </c>
      <c r="AB6" s="226" cm="1">
        <f t="array" ref="AB6">IFERROR(SUM(VLOOKUP($A6,'預算A1 BIM'!$A$77:$BB$143,{28},0)),0)+AE6</f>
        <v>119121</v>
      </c>
      <c r="AC6" s="226" cm="1">
        <f t="array" ref="AC6">IFERROR(SUM(VLOOKUP($A6,'預算A1 BIM'!$A$151:$BB$220,{28},0)),0)-AE6</f>
        <v>-20253</v>
      </c>
      <c r="AD6" s="226">
        <f t="shared" ref="AD6:AD11" si="5">SUM(AB6:AC6)</f>
        <v>98868</v>
      </c>
      <c r="AE6" s="226">
        <f>-VLOOKUP($A6,'202609-202712-2031完比法各月收入彙總'!$A$70:$AE$78,'202609-202712-2031完比法各月收入彙總'!$Q$1,FALSE)</f>
        <v>20253</v>
      </c>
      <c r="AF6" s="226" cm="1">
        <f t="array" ref="AF6">IFERROR(SUM(VLOOKUP($A6,'預算A1 BIM'!$A$77:$BB$143,{29},0)),0)+AI6</f>
        <v>119121</v>
      </c>
      <c r="AG6" s="226" cm="1">
        <f t="array" ref="AG6">IFERROR(SUM(VLOOKUP($A6,'預算A1 BIM'!$A$151:$BB$220,{29},0)),0)-AI6</f>
        <v>-20253</v>
      </c>
      <c r="AH6" s="226">
        <f t="shared" ref="AH6:AH28" si="6">SUM(AF6:AG6)</f>
        <v>98868</v>
      </c>
      <c r="AI6" s="226">
        <f>-VLOOKUP($A6,'202609-202712-2031完比法各月收入彙總'!$A$70:$AE$78,'202609-202712-2031完比法各月收入彙總'!$R$1,FALSE)</f>
        <v>20253</v>
      </c>
      <c r="AJ6" s="226" cm="1">
        <f t="array" ref="AJ6">IFERROR(SUM(VLOOKUP($A6,'預算A1 BIM'!$A$77:$BB$143,{30},0)),0)+AM6</f>
        <v>119121</v>
      </c>
      <c r="AK6" s="226" cm="1">
        <f t="array" ref="AK6">IFERROR(SUM(VLOOKUP($A6,'預算A1 BIM'!$A$151:$BB$220,{30},0)),0)-AM6</f>
        <v>-20253</v>
      </c>
      <c r="AL6" s="226">
        <f t="shared" ref="AL6:AL28" si="7">SUM(AJ6:AK6)</f>
        <v>98868</v>
      </c>
      <c r="AM6" s="226">
        <f>-VLOOKUP($A6,'202609-202712-2031完比法各月收入彙總'!$A$70:$AE$78,'202609-202712-2031完比法各月收入彙總'!$S$1,FALSE)</f>
        <v>20253</v>
      </c>
      <c r="AN6" s="226" cm="1">
        <f t="array" ref="AN6">IFERROR(SUM(VLOOKUP($A6,'預算A1 BIM'!$A$77:$BB$143,{31},0)),0)+AQ6</f>
        <v>122695</v>
      </c>
      <c r="AO6" s="226" cm="1">
        <f t="array" ref="AO6">IFERROR(SUM(VLOOKUP($A6,'預算A1 BIM'!$A$151:$BB$220,{31},0)),0)-AQ6</f>
        <v>-20860</v>
      </c>
      <c r="AP6" s="226">
        <f t="shared" ref="AP6:AP28" si="8">SUM(AN6:AO6)</f>
        <v>101835</v>
      </c>
      <c r="AQ6" s="226">
        <f>-VLOOKUP($A6,'202609-202712-2031完比法各月收入彙總'!$A$70:$AE$78,'202609-202712-2031完比法各月收入彙總'!$T$1,FALSE)</f>
        <v>20860</v>
      </c>
      <c r="AR6" s="226" cm="1">
        <f t="array" ref="AR6">IFERROR(SUM(VLOOKUP($A6,'預算A1 BIM'!$A$77:$BB$143,{32},0)),0)+AU6</f>
        <v>158431</v>
      </c>
      <c r="AS6" s="226" cm="1">
        <f t="array" ref="AS6">IFERROR(SUM(VLOOKUP($A6,'預算A1 BIM'!$A$151:$BB$220,{32},0)),0)-AU6</f>
        <v>-26937</v>
      </c>
      <c r="AT6" s="226">
        <f t="shared" ref="AT6:AT28" si="9">SUM(AR6:AS6)</f>
        <v>131494</v>
      </c>
      <c r="AU6" s="226">
        <f>-VLOOKUP($A6,'202609-202712-2031完比法各月收入彙總'!$A$70:$AE$78,'202609-202712-2031完比法各月收入彙總'!$U$1,FALSE)</f>
        <v>26937</v>
      </c>
      <c r="AV6" s="226" cm="1">
        <f t="array" ref="AV6">IFERROR(SUM(VLOOKUP($A6,'預算A1 BIM'!$A$77:$BB$143,{33},0)),0)+AY6</f>
        <v>158431</v>
      </c>
      <c r="AW6" s="226" cm="1">
        <f t="array" ref="AW6">IFERROR(SUM(VLOOKUP($A6,'預算A1 BIM'!$A$151:$BB$220,{33},0)),0)-AY6</f>
        <v>-26936</v>
      </c>
      <c r="AX6" s="226">
        <f t="shared" ref="AX6:AX7" si="10">SUM(AV6:AW6)</f>
        <v>131495</v>
      </c>
      <c r="AY6" s="226">
        <f>-VLOOKUP($A6,'202609-202712-2031完比法各月收入彙總'!$A$70:$AE$78,'202609-202712-2031完比法各月收入彙總'!$V$1,FALSE)</f>
        <v>26936</v>
      </c>
      <c r="AZ6" s="226" cm="1">
        <f t="array" ref="AZ6">IFERROR(SUM(VLOOKUP($A6,'預算A1 BIM'!$A$77:$BB$143,{34},0)),0)+BC6</f>
        <v>158431</v>
      </c>
      <c r="BA6" s="226" cm="1">
        <f t="array" ref="BA6">IFERROR(SUM(VLOOKUP($A6,'預算A1 BIM'!$A$151:$BB$220,{34},0)),0)-BC6</f>
        <v>-26936</v>
      </c>
      <c r="BB6" s="226">
        <f t="shared" ref="BB6:BB28" si="11">SUM(AZ6:BA6)</f>
        <v>131495</v>
      </c>
      <c r="BC6" s="226">
        <f>-VLOOKUP($A6,'202609-202712-2031完比法各月收入彙總'!$A$70:$AE$78,'202609-202712-2031完比法各月收入彙總'!$W$1,FALSE)</f>
        <v>26936</v>
      </c>
      <c r="BD6" s="226" cm="1">
        <f t="array" ref="BD6">IFERROR(SUM(VLOOKUP($A6,'預算A1 BIM'!$A$77:$BB$143,{35},0)),0)+BG6</f>
        <v>98871</v>
      </c>
      <c r="BE6" s="226" cm="1">
        <f t="array" ref="BE6">IFERROR(SUM(VLOOKUP($A6,'預算A1 BIM'!$A$151:$BB$220,{35},0)),0)-BG6</f>
        <v>-16810</v>
      </c>
      <c r="BF6" s="226">
        <f t="shared" ref="BF6:BF28" si="12">SUM(BD6:BE6)</f>
        <v>82061</v>
      </c>
      <c r="BG6" s="226">
        <f>-VLOOKUP($A6,'202609-202712-2031完比法各月收入彙總'!$A$70:$AE$78,'202609-202712-2031完比法各月收入彙總'!$X$1,FALSE)</f>
        <v>16810</v>
      </c>
      <c r="BH6" s="226" cm="1">
        <f t="array" ref="BH6">IFERROR(SUM(VLOOKUP($A6,'預算A1 BIM'!$A$77:$BB$143,{36},0)),0)+BK6</f>
        <v>122695</v>
      </c>
      <c r="BI6" s="226" cm="1">
        <f t="array" ref="BI6">IFERROR(SUM(VLOOKUP($A6,'預算A1 BIM'!$A$151:$BB$220,{36},0)),0)-BK6</f>
        <v>-20861</v>
      </c>
      <c r="BJ6" s="226">
        <f t="shared" ref="BJ6:BJ28" si="13">SUM(BH6:BI6)</f>
        <v>101834</v>
      </c>
      <c r="BK6" s="226">
        <f>-VLOOKUP($A6,'202609-202712-2031完比法各月收入彙總'!$A$70:$AE$78,'202609-202712-2031完比法各月收入彙總'!$Y$1,FALSE)</f>
        <v>20861</v>
      </c>
      <c r="BL6" s="226">
        <f>SUMIF($P$4:$BK$4,$BL$4,$P6:$BK$65)</f>
        <v>1187639</v>
      </c>
      <c r="BM6" s="226">
        <f>SUMIF($P$4:$BK$4,$BM$4,$P6:$BK$65)</f>
        <v>-201922</v>
      </c>
      <c r="BN6" s="226">
        <f t="shared" ref="BN6:BN28" si="14">SUM(BL6:BM6)</f>
        <v>985717</v>
      </c>
      <c r="BO6" s="226">
        <f>SUMIF($P$4:$BK$4,$BO$4,$P6:$BK$65)</f>
        <v>201922</v>
      </c>
      <c r="BP6" s="226">
        <f>+L6+BL6</f>
        <v>1966785</v>
      </c>
      <c r="BQ6" s="226">
        <f t="shared" ref="BQ6:BQ28" si="15">+M6+BM6</f>
        <v>-334392</v>
      </c>
      <c r="BR6" s="226">
        <f t="shared" ref="BR6:BR28" si="16">SUM(BP6:BQ6)</f>
        <v>1632393</v>
      </c>
      <c r="BS6" s="226">
        <f t="shared" ref="BS6:BS28" si="17">+O6+BO6</f>
        <v>0</v>
      </c>
      <c r="BT6" s="226" cm="1">
        <f t="array" ref="BT6">IFERROR(SUM(VLOOKUP($A6,'預算A1 BIM'!$A$77:$BB$143,{39},0)),0)+BW6</f>
        <v>0</v>
      </c>
      <c r="BU6" s="226" cm="1">
        <f t="array" ref="BU6">IFERROR(SUM(VLOOKUP($A6,'預算A1 BIM'!$A$151:$BB$220,{39},0)),0)-BW6</f>
        <v>0</v>
      </c>
      <c r="BV6" s="226">
        <f t="shared" ref="BV6:BV28" si="18">SUM(BT6:BU6)</f>
        <v>0</v>
      </c>
      <c r="BW6" s="226">
        <f>-VLOOKUP($A6,'202609-202712-2031完比法各月收入彙總'!$A$70:$AE$78,'202609-202712-2031完比法各月收入彙總'!$AA$1,FALSE)</f>
        <v>0</v>
      </c>
      <c r="BX6" s="226">
        <f>+BP6+BT6</f>
        <v>1966785</v>
      </c>
      <c r="BY6" s="226">
        <f t="shared" ref="BY6:BY28" si="19">+BQ6+BU6</f>
        <v>-334392</v>
      </c>
      <c r="BZ6" s="226">
        <f t="shared" ref="BZ6:BZ28" si="20">SUM(BX6:BY6)</f>
        <v>1632393</v>
      </c>
      <c r="CA6" s="226">
        <f>+BS6+BW6</f>
        <v>0</v>
      </c>
      <c r="CB6" s="226" cm="1">
        <f t="array" ref="CB6">IFERROR(SUM(VLOOKUP($A6,'預算A1 BIM'!$A$77:$BB$143,{40},0)),0)+CE6</f>
        <v>0</v>
      </c>
      <c r="CC6" s="226" cm="1">
        <f t="array" ref="CC6">IFERROR(SUM(VLOOKUP($A6,'預算A1 BIM'!$A$151:$BB$220,{40},0)),0)-CE6</f>
        <v>0</v>
      </c>
      <c r="CD6" s="226">
        <f t="shared" ref="CD6" si="21">SUM(CB6:CC6)</f>
        <v>0</v>
      </c>
      <c r="CE6" s="226">
        <f>-VLOOKUP($A6,'202609-202712-2031完比法各月收入彙總'!$A$70:$AE$78,'202609-202712-2031完比法各月收入彙總'!$AB$1,FALSE)</f>
        <v>0</v>
      </c>
      <c r="CF6" s="226">
        <f t="shared" ref="CF6:CF28" si="22">+BX6+CB6</f>
        <v>1966785</v>
      </c>
      <c r="CG6" s="226">
        <f t="shared" ref="CG6:CG28" si="23">+BY6+CC6</f>
        <v>-334392</v>
      </c>
      <c r="CH6" s="226">
        <f t="shared" ref="CH6:CH28" si="24">SUM(CF6:CG6)</f>
        <v>1632393</v>
      </c>
      <c r="CI6" s="226">
        <f t="shared" ref="CI6:CI28" si="25">+CA6+CE6</f>
        <v>0</v>
      </c>
      <c r="CJ6" s="226" cm="1">
        <f t="array" ref="CJ6">IFERROR(SUM(VLOOKUP($A6,'預算A1 BIM'!$A$77:$BB$143,{41},0)),0)+CM6</f>
        <v>0</v>
      </c>
      <c r="CK6" s="226" cm="1">
        <f t="array" ref="CK6">IFERROR(SUM(VLOOKUP($A6,'預算A1 BIM'!$A$151:$BB$220,{41},0)),0)-CM6</f>
        <v>0</v>
      </c>
      <c r="CL6" s="226">
        <f t="shared" ref="CL6:CL28" si="26">SUM(CJ6:CK6)</f>
        <v>0</v>
      </c>
      <c r="CM6" s="226">
        <f>-VLOOKUP($A6,'202609-202712-2031完比法各月收入彙總'!$A$70:$AE$78,'202609-202712-2031完比法各月收入彙總'!$AC$1,FALSE)</f>
        <v>0</v>
      </c>
      <c r="CN6" s="226">
        <f t="shared" ref="CN6:CN28" si="27">+CF6+CJ6</f>
        <v>1966785</v>
      </c>
      <c r="CO6" s="226">
        <f t="shared" ref="CO6:CO28" si="28">+CG6+CK6</f>
        <v>-334392</v>
      </c>
      <c r="CP6" s="226">
        <f t="shared" ref="CP6:CP28" si="29">SUM(CN6:CO6)</f>
        <v>1632393</v>
      </c>
      <c r="CQ6" s="226">
        <f t="shared" ref="CQ6:CQ28" si="30">+CI6+CM6</f>
        <v>0</v>
      </c>
      <c r="CR6" s="226" cm="1">
        <f t="array" ref="CR6">IFERROR(SUM(VLOOKUP($A6,'預算A1 BIM'!$A$77:$BB$143,{42},0)),0)+CU6</f>
        <v>0</v>
      </c>
      <c r="CS6" s="226" cm="1">
        <f t="array" ref="CS6">IFERROR(SUM(VLOOKUP($A6,'預算A1 BIM'!$A$151:$BB$220,{42},0)),0)-CU6</f>
        <v>0</v>
      </c>
      <c r="CT6" s="226">
        <f t="shared" ref="CT6:CT28" si="31">SUM(CR6:CS6)</f>
        <v>0</v>
      </c>
      <c r="CU6" s="226">
        <f>-VLOOKUP($A6,'202609-202712-2031完比法各月收入彙總'!$A$70:$AE$78,'202609-202712-2031完比法各月收入彙總'!$AC$1,FALSE)</f>
        <v>0</v>
      </c>
      <c r="CV6" s="226">
        <f t="shared" ref="CV6:CV28" si="32">+CN6+CR6</f>
        <v>1966785</v>
      </c>
      <c r="CW6" s="226">
        <f t="shared" ref="CW6:CW28" si="33">+CO6+CS6</f>
        <v>-334392</v>
      </c>
      <c r="CX6" s="226">
        <f t="shared" ref="CX6:CX28" si="34">SUM(CV6:CW6)</f>
        <v>1632393</v>
      </c>
      <c r="CY6" s="226">
        <f t="shared" ref="CY6:CY28" si="35">+CQ6+CU6</f>
        <v>0</v>
      </c>
    </row>
    <row r="7" spans="1:103" outlineLevel="1">
      <c r="A7" s="175" t="s">
        <v>622</v>
      </c>
      <c r="B7" s="164" t="s">
        <v>623</v>
      </c>
      <c r="C7" s="164" t="s">
        <v>1037</v>
      </c>
      <c r="D7" s="225">
        <f>IFERROR(VLOOKUP(A7,'202608收入成本表'!A:Y,23,0),0)</f>
        <v>10035914</v>
      </c>
      <c r="E7" s="225">
        <f>IFERROR(VLOOKUP(A7,'202608收入成本表'!A:Z,24,0),0)</f>
        <v>6392086</v>
      </c>
      <c r="F7" s="226">
        <f t="shared" ref="F7:F28" si="36">SUM(D7:E7)</f>
        <v>16428000</v>
      </c>
      <c r="G7" s="226"/>
      <c r="H7" s="226" cm="1">
        <f t="array" ref="H7">IFERROR(SUM(VLOOKUP(A7,'預算A1 BIM'!$A$77:$BB$143,{19,20,21,22},0)),0)</f>
        <v>363401</v>
      </c>
      <c r="I7" s="226" cm="1">
        <f t="array" ref="I7">IFERROR(SUM(VLOOKUP(A7,'預算A1 BIM'!$A$151:$BB$220,{19,20,21,22},0)),0)</f>
        <v>-1391276</v>
      </c>
      <c r="J7" s="226">
        <f t="shared" ref="J7:J28" si="37">SUM(H7:I7)</f>
        <v>-1027875</v>
      </c>
      <c r="K7" s="226">
        <f>-VLOOKUP(A7,'2026FCST%'!A:AC,27,FALSE)</f>
        <v>0</v>
      </c>
      <c r="L7" s="226">
        <f t="shared" ref="L7:M28" si="38">+D7+H7</f>
        <v>10399315</v>
      </c>
      <c r="M7" s="226">
        <f t="shared" si="38"/>
        <v>5000810</v>
      </c>
      <c r="N7" s="226">
        <f t="shared" si="1"/>
        <v>15400125</v>
      </c>
      <c r="O7" s="226">
        <f t="shared" ref="O7:O28" si="39">+G7+K7</f>
        <v>0</v>
      </c>
      <c r="P7" s="226" cm="1">
        <f t="array" ref="P7">IFERROR(SUM(VLOOKUP($A7,'預算A1 BIM'!$A$77:$BB$143,{25},0)),0)+S7</f>
        <v>152401</v>
      </c>
      <c r="Q7" s="226" cm="1">
        <f t="array" ref="Q7">IFERROR(SUM(VLOOKUP($A7,'預算A1 BIM'!$A$151:$BB$220,{25},0)),0)</f>
        <v>73287</v>
      </c>
      <c r="R7" s="226">
        <f t="shared" si="2"/>
        <v>225688</v>
      </c>
      <c r="S7" s="226"/>
      <c r="T7" s="226" cm="1">
        <f t="array" ref="T7">IFERROR(SUM(VLOOKUP($A7,'預算A1 BIM'!$A$77:$BB$143,{26},0)),0)+W7</f>
        <v>47575</v>
      </c>
      <c r="U7" s="226" cm="1">
        <f t="array" ref="U7">IFERROR(SUM(VLOOKUP($A7,'預算A1 BIM'!$A$151:$BB$220,{26},0)),0)</f>
        <v>22878</v>
      </c>
      <c r="V7" s="226">
        <f t="shared" si="3"/>
        <v>70453</v>
      </c>
      <c r="W7" s="226"/>
      <c r="X7" s="226" cm="1">
        <f t="array" ref="X7">IFERROR(SUM(VLOOKUP($A7,'預算A1 BIM'!$A$77:$BB$143,{27},0)),0)+AA7</f>
        <v>49957</v>
      </c>
      <c r="Y7" s="226" cm="1">
        <f t="array" ref="Y7">IFERROR(SUM(VLOOKUP($A7,'預算A1 BIM'!$A$151:$BB$220,{27},0)),0)</f>
        <v>24023</v>
      </c>
      <c r="Z7" s="226">
        <f t="shared" si="4"/>
        <v>73980</v>
      </c>
      <c r="AA7" s="226"/>
      <c r="AB7" s="226" cm="1">
        <f t="array" ref="AB7">IFERROR(SUM(VLOOKUP($A7,'預算A1 BIM'!$A$77:$BB$143,{28},0)),0)+AE7</f>
        <v>51149</v>
      </c>
      <c r="AC7" s="226" cm="1">
        <f t="array" ref="AC7">IFERROR(SUM(VLOOKUP($A7,'預算A1 BIM'!$A$151:$BB$220,{28},0)),0)</f>
        <v>24596</v>
      </c>
      <c r="AD7" s="226">
        <f t="shared" si="5"/>
        <v>75745</v>
      </c>
      <c r="AE7" s="226"/>
      <c r="AF7" s="226" cm="1">
        <f t="array" ref="AF7">IFERROR(SUM(VLOOKUP($A7,'預算A1 BIM'!$A$77:$BB$143,{29},0)),0)+AI7</f>
        <v>51149</v>
      </c>
      <c r="AG7" s="226" cm="1">
        <f t="array" ref="AG7">IFERROR(SUM(VLOOKUP($A7,'預算A1 BIM'!$A$151:$BB$220,{29},0)),0)</f>
        <v>24597</v>
      </c>
      <c r="AH7" s="226">
        <f t="shared" si="6"/>
        <v>75746</v>
      </c>
      <c r="AI7" s="226"/>
      <c r="AJ7" s="226" cm="1">
        <f t="array" ref="AJ7">IFERROR(SUM(VLOOKUP($A7,'預算A1 BIM'!$A$77:$BB$143,{30},0)),0)+AM7</f>
        <v>69957</v>
      </c>
      <c r="AK7" s="226" cm="1">
        <f t="array" ref="AK7">IFERROR(SUM(VLOOKUP($A7,'預算A1 BIM'!$A$151:$BB$220,{30},0)),0)</f>
        <v>33641</v>
      </c>
      <c r="AL7" s="226">
        <f t="shared" si="7"/>
        <v>103598</v>
      </c>
      <c r="AM7" s="226"/>
      <c r="AN7" s="226" cm="1">
        <f t="array" ref="AN7">IFERROR(SUM(VLOOKUP($A7,'預算A1 BIM'!$A$77:$BB$143,{31},0)),0)+AQ7</f>
        <v>127385</v>
      </c>
      <c r="AO7" s="226" cm="1">
        <f t="array" ref="AO7">IFERROR(SUM(VLOOKUP($A7,'預算A1 BIM'!$A$151:$BB$220,{31},0)),0)-AQ7</f>
        <v>61256</v>
      </c>
      <c r="AP7" s="226">
        <f t="shared" si="8"/>
        <v>188641</v>
      </c>
      <c r="AQ7" s="226"/>
      <c r="AR7" s="226" cm="1">
        <f t="array" ref="AR7">IFERROR(SUM(VLOOKUP($A7,'預算A1 BIM'!$A$77:$BB$143,{32},0)),0)+AU7</f>
        <v>26133</v>
      </c>
      <c r="AS7" s="226" cm="1">
        <f t="array" ref="AS7">IFERROR(SUM(VLOOKUP($A7,'預算A1 BIM'!$A$151:$BB$220,{32},0)),0)-AU7</f>
        <v>12567</v>
      </c>
      <c r="AT7" s="226">
        <f t="shared" si="9"/>
        <v>38700</v>
      </c>
      <c r="AU7" s="226"/>
      <c r="AV7" s="226" cm="1">
        <f t="array" ref="AV7">IFERROR(SUM(VLOOKUP($A7,'預算A1 BIM'!$A$77:$BB$143,{33},0)),0)+AY7</f>
        <v>26133</v>
      </c>
      <c r="AW7" s="226" cm="1">
        <f t="array" ref="AW7">IFERROR(SUM(VLOOKUP($A7,'預算A1 BIM'!$A$151:$BB$220,{33},0)),0)-AY7</f>
        <v>12567</v>
      </c>
      <c r="AX7" s="226">
        <f t="shared" si="10"/>
        <v>38700</v>
      </c>
      <c r="AY7" s="226"/>
      <c r="AZ7" s="226" cm="1">
        <f t="array" ref="AZ7">IFERROR(SUM(VLOOKUP($A7,'預算A1 BIM'!$A$77:$BB$143,{34},0)),0)+BC7</f>
        <v>26133</v>
      </c>
      <c r="BA7" s="226" cm="1">
        <f t="array" ref="BA7">IFERROR(SUM(VLOOKUP($A7,'預算A1 BIM'!$A$151:$BB$220,{34},0)),0)-BC7</f>
        <v>12567</v>
      </c>
      <c r="BB7" s="226">
        <f t="shared" si="11"/>
        <v>38700</v>
      </c>
      <c r="BC7" s="226"/>
      <c r="BD7" s="226" cm="1">
        <f t="array" ref="BD7">IFERROR(SUM(VLOOKUP($A7,'預算A1 BIM'!$A$77:$BB$143,{35},0)),0)+BG7</f>
        <v>26133</v>
      </c>
      <c r="BE7" s="226" cm="1">
        <f t="array" ref="BE7">IFERROR(SUM(VLOOKUP($A7,'預算A1 BIM'!$A$151:$BB$220,{35},0)),0)-BG7</f>
        <v>12567</v>
      </c>
      <c r="BF7" s="226">
        <f t="shared" si="12"/>
        <v>38700</v>
      </c>
      <c r="BG7" s="226"/>
      <c r="BH7" s="226" cm="1">
        <f t="array" ref="BH7">IFERROR(SUM(VLOOKUP($A7,'預算A1 BIM'!$A$77:$BB$143,{36},0)),0)+BK7</f>
        <v>46133</v>
      </c>
      <c r="BI7" s="226" cm="1">
        <f t="array" ref="BI7">IFERROR(SUM(VLOOKUP($A7,'預算A1 BIM'!$A$151:$BB$220,{36},0)),0)-BK7</f>
        <v>22184</v>
      </c>
      <c r="BJ7" s="226">
        <f t="shared" si="13"/>
        <v>68317</v>
      </c>
      <c r="BK7" s="226"/>
      <c r="BL7" s="226">
        <f>SUMIF($P$4:$BK$4,$BL$4,$P7:$BK$65)</f>
        <v>700238</v>
      </c>
      <c r="BM7" s="226">
        <f>SUMIF($P$4:$BK$4,$BM$4,$P7:$BK$65)</f>
        <v>336730</v>
      </c>
      <c r="BN7" s="226">
        <f t="shared" si="14"/>
        <v>1036968</v>
      </c>
      <c r="BO7" s="226">
        <f>SUMIF($P$4:$BK$4,$BO$4,$P7:$BK$65)</f>
        <v>0</v>
      </c>
      <c r="BP7" s="226">
        <f t="shared" ref="BP7:BP28" si="40">+L7+BL7</f>
        <v>11099553</v>
      </c>
      <c r="BQ7" s="226">
        <f t="shared" si="15"/>
        <v>5337540</v>
      </c>
      <c r="BR7" s="226">
        <f t="shared" si="16"/>
        <v>16437093</v>
      </c>
      <c r="BS7" s="226">
        <f t="shared" si="17"/>
        <v>0</v>
      </c>
      <c r="BT7" s="226" cm="1">
        <f t="array" ref="BT7">IFERROR(SUM(VLOOKUP($A7,'預算A1 BIM'!$A$77:$BB$143,{39},0)),0)+BW7</f>
        <v>713085</v>
      </c>
      <c r="BU7" s="226" cm="1">
        <f t="array" ref="BU7">IFERROR(SUM(VLOOKUP($A7,'預算A1 BIM'!$A$151:$BB$220,{39},0)),0)-BW7</f>
        <v>342907</v>
      </c>
      <c r="BV7" s="226">
        <f t="shared" si="18"/>
        <v>1055992</v>
      </c>
      <c r="BW7" s="226"/>
      <c r="BX7" s="226">
        <f t="shared" ref="BX7:BX28" si="41">+BP7+BT7</f>
        <v>11812638</v>
      </c>
      <c r="BY7" s="226">
        <f t="shared" si="19"/>
        <v>5680447</v>
      </c>
      <c r="BZ7" s="226">
        <f t="shared" si="20"/>
        <v>17493085</v>
      </c>
      <c r="CA7" s="226">
        <f t="shared" ref="CA7:CA28" si="42">+BS7+BW7</f>
        <v>0</v>
      </c>
      <c r="CB7" s="226" cm="1">
        <f t="array" ref="CB7">IFERROR(SUM(VLOOKUP($A7,'預算A1 BIM'!$A$77:$BB$143,{40},0)),0)+CE7</f>
        <v>4920669</v>
      </c>
      <c r="CC7" s="226" cm="1">
        <f t="array" ref="CC7">IFERROR(SUM(VLOOKUP($A7,'預算A1 BIM'!$A$151:$BB$220,{40},0)),0)-CE7</f>
        <v>2366246</v>
      </c>
      <c r="CD7" s="226">
        <f t="shared" ref="CD7:CD28" si="43">SUM(CB7:CC7)</f>
        <v>7286915</v>
      </c>
      <c r="CE7" s="226"/>
      <c r="CF7" s="226">
        <f t="shared" si="22"/>
        <v>16733307</v>
      </c>
      <c r="CG7" s="226">
        <f t="shared" si="23"/>
        <v>8046693</v>
      </c>
      <c r="CH7" s="226">
        <f t="shared" si="24"/>
        <v>24780000</v>
      </c>
      <c r="CI7" s="226">
        <f t="shared" si="25"/>
        <v>0</v>
      </c>
      <c r="CJ7" s="226" cm="1">
        <f t="array" ref="CJ7">IFERROR(SUM(VLOOKUP($A7,'預算A1 BIM'!$A$77:$BB$143,{41},0)),0)+CM7</f>
        <v>0</v>
      </c>
      <c r="CK7" s="226" cm="1">
        <f t="array" ref="CK7">IFERROR(SUM(VLOOKUP($A7,'預算A1 BIM'!$A$151:$BB$220,{41},0)),0)-CM7</f>
        <v>0</v>
      </c>
      <c r="CL7" s="226">
        <f t="shared" si="26"/>
        <v>0</v>
      </c>
      <c r="CM7" s="226"/>
      <c r="CN7" s="226">
        <f t="shared" si="27"/>
        <v>16733307</v>
      </c>
      <c r="CO7" s="226">
        <f t="shared" si="28"/>
        <v>8046693</v>
      </c>
      <c r="CP7" s="226">
        <f t="shared" si="29"/>
        <v>24780000</v>
      </c>
      <c r="CQ7" s="226">
        <f t="shared" si="30"/>
        <v>0</v>
      </c>
      <c r="CR7" s="226" cm="1">
        <f t="array" ref="CR7">IFERROR(SUM(VLOOKUP($A7,'預算A1 BIM'!$A$77:$BB$143,{42},0)),0)+CU7</f>
        <v>0</v>
      </c>
      <c r="CS7" s="226" cm="1">
        <f t="array" ref="CS7">IFERROR(SUM(VLOOKUP($A7,'預算A1 BIM'!$A$151:$BB$220,{42},0)),0)-CU7</f>
        <v>0</v>
      </c>
      <c r="CT7" s="226">
        <f t="shared" si="31"/>
        <v>0</v>
      </c>
      <c r="CU7" s="226"/>
      <c r="CV7" s="226">
        <f t="shared" si="32"/>
        <v>16733307</v>
      </c>
      <c r="CW7" s="226">
        <f t="shared" si="33"/>
        <v>8046693</v>
      </c>
      <c r="CX7" s="226">
        <f t="shared" si="34"/>
        <v>24780000</v>
      </c>
      <c r="CY7" s="226">
        <f t="shared" si="35"/>
        <v>0</v>
      </c>
    </row>
    <row r="8" spans="1:103" outlineLevel="1">
      <c r="A8" s="175" t="s">
        <v>624</v>
      </c>
      <c r="B8" s="164" t="s">
        <v>625</v>
      </c>
      <c r="C8" s="164" t="s">
        <v>1037</v>
      </c>
      <c r="D8" s="225">
        <f>IFERROR(VLOOKUP(A8,'202608收入成本表'!A:Y,23,0),0)</f>
        <v>4815841</v>
      </c>
      <c r="E8" s="225">
        <f>IFERROR(VLOOKUP(A8,'202608收入成本表'!A:Z,24,0),0)</f>
        <v>3155677</v>
      </c>
      <c r="F8" s="226">
        <f t="shared" si="36"/>
        <v>7971518</v>
      </c>
      <c r="G8" s="226"/>
      <c r="H8" s="226" cm="1">
        <f t="array" ref="H8">IFERROR(SUM(VLOOKUP(A8,'預算A1 BIM'!$A$77:$BB$143,{19,20,21,22},0)),0)</f>
        <v>181303</v>
      </c>
      <c r="I8" s="226" cm="1">
        <f t="array" ref="I8">IFERROR(SUM(VLOOKUP(A8,'預算A1 BIM'!$A$151:$BB$220,{19,20,21,22},0)),0)</f>
        <v>-1428891</v>
      </c>
      <c r="J8" s="226">
        <f t="shared" si="37"/>
        <v>-1247588</v>
      </c>
      <c r="K8" s="226">
        <f>-VLOOKUP(A8,'2026FCST%'!A:AC,27,FALSE)</f>
        <v>0</v>
      </c>
      <c r="L8" s="226">
        <f t="shared" si="38"/>
        <v>4997144</v>
      </c>
      <c r="M8" s="226">
        <f t="shared" si="38"/>
        <v>1726786</v>
      </c>
      <c r="N8" s="226">
        <f t="shared" si="1"/>
        <v>6723930</v>
      </c>
      <c r="O8" s="226">
        <f t="shared" si="39"/>
        <v>0</v>
      </c>
      <c r="P8" s="226" cm="1">
        <f t="array" ref="P8">IFERROR(SUM(VLOOKUP($A8,'預算A1 BIM'!$A$77:$BB$143,{25},0)),0)+S8</f>
        <v>831206</v>
      </c>
      <c r="Q8" s="226" cm="1">
        <f t="array" ref="Q8">IFERROR(SUM(VLOOKUP($A8,'預算A1 BIM'!$A$151:$BB$220,{25},0)),0)</f>
        <v>287227</v>
      </c>
      <c r="R8" s="226">
        <f t="shared" si="2"/>
        <v>1118433</v>
      </c>
      <c r="S8" s="226"/>
      <c r="T8" s="226" cm="1">
        <f t="array" ref="T8">IFERROR(SUM(VLOOKUP($A8,'預算A1 BIM'!$A$77:$BB$143,{26},0)),0)+W8</f>
        <v>26206</v>
      </c>
      <c r="U8" s="226" cm="1">
        <f t="array" ref="U8">IFERROR(SUM(VLOOKUP($A8,'預算A1 BIM'!$A$151:$BB$220,{26},0)),0)</f>
        <v>9056</v>
      </c>
      <c r="V8" s="226">
        <f t="shared" si="3"/>
        <v>35262</v>
      </c>
      <c r="W8" s="226"/>
      <c r="X8" s="226" cm="1">
        <f t="array" ref="X8">IFERROR(SUM(VLOOKUP($A8,'預算A1 BIM'!$A$77:$BB$143,{27},0)),0)+AA8</f>
        <v>61943</v>
      </c>
      <c r="Y8" s="226" cm="1">
        <f t="array" ref="Y8">IFERROR(SUM(VLOOKUP($A8,'預算A1 BIM'!$A$151:$BB$220,{27},0)),0)</f>
        <v>21404</v>
      </c>
      <c r="Z8" s="226">
        <f t="shared" si="4"/>
        <v>83347</v>
      </c>
      <c r="AA8" s="226"/>
      <c r="AB8" s="226" cm="1">
        <f t="array" ref="AB8">IFERROR(SUM(VLOOKUP($A8,'預算A1 BIM'!$A$77:$BB$143,{28},0)),0)+AE8</f>
        <v>26206</v>
      </c>
      <c r="AC8" s="226" cm="1">
        <f t="array" ref="AC8">IFERROR(SUM(VLOOKUP($A8,'預算A1 BIM'!$A$151:$BB$220,{28},0)),0)</f>
        <v>9056</v>
      </c>
      <c r="AD8" s="226">
        <f t="shared" si="5"/>
        <v>35262</v>
      </c>
      <c r="AE8" s="226"/>
      <c r="AF8" s="226" cm="1">
        <f t="array" ref="AF8">IFERROR(SUM(VLOOKUP($A8,'預算A1 BIM'!$A$77:$BB$143,{29},0)),0)+AI8</f>
        <v>26206</v>
      </c>
      <c r="AG8" s="226" cm="1">
        <f t="array" ref="AG8">IFERROR(SUM(VLOOKUP($A8,'預算A1 BIM'!$A$151:$BB$220,{29},0)),0)</f>
        <v>9056</v>
      </c>
      <c r="AH8" s="226">
        <f t="shared" si="6"/>
        <v>35262</v>
      </c>
      <c r="AI8" s="226"/>
      <c r="AJ8" s="226" cm="1">
        <f t="array" ref="AJ8">IFERROR(SUM(VLOOKUP($A8,'預算A1 BIM'!$A$77:$BB$143,{30},0)),0)+AM8</f>
        <v>81943</v>
      </c>
      <c r="AK8" s="226" cm="1">
        <f t="array" ref="AK8">IFERROR(SUM(VLOOKUP($A8,'預算A1 BIM'!$A$151:$BB$220,{30},0)),0)</f>
        <v>28315</v>
      </c>
      <c r="AL8" s="226">
        <f t="shared" si="7"/>
        <v>110258</v>
      </c>
      <c r="AM8" s="226"/>
      <c r="AN8" s="226" cm="1">
        <f t="array" ref="AN8">IFERROR(SUM(VLOOKUP($A8,'預算A1 BIM'!$A$77:$BB$143,{31},0)),0)+AQ8</f>
        <v>26206</v>
      </c>
      <c r="AO8" s="226" cm="1">
        <f t="array" ref="AO8">IFERROR(SUM(VLOOKUP($A8,'預算A1 BIM'!$A$151:$BB$220,{31},0)),0)-AQ8</f>
        <v>9056</v>
      </c>
      <c r="AP8" s="226">
        <f t="shared" si="8"/>
        <v>35262</v>
      </c>
      <c r="AQ8" s="226"/>
      <c r="AR8" s="226" cm="1">
        <f t="array" ref="AR8">IFERROR(SUM(VLOOKUP($A8,'預算A1 BIM'!$A$77:$BB$143,{32},0)),0)+AU8</f>
        <v>26206</v>
      </c>
      <c r="AS8" s="226" cm="1">
        <f t="array" ref="AS8">IFERROR(SUM(VLOOKUP($A8,'預算A1 BIM'!$A$151:$BB$220,{32},0)),0)-AU8</f>
        <v>9056</v>
      </c>
      <c r="AT8" s="226">
        <f t="shared" si="9"/>
        <v>35262</v>
      </c>
      <c r="AU8" s="226"/>
      <c r="AV8" s="226" cm="1">
        <f t="array" ref="AV8">IFERROR(SUM(VLOOKUP($A8,'預算A1 BIM'!$A$77:$BB$143,{33},0)),0)+AY8</f>
        <v>61943</v>
      </c>
      <c r="AW8" s="226" cm="1">
        <f t="array" ref="AW8">IFERROR(SUM(VLOOKUP($A8,'預算A1 BIM'!$A$151:$BB$220,{33},0)),0)-AY8</f>
        <v>21404</v>
      </c>
      <c r="AX8" s="226">
        <f t="shared" ref="AX8:AX28" si="44">SUM(AV8:AW8)</f>
        <v>83347</v>
      </c>
      <c r="AY8" s="226"/>
      <c r="AZ8" s="226" cm="1">
        <f t="array" ref="AZ8">IFERROR(SUM(VLOOKUP($A8,'預算A1 BIM'!$A$77:$BB$143,{34},0)),0)+BC8</f>
        <v>26206</v>
      </c>
      <c r="BA8" s="226" cm="1">
        <f t="array" ref="BA8">IFERROR(SUM(VLOOKUP($A8,'預算A1 BIM'!$A$151:$BB$220,{34},0)),0)-BC8</f>
        <v>9056</v>
      </c>
      <c r="BB8" s="226">
        <f t="shared" si="11"/>
        <v>35262</v>
      </c>
      <c r="BC8" s="226"/>
      <c r="BD8" s="226" cm="1">
        <f t="array" ref="BD8">IFERROR(SUM(VLOOKUP($A8,'預算A1 BIM'!$A$77:$BB$143,{35},0)),0)+BG8</f>
        <v>26206</v>
      </c>
      <c r="BE8" s="226" cm="1">
        <f t="array" ref="BE8">IFERROR(SUM(VLOOKUP($A8,'預算A1 BIM'!$A$151:$BB$220,{35},0)),0)-BG8</f>
        <v>9055</v>
      </c>
      <c r="BF8" s="226">
        <f t="shared" si="12"/>
        <v>35261</v>
      </c>
      <c r="BG8" s="226"/>
      <c r="BH8" s="226" cm="1">
        <f t="array" ref="BH8">IFERROR(SUM(VLOOKUP($A8,'預算A1 BIM'!$A$77:$BB$143,{36},0)),0)+BK8</f>
        <v>81943</v>
      </c>
      <c r="BI8" s="226" cm="1">
        <f t="array" ref="BI8">IFERROR(SUM(VLOOKUP($A8,'預算A1 BIM'!$A$151:$BB$220,{36},0)),0)-BK8</f>
        <v>28316</v>
      </c>
      <c r="BJ8" s="226">
        <f t="shared" si="13"/>
        <v>110259</v>
      </c>
      <c r="BK8" s="226"/>
      <c r="BL8" s="226">
        <f>SUMIF($P$4:$BK$4,$BL$4,$P8:$BK$65)</f>
        <v>1302420</v>
      </c>
      <c r="BM8" s="226">
        <f>SUMIF($P$4:$BK$4,$BM$4,$P8:$BK$65)</f>
        <v>450057</v>
      </c>
      <c r="BN8" s="226">
        <f t="shared" si="14"/>
        <v>1752477</v>
      </c>
      <c r="BO8" s="226">
        <f>SUMIF($P$4:$BK$4,$BO$4,$P8:$BK$65)</f>
        <v>0</v>
      </c>
      <c r="BP8" s="226">
        <f t="shared" si="40"/>
        <v>6299564</v>
      </c>
      <c r="BQ8" s="226">
        <f t="shared" si="15"/>
        <v>2176843</v>
      </c>
      <c r="BR8" s="226">
        <f t="shared" si="16"/>
        <v>8476407</v>
      </c>
      <c r="BS8" s="226">
        <f t="shared" si="17"/>
        <v>0</v>
      </c>
      <c r="BT8" s="226" cm="1">
        <f t="array" ref="BT8">IFERROR(SUM(VLOOKUP($A8,'預算A1 BIM'!$A$77:$BB$143,{39},0)),0)+BW8</f>
        <v>2158324</v>
      </c>
      <c r="BU8" s="226" cm="1">
        <f t="array" ref="BU8">IFERROR(SUM(VLOOKUP($A8,'預算A1 BIM'!$A$151:$BB$220,{39},0)),0)-BW8</f>
        <v>745819</v>
      </c>
      <c r="BV8" s="226">
        <f t="shared" si="18"/>
        <v>2904143</v>
      </c>
      <c r="BW8" s="226"/>
      <c r="BX8" s="226">
        <f t="shared" si="41"/>
        <v>8457888</v>
      </c>
      <c r="BY8" s="226">
        <f t="shared" si="19"/>
        <v>2922662</v>
      </c>
      <c r="BZ8" s="226">
        <f t="shared" si="20"/>
        <v>11380550</v>
      </c>
      <c r="CA8" s="226">
        <f t="shared" si="42"/>
        <v>0</v>
      </c>
      <c r="CB8" s="226" cm="1">
        <f t="array" ref="CB8">IFERROR(SUM(VLOOKUP($A8,'預算A1 BIM'!$A$77:$BB$143,{40},0)),0)+CE8</f>
        <v>0</v>
      </c>
      <c r="CC8" s="226" cm="1">
        <f t="array" ref="CC8">IFERROR(SUM(VLOOKUP($A8,'預算A1 BIM'!$A$151:$BB$220,{40},0)),0)-CE8</f>
        <v>0</v>
      </c>
      <c r="CD8" s="226">
        <f t="shared" si="43"/>
        <v>0</v>
      </c>
      <c r="CE8" s="226"/>
      <c r="CF8" s="226">
        <f t="shared" si="22"/>
        <v>8457888</v>
      </c>
      <c r="CG8" s="226">
        <f t="shared" si="23"/>
        <v>2922662</v>
      </c>
      <c r="CH8" s="226">
        <f t="shared" si="24"/>
        <v>11380550</v>
      </c>
      <c r="CI8" s="226">
        <f t="shared" si="25"/>
        <v>0</v>
      </c>
      <c r="CJ8" s="226" cm="1">
        <f t="array" ref="CJ8">IFERROR(SUM(VLOOKUP($A8,'預算A1 BIM'!$A$77:$BB$143,{41},0)),0)+CM8</f>
        <v>0</v>
      </c>
      <c r="CK8" s="226" cm="1">
        <f t="array" ref="CK8">IFERROR(SUM(VLOOKUP($A8,'預算A1 BIM'!$A$151:$BB$220,{41},0)),0)-CM8</f>
        <v>0</v>
      </c>
      <c r="CL8" s="226">
        <f t="shared" si="26"/>
        <v>0</v>
      </c>
      <c r="CM8" s="226"/>
      <c r="CN8" s="226">
        <f t="shared" si="27"/>
        <v>8457888</v>
      </c>
      <c r="CO8" s="226">
        <f t="shared" si="28"/>
        <v>2922662</v>
      </c>
      <c r="CP8" s="226">
        <f t="shared" si="29"/>
        <v>11380550</v>
      </c>
      <c r="CQ8" s="226">
        <f t="shared" si="30"/>
        <v>0</v>
      </c>
      <c r="CR8" s="226" cm="1">
        <f t="array" ref="CR8">IFERROR(SUM(VLOOKUP($A8,'預算A1 BIM'!$A$77:$BB$143,{42},0)),0)+CU8</f>
        <v>0</v>
      </c>
      <c r="CS8" s="226" cm="1">
        <f t="array" ref="CS8">IFERROR(SUM(VLOOKUP($A8,'預算A1 BIM'!$A$151:$BB$220,{42},0)),0)-CU8</f>
        <v>0</v>
      </c>
      <c r="CT8" s="226">
        <f t="shared" si="31"/>
        <v>0</v>
      </c>
      <c r="CU8" s="226"/>
      <c r="CV8" s="226">
        <f t="shared" si="32"/>
        <v>8457888</v>
      </c>
      <c r="CW8" s="226">
        <f t="shared" si="33"/>
        <v>2922662</v>
      </c>
      <c r="CX8" s="226">
        <f t="shared" si="34"/>
        <v>11380550</v>
      </c>
      <c r="CY8" s="226">
        <f t="shared" si="35"/>
        <v>0</v>
      </c>
    </row>
    <row r="9" spans="1:103" outlineLevel="1">
      <c r="A9" s="175" t="s">
        <v>626</v>
      </c>
      <c r="B9" s="156" t="s">
        <v>627</v>
      </c>
      <c r="C9" s="156" t="s">
        <v>1037</v>
      </c>
      <c r="D9" s="225">
        <f>IFERROR(VLOOKUP(A9,'202608收入成本表'!A:Y,23,0),0)</f>
        <v>1258917</v>
      </c>
      <c r="E9" s="225">
        <f>IFERROR(VLOOKUP(A9,'202608收入成本表'!A:Z,24,0),0)</f>
        <v>691083</v>
      </c>
      <c r="F9" s="226">
        <f t="shared" si="36"/>
        <v>1950000</v>
      </c>
      <c r="G9" s="226"/>
      <c r="H9" s="226" cm="1">
        <f t="array" ref="H9">IFERROR(SUM(VLOOKUP(A9,'預算A1 BIM'!$A$77:$BB$143,{19,20,21,22},0)),0)</f>
        <v>0</v>
      </c>
      <c r="I9" s="226" cm="1">
        <f t="array" ref="I9">IFERROR(SUM(VLOOKUP(A9,'預算A1 BIM'!$A$151:$BB$220,{19,20,21,22},0)),0)</f>
        <v>0</v>
      </c>
      <c r="J9" s="226">
        <f t="shared" si="37"/>
        <v>0</v>
      </c>
      <c r="K9" s="226">
        <f>-VLOOKUP(A9,'2026FCST%'!A:AC,27,FALSE)</f>
        <v>0</v>
      </c>
      <c r="L9" s="226">
        <f t="shared" si="38"/>
        <v>1258917</v>
      </c>
      <c r="M9" s="226">
        <f t="shared" si="38"/>
        <v>691083</v>
      </c>
      <c r="N9" s="226">
        <f t="shared" si="1"/>
        <v>1950000</v>
      </c>
      <c r="O9" s="226">
        <f t="shared" si="39"/>
        <v>0</v>
      </c>
      <c r="P9" s="226" cm="1">
        <f t="array" ref="P9">IFERROR(SUM(VLOOKUP($A9,'預算A1 BIM'!$A$77:$BB$143,{25},0)),0)+S9</f>
        <v>0</v>
      </c>
      <c r="Q9" s="226" cm="1">
        <f t="array" ref="Q9">IFERROR(SUM(VLOOKUP($A9,'預算A1 BIM'!$A$151:$BB$220,{25},0)),0)</f>
        <v>0</v>
      </c>
      <c r="R9" s="226">
        <f t="shared" si="2"/>
        <v>0</v>
      </c>
      <c r="S9" s="226"/>
      <c r="T9" s="226" cm="1">
        <f t="array" ref="T9">IFERROR(SUM(VLOOKUP($A9,'預算A1 BIM'!$A$77:$BB$143,{26},0)),0)+W9</f>
        <v>0</v>
      </c>
      <c r="U9" s="226" cm="1">
        <f t="array" ref="U9">IFERROR(SUM(VLOOKUP($A9,'預算A1 BIM'!$A$151:$BB$220,{26},0)),0)</f>
        <v>0</v>
      </c>
      <c r="V9" s="226">
        <f t="shared" si="3"/>
        <v>0</v>
      </c>
      <c r="W9" s="226"/>
      <c r="X9" s="226" cm="1">
        <f t="array" ref="X9">IFERROR(SUM(VLOOKUP($A9,'預算A1 BIM'!$A$77:$BB$143,{27},0)),0)+AA9</f>
        <v>0</v>
      </c>
      <c r="Y9" s="226" cm="1">
        <f t="array" ref="Y9">IFERROR(SUM(VLOOKUP($A9,'預算A1 BIM'!$A$151:$BB$220,{27},0)),0)</f>
        <v>0</v>
      </c>
      <c r="Z9" s="226">
        <f t="shared" si="4"/>
        <v>0</v>
      </c>
      <c r="AA9" s="226"/>
      <c r="AB9" s="226" cm="1">
        <f t="array" ref="AB9">IFERROR(SUM(VLOOKUP($A9,'預算A1 BIM'!$A$77:$BB$143,{28},0)),0)+AE9</f>
        <v>0</v>
      </c>
      <c r="AC9" s="226" cm="1">
        <f t="array" ref="AC9">IFERROR(SUM(VLOOKUP($A9,'預算A1 BIM'!$A$151:$BB$220,{28},0)),0)</f>
        <v>0</v>
      </c>
      <c r="AD9" s="226">
        <f t="shared" si="5"/>
        <v>0</v>
      </c>
      <c r="AE9" s="226"/>
      <c r="AF9" s="226" cm="1">
        <f t="array" ref="AF9">IFERROR(SUM(VLOOKUP($A9,'預算A1 BIM'!$A$77:$BB$143,{29},0)),0)+AI9</f>
        <v>0</v>
      </c>
      <c r="AG9" s="226" cm="1">
        <f t="array" ref="AG9">IFERROR(SUM(VLOOKUP($A9,'預算A1 BIM'!$A$151:$BB$220,{29},0)),0)</f>
        <v>0</v>
      </c>
      <c r="AH9" s="226">
        <f t="shared" si="6"/>
        <v>0</v>
      </c>
      <c r="AI9" s="226"/>
      <c r="AJ9" s="226" cm="1">
        <f t="array" ref="AJ9">IFERROR(SUM(VLOOKUP($A9,'預算A1 BIM'!$A$77:$BB$143,{30},0)),0)+AM9</f>
        <v>0</v>
      </c>
      <c r="AK9" s="226" cm="1">
        <f t="array" ref="AK9">IFERROR(SUM(VLOOKUP($A9,'預算A1 BIM'!$A$151:$BB$220,{30},0)),0)</f>
        <v>0</v>
      </c>
      <c r="AL9" s="226">
        <f t="shared" si="7"/>
        <v>0</v>
      </c>
      <c r="AM9" s="226"/>
      <c r="AN9" s="226" cm="1">
        <f t="array" ref="AN9">IFERROR(SUM(VLOOKUP($A9,'預算A1 BIM'!$A$77:$BB$143,{31},0)),0)+AQ9</f>
        <v>0</v>
      </c>
      <c r="AO9" s="226" cm="1">
        <f t="array" ref="AO9">IFERROR(SUM(VLOOKUP($A9,'預算A1 BIM'!$A$151:$BB$220,{31},0)),0)-AQ9</f>
        <v>0</v>
      </c>
      <c r="AP9" s="226">
        <f t="shared" si="8"/>
        <v>0</v>
      </c>
      <c r="AQ9" s="226"/>
      <c r="AR9" s="226" cm="1">
        <f t="array" ref="AR9">IFERROR(SUM(VLOOKUP($A9,'預算A1 BIM'!$A$77:$BB$143,{32},0)),0)+AU9</f>
        <v>0</v>
      </c>
      <c r="AS9" s="226" cm="1">
        <f t="array" ref="AS9">IFERROR(SUM(VLOOKUP($A9,'預算A1 BIM'!$A$151:$BB$220,{32},0)),0)-AU9</f>
        <v>0</v>
      </c>
      <c r="AT9" s="226">
        <f t="shared" si="9"/>
        <v>0</v>
      </c>
      <c r="AU9" s="226"/>
      <c r="AV9" s="226" cm="1">
        <f t="array" ref="AV9">IFERROR(SUM(VLOOKUP($A9,'預算A1 BIM'!$A$77:$BB$143,{33},0)),0)+AY9</f>
        <v>0</v>
      </c>
      <c r="AW9" s="226" cm="1">
        <f t="array" ref="AW9">IFERROR(SUM(VLOOKUP($A9,'預算A1 BIM'!$A$151:$BB$220,{33},0)),0)-AY9</f>
        <v>0</v>
      </c>
      <c r="AX9" s="226">
        <f t="shared" si="44"/>
        <v>0</v>
      </c>
      <c r="AY9" s="226"/>
      <c r="AZ9" s="226" cm="1">
        <f t="array" ref="AZ9">IFERROR(SUM(VLOOKUP($A9,'預算A1 BIM'!$A$77:$BB$143,{34},0)),0)+BC9</f>
        <v>0</v>
      </c>
      <c r="BA9" s="226" cm="1">
        <f t="array" ref="BA9">IFERROR(SUM(VLOOKUP($A9,'預算A1 BIM'!$A$151:$BB$220,{34},0)),0)-BC9</f>
        <v>0</v>
      </c>
      <c r="BB9" s="226">
        <f t="shared" si="11"/>
        <v>0</v>
      </c>
      <c r="BC9" s="226"/>
      <c r="BD9" s="226" cm="1">
        <f t="array" ref="BD9">IFERROR(SUM(VLOOKUP($A9,'預算A1 BIM'!$A$77:$BB$143,{35},0)),0)+BG9</f>
        <v>0</v>
      </c>
      <c r="BE9" s="226" cm="1">
        <f t="array" ref="BE9">IFERROR(SUM(VLOOKUP($A9,'預算A1 BIM'!$A$151:$BB$220,{35},0)),0)-BG9</f>
        <v>0</v>
      </c>
      <c r="BF9" s="226">
        <f t="shared" si="12"/>
        <v>0</v>
      </c>
      <c r="BG9" s="226"/>
      <c r="BH9" s="226" cm="1">
        <f t="array" ref="BH9">IFERROR(SUM(VLOOKUP($A9,'預算A1 BIM'!$A$77:$BB$143,{36},0)),0)+BK9</f>
        <v>0</v>
      </c>
      <c r="BI9" s="226" cm="1">
        <f t="array" ref="BI9">IFERROR(SUM(VLOOKUP($A9,'預算A1 BIM'!$A$151:$BB$220,{36},0)),0)-BK9</f>
        <v>0</v>
      </c>
      <c r="BJ9" s="226">
        <f t="shared" si="13"/>
        <v>0</v>
      </c>
      <c r="BK9" s="226"/>
      <c r="BL9" s="226">
        <f>SUMIF($P$4:$BK$4,$BL$4,$P9:$BK$65)</f>
        <v>0</v>
      </c>
      <c r="BM9" s="226">
        <f>SUMIF($P$4:$BK$4,$BM$4,$P9:$BK$65)</f>
        <v>0</v>
      </c>
      <c r="BN9" s="226">
        <f t="shared" si="14"/>
        <v>0</v>
      </c>
      <c r="BO9" s="226">
        <f>SUMIF($P$4:$BK$4,$BO$4,$P9:$BK$65)</f>
        <v>0</v>
      </c>
      <c r="BP9" s="226">
        <f t="shared" si="40"/>
        <v>1258917</v>
      </c>
      <c r="BQ9" s="226">
        <f t="shared" si="15"/>
        <v>691083</v>
      </c>
      <c r="BR9" s="226">
        <f t="shared" si="16"/>
        <v>1950000</v>
      </c>
      <c r="BS9" s="226">
        <f t="shared" si="17"/>
        <v>0</v>
      </c>
      <c r="BT9" s="226" cm="1">
        <f t="array" ref="BT9">IFERROR(SUM(VLOOKUP($A9,'預算A1 BIM'!$A$77:$BB$143,{39},0)),0)+BW9</f>
        <v>0</v>
      </c>
      <c r="BU9" s="226" cm="1">
        <f t="array" ref="BU9">IFERROR(SUM(VLOOKUP($A9,'預算A1 BIM'!$A$151:$BB$220,{39},0)),0)-BW9</f>
        <v>0</v>
      </c>
      <c r="BV9" s="226">
        <f>SUM(BT9:BU9)</f>
        <v>0</v>
      </c>
      <c r="BW9" s="226"/>
      <c r="BX9" s="226">
        <f t="shared" si="41"/>
        <v>1258917</v>
      </c>
      <c r="BY9" s="226">
        <f t="shared" si="19"/>
        <v>691083</v>
      </c>
      <c r="BZ9" s="226">
        <f t="shared" si="20"/>
        <v>1950000</v>
      </c>
      <c r="CA9" s="226">
        <f t="shared" si="42"/>
        <v>0</v>
      </c>
      <c r="CB9" s="226" cm="1">
        <f t="array" ref="CB9">IFERROR(SUM(VLOOKUP($A9,'預算A1 BIM'!$A$77:$BB$143,{40},0)),0)+CE9</f>
        <v>0</v>
      </c>
      <c r="CC9" s="226" cm="1">
        <f t="array" ref="CC9">IFERROR(SUM(VLOOKUP($A9,'預算A1 BIM'!$A$151:$BB$220,{40},0)),0)-CE9</f>
        <v>0</v>
      </c>
      <c r="CD9" s="226">
        <f t="shared" si="43"/>
        <v>0</v>
      </c>
      <c r="CE9" s="226"/>
      <c r="CF9" s="226">
        <f t="shared" si="22"/>
        <v>1258917</v>
      </c>
      <c r="CG9" s="226">
        <f t="shared" si="23"/>
        <v>691083</v>
      </c>
      <c r="CH9" s="226">
        <f t="shared" si="24"/>
        <v>1950000</v>
      </c>
      <c r="CI9" s="226">
        <f t="shared" si="25"/>
        <v>0</v>
      </c>
      <c r="CJ9" s="226" cm="1">
        <f t="array" ref="CJ9">IFERROR(SUM(VLOOKUP($A9,'預算A1 BIM'!$A$77:$BB$143,{41},0)),0)+CM9</f>
        <v>0</v>
      </c>
      <c r="CK9" s="226" cm="1">
        <f t="array" ref="CK9">IFERROR(SUM(VLOOKUP($A9,'預算A1 BIM'!$A$151:$BB$220,{41},0)),0)-CM9</f>
        <v>0</v>
      </c>
      <c r="CL9" s="226">
        <f t="shared" si="26"/>
        <v>0</v>
      </c>
      <c r="CM9" s="226"/>
      <c r="CN9" s="226">
        <f t="shared" si="27"/>
        <v>1258917</v>
      </c>
      <c r="CO9" s="226">
        <f t="shared" si="28"/>
        <v>691083</v>
      </c>
      <c r="CP9" s="226">
        <f t="shared" si="29"/>
        <v>1950000</v>
      </c>
      <c r="CQ9" s="226">
        <f t="shared" si="30"/>
        <v>0</v>
      </c>
      <c r="CR9" s="226" cm="1">
        <f t="array" ref="CR9">IFERROR(SUM(VLOOKUP($A9,'預算A1 BIM'!$A$77:$BB$143,{42},0)),0)+CU9</f>
        <v>0</v>
      </c>
      <c r="CS9" s="226" cm="1">
        <f t="array" ref="CS9">IFERROR(SUM(VLOOKUP($A9,'預算A1 BIM'!$A$151:$BB$220,{42},0)),0)-CU9</f>
        <v>0</v>
      </c>
      <c r="CT9" s="226">
        <f t="shared" si="31"/>
        <v>0</v>
      </c>
      <c r="CU9" s="226"/>
      <c r="CV9" s="226">
        <f t="shared" si="32"/>
        <v>1258917</v>
      </c>
      <c r="CW9" s="226">
        <f t="shared" si="33"/>
        <v>691083</v>
      </c>
      <c r="CX9" s="226">
        <f t="shared" si="34"/>
        <v>1950000</v>
      </c>
      <c r="CY9" s="226">
        <f t="shared" si="35"/>
        <v>0</v>
      </c>
    </row>
    <row r="10" spans="1:103" outlineLevel="1">
      <c r="A10" s="175" t="s">
        <v>628</v>
      </c>
      <c r="B10" s="164" t="s">
        <v>629</v>
      </c>
      <c r="C10" s="164" t="s">
        <v>1037</v>
      </c>
      <c r="D10" s="225">
        <f>IFERROR(VLOOKUP(A10,'202608收入成本表'!A:Y,23,0),0)</f>
        <v>7934565</v>
      </c>
      <c r="E10" s="225">
        <f>IFERROR(VLOOKUP(A10,'202608收入成本表'!A:Z,24,0),0)</f>
        <v>3606435</v>
      </c>
      <c r="F10" s="226">
        <f t="shared" si="36"/>
        <v>11541000</v>
      </c>
      <c r="G10" s="226"/>
      <c r="H10" s="226" cm="1">
        <f t="array" ref="H10">IFERROR(SUM(VLOOKUP(A10,'預算A1 BIM'!$A$77:$BB$143,{19,20,21,22},0)),0)</f>
        <v>499171</v>
      </c>
      <c r="I10" s="226" cm="1">
        <f t="array" ref="I10">IFERROR(SUM(VLOOKUP(A10,'預算A1 BIM'!$A$151:$BB$220,{19,20,21,22},0)),0)</f>
        <v>-2637784</v>
      </c>
      <c r="J10" s="226">
        <f t="shared" si="37"/>
        <v>-2138613</v>
      </c>
      <c r="K10" s="226">
        <f>-VLOOKUP(A10,'2026FCST%'!A:AC,27,FALSE)</f>
        <v>0</v>
      </c>
      <c r="L10" s="226">
        <f t="shared" si="38"/>
        <v>8433736</v>
      </c>
      <c r="M10" s="226">
        <f t="shared" si="38"/>
        <v>968651</v>
      </c>
      <c r="N10" s="226">
        <f t="shared" si="1"/>
        <v>9402387</v>
      </c>
      <c r="O10" s="226">
        <f t="shared" si="39"/>
        <v>0</v>
      </c>
      <c r="P10" s="226" cm="1">
        <f t="array" ref="P10">IFERROR(SUM(VLOOKUP($A10,'預算A1 BIM'!$A$77:$BB$143,{25},0)),0)+S10</f>
        <v>69016</v>
      </c>
      <c r="Q10" s="226" cm="1">
        <f t="array" ref="Q10">IFERROR(SUM(VLOOKUP($A10,'預算A1 BIM'!$A$151:$BB$220,{25},0)),0)</f>
        <v>7926</v>
      </c>
      <c r="R10" s="226">
        <f t="shared" si="2"/>
        <v>76942</v>
      </c>
      <c r="S10" s="226"/>
      <c r="T10" s="226" cm="1">
        <f t="array" ref="T10">IFERROR(SUM(VLOOKUP($A10,'預算A1 BIM'!$A$77:$BB$143,{26},0)),0)+W10</f>
        <v>45192</v>
      </c>
      <c r="U10" s="226" cm="1">
        <f t="array" ref="U10">IFERROR(SUM(VLOOKUP($A10,'預算A1 BIM'!$A$151:$BB$220,{26},0)),0)</f>
        <v>5191</v>
      </c>
      <c r="V10" s="226">
        <f t="shared" si="3"/>
        <v>50383</v>
      </c>
      <c r="W10" s="226"/>
      <c r="X10" s="226" cm="1">
        <f t="array" ref="X10">IFERROR(SUM(VLOOKUP($A10,'預算A1 BIM'!$A$77:$BB$143,{27},0)),0)+AA10</f>
        <v>27324</v>
      </c>
      <c r="Y10" s="226" cm="1">
        <f t="array" ref="Y10">IFERROR(SUM(VLOOKUP($A10,'預算A1 BIM'!$A$151:$BB$220,{27},0)),0)</f>
        <v>3138</v>
      </c>
      <c r="Z10" s="226">
        <f t="shared" si="4"/>
        <v>30462</v>
      </c>
      <c r="AA10" s="226"/>
      <c r="AB10" s="226" cm="1">
        <f t="array" ref="AB10">IFERROR(SUM(VLOOKUP($A10,'預算A1 BIM'!$A$77:$BB$143,{28},0)),0)+AE10</f>
        <v>27324</v>
      </c>
      <c r="AC10" s="226" cm="1">
        <f t="array" ref="AC10">IFERROR(SUM(VLOOKUP($A10,'預算A1 BIM'!$A$151:$BB$220,{28},0)),0)</f>
        <v>3138</v>
      </c>
      <c r="AD10" s="226">
        <f t="shared" si="5"/>
        <v>30462</v>
      </c>
      <c r="AE10" s="226"/>
      <c r="AF10" s="226" cm="1">
        <f t="array" ref="AF10">IFERROR(SUM(VLOOKUP($A10,'預算A1 BIM'!$A$77:$BB$143,{29},0)),0)+AI10</f>
        <v>92841</v>
      </c>
      <c r="AG10" s="226" cm="1">
        <f t="array" ref="AG10">IFERROR(SUM(VLOOKUP($A10,'預算A1 BIM'!$A$151:$BB$220,{29},0)),0)</f>
        <v>10664</v>
      </c>
      <c r="AH10" s="226">
        <f t="shared" si="6"/>
        <v>103505</v>
      </c>
      <c r="AI10" s="226"/>
      <c r="AJ10" s="226" cm="1">
        <f t="array" ref="AJ10">IFERROR(SUM(VLOOKUP($A10,'預算A1 BIM'!$A$77:$BB$143,{30},0)),0)+AM10</f>
        <v>83061</v>
      </c>
      <c r="AK10" s="226" cm="1">
        <f t="array" ref="AK10">IFERROR(SUM(VLOOKUP($A10,'預算A1 BIM'!$A$151:$BB$220,{30},0)),0)</f>
        <v>9540</v>
      </c>
      <c r="AL10" s="226">
        <f t="shared" si="7"/>
        <v>92601</v>
      </c>
      <c r="AM10" s="226"/>
      <c r="AN10" s="226" cm="1">
        <f t="array" ref="AN10">IFERROR(SUM(VLOOKUP($A10,'預算A1 BIM'!$A$77:$BB$143,{31},0)),0)+AQ10</f>
        <v>63061</v>
      </c>
      <c r="AO10" s="226" cm="1">
        <f t="array" ref="AO10">IFERROR(SUM(VLOOKUP($A10,'預算A1 BIM'!$A$151:$BB$220,{31},0)),0)-AQ10</f>
        <v>7242</v>
      </c>
      <c r="AP10" s="226">
        <f t="shared" si="8"/>
        <v>70303</v>
      </c>
      <c r="AQ10" s="226"/>
      <c r="AR10" s="226" cm="1">
        <f t="array" ref="AR10">IFERROR(SUM(VLOOKUP($A10,'預算A1 BIM'!$A$77:$BB$143,{32},0)),0)+AU10</f>
        <v>33280</v>
      </c>
      <c r="AS10" s="226" cm="1">
        <f t="array" ref="AS10">IFERROR(SUM(VLOOKUP($A10,'預算A1 BIM'!$A$151:$BB$220,{32},0)),0)-AU10</f>
        <v>3823</v>
      </c>
      <c r="AT10" s="226">
        <f t="shared" si="9"/>
        <v>37103</v>
      </c>
      <c r="AU10" s="226"/>
      <c r="AV10" s="226" cm="1">
        <f t="array" ref="AV10">IFERROR(SUM(VLOOKUP($A10,'預算A1 BIM'!$A$77:$BB$143,{33},0)),0)+AY10</f>
        <v>27324</v>
      </c>
      <c r="AW10" s="226" cm="1">
        <f t="array" ref="AW10">IFERROR(SUM(VLOOKUP($A10,'預算A1 BIM'!$A$151:$BB$220,{33},0)),0)-AY10</f>
        <v>3138</v>
      </c>
      <c r="AX10" s="226">
        <f t="shared" si="44"/>
        <v>30462</v>
      </c>
      <c r="AY10" s="226"/>
      <c r="AZ10" s="226" cm="1">
        <f t="array" ref="AZ10">IFERROR(SUM(VLOOKUP($A10,'預算A1 BIM'!$A$77:$BB$143,{34},0)),0)+BC10</f>
        <v>29706</v>
      </c>
      <c r="BA10" s="226" cm="1">
        <f t="array" ref="BA10">IFERROR(SUM(VLOOKUP($A10,'預算A1 BIM'!$A$151:$BB$220,{34},0)),0)-BC10</f>
        <v>3412</v>
      </c>
      <c r="BB10" s="226">
        <f t="shared" si="11"/>
        <v>33118</v>
      </c>
      <c r="BC10" s="226"/>
      <c r="BD10" s="226" cm="1">
        <f t="array" ref="BD10">IFERROR(SUM(VLOOKUP($A10,'預算A1 BIM'!$A$77:$BB$143,{35},0)),0)+BG10</f>
        <v>42810</v>
      </c>
      <c r="BE10" s="226" cm="1">
        <f t="array" ref="BE10">IFERROR(SUM(VLOOKUP($A10,'預算A1 BIM'!$A$151:$BB$220,{35},0)),0)-BG10</f>
        <v>4917</v>
      </c>
      <c r="BF10" s="226">
        <f t="shared" si="12"/>
        <v>47727</v>
      </c>
      <c r="BG10" s="226"/>
      <c r="BH10" s="226" cm="1">
        <f t="array" ref="BH10">IFERROR(SUM(VLOOKUP($A10,'預算A1 BIM'!$A$77:$BB$143,{36},0)),0)+BK10</f>
        <v>62810</v>
      </c>
      <c r="BI10" s="226" cm="1">
        <f t="array" ref="BI10">IFERROR(SUM(VLOOKUP($A10,'預算A1 BIM'!$A$151:$BB$220,{36},0)),0)-BK10</f>
        <v>7214</v>
      </c>
      <c r="BJ10" s="226">
        <f t="shared" si="13"/>
        <v>70024</v>
      </c>
      <c r="BK10" s="226"/>
      <c r="BL10" s="226">
        <f>SUMIF($P$4:$BK$4,$BL$4,$P10:$BK$65)</f>
        <v>603749</v>
      </c>
      <c r="BM10" s="226">
        <f>SUMIF($P$4:$BK$4,$BM$4,$P10:$BK$65)</f>
        <v>69343</v>
      </c>
      <c r="BN10" s="226">
        <f t="shared" si="14"/>
        <v>673092</v>
      </c>
      <c r="BO10" s="226">
        <f>SUMIF($P$4:$BK$4,$BO$4,$P10:$BK$65)</f>
        <v>0</v>
      </c>
      <c r="BP10" s="226">
        <f t="shared" si="40"/>
        <v>9037485</v>
      </c>
      <c r="BQ10" s="226">
        <f t="shared" si="15"/>
        <v>1037994</v>
      </c>
      <c r="BR10" s="226">
        <f t="shared" si="16"/>
        <v>10075479</v>
      </c>
      <c r="BS10" s="226">
        <f t="shared" si="17"/>
        <v>0</v>
      </c>
      <c r="BT10" s="226" cm="1">
        <f t="array" ref="BT10">IFERROR(SUM(VLOOKUP($A10,'預算A1 BIM'!$A$77:$BB$143,{39},0)),0)+BW10</f>
        <v>609304</v>
      </c>
      <c r="BU10" s="226" cm="1">
        <f t="array" ref="BU10">IFERROR(SUM(VLOOKUP($A10,'預算A1 BIM'!$A$151:$BB$220,{39},0)),0)-BW10</f>
        <v>69981</v>
      </c>
      <c r="BV10" s="226">
        <f t="shared" si="18"/>
        <v>679285</v>
      </c>
      <c r="BW10" s="226"/>
      <c r="BX10" s="226">
        <f t="shared" si="41"/>
        <v>9646789</v>
      </c>
      <c r="BY10" s="226">
        <f t="shared" si="19"/>
        <v>1107975</v>
      </c>
      <c r="BZ10" s="226">
        <f t="shared" si="20"/>
        <v>10754764</v>
      </c>
      <c r="CA10" s="226">
        <f t="shared" si="42"/>
        <v>0</v>
      </c>
      <c r="CB10" s="226" cm="1">
        <f t="array" ref="CB10">IFERROR(SUM(VLOOKUP($A10,'預算A1 BIM'!$A$77:$BB$143,{40},0)),0)+CE10</f>
        <v>537103</v>
      </c>
      <c r="CC10" s="226" cm="1">
        <f t="array" ref="CC10">IFERROR(SUM(VLOOKUP($A10,'預算A1 BIM'!$A$151:$BB$220,{40},0)),0)-CE10</f>
        <v>61688</v>
      </c>
      <c r="CD10" s="226">
        <f t="shared" si="43"/>
        <v>598791</v>
      </c>
      <c r="CE10" s="226"/>
      <c r="CF10" s="226">
        <f t="shared" si="22"/>
        <v>10183892</v>
      </c>
      <c r="CG10" s="226">
        <f t="shared" si="23"/>
        <v>1169663</v>
      </c>
      <c r="CH10" s="226">
        <f t="shared" si="24"/>
        <v>11353555</v>
      </c>
      <c r="CI10" s="226">
        <f t="shared" si="25"/>
        <v>0</v>
      </c>
      <c r="CJ10" s="226" cm="1">
        <f t="array" ref="CJ10">IFERROR(SUM(VLOOKUP($A10,'預算A1 BIM'!$A$77:$BB$143,{41},0)),0)+CM10</f>
        <v>541875</v>
      </c>
      <c r="CK10" s="226" cm="1">
        <f t="array" ref="CK10">IFERROR(SUM(VLOOKUP($A10,'預算A1 BIM'!$A$151:$BB$220,{41},0)),0)-CM10</f>
        <v>62237</v>
      </c>
      <c r="CL10" s="226">
        <f t="shared" si="26"/>
        <v>604112</v>
      </c>
      <c r="CM10" s="226"/>
      <c r="CN10" s="226">
        <f t="shared" si="27"/>
        <v>10725767</v>
      </c>
      <c r="CO10" s="226">
        <f t="shared" si="28"/>
        <v>1231900</v>
      </c>
      <c r="CP10" s="226">
        <f t="shared" si="29"/>
        <v>11957667</v>
      </c>
      <c r="CQ10" s="226">
        <f t="shared" si="30"/>
        <v>0</v>
      </c>
      <c r="CR10" s="226" cm="1">
        <f t="array" ref="CR10">IFERROR(SUM(VLOOKUP($A10,'預算A1 BIM'!$A$77:$BB$143,{42},0)),0)+CU10</f>
        <v>709714</v>
      </c>
      <c r="CS10" s="226" cm="1">
        <f t="array" ref="CS10">IFERROR(SUM(VLOOKUP($A10,'預算A1 BIM'!$A$151:$BB$220,{42},0)),0)-CU10</f>
        <v>81514</v>
      </c>
      <c r="CT10" s="226">
        <f t="shared" si="31"/>
        <v>791228</v>
      </c>
      <c r="CU10" s="226"/>
      <c r="CV10" s="226">
        <f t="shared" si="32"/>
        <v>11435481</v>
      </c>
      <c r="CW10" s="226">
        <f t="shared" si="33"/>
        <v>1313414</v>
      </c>
      <c r="CX10" s="226">
        <f t="shared" si="34"/>
        <v>12748895</v>
      </c>
      <c r="CY10" s="226">
        <f t="shared" si="35"/>
        <v>0</v>
      </c>
    </row>
    <row r="11" spans="1:103" outlineLevel="1">
      <c r="A11" s="175" t="s">
        <v>631</v>
      </c>
      <c r="B11" s="156" t="s">
        <v>632</v>
      </c>
      <c r="C11" s="156" t="s">
        <v>1037</v>
      </c>
      <c r="D11" s="225">
        <f>IFERROR(VLOOKUP(A11,'202608收入成本表'!A:Y,23,0),0)</f>
        <v>2941939</v>
      </c>
      <c r="E11" s="225">
        <f>IFERROR(VLOOKUP(A11,'202608收入成本表'!A:Z,24,0),0)</f>
        <v>673061</v>
      </c>
      <c r="F11" s="226">
        <f t="shared" si="36"/>
        <v>3615000</v>
      </c>
      <c r="G11" s="226"/>
      <c r="H11" s="226" cm="1">
        <f t="array" ref="H11">IFERROR(SUM(VLOOKUP(A11,'預算A1 BIM'!$A$77:$BB$143,{19,20,21,22},0)),0)+K11</f>
        <v>704605</v>
      </c>
      <c r="I11" s="1411" cm="1">
        <f t="array" ref="I11">IFERROR(SUM(VLOOKUP(A11,'預算A1 BIM'!$A$151:$BB$220,{19,20,21,22},0)),0)-K11</f>
        <v>-828871</v>
      </c>
      <c r="J11" s="1411">
        <f t="shared" si="37"/>
        <v>-124266</v>
      </c>
      <c r="K11" s="226">
        <f>-VLOOKUP(A11,'2026FCST%'!A:AC,27,FALSE)</f>
        <v>-39693</v>
      </c>
      <c r="L11" s="226">
        <f t="shared" si="38"/>
        <v>3646544</v>
      </c>
      <c r="M11" s="226">
        <f t="shared" ref="M11:M28" si="45">+E11+I11</f>
        <v>-155810</v>
      </c>
      <c r="N11" s="226">
        <f t="shared" si="1"/>
        <v>3490734</v>
      </c>
      <c r="O11" s="226">
        <f t="shared" si="39"/>
        <v>-39693</v>
      </c>
      <c r="P11" s="226" cm="1">
        <f t="array" ref="P11">IFERROR(SUM(VLOOKUP($A11,'預算A1 BIM'!$A$77:$BB$143,{25},0)),0)+S11</f>
        <v>228712</v>
      </c>
      <c r="Q11" s="226" cm="1">
        <f t="array" ref="Q11">IFERROR(SUM(VLOOKUP($A11,'預算A1 BIM'!$A$151:$BB$220,{25},0)),0)-S11</f>
        <v>-9773</v>
      </c>
      <c r="R11" s="226">
        <f t="shared" si="2"/>
        <v>218939</v>
      </c>
      <c r="S11" s="226">
        <f>-VLOOKUP(A11,'202609-202712-2031完比法各月收入彙總'!$A$70:$AE$78,'202609-202712-2031完比法各月收入彙總'!$N$1,FALSE)</f>
        <v>9773</v>
      </c>
      <c r="T11" s="226" cm="1">
        <f t="array" ref="T11">IFERROR(SUM(VLOOKUP($A11,'預算A1 BIM'!$A$77:$BB$143,{26},0)),0)+W11</f>
        <v>123885</v>
      </c>
      <c r="U11" s="226" cm="1">
        <f t="array" ref="U11">IFERROR(SUM(VLOOKUP($A11,'預算A1 BIM'!$A$151:$BB$220,{26},0)),0)-W11</f>
        <v>-5293</v>
      </c>
      <c r="V11" s="226">
        <f t="shared" si="3"/>
        <v>118592</v>
      </c>
      <c r="W11" s="226">
        <f>-VLOOKUP($A11,'202609-202712-2031完比法各月收入彙總'!$A$70:$AE$78,'202609-202712-2031完比法各月收入彙總'!$O$1,FALSE)</f>
        <v>5293</v>
      </c>
      <c r="X11" s="226" cm="1">
        <f t="array" ref="X11">IFERROR(SUM(VLOOKUP($A11,'預算A1 BIM'!$A$77:$BB$143,{27},0)),0)+AA11</f>
        <v>123885</v>
      </c>
      <c r="Y11" s="226" cm="1">
        <f t="array" ref="Y11">IFERROR(SUM(VLOOKUP($A11,'預算A1 BIM'!$A$151:$BB$220,{27},0)),0)-AA11</f>
        <v>-5293</v>
      </c>
      <c r="Z11" s="226">
        <f t="shared" si="4"/>
        <v>118592</v>
      </c>
      <c r="AA11" s="226">
        <f>-VLOOKUP($A11,'202609-202712-2031完比法各月收入彙總'!$A$70:$AE$78,'202609-202712-2031完比法各月收入彙總'!$P$1,FALSE)</f>
        <v>5293</v>
      </c>
      <c r="AB11" s="226" cm="1">
        <f t="array" ref="AB11">IFERROR(SUM(VLOOKUP($A11,'預算A1 BIM'!$A$77:$BB$143,{28},0)),0)+AE11</f>
        <v>52413</v>
      </c>
      <c r="AC11" s="226" cm="1">
        <f t="array" ref="AC11">IFERROR(SUM(VLOOKUP($A11,'預算A1 BIM'!$A$151:$BB$220,{28},0)),0)-AE11</f>
        <v>-2240</v>
      </c>
      <c r="AD11" s="226">
        <f t="shared" si="5"/>
        <v>50173</v>
      </c>
      <c r="AE11" s="226">
        <f>-VLOOKUP($A11,'202609-202712-2031完比法各月收入彙總'!$A$70:$AE$78,'202609-202712-2031完比法各月收入彙總'!$Q$1,FALSE)</f>
        <v>2240</v>
      </c>
      <c r="AF11" s="226" cm="1">
        <f t="array" ref="AF11">IFERROR(SUM(VLOOKUP($A11,'預算A1 BIM'!$A$77:$BB$143,{29},0)),0)+AI11</f>
        <v>52413</v>
      </c>
      <c r="AG11" s="226" cm="1">
        <f t="array" ref="AG11">IFERROR(SUM(VLOOKUP($A11,'預算A1 BIM'!$A$151:$BB$220,{29},0)),0)-AI11</f>
        <v>-2239</v>
      </c>
      <c r="AH11" s="226">
        <f t="shared" si="6"/>
        <v>50174</v>
      </c>
      <c r="AI11" s="226">
        <f>-VLOOKUP($A11,'202609-202712-2031完比法各月收入彙總'!$A$70:$AE$78,'202609-202712-2031完比法各月收入彙總'!$R$1,FALSE)</f>
        <v>2239</v>
      </c>
      <c r="AJ11" s="226" cm="1">
        <f t="array" ref="AJ11">IFERROR(SUM(VLOOKUP($A11,'預算A1 BIM'!$A$77:$BB$143,{30},0)),0)+AM11</f>
        <v>52413</v>
      </c>
      <c r="AK11" s="226" cm="1">
        <f t="array" ref="AK11">IFERROR(SUM(VLOOKUP($A11,'預算A1 BIM'!$A$151:$BB$220,{30},0)),0)-AM11</f>
        <v>-2240</v>
      </c>
      <c r="AL11" s="226">
        <f t="shared" si="7"/>
        <v>50173</v>
      </c>
      <c r="AM11" s="226">
        <f>-VLOOKUP($A11,'202609-202712-2031完比法各月收入彙總'!$A$70:$AE$78,'202609-202712-2031完比法各月收入彙總'!$S$1,FALSE)</f>
        <v>2240</v>
      </c>
      <c r="AN11" s="226" cm="1">
        <f t="array" ref="AN11">IFERROR(SUM(VLOOKUP($A11,'預算A1 BIM'!$A$77:$BB$143,{31},0)),0)+AQ11</f>
        <v>76238</v>
      </c>
      <c r="AO11" s="226" cm="1">
        <f t="array" ref="AO11">IFERROR(SUM(VLOOKUP($A11,'預算A1 BIM'!$A$151:$BB$220,{31},0)),0)-AQ11</f>
        <v>-3258</v>
      </c>
      <c r="AP11" s="226">
        <f t="shared" si="8"/>
        <v>72980</v>
      </c>
      <c r="AQ11" s="226">
        <f>-VLOOKUP($A11,'202609-202712-2031完比法各月收入彙總'!$A$70:$AE$78,'202609-202712-2031完比法各月收入彙總'!$T$1,FALSE)</f>
        <v>3258</v>
      </c>
      <c r="AR11" s="226" cm="1">
        <f t="array" ref="AR11">IFERROR(SUM(VLOOKUP($A11,'預算A1 BIM'!$A$77:$BB$143,{32},0)),0)+AU11</f>
        <v>0</v>
      </c>
      <c r="AS11" s="226" cm="1">
        <f t="array" ref="AS11">IFERROR(SUM(VLOOKUP($A11,'預算A1 BIM'!$A$151:$BB$220,{32},0)),0)-AU11</f>
        <v>0</v>
      </c>
      <c r="AT11" s="226">
        <f t="shared" si="9"/>
        <v>0</v>
      </c>
      <c r="AU11" s="226">
        <f>-VLOOKUP($A11,'202609-202712-2031完比法各月收入彙總'!$A$70:$AE$78,'202609-202712-2031完比法各月收入彙總'!$U$1,FALSE)</f>
        <v>0</v>
      </c>
      <c r="AV11" s="226" cm="1">
        <f t="array" ref="AV11">IFERROR(SUM(VLOOKUP($A11,'預算A1 BIM'!$A$77:$BB$143,{33},0)),0)+AY11</f>
        <v>0</v>
      </c>
      <c r="AW11" s="226" cm="1">
        <f t="array" ref="AW11">IFERROR(SUM(VLOOKUP($A11,'預算A1 BIM'!$A$151:$BB$220,{33},0)),0)-AY11</f>
        <v>0</v>
      </c>
      <c r="AX11" s="226">
        <f t="shared" si="44"/>
        <v>0</v>
      </c>
      <c r="AY11" s="226">
        <f>-VLOOKUP($A11,'202609-202712-2031完比法各月收入彙總'!$A$70:$AE$78,'202609-202712-2031完比法各月收入彙總'!$V$1,FALSE)</f>
        <v>0</v>
      </c>
      <c r="AZ11" s="226" cm="1">
        <f t="array" ref="AZ11">IFERROR(SUM(VLOOKUP($A11,'預算A1 BIM'!$A$77:$BB$143,{34},0)),0)+BC11</f>
        <v>0</v>
      </c>
      <c r="BA11" s="226" cm="1">
        <f t="array" ref="BA11">IFERROR(SUM(VLOOKUP($A11,'預算A1 BIM'!$A$151:$BB$220,{34},0)),0)-BC11</f>
        <v>0</v>
      </c>
      <c r="BB11" s="226">
        <f t="shared" si="11"/>
        <v>0</v>
      </c>
      <c r="BC11" s="226">
        <f>-VLOOKUP($A11,'202609-202712-2031完比法各月收入彙總'!$A$70:$AE$78,'202609-202712-2031完比法各月收入彙總'!$W$1,FALSE)</f>
        <v>0</v>
      </c>
      <c r="BD11" s="226" cm="1">
        <f t="array" ref="BD11">IFERROR(SUM(VLOOKUP($A11,'預算A1 BIM'!$A$77:$BB$143,{35},0)),0)+BG11</f>
        <v>0</v>
      </c>
      <c r="BE11" s="226" cm="1">
        <f t="array" ref="BE11">IFERROR(SUM(VLOOKUP($A11,'預算A1 BIM'!$A$151:$BB$220,{35},0)),0)-BG11</f>
        <v>0</v>
      </c>
      <c r="BF11" s="226">
        <f t="shared" si="12"/>
        <v>0</v>
      </c>
      <c r="BG11" s="226">
        <f>-VLOOKUP($A11,'202609-202712-2031完比法各月收入彙總'!$A$70:$AE$78,'202609-202712-2031完比法各月收入彙總'!$X$1,FALSE)</f>
        <v>0</v>
      </c>
      <c r="BH11" s="226" cm="1">
        <f t="array" ref="BH11">IFERROR(SUM(VLOOKUP($A11,'預算A1 BIM'!$A$77:$BB$143,{36},0)),0)+BK11</f>
        <v>219000</v>
      </c>
      <c r="BI11" s="226" cm="1">
        <f t="array" ref="BI11">IFERROR(SUM(VLOOKUP($A11,'預算A1 BIM'!$A$151:$BB$220,{36},0)),0)-BK11</f>
        <v>-9357</v>
      </c>
      <c r="BJ11" s="226">
        <f t="shared" si="13"/>
        <v>209643</v>
      </c>
      <c r="BK11" s="226">
        <f>-VLOOKUP($A11,'202609-202712-2031完比法各月收入彙總'!$A$70:$AE$78,'202609-202712-2031完比法各月收入彙總'!$Y$1,FALSE)</f>
        <v>9357</v>
      </c>
      <c r="BL11" s="226">
        <f>SUMIF($P$4:$BK$4,$BL$4,$P11:$BK$65)</f>
        <v>928959</v>
      </c>
      <c r="BM11" s="226">
        <f>SUMIF($P$4:$BK$4,$BM$4,$P11:$BK$65)</f>
        <v>-39693</v>
      </c>
      <c r="BN11" s="226">
        <f t="shared" si="14"/>
        <v>889266</v>
      </c>
      <c r="BO11" s="226">
        <f>SUMIF($P$4:$BK$4,$BO$4,$P11:$BK$65)</f>
        <v>39693</v>
      </c>
      <c r="BP11" s="226">
        <f t="shared" si="40"/>
        <v>4575503</v>
      </c>
      <c r="BQ11" s="226">
        <f t="shared" si="15"/>
        <v>-195503</v>
      </c>
      <c r="BR11" s="226">
        <f t="shared" si="16"/>
        <v>4380000</v>
      </c>
      <c r="BS11" s="226">
        <f t="shared" si="17"/>
        <v>0</v>
      </c>
      <c r="BT11" s="226" cm="1">
        <f t="array" ref="BT11">IFERROR(SUM(VLOOKUP($A11,'預算A1 BIM'!$A$77:$BB$143,{39},0)),0)+BW11</f>
        <v>0</v>
      </c>
      <c r="BU11" s="226" cm="1">
        <f t="array" ref="BU11">IFERROR(SUM(VLOOKUP($A11,'預算A1 BIM'!$A$151:$BB$220,{39},0)),0)-BW11</f>
        <v>0</v>
      </c>
      <c r="BV11" s="226">
        <f t="shared" si="18"/>
        <v>0</v>
      </c>
      <c r="BW11" s="226">
        <f>-VLOOKUP($A11,'202609-202712-2031完比法各月收入彙總'!$A$70:$AE$78,'202609-202712-2031完比法各月收入彙總'!$AA$1,FALSE)</f>
        <v>0</v>
      </c>
      <c r="BX11" s="226">
        <f t="shared" si="41"/>
        <v>4575503</v>
      </c>
      <c r="BY11" s="226">
        <f t="shared" si="19"/>
        <v>-195503</v>
      </c>
      <c r="BZ11" s="226">
        <f t="shared" si="20"/>
        <v>4380000</v>
      </c>
      <c r="CA11" s="226">
        <f t="shared" si="42"/>
        <v>0</v>
      </c>
      <c r="CB11" s="226" cm="1">
        <f t="array" ref="CB11">IFERROR(SUM(VLOOKUP($A11,'預算A1 BIM'!$A$77:$BB$143,{40},0)),0)+CE11</f>
        <v>0</v>
      </c>
      <c r="CC11" s="226" cm="1">
        <f t="array" ref="CC11">IFERROR(SUM(VLOOKUP($A11,'預算A1 BIM'!$A$151:$BB$220,{40},0)),0)-CE11</f>
        <v>0</v>
      </c>
      <c r="CD11" s="226">
        <f t="shared" si="43"/>
        <v>0</v>
      </c>
      <c r="CE11" s="226">
        <f>-VLOOKUP($A11,'202609-202712-2031完比法各月收入彙總'!$A$70:$AE$78,'202609-202712-2031完比法各月收入彙總'!$AB$1,FALSE)</f>
        <v>0</v>
      </c>
      <c r="CF11" s="226">
        <f t="shared" si="22"/>
        <v>4575503</v>
      </c>
      <c r="CG11" s="226">
        <f t="shared" si="23"/>
        <v>-195503</v>
      </c>
      <c r="CH11" s="226">
        <f t="shared" si="24"/>
        <v>4380000</v>
      </c>
      <c r="CI11" s="226">
        <f t="shared" si="25"/>
        <v>0</v>
      </c>
      <c r="CJ11" s="226" cm="1">
        <f t="array" ref="CJ11">IFERROR(SUM(VLOOKUP($A11,'預算A1 BIM'!$A$77:$BB$143,{41},0)),0)+CM11</f>
        <v>0</v>
      </c>
      <c r="CK11" s="226" cm="1">
        <f t="array" ref="CK11">IFERROR(SUM(VLOOKUP($A11,'預算A1 BIM'!$A$151:$BB$220,{41},0)),0)-CM11</f>
        <v>0</v>
      </c>
      <c r="CL11" s="226">
        <f t="shared" si="26"/>
        <v>0</v>
      </c>
      <c r="CM11" s="226">
        <f>-VLOOKUP($A11,'202609-202712-2031完比法各月收入彙總'!$A$70:$AE$78,'202609-202712-2031完比法各月收入彙總'!$AC$1,FALSE)</f>
        <v>0</v>
      </c>
      <c r="CN11" s="226">
        <f t="shared" si="27"/>
        <v>4575503</v>
      </c>
      <c r="CO11" s="226">
        <f t="shared" si="28"/>
        <v>-195503</v>
      </c>
      <c r="CP11" s="226">
        <f t="shared" si="29"/>
        <v>4380000</v>
      </c>
      <c r="CQ11" s="226">
        <f t="shared" si="30"/>
        <v>0</v>
      </c>
      <c r="CR11" s="226" cm="1">
        <f t="array" ref="CR11">IFERROR(SUM(VLOOKUP($A11,'預算A1 BIM'!$A$77:$BB$143,{42},0)),0)+CU11</f>
        <v>0</v>
      </c>
      <c r="CS11" s="226" cm="1">
        <f t="array" ref="CS11">IFERROR(SUM(VLOOKUP($A11,'預算A1 BIM'!$A$151:$BB$220,{42},0)),0)-CU11</f>
        <v>0</v>
      </c>
      <c r="CT11" s="226">
        <f t="shared" si="31"/>
        <v>0</v>
      </c>
      <c r="CU11" s="226">
        <f>-VLOOKUP($A11,'202609-202712-2031完比法各月收入彙總'!$A$70:$AE$78,'202609-202712-2031完比法各月收入彙總'!$AC$1,FALSE)</f>
        <v>0</v>
      </c>
      <c r="CV11" s="226">
        <f t="shared" si="32"/>
        <v>4575503</v>
      </c>
      <c r="CW11" s="226">
        <f t="shared" si="33"/>
        <v>-195503</v>
      </c>
      <c r="CX11" s="226">
        <f t="shared" si="34"/>
        <v>4380000</v>
      </c>
      <c r="CY11" s="226">
        <f t="shared" si="35"/>
        <v>0</v>
      </c>
    </row>
    <row r="12" spans="1:103" s="1401" customFormat="1" outlineLevel="1">
      <c r="A12" s="1397" t="s">
        <v>633</v>
      </c>
      <c r="B12" s="1398" t="s">
        <v>1968</v>
      </c>
      <c r="C12" s="1398" t="s">
        <v>1245</v>
      </c>
      <c r="D12" s="1399">
        <f>IFERROR(VLOOKUP(A12,'202608收入成本表'!A:Y,23,0),0)</f>
        <v>589788</v>
      </c>
      <c r="E12" s="1399">
        <f>IFERROR(VLOOKUP(A12,'202608收入成本表'!A:Z,24,0),0)</f>
        <v>-589788</v>
      </c>
      <c r="F12" s="1400">
        <f t="shared" si="36"/>
        <v>0</v>
      </c>
      <c r="G12" s="1400"/>
      <c r="H12" s="1400" cm="1">
        <f t="array" ref="H12">IFERROR(SUM(VLOOKUP(A12,'預算A1 BIM'!$A$77:$BB$143,{19,20,21,22},0)),0)</f>
        <v>672829</v>
      </c>
      <c r="I12" s="1400" cm="1">
        <f t="array" ref="I12">IFERROR(SUM(VLOOKUP(A12,'預算A1 BIM'!$A$151:$BB$220,{19,20,21,22},0)),0)</f>
        <v>895048</v>
      </c>
      <c r="J12" s="1400">
        <f t="shared" si="37"/>
        <v>1567877</v>
      </c>
      <c r="K12" s="1400">
        <f>-VLOOKUP(A12,'2026FCST%'!A:AC,27,FALSE)</f>
        <v>0</v>
      </c>
      <c r="L12" s="1400">
        <f t="shared" si="38"/>
        <v>1262617</v>
      </c>
      <c r="M12" s="1400">
        <f t="shared" si="45"/>
        <v>305260</v>
      </c>
      <c r="N12" s="1400">
        <f t="shared" si="1"/>
        <v>1567877</v>
      </c>
      <c r="O12" s="1400">
        <f t="shared" si="39"/>
        <v>0</v>
      </c>
      <c r="P12" s="226" cm="1">
        <f t="array" ref="P12">IFERROR(SUM(VLOOKUP($A12,'預算A1 BIM'!$A$77:$BB$143,{25},0)),0)+S12</f>
        <v>0</v>
      </c>
      <c r="Q12" s="226" cm="1">
        <f t="array" ref="Q12">IFERROR(SUM(VLOOKUP($A12,'預算A1 BIM'!$A$151:$BB$220,{25},0)),0)</f>
        <v>0</v>
      </c>
      <c r="R12" s="1400">
        <f t="shared" si="2"/>
        <v>0</v>
      </c>
      <c r="S12" s="1400"/>
      <c r="T12" s="226" cm="1">
        <f t="array" ref="T12">IFERROR(SUM(VLOOKUP($A12,'預算A1 BIM'!$A$77:$BB$143,{26},0)),0)+W12</f>
        <v>0</v>
      </c>
      <c r="U12" s="226" cm="1">
        <f t="array" ref="U12">IFERROR(SUM(VLOOKUP($A12,'預算A1 BIM'!$A$151:$BB$220,{26},0)),0)</f>
        <v>0</v>
      </c>
      <c r="V12" s="1400">
        <f t="shared" si="3"/>
        <v>0</v>
      </c>
      <c r="W12" s="1400"/>
      <c r="X12" s="226" cm="1">
        <f t="array" ref="X12">IFERROR(SUM(VLOOKUP($A12,'預算A1 BIM'!$A$77:$BB$143,{27},0)),0)+AA12</f>
        <v>166770</v>
      </c>
      <c r="Y12" s="226" cm="1">
        <f t="array" ref="Y12">IFERROR(SUM(VLOOKUP($A12,'預算A1 BIM'!$A$151:$BB$220,{27},0)),0)</f>
        <v>40319</v>
      </c>
      <c r="Z12" s="1400">
        <f t="shared" si="4"/>
        <v>207089</v>
      </c>
      <c r="AA12" s="1400"/>
      <c r="AB12" s="226" cm="1">
        <f t="array" ref="AB12">IFERROR(SUM(VLOOKUP($A12,'預算A1 BIM'!$A$77:$BB$143,{28},0)),0)+AE12</f>
        <v>39310</v>
      </c>
      <c r="AC12" s="226" cm="1">
        <f t="array" ref="AC12">IFERROR(SUM(VLOOKUP($A12,'預算A1 BIM'!$A$151:$BB$220,{28},0)),0)</f>
        <v>9504</v>
      </c>
      <c r="AD12" s="226">
        <f t="shared" ref="AD12:AD28" si="46">SUM(AB12:AC12)</f>
        <v>48814</v>
      </c>
      <c r="AE12" s="1400"/>
      <c r="AF12" s="226" cm="1">
        <f t="array" ref="AF12">IFERROR(SUM(VLOOKUP($A12,'預算A1 BIM'!$A$77:$BB$143,{29},0)),0)+AI12</f>
        <v>39310</v>
      </c>
      <c r="AG12" s="226" cm="1">
        <f t="array" ref="AG12">IFERROR(SUM(VLOOKUP($A12,'預算A1 BIM'!$A$151:$BB$220,{29},0)),0)</f>
        <v>9504</v>
      </c>
      <c r="AH12" s="226">
        <f t="shared" si="6"/>
        <v>48814</v>
      </c>
      <c r="AI12" s="1400"/>
      <c r="AJ12" s="226" cm="1">
        <f t="array" ref="AJ12">IFERROR(SUM(VLOOKUP($A12,'預算A1 BIM'!$A$77:$BB$143,{30},0)),0)+AM12</f>
        <v>69310</v>
      </c>
      <c r="AK12" s="226" cm="1">
        <f t="array" ref="AK12">IFERROR(SUM(VLOOKUP($A12,'預算A1 BIM'!$A$151:$BB$220,{30},0)),0)</f>
        <v>16757</v>
      </c>
      <c r="AL12" s="226">
        <f t="shared" si="7"/>
        <v>86067</v>
      </c>
      <c r="AM12" s="1400"/>
      <c r="AN12" s="226" cm="1">
        <f t="array" ref="AN12">IFERROR(SUM(VLOOKUP($A12,'預算A1 BIM'!$A$77:$BB$143,{31},0)),0)+AQ12</f>
        <v>39310</v>
      </c>
      <c r="AO12" s="226" cm="1">
        <f t="array" ref="AO12">IFERROR(SUM(VLOOKUP($A12,'預算A1 BIM'!$A$151:$BB$220,{31},0)),0)-AQ12</f>
        <v>9504</v>
      </c>
      <c r="AP12" s="226">
        <f t="shared" si="8"/>
        <v>48814</v>
      </c>
      <c r="AQ12" s="1400"/>
      <c r="AR12" s="226" cm="1">
        <f t="array" ref="AR12">IFERROR(SUM(VLOOKUP($A12,'預算A1 BIM'!$A$77:$BB$143,{32},0)),0)+AU12</f>
        <v>39310</v>
      </c>
      <c r="AS12" s="226" cm="1">
        <f t="array" ref="AS12">IFERROR(SUM(VLOOKUP($A12,'預算A1 BIM'!$A$151:$BB$220,{32},0)),0)-AU12</f>
        <v>9503</v>
      </c>
      <c r="AT12" s="226">
        <f t="shared" si="9"/>
        <v>48813</v>
      </c>
      <c r="AU12" s="1400"/>
      <c r="AV12" s="226" cm="1">
        <f t="array" ref="AV12">IFERROR(SUM(VLOOKUP($A12,'預算A1 BIM'!$A$77:$BB$143,{33},0)),0)+AY12</f>
        <v>39310</v>
      </c>
      <c r="AW12" s="226" cm="1">
        <f t="array" ref="AW12">IFERROR(SUM(VLOOKUP($A12,'預算A1 BIM'!$A$151:$BB$220,{33},0)),0)-AY12</f>
        <v>9504</v>
      </c>
      <c r="AX12" s="226">
        <f t="shared" si="44"/>
        <v>48814</v>
      </c>
      <c r="AY12" s="1400"/>
      <c r="AZ12" s="226" cm="1">
        <f t="array" ref="AZ12">IFERROR(SUM(VLOOKUP($A12,'預算A1 BIM'!$A$77:$BB$143,{34},0)),0)+BC12</f>
        <v>39310</v>
      </c>
      <c r="BA12" s="226" cm="1">
        <f t="array" ref="BA12">IFERROR(SUM(VLOOKUP($A12,'預算A1 BIM'!$A$151:$BB$220,{34},0)),0)-BC12</f>
        <v>9504</v>
      </c>
      <c r="BB12" s="226">
        <f t="shared" si="11"/>
        <v>48814</v>
      </c>
      <c r="BC12" s="1400"/>
      <c r="BD12" s="226" cm="1">
        <f t="array" ref="BD12">IFERROR(SUM(VLOOKUP($A12,'預算A1 BIM'!$A$77:$BB$143,{35},0)),0)+BG12</f>
        <v>39310</v>
      </c>
      <c r="BE12" s="226" cm="1">
        <f t="array" ref="BE12">IFERROR(SUM(VLOOKUP($A12,'預算A1 BIM'!$A$151:$BB$220,{35},0)),0)-BG12</f>
        <v>9504</v>
      </c>
      <c r="BF12" s="226">
        <f t="shared" si="12"/>
        <v>48814</v>
      </c>
      <c r="BG12" s="1400"/>
      <c r="BH12" s="226" cm="1">
        <f t="array" ref="BH12">IFERROR(SUM(VLOOKUP($A12,'預算A1 BIM'!$A$77:$BB$143,{36},0)),0)+BK12</f>
        <v>79310</v>
      </c>
      <c r="BI12" s="226" cm="1">
        <f t="array" ref="BI12">IFERROR(SUM(VLOOKUP($A12,'預算A1 BIM'!$A$151:$BB$220,{36},0)),0)-BK12</f>
        <v>19175</v>
      </c>
      <c r="BJ12" s="226">
        <f t="shared" si="13"/>
        <v>98485</v>
      </c>
      <c r="BK12" s="1400"/>
      <c r="BL12" s="1400">
        <f>SUMIF($P$4:$BK$4,$BL$4,$P12:$BK$65)</f>
        <v>590560</v>
      </c>
      <c r="BM12" s="1400">
        <f>SUMIF($P$4:$BK$4,$BM$4,$P12:$BK$65)</f>
        <v>142778</v>
      </c>
      <c r="BN12" s="1400">
        <f t="shared" si="14"/>
        <v>733338</v>
      </c>
      <c r="BO12" s="1400">
        <f>SUMIF($P$4:$BK$4,$BO$4,$P12:$BK$65)</f>
        <v>0</v>
      </c>
      <c r="BP12" s="1400">
        <f t="shared" si="40"/>
        <v>1853177</v>
      </c>
      <c r="BQ12" s="1400">
        <f t="shared" si="15"/>
        <v>448038</v>
      </c>
      <c r="BR12" s="1400">
        <f t="shared" si="16"/>
        <v>2301215</v>
      </c>
      <c r="BS12" s="1400">
        <f t="shared" si="17"/>
        <v>0</v>
      </c>
      <c r="BT12" s="226" cm="1">
        <f t="array" ref="BT12">IFERROR(SUM(VLOOKUP($A12,'預算A1 BIM'!$A$77:$BB$143,{39},0)),0)+BW12</f>
        <v>285067</v>
      </c>
      <c r="BU12" s="226" cm="1">
        <f t="array" ref="BU12">IFERROR(SUM(VLOOKUP($A12,'預算A1 BIM'!$A$151:$BB$220,{39},0)),0)-BW12</f>
        <v>68920</v>
      </c>
      <c r="BV12" s="226">
        <f t="shared" si="18"/>
        <v>353987</v>
      </c>
      <c r="BW12" s="1400"/>
      <c r="BX12" s="1400">
        <f t="shared" si="41"/>
        <v>2138244</v>
      </c>
      <c r="BY12" s="1400">
        <f t="shared" si="19"/>
        <v>516958</v>
      </c>
      <c r="BZ12" s="1400">
        <f t="shared" si="20"/>
        <v>2655202</v>
      </c>
      <c r="CA12" s="1400">
        <f t="shared" si="42"/>
        <v>0</v>
      </c>
      <c r="CB12" s="226" cm="1">
        <f t="array" ref="CB12">IFERROR(SUM(VLOOKUP($A12,'預算A1 BIM'!$A$77:$BB$143,{40},0)),0)+CE12</f>
        <v>700452</v>
      </c>
      <c r="CC12" s="226" cm="1">
        <f t="array" ref="CC12">IFERROR(SUM(VLOOKUP($A12,'預算A1 BIM'!$A$151:$BB$220,{40},0)),0)-CE12</f>
        <v>169346</v>
      </c>
      <c r="CD12" s="226">
        <f t="shared" si="43"/>
        <v>869798</v>
      </c>
      <c r="CE12" s="1400"/>
      <c r="CF12" s="1400">
        <f t="shared" si="22"/>
        <v>2838696</v>
      </c>
      <c r="CG12" s="1400">
        <f t="shared" si="23"/>
        <v>686304</v>
      </c>
      <c r="CH12" s="1400">
        <f t="shared" si="24"/>
        <v>3525000</v>
      </c>
      <c r="CI12" s="1400">
        <f t="shared" si="25"/>
        <v>0</v>
      </c>
      <c r="CJ12" s="226" cm="1">
        <f t="array" ref="CJ12">IFERROR(SUM(VLOOKUP($A12,'預算A1 BIM'!$A$77:$BB$143,{41},0)),0)+CM12</f>
        <v>0</v>
      </c>
      <c r="CK12" s="226" cm="1">
        <f t="array" ref="CK12">IFERROR(SUM(VLOOKUP($A12,'預算A1 BIM'!$A$151:$BB$220,{41},0)),0)-CM12</f>
        <v>0</v>
      </c>
      <c r="CL12" s="226">
        <f t="shared" si="26"/>
        <v>0</v>
      </c>
      <c r="CM12" s="1400"/>
      <c r="CN12" s="1400">
        <f t="shared" si="27"/>
        <v>2838696</v>
      </c>
      <c r="CO12" s="1400">
        <f t="shared" si="28"/>
        <v>686304</v>
      </c>
      <c r="CP12" s="1400">
        <f t="shared" si="29"/>
        <v>3525000</v>
      </c>
      <c r="CQ12" s="1400">
        <f t="shared" si="30"/>
        <v>0</v>
      </c>
      <c r="CR12" s="226" cm="1">
        <f t="array" ref="CR12">IFERROR(SUM(VLOOKUP($A12,'預算A1 BIM'!$A$77:$BB$143,{42},0)),0)+CU12</f>
        <v>0</v>
      </c>
      <c r="CS12" s="226" cm="1">
        <f t="array" ref="CS12">IFERROR(SUM(VLOOKUP($A12,'預算A1 BIM'!$A$151:$BB$220,{42},0)),0)-CU12</f>
        <v>0</v>
      </c>
      <c r="CT12" s="226">
        <f t="shared" si="31"/>
        <v>0</v>
      </c>
      <c r="CU12" s="1400"/>
      <c r="CV12" s="1400">
        <f t="shared" si="32"/>
        <v>2838696</v>
      </c>
      <c r="CW12" s="1400">
        <f t="shared" si="33"/>
        <v>686304</v>
      </c>
      <c r="CX12" s="1400">
        <f t="shared" si="34"/>
        <v>3525000</v>
      </c>
      <c r="CY12" s="1400">
        <f t="shared" si="35"/>
        <v>0</v>
      </c>
    </row>
    <row r="13" spans="1:103" ht="15" customHeight="1" outlineLevel="1">
      <c r="A13" s="175" t="s">
        <v>634</v>
      </c>
      <c r="B13" s="156" t="s">
        <v>635</v>
      </c>
      <c r="C13" s="156" t="s">
        <v>1037</v>
      </c>
      <c r="D13" s="225">
        <f>IFERROR(VLOOKUP(A13,'202608收入成本表'!A:Y,23,0),0)</f>
        <v>4400912</v>
      </c>
      <c r="E13" s="225">
        <f>IFERROR(VLOOKUP(A13,'202608收入成本表'!A:Z,24,0),0)</f>
        <v>1064088</v>
      </c>
      <c r="F13" s="226">
        <f t="shared" si="36"/>
        <v>5465000</v>
      </c>
      <c r="G13" s="226"/>
      <c r="H13" s="226" cm="1">
        <f t="array" ref="H13">IFERROR(SUM(VLOOKUP(A13,'預算A1 BIM'!$A$77:$BB$143,{19,20,21,22},0)),0)</f>
        <v>489008</v>
      </c>
      <c r="I13" s="226" cm="1">
        <f t="array" ref="I13">IFERROR(SUM(VLOOKUP(A13,'預算A1 BIM'!$A$151:$BB$220,{19,20,21,22},0)),0)</f>
        <v>-537255</v>
      </c>
      <c r="J13" s="226">
        <f t="shared" si="37"/>
        <v>-48247</v>
      </c>
      <c r="K13" s="226">
        <f>-VLOOKUP(A13,'2026FCST%'!A:AC,27,FALSE)</f>
        <v>0</v>
      </c>
      <c r="L13" s="226">
        <f t="shared" si="38"/>
        <v>4889920</v>
      </c>
      <c r="M13" s="226">
        <f t="shared" si="45"/>
        <v>526833</v>
      </c>
      <c r="N13" s="226">
        <f t="shared" si="1"/>
        <v>5416753</v>
      </c>
      <c r="O13" s="226">
        <f t="shared" si="39"/>
        <v>0</v>
      </c>
      <c r="P13" s="226" cm="1">
        <f t="array" ref="P13">IFERROR(SUM(VLOOKUP($A13,'預算A1 BIM'!$A$77:$BB$143,{25},0)),0)+S13</f>
        <v>119121</v>
      </c>
      <c r="Q13" s="226" cm="1">
        <f t="array" ref="Q13">IFERROR(SUM(VLOOKUP($A13,'預算A1 BIM'!$A$151:$BB$220,{25},0)),0)</f>
        <v>12834</v>
      </c>
      <c r="R13" s="226">
        <f t="shared" si="2"/>
        <v>131955</v>
      </c>
      <c r="S13" s="226"/>
      <c r="T13" s="226" cm="1">
        <f t="array" ref="T13">IFERROR(SUM(VLOOKUP($A13,'預算A1 BIM'!$A$77:$BB$143,{26},0)),0)+W13</f>
        <v>119121</v>
      </c>
      <c r="U13" s="226" cm="1">
        <f t="array" ref="U13">IFERROR(SUM(VLOOKUP($A13,'預算A1 BIM'!$A$151:$BB$220,{26},0)),0)</f>
        <v>12834</v>
      </c>
      <c r="V13" s="226">
        <f t="shared" si="3"/>
        <v>131955</v>
      </c>
      <c r="W13" s="226"/>
      <c r="X13" s="226" cm="1">
        <f t="array" ref="X13">IFERROR(SUM(VLOOKUP($A13,'預算A1 BIM'!$A$77:$BB$143,{27},0)),0)+AA13</f>
        <v>119121</v>
      </c>
      <c r="Y13" s="226" cm="1">
        <f t="array" ref="Y13">IFERROR(SUM(VLOOKUP($A13,'預算A1 BIM'!$A$151:$BB$220,{27},0)),0)</f>
        <v>12834</v>
      </c>
      <c r="Z13" s="226">
        <f t="shared" si="4"/>
        <v>131955</v>
      </c>
      <c r="AA13" s="226"/>
      <c r="AB13" s="226" cm="1">
        <f t="array" ref="AB13">IFERROR(SUM(VLOOKUP($A13,'預算A1 BIM'!$A$77:$BB$143,{28},0)),0)+AE13</f>
        <v>119121</v>
      </c>
      <c r="AC13" s="226" cm="1">
        <f t="array" ref="AC13">IFERROR(SUM(VLOOKUP($A13,'預算A1 BIM'!$A$151:$BB$220,{28},0)),0)</f>
        <v>12834</v>
      </c>
      <c r="AD13" s="226">
        <f t="shared" si="46"/>
        <v>131955</v>
      </c>
      <c r="AE13" s="226"/>
      <c r="AF13" s="226" cm="1">
        <f t="array" ref="AF13">IFERROR(SUM(VLOOKUP($A13,'預算A1 BIM'!$A$77:$BB$143,{29},0)),0)+AI13</f>
        <v>119121</v>
      </c>
      <c r="AG13" s="226" cm="1">
        <f t="array" ref="AG13">IFERROR(SUM(VLOOKUP($A13,'預算A1 BIM'!$A$151:$BB$220,{29},0)),0)</f>
        <v>12834</v>
      </c>
      <c r="AH13" s="226">
        <f t="shared" si="6"/>
        <v>131955</v>
      </c>
      <c r="AI13" s="226"/>
      <c r="AJ13" s="226" cm="1">
        <f t="array" ref="AJ13">IFERROR(SUM(VLOOKUP($A13,'預算A1 BIM'!$A$77:$BB$143,{30},0)),0)+AM13</f>
        <v>139121</v>
      </c>
      <c r="AK13" s="226" cm="1">
        <f t="array" ref="AK13">IFERROR(SUM(VLOOKUP($A13,'預算A1 BIM'!$A$151:$BB$220,{30},0)),0)</f>
        <v>14989</v>
      </c>
      <c r="AL13" s="226">
        <f t="shared" si="7"/>
        <v>154110</v>
      </c>
      <c r="AM13" s="226"/>
      <c r="AN13" s="226" cm="1">
        <f t="array" ref="AN13">IFERROR(SUM(VLOOKUP($A13,'預算A1 BIM'!$A$77:$BB$143,{31},0)),0)+AQ13</f>
        <v>119121</v>
      </c>
      <c r="AO13" s="226" cm="1">
        <f t="array" ref="AO13">IFERROR(SUM(VLOOKUP($A13,'預算A1 BIM'!$A$151:$BB$220,{31},0)),0)-AQ13</f>
        <v>12834</v>
      </c>
      <c r="AP13" s="226">
        <f t="shared" si="8"/>
        <v>131955</v>
      </c>
      <c r="AQ13" s="226"/>
      <c r="AR13" s="226" cm="1">
        <f t="array" ref="AR13">IFERROR(SUM(VLOOKUP($A13,'預算A1 BIM'!$A$77:$BB$143,{32},0)),0)+AU13</f>
        <v>119121</v>
      </c>
      <c r="AS13" s="226" cm="1">
        <f t="array" ref="AS13">IFERROR(SUM(VLOOKUP($A13,'預算A1 BIM'!$A$151:$BB$220,{32},0)),0)-AU13</f>
        <v>12834</v>
      </c>
      <c r="AT13" s="226">
        <f t="shared" si="9"/>
        <v>131955</v>
      </c>
      <c r="AU13" s="226"/>
      <c r="AV13" s="226" cm="1">
        <f t="array" ref="AV13">IFERROR(SUM(VLOOKUP($A13,'預算A1 BIM'!$A$77:$BB$143,{33},0)),0)+AY13</f>
        <v>119121</v>
      </c>
      <c r="AW13" s="226" cm="1">
        <f t="array" ref="AW13">IFERROR(SUM(VLOOKUP($A13,'預算A1 BIM'!$A$151:$BB$220,{33},0)),0)-AY13</f>
        <v>12834</v>
      </c>
      <c r="AX13" s="226">
        <f t="shared" si="44"/>
        <v>131955</v>
      </c>
      <c r="AY13" s="226"/>
      <c r="AZ13" s="226" cm="1">
        <f t="array" ref="AZ13">IFERROR(SUM(VLOOKUP($A13,'預算A1 BIM'!$A$77:$BB$143,{34},0)),0)+BC13</f>
        <v>119121</v>
      </c>
      <c r="BA13" s="226" cm="1">
        <f t="array" ref="BA13">IFERROR(SUM(VLOOKUP($A13,'預算A1 BIM'!$A$151:$BB$220,{34},0)),0)-BC13</f>
        <v>12834</v>
      </c>
      <c r="BB13" s="226">
        <f t="shared" si="11"/>
        <v>131955</v>
      </c>
      <c r="BC13" s="226"/>
      <c r="BD13" s="226" cm="1">
        <f t="array" ref="BD13">IFERROR(SUM(VLOOKUP($A13,'預算A1 BIM'!$A$77:$BB$143,{35},0)),0)+BG13</f>
        <v>119121</v>
      </c>
      <c r="BE13" s="226" cm="1">
        <f t="array" ref="BE13">IFERROR(SUM(VLOOKUP($A13,'預算A1 BIM'!$A$151:$BB$220,{35},0)),0)-BG13</f>
        <v>12834</v>
      </c>
      <c r="BF13" s="226">
        <f t="shared" si="12"/>
        <v>131955</v>
      </c>
      <c r="BG13" s="226"/>
      <c r="BH13" s="226" cm="1">
        <f t="array" ref="BH13">IFERROR(SUM(VLOOKUP($A13,'預算A1 BIM'!$A$77:$BB$143,{36},0)),0)+BK13</f>
        <v>821121</v>
      </c>
      <c r="BI13" s="226" cm="1">
        <f t="array" ref="BI13">IFERROR(SUM(VLOOKUP($A13,'預算A1 BIM'!$A$151:$BB$220,{36},0)),0)-BK13</f>
        <v>88466</v>
      </c>
      <c r="BJ13" s="226">
        <f t="shared" si="13"/>
        <v>909587</v>
      </c>
      <c r="BK13" s="226"/>
      <c r="BL13" s="226">
        <f>SUMIF($P$4:$BK$4,$BL$4,$P13:$BK$65)</f>
        <v>2151452</v>
      </c>
      <c r="BM13" s="226">
        <f>SUMIF($P$4:$BK$4,$BM$4,$P13:$BK$65)</f>
        <v>231795</v>
      </c>
      <c r="BN13" s="226">
        <f t="shared" si="14"/>
        <v>2383247</v>
      </c>
      <c r="BO13" s="226">
        <f>SUMIF($P$4:$BK$4,$BO$4,$P13:$BK$65)</f>
        <v>0</v>
      </c>
      <c r="BP13" s="226">
        <f t="shared" si="40"/>
        <v>7041372</v>
      </c>
      <c r="BQ13" s="226">
        <f t="shared" si="15"/>
        <v>758628</v>
      </c>
      <c r="BR13" s="226">
        <f t="shared" si="16"/>
        <v>7800000</v>
      </c>
      <c r="BS13" s="226">
        <f t="shared" si="17"/>
        <v>0</v>
      </c>
      <c r="BT13" s="226" cm="1">
        <f t="array" ref="BT13">IFERROR(SUM(VLOOKUP($A13,'預算A1 BIM'!$A$77:$BB$143,{39},0)),0)+BW13</f>
        <v>0</v>
      </c>
      <c r="BU13" s="226" cm="1">
        <f t="array" ref="BU13">IFERROR(SUM(VLOOKUP($A13,'預算A1 BIM'!$A$151:$BB$220,{39},0)),0)-BW13</f>
        <v>0</v>
      </c>
      <c r="BV13" s="226">
        <f t="shared" si="18"/>
        <v>0</v>
      </c>
      <c r="BW13" s="226"/>
      <c r="BX13" s="226">
        <f t="shared" si="41"/>
        <v>7041372</v>
      </c>
      <c r="BY13" s="226">
        <f t="shared" si="19"/>
        <v>758628</v>
      </c>
      <c r="BZ13" s="226">
        <f t="shared" si="20"/>
        <v>7800000</v>
      </c>
      <c r="CA13" s="226">
        <f t="shared" si="42"/>
        <v>0</v>
      </c>
      <c r="CB13" s="226" cm="1">
        <f t="array" ref="CB13">IFERROR(SUM(VLOOKUP($A13,'預算A1 BIM'!$A$77:$BB$143,{40},0)),0)+CE13</f>
        <v>0</v>
      </c>
      <c r="CC13" s="226" cm="1">
        <f t="array" ref="CC13">IFERROR(SUM(VLOOKUP($A13,'預算A1 BIM'!$A$151:$BB$220,{40},0)),0)-CE13</f>
        <v>0</v>
      </c>
      <c r="CD13" s="226">
        <f t="shared" si="43"/>
        <v>0</v>
      </c>
      <c r="CE13" s="226"/>
      <c r="CF13" s="226">
        <f t="shared" si="22"/>
        <v>7041372</v>
      </c>
      <c r="CG13" s="226">
        <f t="shared" si="23"/>
        <v>758628</v>
      </c>
      <c r="CH13" s="226">
        <f t="shared" si="24"/>
        <v>7800000</v>
      </c>
      <c r="CI13" s="226">
        <f t="shared" si="25"/>
        <v>0</v>
      </c>
      <c r="CJ13" s="226" cm="1">
        <f t="array" ref="CJ13">IFERROR(SUM(VLOOKUP($A13,'預算A1 BIM'!$A$77:$BB$143,{41},0)),0)+CM13</f>
        <v>0</v>
      </c>
      <c r="CK13" s="226" cm="1">
        <f t="array" ref="CK13">IFERROR(SUM(VLOOKUP($A13,'預算A1 BIM'!$A$151:$BB$220,{41},0)),0)-CM13</f>
        <v>0</v>
      </c>
      <c r="CL13" s="226">
        <f t="shared" si="26"/>
        <v>0</v>
      </c>
      <c r="CM13" s="226"/>
      <c r="CN13" s="226">
        <f t="shared" si="27"/>
        <v>7041372</v>
      </c>
      <c r="CO13" s="226">
        <f t="shared" si="28"/>
        <v>758628</v>
      </c>
      <c r="CP13" s="226">
        <f t="shared" si="29"/>
        <v>7800000</v>
      </c>
      <c r="CQ13" s="226">
        <f t="shared" si="30"/>
        <v>0</v>
      </c>
      <c r="CR13" s="226" cm="1">
        <f t="array" ref="CR13">IFERROR(SUM(VLOOKUP($A13,'預算A1 BIM'!$A$77:$BB$143,{42},0)),0)+CU13</f>
        <v>0</v>
      </c>
      <c r="CS13" s="226" cm="1">
        <f t="array" ref="CS13">IFERROR(SUM(VLOOKUP($A13,'預算A1 BIM'!$A$151:$BB$220,{42},0)),0)-CU13</f>
        <v>0</v>
      </c>
      <c r="CT13" s="226">
        <f t="shared" si="31"/>
        <v>0</v>
      </c>
      <c r="CU13" s="226"/>
      <c r="CV13" s="226">
        <f t="shared" si="32"/>
        <v>7041372</v>
      </c>
      <c r="CW13" s="226">
        <f t="shared" si="33"/>
        <v>758628</v>
      </c>
      <c r="CX13" s="226">
        <f t="shared" si="34"/>
        <v>7800000</v>
      </c>
      <c r="CY13" s="226">
        <f t="shared" si="35"/>
        <v>0</v>
      </c>
    </row>
    <row r="14" spans="1:103" outlineLevel="1">
      <c r="A14" s="175" t="s">
        <v>636</v>
      </c>
      <c r="B14" s="164" t="s">
        <v>637</v>
      </c>
      <c r="C14" s="164" t="s">
        <v>1037</v>
      </c>
      <c r="D14" s="225">
        <f>IFERROR(VLOOKUP(A14,'202608收入成本表'!A:Y,23,0),0)</f>
        <v>2185205</v>
      </c>
      <c r="E14" s="225">
        <f>IFERROR(VLOOKUP(A14,'202608收入成本表'!A:Z,24,0),0)</f>
        <v>4682795</v>
      </c>
      <c r="F14" s="226">
        <f t="shared" si="36"/>
        <v>6868000</v>
      </c>
      <c r="G14" s="226"/>
      <c r="H14" s="226" cm="1">
        <f t="array" ref="H14">IFERROR(SUM(VLOOKUP(A14,'預算A1 BIM'!$A$77:$BB$143,{19,20,21,22},0)),0)</f>
        <v>1891538</v>
      </c>
      <c r="I14" s="226" cm="1">
        <f t="array" ref="I14">IFERROR(SUM(VLOOKUP(A14,'預算A1 BIM'!$A$151:$BB$220,{19,20,21,22},0)),0)</f>
        <v>-2709086</v>
      </c>
      <c r="J14" s="226">
        <f t="shared" si="37"/>
        <v>-817548</v>
      </c>
      <c r="K14" s="226">
        <f>-VLOOKUP(A14,'2026FCST%'!A:AC,27,FALSE)</f>
        <v>0</v>
      </c>
      <c r="L14" s="226">
        <f t="shared" si="38"/>
        <v>4076743</v>
      </c>
      <c r="M14" s="226">
        <f t="shared" si="45"/>
        <v>1973709</v>
      </c>
      <c r="N14" s="226">
        <f t="shared" si="1"/>
        <v>6050452</v>
      </c>
      <c r="O14" s="226">
        <f t="shared" si="39"/>
        <v>0</v>
      </c>
      <c r="P14" s="226" cm="1">
        <f t="array" ref="P14">IFERROR(SUM(VLOOKUP($A14,'預算A1 BIM'!$A$77:$BB$143,{25},0)),0)+S14</f>
        <v>521676</v>
      </c>
      <c r="Q14" s="226" cm="1">
        <f t="array" ref="Q14">IFERROR(SUM(VLOOKUP($A14,'預算A1 BIM'!$A$151:$BB$220,{25},0)),0)</f>
        <v>252564</v>
      </c>
      <c r="R14" s="226">
        <f t="shared" si="2"/>
        <v>774240</v>
      </c>
      <c r="S14" s="226"/>
      <c r="T14" s="226" cm="1">
        <f t="array" ref="T14">IFERROR(SUM(VLOOKUP($A14,'預算A1 BIM'!$A$77:$BB$143,{26},0)),0)+W14</f>
        <v>539545</v>
      </c>
      <c r="U14" s="226" cm="1">
        <f t="array" ref="U14">IFERROR(SUM(VLOOKUP($A14,'預算A1 BIM'!$A$151:$BB$220,{26},0)),0)</f>
        <v>261214</v>
      </c>
      <c r="V14" s="226">
        <f t="shared" si="3"/>
        <v>800759</v>
      </c>
      <c r="W14" s="226"/>
      <c r="X14" s="226" cm="1">
        <f t="array" ref="X14">IFERROR(SUM(VLOOKUP($A14,'預算A1 BIM'!$A$77:$BB$143,{27},0)),0)+AA14</f>
        <v>491896</v>
      </c>
      <c r="Y14" s="226" cm="1">
        <f t="array" ref="Y14">IFERROR(SUM(VLOOKUP($A14,'預算A1 BIM'!$A$151:$BB$220,{27},0)),0)</f>
        <v>238146</v>
      </c>
      <c r="Z14" s="226">
        <f t="shared" si="4"/>
        <v>730042</v>
      </c>
      <c r="AA14" s="226"/>
      <c r="AB14" s="226" cm="1">
        <f t="array" ref="AB14">IFERROR(SUM(VLOOKUP($A14,'預算A1 BIM'!$A$77:$BB$143,{28},0)),0)+AE14</f>
        <v>313214</v>
      </c>
      <c r="AC14" s="226" cm="1">
        <f t="array" ref="AC14">IFERROR(SUM(VLOOKUP($A14,'預算A1 BIM'!$A$151:$BB$220,{28},0)),0)</f>
        <v>151639</v>
      </c>
      <c r="AD14" s="226">
        <f t="shared" si="46"/>
        <v>464853</v>
      </c>
      <c r="AE14" s="226"/>
      <c r="AF14" s="226" cm="1">
        <f t="array" ref="AF14">IFERROR(SUM(VLOOKUP($A14,'預算A1 BIM'!$A$77:$BB$143,{29},0)),0)+AI14</f>
        <v>51149</v>
      </c>
      <c r="AG14" s="226" cm="1">
        <f t="array" ref="AG14">IFERROR(SUM(VLOOKUP($A14,'預算A1 BIM'!$A$151:$BB$220,{29},0)),0)</f>
        <v>24764</v>
      </c>
      <c r="AH14" s="226">
        <f t="shared" si="6"/>
        <v>75913</v>
      </c>
      <c r="AI14" s="226"/>
      <c r="AJ14" s="226" cm="1">
        <f t="array" ref="AJ14">IFERROR(SUM(VLOOKUP($A14,'預算A1 BIM'!$A$77:$BB$143,{30},0)),0)+AM14</f>
        <v>81149</v>
      </c>
      <c r="AK14" s="226" cm="1">
        <f t="array" ref="AK14">IFERROR(SUM(VLOOKUP($A14,'預算A1 BIM'!$A$151:$BB$220,{30},0)),0)</f>
        <v>39287</v>
      </c>
      <c r="AL14" s="226">
        <f t="shared" si="7"/>
        <v>120436</v>
      </c>
      <c r="AM14" s="226"/>
      <c r="AN14" s="226" cm="1">
        <f t="array" ref="AN14">IFERROR(SUM(VLOOKUP($A14,'預算A1 BIM'!$A$77:$BB$143,{31},0)),0)+AQ14</f>
        <v>51149</v>
      </c>
      <c r="AO14" s="226" cm="1">
        <f t="array" ref="AO14">IFERROR(SUM(VLOOKUP($A14,'預算A1 BIM'!$A$151:$BB$220,{31},0)),0)-AQ14</f>
        <v>24763</v>
      </c>
      <c r="AP14" s="226">
        <f t="shared" si="8"/>
        <v>75912</v>
      </c>
      <c r="AQ14" s="226"/>
      <c r="AR14" s="226" cm="1">
        <f t="array" ref="AR14">IFERROR(SUM(VLOOKUP($A14,'預算A1 BIM'!$A$77:$BB$143,{32},0)),0)+AU14</f>
        <v>51149</v>
      </c>
      <c r="AS14" s="226" cm="1">
        <f t="array" ref="AS14">IFERROR(SUM(VLOOKUP($A14,'預算A1 BIM'!$A$151:$BB$220,{32},0)),0)-AU14</f>
        <v>24763</v>
      </c>
      <c r="AT14" s="226">
        <f t="shared" si="9"/>
        <v>75912</v>
      </c>
      <c r="AU14" s="226"/>
      <c r="AV14" s="226" cm="1">
        <f t="array" ref="AV14">IFERROR(SUM(VLOOKUP($A14,'預算A1 BIM'!$A$77:$BB$143,{33},0)),0)+AY14</f>
        <v>51149</v>
      </c>
      <c r="AW14" s="226" cm="1">
        <f t="array" ref="AW14">IFERROR(SUM(VLOOKUP($A14,'預算A1 BIM'!$A$151:$BB$220,{33},0)),0)-AY14</f>
        <v>24764</v>
      </c>
      <c r="AX14" s="226">
        <f t="shared" si="44"/>
        <v>75913</v>
      </c>
      <c r="AY14" s="226"/>
      <c r="AZ14" s="226" cm="1">
        <f t="array" ref="AZ14">IFERROR(SUM(VLOOKUP($A14,'預算A1 BIM'!$A$77:$BB$143,{34},0)),0)+BC14</f>
        <v>51149</v>
      </c>
      <c r="BA14" s="226" cm="1">
        <f t="array" ref="BA14">IFERROR(SUM(VLOOKUP($A14,'預算A1 BIM'!$A$151:$BB$220,{34},0)),0)-BC14</f>
        <v>24763</v>
      </c>
      <c r="BB14" s="226">
        <f t="shared" si="11"/>
        <v>75912</v>
      </c>
      <c r="BC14" s="226"/>
      <c r="BD14" s="226" cm="1">
        <f t="array" ref="BD14">IFERROR(SUM(VLOOKUP($A14,'預算A1 BIM'!$A$77:$BB$143,{35},0)),0)+BG14</f>
        <v>51149</v>
      </c>
      <c r="BE14" s="226" cm="1">
        <f t="array" ref="BE14">IFERROR(SUM(VLOOKUP($A14,'預算A1 BIM'!$A$151:$BB$220,{35},0)),0)-BG14</f>
        <v>24763</v>
      </c>
      <c r="BF14" s="226">
        <f t="shared" si="12"/>
        <v>75912</v>
      </c>
      <c r="BG14" s="226"/>
      <c r="BH14" s="226" cm="1">
        <f t="array" ref="BH14">IFERROR(SUM(VLOOKUP($A14,'預算A1 BIM'!$A$77:$BB$143,{36},0)),0)+BK14</f>
        <v>200270</v>
      </c>
      <c r="BI14" s="226" cm="1">
        <f t="array" ref="BI14">IFERROR(SUM(VLOOKUP($A14,'預算A1 BIM'!$A$151:$BB$220,{36},0)),0)-BK14</f>
        <v>96958</v>
      </c>
      <c r="BJ14" s="226">
        <f t="shared" si="13"/>
        <v>297228</v>
      </c>
      <c r="BK14" s="226"/>
      <c r="BL14" s="226">
        <f>SUMIF($P$4:$BK$4,$BL$4,$P14:$BK$65)</f>
        <v>2454644</v>
      </c>
      <c r="BM14" s="226">
        <f>SUMIF($P$4:$BK$4,$BM$4,$P14:$BK$65)</f>
        <v>1188388</v>
      </c>
      <c r="BN14" s="226">
        <f t="shared" si="14"/>
        <v>3643032</v>
      </c>
      <c r="BO14" s="226">
        <f>SUMIF($P$4:$BK$4,$BO$4,$P14:$BK$65)</f>
        <v>0</v>
      </c>
      <c r="BP14" s="226">
        <f t="shared" si="40"/>
        <v>6531387</v>
      </c>
      <c r="BQ14" s="226">
        <f t="shared" si="15"/>
        <v>3162097</v>
      </c>
      <c r="BR14" s="226">
        <f t="shared" si="16"/>
        <v>9693484</v>
      </c>
      <c r="BS14" s="226">
        <f t="shared" si="17"/>
        <v>0</v>
      </c>
      <c r="BT14" s="226" cm="1">
        <f t="array" ref="BT14">IFERROR(SUM(VLOOKUP($A14,'預算A1 BIM'!$A$77:$BB$143,{39},0)),0)+BW14</f>
        <v>1898429</v>
      </c>
      <c r="BU14" s="226" cm="1">
        <f t="array" ref="BU14">IFERROR(SUM(VLOOKUP($A14,'預算A1 BIM'!$A$151:$BB$220,{39},0)),0)-BW14</f>
        <v>919103</v>
      </c>
      <c r="BV14" s="226">
        <f t="shared" si="18"/>
        <v>2817532</v>
      </c>
      <c r="BW14" s="226"/>
      <c r="BX14" s="226">
        <f t="shared" si="41"/>
        <v>8429816</v>
      </c>
      <c r="BY14" s="226">
        <f t="shared" si="19"/>
        <v>4081200</v>
      </c>
      <c r="BZ14" s="226">
        <f t="shared" si="20"/>
        <v>12511016</v>
      </c>
      <c r="CA14" s="226">
        <f t="shared" si="42"/>
        <v>0</v>
      </c>
      <c r="CB14" s="226" cm="1">
        <f t="array" ref="CB14">IFERROR(SUM(VLOOKUP($A14,'預算A1 BIM'!$A$77:$BB$143,{40},0)),0)+CE14</f>
        <v>964390</v>
      </c>
      <c r="CC14" s="226" cm="1">
        <f t="array" ref="CC14">IFERROR(SUM(VLOOKUP($A14,'預算A1 BIM'!$A$151:$BB$220,{40},0)),0)-CE14</f>
        <v>466899</v>
      </c>
      <c r="CD14" s="226">
        <f t="shared" si="43"/>
        <v>1431289</v>
      </c>
      <c r="CE14" s="226"/>
      <c r="CF14" s="226">
        <f t="shared" si="22"/>
        <v>9394206</v>
      </c>
      <c r="CG14" s="226">
        <f t="shared" si="23"/>
        <v>4548099</v>
      </c>
      <c r="CH14" s="226">
        <f t="shared" si="24"/>
        <v>13942305</v>
      </c>
      <c r="CI14" s="226">
        <f t="shared" si="25"/>
        <v>0</v>
      </c>
      <c r="CJ14" s="226" cm="1">
        <f t="array" ref="CJ14">IFERROR(SUM(VLOOKUP($A14,'預算A1 BIM'!$A$77:$BB$143,{41},0)),0)+CM14</f>
        <v>962325</v>
      </c>
      <c r="CK14" s="226" cm="1">
        <f t="array" ref="CK14">IFERROR(SUM(VLOOKUP($A14,'預算A1 BIM'!$A$151:$BB$220,{41},0)),0)-CM14</f>
        <v>465899</v>
      </c>
      <c r="CL14" s="226">
        <f t="shared" si="26"/>
        <v>1428224</v>
      </c>
      <c r="CM14" s="226"/>
      <c r="CN14" s="226">
        <f t="shared" si="27"/>
        <v>10356531</v>
      </c>
      <c r="CO14" s="226">
        <f t="shared" si="28"/>
        <v>5013998</v>
      </c>
      <c r="CP14" s="226">
        <f t="shared" si="29"/>
        <v>15370529</v>
      </c>
      <c r="CQ14" s="226">
        <f t="shared" si="30"/>
        <v>0</v>
      </c>
      <c r="CR14" s="226" cm="1">
        <f t="array" ref="CR14">IFERROR(SUM(VLOOKUP($A14,'預算A1 BIM'!$A$77:$BB$143,{42},0)),0)+CU14</f>
        <v>1702353</v>
      </c>
      <c r="CS14" s="226" cm="1">
        <f t="array" ref="CS14">IFERROR(SUM(VLOOKUP($A14,'預算A1 BIM'!$A$151:$BB$220,{42},0)),0)-CU14</f>
        <v>824175</v>
      </c>
      <c r="CT14" s="226">
        <f t="shared" si="31"/>
        <v>2526528</v>
      </c>
      <c r="CU14" s="226"/>
      <c r="CV14" s="226">
        <f t="shared" si="32"/>
        <v>12058884</v>
      </c>
      <c r="CW14" s="226">
        <f t="shared" si="33"/>
        <v>5838173</v>
      </c>
      <c r="CX14" s="226">
        <f t="shared" si="34"/>
        <v>17897057</v>
      </c>
      <c r="CY14" s="226">
        <f t="shared" si="35"/>
        <v>0</v>
      </c>
    </row>
    <row r="15" spans="1:103" outlineLevel="1">
      <c r="A15" s="175" t="s">
        <v>638</v>
      </c>
      <c r="B15" s="164" t="s">
        <v>639</v>
      </c>
      <c r="C15" s="164" t="s">
        <v>1037</v>
      </c>
      <c r="D15" s="225">
        <f>IFERROR(VLOOKUP(A15,'202608收入成本表'!A:Y,23,0),0)</f>
        <v>2265868</v>
      </c>
      <c r="E15" s="225">
        <f>IFERROR(VLOOKUP(A15,'202608收入成本表'!A:Z,24,0),0)</f>
        <v>622882</v>
      </c>
      <c r="F15" s="226">
        <f t="shared" si="36"/>
        <v>2888750</v>
      </c>
      <c r="G15" s="226"/>
      <c r="H15" s="226" cm="1">
        <f t="array" ref="H15">IFERROR(SUM(VLOOKUP(A15,'預算A1 BIM'!$A$77:$BB$143,{19,20,21,22},0)),0)</f>
        <v>1413901</v>
      </c>
      <c r="I15" s="226" cm="1">
        <f t="array" ref="I15">IFERROR(SUM(VLOOKUP(A15,'預算A1 BIM'!$A$151:$BB$220,{19,20,21,22},0)),0)</f>
        <v>1134355</v>
      </c>
      <c r="J15" s="226">
        <f t="shared" si="37"/>
        <v>2548256</v>
      </c>
      <c r="K15" s="226">
        <f>-VLOOKUP(A15,'2026FCST%'!A:AC,27,FALSE)</f>
        <v>0</v>
      </c>
      <c r="L15" s="226">
        <f t="shared" si="38"/>
        <v>3679769</v>
      </c>
      <c r="M15" s="226">
        <f t="shared" si="45"/>
        <v>1757237</v>
      </c>
      <c r="N15" s="226">
        <f t="shared" si="1"/>
        <v>5437006</v>
      </c>
      <c r="O15" s="226">
        <f t="shared" si="39"/>
        <v>0</v>
      </c>
      <c r="P15" s="226" cm="1">
        <f t="array" ref="P15">IFERROR(SUM(VLOOKUP($A15,'預算A1 BIM'!$A$77:$BB$143,{25},0)),0)+S15</f>
        <v>420424</v>
      </c>
      <c r="Q15" s="226" cm="1">
        <f t="array" ref="Q15">IFERROR(SUM(VLOOKUP($A15,'預算A1 BIM'!$A$151:$BB$220,{25},0)),0)</f>
        <v>200769</v>
      </c>
      <c r="R15" s="226">
        <f t="shared" si="2"/>
        <v>621193</v>
      </c>
      <c r="S15" s="226"/>
      <c r="T15" s="226" cm="1">
        <f t="array" ref="T15">IFERROR(SUM(VLOOKUP($A15,'預算A1 BIM'!$A$77:$BB$143,{26},0)),0)+W15</f>
        <v>325127</v>
      </c>
      <c r="U15" s="226" cm="1">
        <f t="array" ref="U15">IFERROR(SUM(VLOOKUP($A15,'預算A1 BIM'!$A$151:$BB$220,{26},0)),0)</f>
        <v>155262</v>
      </c>
      <c r="V15" s="226">
        <f t="shared" si="3"/>
        <v>480389</v>
      </c>
      <c r="W15" s="226"/>
      <c r="X15" s="226" cm="1">
        <f t="array" ref="X15">IFERROR(SUM(VLOOKUP($A15,'預算A1 BIM'!$A$77:$BB$143,{27},0)),0)+AA15</f>
        <v>589575</v>
      </c>
      <c r="Y15" s="226" cm="1">
        <f t="array" ref="Y15">IFERROR(SUM(VLOOKUP($A15,'預算A1 BIM'!$A$151:$BB$220,{27},0)),0)</f>
        <v>281545</v>
      </c>
      <c r="Z15" s="226">
        <f t="shared" si="4"/>
        <v>871120</v>
      </c>
      <c r="AA15" s="226"/>
      <c r="AB15" s="226" cm="1">
        <f t="array" ref="AB15">IFERROR(SUM(VLOOKUP($A15,'預算A1 BIM'!$A$77:$BB$143,{28},0)),0)+AE15</f>
        <v>260801</v>
      </c>
      <c r="AC15" s="226" cm="1">
        <f t="array" ref="AC15">IFERROR(SUM(VLOOKUP($A15,'預算A1 BIM'!$A$151:$BB$220,{28},0)),0)</f>
        <v>124543</v>
      </c>
      <c r="AD15" s="226">
        <f t="shared" si="46"/>
        <v>385344</v>
      </c>
      <c r="AE15" s="226"/>
      <c r="AF15" s="226" cm="1">
        <f t="array" ref="AF15">IFERROR(SUM(VLOOKUP($A15,'預算A1 BIM'!$A$77:$BB$143,{29},0)),0)+AI15</f>
        <v>248889</v>
      </c>
      <c r="AG15" s="226" cm="1">
        <f t="array" ref="AG15">IFERROR(SUM(VLOOKUP($A15,'預算A1 BIM'!$A$151:$BB$220,{29},0)),0)</f>
        <v>118855</v>
      </c>
      <c r="AH15" s="226">
        <f t="shared" si="6"/>
        <v>367744</v>
      </c>
      <c r="AI15" s="226"/>
      <c r="AJ15" s="226" cm="1">
        <f t="array" ref="AJ15">IFERROR(SUM(VLOOKUP($A15,'預算A1 BIM'!$A$77:$BB$143,{30},0)),0)+AM15</f>
        <v>504468</v>
      </c>
      <c r="AK15" s="226" cm="1">
        <f t="array" ref="AK15">IFERROR(SUM(VLOOKUP($A15,'預算A1 BIM'!$A$151:$BB$220,{30},0)),0)</f>
        <v>240903</v>
      </c>
      <c r="AL15" s="226">
        <f t="shared" si="7"/>
        <v>745371</v>
      </c>
      <c r="AM15" s="226"/>
      <c r="AN15" s="226" cm="1">
        <f t="array" ref="AN15">IFERROR(SUM(VLOOKUP($A15,'預算A1 BIM'!$A$77:$BB$143,{31},0)),0)+AQ15</f>
        <v>182182</v>
      </c>
      <c r="AO15" s="226" cm="1">
        <f t="array" ref="AO15">IFERROR(SUM(VLOOKUP($A15,'預算A1 BIM'!$A$151:$BB$220,{31},0)),0)-AQ15</f>
        <v>87000</v>
      </c>
      <c r="AP15" s="226">
        <f t="shared" si="8"/>
        <v>269182</v>
      </c>
      <c r="AQ15" s="226"/>
      <c r="AR15" s="226" cm="1">
        <f t="array" ref="AR15">IFERROR(SUM(VLOOKUP($A15,'預算A1 BIM'!$A$77:$BB$143,{32},0)),0)+AU15</f>
        <v>182182</v>
      </c>
      <c r="AS15" s="226" cm="1">
        <f t="array" ref="AS15">IFERROR(SUM(VLOOKUP($A15,'預算A1 BIM'!$A$151:$BB$220,{32},0)),0)-AU15</f>
        <v>86999</v>
      </c>
      <c r="AT15" s="226">
        <f t="shared" si="9"/>
        <v>269181</v>
      </c>
      <c r="AU15" s="226"/>
      <c r="AV15" s="226" cm="1">
        <f t="array" ref="AV15">IFERROR(SUM(VLOOKUP($A15,'預算A1 BIM'!$A$77:$BB$143,{33},0)),0)+AY15</f>
        <v>96415</v>
      </c>
      <c r="AW15" s="226" cm="1">
        <f t="array" ref="AW15">IFERROR(SUM(VLOOKUP($A15,'預算A1 BIM'!$A$151:$BB$220,{33},0)),0)-AY15</f>
        <v>46042</v>
      </c>
      <c r="AX15" s="226">
        <f t="shared" si="44"/>
        <v>142457</v>
      </c>
      <c r="AY15" s="226"/>
      <c r="AZ15" s="226" cm="1">
        <f t="array" ref="AZ15">IFERROR(SUM(VLOOKUP($A15,'預算A1 BIM'!$A$77:$BB$143,{34},0)),0)+BC15</f>
        <v>82119</v>
      </c>
      <c r="BA15" s="226" cm="1">
        <f t="array" ref="BA15">IFERROR(SUM(VLOOKUP($A15,'預算A1 BIM'!$A$151:$BB$220,{34},0)),0)-BC15</f>
        <v>39215</v>
      </c>
      <c r="BB15" s="226">
        <f t="shared" si="11"/>
        <v>121334</v>
      </c>
      <c r="BC15" s="226"/>
      <c r="BD15" s="226" cm="1">
        <f t="array" ref="BD15">IFERROR(SUM(VLOOKUP($A15,'預算A1 BIM'!$A$77:$BB$143,{35},0)),0)+BG15</f>
        <v>82119</v>
      </c>
      <c r="BE15" s="226" cm="1">
        <f t="array" ref="BE15">IFERROR(SUM(VLOOKUP($A15,'預算A1 BIM'!$A$151:$BB$220,{35},0)),0)-BG15</f>
        <v>39215</v>
      </c>
      <c r="BF15" s="226">
        <f t="shared" si="12"/>
        <v>121334</v>
      </c>
      <c r="BG15" s="226"/>
      <c r="BH15" s="226" cm="1">
        <f t="array" ref="BH15">IFERROR(SUM(VLOOKUP($A15,'預算A1 BIM'!$A$77:$BB$143,{36},0)),0)+BK15</f>
        <v>169768</v>
      </c>
      <c r="BI15" s="226" cm="1">
        <f t="array" ref="BI15">IFERROR(SUM(VLOOKUP($A15,'預算A1 BIM'!$A$151:$BB$220,{36},0)),0)-BK15</f>
        <v>81071</v>
      </c>
      <c r="BJ15" s="226">
        <f t="shared" si="13"/>
        <v>250839</v>
      </c>
      <c r="BK15" s="226"/>
      <c r="BL15" s="226">
        <f>SUMIF($P$4:$BK$4,$BL$4,$P15:$BK$65)</f>
        <v>3144069</v>
      </c>
      <c r="BM15" s="226">
        <f>SUMIF($P$4:$BK$4,$BM$4,$P15:$BK$65)</f>
        <v>1501419</v>
      </c>
      <c r="BN15" s="226">
        <f t="shared" si="14"/>
        <v>4645488</v>
      </c>
      <c r="BO15" s="226">
        <f>SUMIF($P$4:$BK$4,$BO$4,$P15:$BK$65)</f>
        <v>0</v>
      </c>
      <c r="BP15" s="226">
        <f t="shared" si="40"/>
        <v>6823838</v>
      </c>
      <c r="BQ15" s="226">
        <f t="shared" si="15"/>
        <v>3258656</v>
      </c>
      <c r="BR15" s="226">
        <f t="shared" si="16"/>
        <v>10082494</v>
      </c>
      <c r="BS15" s="226">
        <f t="shared" si="17"/>
        <v>0</v>
      </c>
      <c r="BT15" s="226" cm="1">
        <f t="array" ref="BT15">IFERROR(SUM(VLOOKUP($A15,'預算A1 BIM'!$A$77:$BB$143,{39},0)),0)+BW15</f>
        <v>4029059</v>
      </c>
      <c r="BU15" s="226" cm="1">
        <f t="array" ref="BU15">IFERROR(SUM(VLOOKUP($A15,'預算A1 BIM'!$A$151:$BB$220,{39},0)),0)-BW15</f>
        <v>1924037</v>
      </c>
      <c r="BV15" s="226">
        <f t="shared" si="18"/>
        <v>5953096</v>
      </c>
      <c r="BW15" s="226"/>
      <c r="BX15" s="226">
        <f t="shared" si="41"/>
        <v>10852897</v>
      </c>
      <c r="BY15" s="226">
        <f t="shared" si="19"/>
        <v>5182693</v>
      </c>
      <c r="BZ15" s="226">
        <f t="shared" si="20"/>
        <v>16035590</v>
      </c>
      <c r="CA15" s="226">
        <f t="shared" si="42"/>
        <v>0</v>
      </c>
      <c r="CB15" s="226" cm="1">
        <f t="array" ref="CB15">IFERROR(SUM(VLOOKUP($A15,'預算A1 BIM'!$A$77:$BB$143,{40},0)),0)+CE15</f>
        <v>4691725</v>
      </c>
      <c r="CC15" s="226" cm="1">
        <f t="array" ref="CC15">IFERROR(SUM(VLOOKUP($A15,'預算A1 BIM'!$A$151:$BB$220,{40},0)),0)-CE15</f>
        <v>2240487</v>
      </c>
      <c r="CD15" s="226">
        <f t="shared" si="43"/>
        <v>6932212</v>
      </c>
      <c r="CE15" s="226"/>
      <c r="CF15" s="226">
        <f t="shared" si="22"/>
        <v>15544622</v>
      </c>
      <c r="CG15" s="226">
        <f t="shared" si="23"/>
        <v>7423180</v>
      </c>
      <c r="CH15" s="226">
        <f t="shared" si="24"/>
        <v>22967802</v>
      </c>
      <c r="CI15" s="226">
        <f t="shared" si="25"/>
        <v>0</v>
      </c>
      <c r="CJ15" s="226" cm="1">
        <f t="array" ref="CJ15">IFERROR(SUM(VLOOKUP($A15,'預算A1 BIM'!$A$77:$BB$143,{41},0)),0)+CM15</f>
        <v>2285189</v>
      </c>
      <c r="CK15" s="226" cm="1">
        <f t="array" ref="CK15">IFERROR(SUM(VLOOKUP($A15,'預算A1 BIM'!$A$151:$BB$220,{41},0)),0)-CM15</f>
        <v>1091269</v>
      </c>
      <c r="CL15" s="226">
        <f t="shared" si="26"/>
        <v>3376458</v>
      </c>
      <c r="CM15" s="226"/>
      <c r="CN15" s="226">
        <f t="shared" si="27"/>
        <v>17829811</v>
      </c>
      <c r="CO15" s="226">
        <f t="shared" si="28"/>
        <v>8514449</v>
      </c>
      <c r="CP15" s="226">
        <f t="shared" si="29"/>
        <v>26344260</v>
      </c>
      <c r="CQ15" s="226">
        <f t="shared" si="30"/>
        <v>0</v>
      </c>
      <c r="CR15" s="226" cm="1">
        <f t="array" ref="CR15">IFERROR(SUM(VLOOKUP($A15,'預算A1 BIM'!$A$77:$BB$143,{42},0)),0)+CU15</f>
        <v>1127480</v>
      </c>
      <c r="CS15" s="226" cm="1">
        <f t="array" ref="CS15">IFERROR(SUM(VLOOKUP($A15,'預算A1 BIM'!$A$151:$BB$220,{42},0)),0)-CU15</f>
        <v>538417</v>
      </c>
      <c r="CT15" s="226">
        <f t="shared" si="31"/>
        <v>1665897</v>
      </c>
      <c r="CU15" s="226"/>
      <c r="CV15" s="226">
        <f t="shared" si="32"/>
        <v>18957291</v>
      </c>
      <c r="CW15" s="226">
        <f t="shared" si="33"/>
        <v>9052866</v>
      </c>
      <c r="CX15" s="226">
        <f t="shared" si="34"/>
        <v>28010157</v>
      </c>
      <c r="CY15" s="226">
        <f t="shared" si="35"/>
        <v>0</v>
      </c>
    </row>
    <row r="16" spans="1:103" s="1401" customFormat="1" outlineLevel="1">
      <c r="A16" s="1397" t="s">
        <v>640</v>
      </c>
      <c r="B16" s="1398" t="s">
        <v>1969</v>
      </c>
      <c r="C16" s="1398" t="s">
        <v>1245</v>
      </c>
      <c r="D16" s="1399">
        <f>IFERROR(VLOOKUP(A16,'202608收入成本表'!A:Y,23,0),0)</f>
        <v>1707641</v>
      </c>
      <c r="E16" s="1399">
        <f>IFERROR(VLOOKUP(A16,'202608收入成本表'!A:Z,24,0),0)</f>
        <v>2292359</v>
      </c>
      <c r="F16" s="1400">
        <f t="shared" si="36"/>
        <v>4000000</v>
      </c>
      <c r="G16" s="1400"/>
      <c r="H16" s="1400" cm="1">
        <f t="array" ref="H16">IFERROR(SUM(VLOOKUP(A16,'預算A1 BIM'!$A$77:$BB$143,{19,20,21,22},0)),0)</f>
        <v>83281</v>
      </c>
      <c r="I16" s="1400" cm="1">
        <f t="array" ref="I16">IFERROR(SUM(VLOOKUP(A16,'預算A1 BIM'!$A$151:$BB$220,{19,20,21,22},0)),0)</f>
        <v>-899649</v>
      </c>
      <c r="J16" s="1400">
        <f t="shared" si="37"/>
        <v>-816368</v>
      </c>
      <c r="K16" s="1400">
        <f>-VLOOKUP(A16,'2026FCST%'!A:AC,27,FALSE)</f>
        <v>0</v>
      </c>
      <c r="L16" s="1400">
        <f t="shared" si="38"/>
        <v>1790922</v>
      </c>
      <c r="M16" s="1400">
        <f t="shared" si="45"/>
        <v>1392710</v>
      </c>
      <c r="N16" s="1400">
        <f t="shared" si="1"/>
        <v>3183632</v>
      </c>
      <c r="O16" s="1400">
        <f t="shared" si="39"/>
        <v>0</v>
      </c>
      <c r="P16" s="226" cm="1">
        <f t="array" ref="P16">IFERROR(SUM(VLOOKUP($A16,'預算A1 BIM'!$A$77:$BB$143,{25},0)),0)+S16</f>
        <v>0</v>
      </c>
      <c r="Q16" s="226" cm="1">
        <f t="array" ref="Q16">IFERROR(SUM(VLOOKUP($A16,'預算A1 BIM'!$A$151:$BB$220,{25},0)),0)</f>
        <v>0</v>
      </c>
      <c r="R16" s="1400">
        <f t="shared" si="2"/>
        <v>0</v>
      </c>
      <c r="S16" s="1400"/>
      <c r="T16" s="226" cm="1">
        <f t="array" ref="T16">IFERROR(SUM(VLOOKUP($A16,'預算A1 BIM'!$A$77:$BB$143,{26},0)),0)+W16</f>
        <v>0</v>
      </c>
      <c r="U16" s="226" cm="1">
        <f t="array" ref="U16">IFERROR(SUM(VLOOKUP($A16,'預算A1 BIM'!$A$151:$BB$220,{26},0)),0)</f>
        <v>0</v>
      </c>
      <c r="V16" s="1400">
        <f t="shared" si="3"/>
        <v>0</v>
      </c>
      <c r="W16" s="1400"/>
      <c r="X16" s="226" cm="1">
        <f t="array" ref="X16">IFERROR(SUM(VLOOKUP($A16,'預算A1 BIM'!$A$77:$BB$143,{27},0)),0)+AA16</f>
        <v>0</v>
      </c>
      <c r="Y16" s="226" cm="1">
        <f t="array" ref="Y16">IFERROR(SUM(VLOOKUP($A16,'預算A1 BIM'!$A$151:$BB$220,{27},0)),0)</f>
        <v>0</v>
      </c>
      <c r="Z16" s="1400">
        <f t="shared" si="4"/>
        <v>0</v>
      </c>
      <c r="AA16" s="1400"/>
      <c r="AB16" s="226" cm="1">
        <f t="array" ref="AB16">IFERROR(SUM(VLOOKUP($A16,'預算A1 BIM'!$A$77:$BB$143,{28},0)),0)+AE16</f>
        <v>0</v>
      </c>
      <c r="AC16" s="226" cm="1">
        <f t="array" ref="AC16">IFERROR(SUM(VLOOKUP($A16,'預算A1 BIM'!$A$151:$BB$220,{28},0)),0)</f>
        <v>0</v>
      </c>
      <c r="AD16" s="226">
        <f t="shared" si="46"/>
        <v>0</v>
      </c>
      <c r="AE16" s="1400"/>
      <c r="AF16" s="226" cm="1">
        <f t="array" ref="AF16">IFERROR(SUM(VLOOKUP($A16,'預算A1 BIM'!$A$77:$BB$143,{29},0)),0)+AI16</f>
        <v>0</v>
      </c>
      <c r="AG16" s="226" cm="1">
        <f t="array" ref="AG16">IFERROR(SUM(VLOOKUP($A16,'預算A1 BIM'!$A$151:$BB$220,{29},0)),0)</f>
        <v>0</v>
      </c>
      <c r="AH16" s="226">
        <f t="shared" si="6"/>
        <v>0</v>
      </c>
      <c r="AI16" s="1400"/>
      <c r="AJ16" s="226" cm="1">
        <f t="array" ref="AJ16">IFERROR(SUM(VLOOKUP($A16,'預算A1 BIM'!$A$77:$BB$143,{30},0)),0)+AM16</f>
        <v>0</v>
      </c>
      <c r="AK16" s="226" cm="1">
        <f t="array" ref="AK16">IFERROR(SUM(VLOOKUP($A16,'預算A1 BIM'!$A$151:$BB$220,{30},0)),0)</f>
        <v>0</v>
      </c>
      <c r="AL16" s="226">
        <f t="shared" si="7"/>
        <v>0</v>
      </c>
      <c r="AM16" s="1400"/>
      <c r="AN16" s="226" cm="1">
        <f t="array" ref="AN16">IFERROR(SUM(VLOOKUP($A16,'預算A1 BIM'!$A$77:$BB$143,{31},0)),0)+AQ16</f>
        <v>119121</v>
      </c>
      <c r="AO16" s="226" cm="1">
        <f t="array" ref="AO16">IFERROR(SUM(VLOOKUP($A16,'預算A1 BIM'!$A$151:$BB$220,{31},0)),0)-AQ16</f>
        <v>92634</v>
      </c>
      <c r="AP16" s="226">
        <f t="shared" si="8"/>
        <v>211755</v>
      </c>
      <c r="AQ16" s="1400"/>
      <c r="AR16" s="226" cm="1">
        <f t="array" ref="AR16">IFERROR(SUM(VLOOKUP($A16,'預算A1 BIM'!$A$77:$BB$143,{32},0)),0)+AU16</f>
        <v>119121</v>
      </c>
      <c r="AS16" s="226" cm="1">
        <f t="array" ref="AS16">IFERROR(SUM(VLOOKUP($A16,'預算A1 BIM'!$A$151:$BB$220,{32},0)),0)-AU16</f>
        <v>92634</v>
      </c>
      <c r="AT16" s="226">
        <f t="shared" si="9"/>
        <v>211755</v>
      </c>
      <c r="AU16" s="1400"/>
      <c r="AV16" s="226" cm="1">
        <f t="array" ref="AV16">IFERROR(SUM(VLOOKUP($A16,'預算A1 BIM'!$A$77:$BB$143,{33},0)),0)+AY16</f>
        <v>119121</v>
      </c>
      <c r="AW16" s="226" cm="1">
        <f t="array" ref="AW16">IFERROR(SUM(VLOOKUP($A16,'預算A1 BIM'!$A$151:$BB$220,{33},0)),0)-AY16</f>
        <v>92635</v>
      </c>
      <c r="AX16" s="226">
        <f t="shared" si="44"/>
        <v>211756</v>
      </c>
      <c r="AY16" s="1400"/>
      <c r="AZ16" s="226" cm="1">
        <f t="array" ref="AZ16">IFERROR(SUM(VLOOKUP($A16,'預算A1 BIM'!$A$77:$BB$143,{34},0)),0)+BC16</f>
        <v>119121</v>
      </c>
      <c r="BA16" s="226" cm="1">
        <f t="array" ref="BA16">IFERROR(SUM(VLOOKUP($A16,'預算A1 BIM'!$A$151:$BB$220,{34},0)),0)-BC16</f>
        <v>92634</v>
      </c>
      <c r="BB16" s="226">
        <f t="shared" si="11"/>
        <v>211755</v>
      </c>
      <c r="BC16" s="1400"/>
      <c r="BD16" s="226" cm="1">
        <f t="array" ref="BD16">IFERROR(SUM(VLOOKUP($A16,'預算A1 BIM'!$A$77:$BB$143,{35},0)),0)+BG16</f>
        <v>95297</v>
      </c>
      <c r="BE16" s="226" cm="1">
        <f t="array" ref="BE16">IFERROR(SUM(VLOOKUP($A16,'預算A1 BIM'!$A$151:$BB$220,{35},0)),0)-BG16</f>
        <v>74108</v>
      </c>
      <c r="BF16" s="226">
        <f t="shared" si="12"/>
        <v>169405</v>
      </c>
      <c r="BG16" s="1400"/>
      <c r="BH16" s="226" cm="1">
        <f t="array" ref="BH16">IFERROR(SUM(VLOOKUP($A16,'預算A1 BIM'!$A$77:$BB$143,{36},0)),0)+BK16</f>
        <v>450000</v>
      </c>
      <c r="BI16" s="226" cm="1">
        <f t="array" ref="BI16">IFERROR(SUM(VLOOKUP($A16,'預算A1 BIM'!$A$151:$BB$220,{36},0)),0)-BK16</f>
        <v>349942</v>
      </c>
      <c r="BJ16" s="226">
        <f t="shared" si="13"/>
        <v>799942</v>
      </c>
      <c r="BK16" s="1400"/>
      <c r="BL16" s="1400">
        <f>SUMIF($P$4:$BK$4,$BL$4,$P16:$BK$65)</f>
        <v>1021781</v>
      </c>
      <c r="BM16" s="1400">
        <f>SUMIF($P$4:$BK$4,$BM$4,$P16:$BK$65)</f>
        <v>794587</v>
      </c>
      <c r="BN16" s="1400">
        <f t="shared" si="14"/>
        <v>1816368</v>
      </c>
      <c r="BO16" s="1400">
        <f>SUMIF($P$4:$BK$4,$BO$4,$P16:$BK$65)</f>
        <v>0</v>
      </c>
      <c r="BP16" s="1400">
        <f t="shared" si="40"/>
        <v>2812703</v>
      </c>
      <c r="BQ16" s="1400">
        <f t="shared" si="15"/>
        <v>2187297</v>
      </c>
      <c r="BR16" s="1400">
        <f t="shared" si="16"/>
        <v>5000000</v>
      </c>
      <c r="BS16" s="1400">
        <f t="shared" si="17"/>
        <v>0</v>
      </c>
      <c r="BT16" s="226" cm="1">
        <f t="array" ref="BT16">IFERROR(SUM(VLOOKUP($A16,'預算A1 BIM'!$A$77:$BB$143,{39},0)),0)+BW16</f>
        <v>0</v>
      </c>
      <c r="BU16" s="226" cm="1">
        <f t="array" ref="BU16">IFERROR(SUM(VLOOKUP($A16,'預算A1 BIM'!$A$151:$BB$220,{39},0)),0)-BW16</f>
        <v>0</v>
      </c>
      <c r="BV16" s="226">
        <f t="shared" si="18"/>
        <v>0</v>
      </c>
      <c r="BW16" s="1400"/>
      <c r="BX16" s="1400">
        <f t="shared" si="41"/>
        <v>2812703</v>
      </c>
      <c r="BY16" s="1400">
        <f t="shared" si="19"/>
        <v>2187297</v>
      </c>
      <c r="BZ16" s="1400">
        <f t="shared" si="20"/>
        <v>5000000</v>
      </c>
      <c r="CA16" s="1400">
        <f t="shared" si="42"/>
        <v>0</v>
      </c>
      <c r="CB16" s="226" cm="1">
        <f t="array" ref="CB16">IFERROR(SUM(VLOOKUP($A16,'預算A1 BIM'!$A$77:$BB$143,{40},0)),0)+CE16</f>
        <v>0</v>
      </c>
      <c r="CC16" s="226" cm="1">
        <f t="array" ref="CC16">IFERROR(SUM(VLOOKUP($A16,'預算A1 BIM'!$A$151:$BB$220,{40},0)),0)-CE16</f>
        <v>0</v>
      </c>
      <c r="CD16" s="226">
        <f t="shared" si="43"/>
        <v>0</v>
      </c>
      <c r="CE16" s="1400"/>
      <c r="CF16" s="1400">
        <f t="shared" si="22"/>
        <v>2812703</v>
      </c>
      <c r="CG16" s="1400">
        <f t="shared" si="23"/>
        <v>2187297</v>
      </c>
      <c r="CH16" s="1400">
        <f t="shared" si="24"/>
        <v>5000000</v>
      </c>
      <c r="CI16" s="1400">
        <f t="shared" si="25"/>
        <v>0</v>
      </c>
      <c r="CJ16" s="226" cm="1">
        <f t="array" ref="CJ16">IFERROR(SUM(VLOOKUP($A16,'預算A1 BIM'!$A$77:$BB$143,{41},0)),0)+CM16</f>
        <v>0</v>
      </c>
      <c r="CK16" s="226" cm="1">
        <f t="array" ref="CK16">IFERROR(SUM(VLOOKUP($A16,'預算A1 BIM'!$A$151:$BB$220,{41},0)),0)-CM16</f>
        <v>0</v>
      </c>
      <c r="CL16" s="226">
        <f t="shared" si="26"/>
        <v>0</v>
      </c>
      <c r="CM16" s="1400"/>
      <c r="CN16" s="1400">
        <f t="shared" si="27"/>
        <v>2812703</v>
      </c>
      <c r="CO16" s="1400">
        <f t="shared" si="28"/>
        <v>2187297</v>
      </c>
      <c r="CP16" s="1400">
        <f t="shared" si="29"/>
        <v>5000000</v>
      </c>
      <c r="CQ16" s="1400">
        <f t="shared" si="30"/>
        <v>0</v>
      </c>
      <c r="CR16" s="226" cm="1">
        <f t="array" ref="CR16">IFERROR(SUM(VLOOKUP($A16,'預算A1 BIM'!$A$77:$BB$143,{42},0)),0)+CU16</f>
        <v>0</v>
      </c>
      <c r="CS16" s="226" cm="1">
        <f t="array" ref="CS16">IFERROR(SUM(VLOOKUP($A16,'預算A1 BIM'!$A$151:$BB$220,{42},0)),0)-CU16</f>
        <v>0</v>
      </c>
      <c r="CT16" s="226">
        <f t="shared" si="31"/>
        <v>0</v>
      </c>
      <c r="CU16" s="1400"/>
      <c r="CV16" s="1400">
        <f t="shared" si="32"/>
        <v>2812703</v>
      </c>
      <c r="CW16" s="1400">
        <f t="shared" si="33"/>
        <v>2187297</v>
      </c>
      <c r="CX16" s="1400">
        <f t="shared" si="34"/>
        <v>5000000</v>
      </c>
      <c r="CY16" s="1400">
        <f t="shared" si="35"/>
        <v>0</v>
      </c>
    </row>
    <row r="17" spans="1:103" s="1401" customFormat="1" outlineLevel="1">
      <c r="A17" s="1397" t="s">
        <v>641</v>
      </c>
      <c r="B17" s="1402" t="s">
        <v>1970</v>
      </c>
      <c r="C17" s="1402" t="s">
        <v>1245</v>
      </c>
      <c r="D17" s="1399">
        <f>IFERROR(VLOOKUP(A17,'202608收入成本表'!A:Y,23,0),0)</f>
        <v>257849</v>
      </c>
      <c r="E17" s="1399">
        <f>IFERROR(VLOOKUP(A17,'202608收入成本表'!A:Z,24,0),0)</f>
        <v>2022151</v>
      </c>
      <c r="F17" s="1400">
        <f t="shared" si="36"/>
        <v>2280000</v>
      </c>
      <c r="G17" s="1400"/>
      <c r="H17" s="1400" cm="1">
        <f t="array" ref="H17">IFERROR(SUM(VLOOKUP(A17,'預算A1 BIM'!$A$77:$BB$143,{19,20,21,22},0)),0)</f>
        <v>181937</v>
      </c>
      <c r="I17" s="1400" cm="1">
        <f t="array" ref="I17">IFERROR(SUM(VLOOKUP(A17,'預算A1 BIM'!$A$151:$BB$220,{19,20,21,22},0)),0)</f>
        <v>-1838773</v>
      </c>
      <c r="J17" s="1400">
        <f t="shared" si="37"/>
        <v>-1656836</v>
      </c>
      <c r="K17" s="1400">
        <f>-VLOOKUP(A17,'2026FCST%'!A:AC,27,FALSE)</f>
        <v>0</v>
      </c>
      <c r="L17" s="1400">
        <f t="shared" si="38"/>
        <v>439786</v>
      </c>
      <c r="M17" s="1400">
        <f t="shared" si="45"/>
        <v>183378</v>
      </c>
      <c r="N17" s="1400">
        <f t="shared" si="1"/>
        <v>623164</v>
      </c>
      <c r="O17" s="1400">
        <f t="shared" si="39"/>
        <v>0</v>
      </c>
      <c r="P17" s="226" cm="1">
        <f t="array" ref="P17">IFERROR(SUM(VLOOKUP($A17,'預算A1 BIM'!$A$77:$BB$143,{25},0)),0)+S17</f>
        <v>39236</v>
      </c>
      <c r="Q17" s="226" cm="1">
        <f t="array" ref="Q17">IFERROR(SUM(VLOOKUP($A17,'預算A1 BIM'!$A$151:$BB$220,{25},0)),0)</f>
        <v>16360</v>
      </c>
      <c r="R17" s="1400">
        <f t="shared" si="2"/>
        <v>55596</v>
      </c>
      <c r="S17" s="1400"/>
      <c r="T17" s="226" cm="1">
        <f t="array" ref="T17">IFERROR(SUM(VLOOKUP($A17,'預算A1 BIM'!$A$77:$BB$143,{26},0)),0)+W17</f>
        <v>39236</v>
      </c>
      <c r="U17" s="226" cm="1">
        <f t="array" ref="U17">IFERROR(SUM(VLOOKUP($A17,'預算A1 BIM'!$A$151:$BB$220,{26},0)),0)</f>
        <v>16360</v>
      </c>
      <c r="V17" s="1400">
        <f t="shared" si="3"/>
        <v>55596</v>
      </c>
      <c r="W17" s="1400"/>
      <c r="X17" s="226" cm="1">
        <f t="array" ref="X17">IFERROR(SUM(VLOOKUP($A17,'預算A1 BIM'!$A$77:$BB$143,{27},0)),0)+AA17</f>
        <v>122621</v>
      </c>
      <c r="Y17" s="226" cm="1">
        <f t="array" ref="Y17">IFERROR(SUM(VLOOKUP($A17,'預算A1 BIM'!$A$151:$BB$220,{27},0)),0)</f>
        <v>51130</v>
      </c>
      <c r="Z17" s="1400">
        <f t="shared" si="4"/>
        <v>173751</v>
      </c>
      <c r="AA17" s="1400"/>
      <c r="AB17" s="226" cm="1">
        <f t="array" ref="AB17">IFERROR(SUM(VLOOKUP($A17,'預算A1 BIM'!$A$77:$BB$143,{28},0)),0)+AE17</f>
        <v>39236</v>
      </c>
      <c r="AC17" s="226" cm="1">
        <f t="array" ref="AC17">IFERROR(SUM(VLOOKUP($A17,'預算A1 BIM'!$A$151:$BB$220,{28},0)),0)</f>
        <v>16360</v>
      </c>
      <c r="AD17" s="226">
        <f t="shared" si="46"/>
        <v>55596</v>
      </c>
      <c r="AE17" s="1400"/>
      <c r="AF17" s="226" cm="1">
        <f t="array" ref="AF17">IFERROR(SUM(VLOOKUP($A17,'預算A1 BIM'!$A$77:$BB$143,{29},0)),0)+AI17</f>
        <v>39236</v>
      </c>
      <c r="AG17" s="226" cm="1">
        <f t="array" ref="AG17">IFERROR(SUM(VLOOKUP($A17,'預算A1 BIM'!$A$151:$BB$220,{29},0)),0)</f>
        <v>16360</v>
      </c>
      <c r="AH17" s="226">
        <f t="shared" si="6"/>
        <v>55596</v>
      </c>
      <c r="AI17" s="1400"/>
      <c r="AJ17" s="226" cm="1">
        <f t="array" ref="AJ17">IFERROR(SUM(VLOOKUP($A17,'預算A1 BIM'!$A$77:$BB$143,{30},0)),0)+AM17</f>
        <v>59236</v>
      </c>
      <c r="AK17" s="226" cm="1">
        <f t="array" ref="AK17">IFERROR(SUM(VLOOKUP($A17,'預算A1 BIM'!$A$151:$BB$220,{30},0)),0)</f>
        <v>24700</v>
      </c>
      <c r="AL17" s="226">
        <f t="shared" si="7"/>
        <v>83936</v>
      </c>
      <c r="AM17" s="1400"/>
      <c r="AN17" s="226" cm="1">
        <f t="array" ref="AN17">IFERROR(SUM(VLOOKUP($A17,'預算A1 BIM'!$A$77:$BB$143,{31},0)),0)+AQ17</f>
        <v>39236</v>
      </c>
      <c r="AO17" s="226" cm="1">
        <f t="array" ref="AO17">IFERROR(SUM(VLOOKUP($A17,'預算A1 BIM'!$A$151:$BB$220,{31},0)),0)-AQ17</f>
        <v>16360</v>
      </c>
      <c r="AP17" s="226">
        <f t="shared" si="8"/>
        <v>55596</v>
      </c>
      <c r="AQ17" s="1400"/>
      <c r="AR17" s="226" cm="1">
        <f t="array" ref="AR17">IFERROR(SUM(VLOOKUP($A17,'預算A1 BIM'!$A$77:$BB$143,{32},0)),0)+AU17</f>
        <v>39236</v>
      </c>
      <c r="AS17" s="226" cm="1">
        <f t="array" ref="AS17">IFERROR(SUM(VLOOKUP($A17,'預算A1 BIM'!$A$151:$BB$220,{32},0)),0)-AU17</f>
        <v>16360</v>
      </c>
      <c r="AT17" s="226">
        <f t="shared" si="9"/>
        <v>55596</v>
      </c>
      <c r="AU17" s="1400"/>
      <c r="AV17" s="226" cm="1">
        <f t="array" ref="AV17">IFERROR(SUM(VLOOKUP($A17,'預算A1 BIM'!$A$77:$BB$143,{33},0)),0)+AY17</f>
        <v>39236</v>
      </c>
      <c r="AW17" s="226" cm="1">
        <f t="array" ref="AW17">IFERROR(SUM(VLOOKUP($A17,'預算A1 BIM'!$A$151:$BB$220,{33},0)),0)-AY17</f>
        <v>16360</v>
      </c>
      <c r="AX17" s="226">
        <f t="shared" si="44"/>
        <v>55596</v>
      </c>
      <c r="AY17" s="1400"/>
      <c r="AZ17" s="226" cm="1">
        <f t="array" ref="AZ17">IFERROR(SUM(VLOOKUP($A17,'預算A1 BIM'!$A$77:$BB$143,{34},0)),0)+BC17</f>
        <v>39236</v>
      </c>
      <c r="BA17" s="226" cm="1">
        <f t="array" ref="BA17">IFERROR(SUM(VLOOKUP($A17,'預算A1 BIM'!$A$151:$BB$220,{34},0)),0)-BC17</f>
        <v>16361</v>
      </c>
      <c r="BB17" s="226">
        <f t="shared" si="11"/>
        <v>55597</v>
      </c>
      <c r="BC17" s="1400"/>
      <c r="BD17" s="226" cm="1">
        <f t="array" ref="BD17">IFERROR(SUM(VLOOKUP($A17,'預算A1 BIM'!$A$77:$BB$143,{35},0)),0)+BG17</f>
        <v>39236</v>
      </c>
      <c r="BE17" s="226" cm="1">
        <f t="array" ref="BE17">IFERROR(SUM(VLOOKUP($A17,'預算A1 BIM'!$A$151:$BB$220,{35},0)),0)-BG17</f>
        <v>16360</v>
      </c>
      <c r="BF17" s="226">
        <f t="shared" si="12"/>
        <v>55596</v>
      </c>
      <c r="BG17" s="1400"/>
      <c r="BH17" s="226" cm="1">
        <f t="array" ref="BH17">IFERROR(SUM(VLOOKUP($A17,'預算A1 BIM'!$A$77:$BB$143,{36},0)),0)+BK17</f>
        <v>59236</v>
      </c>
      <c r="BI17" s="226" cm="1">
        <f t="array" ref="BI17">IFERROR(SUM(VLOOKUP($A17,'預算A1 BIM'!$A$151:$BB$220,{36},0)),0)-BK17</f>
        <v>24700</v>
      </c>
      <c r="BJ17" s="226">
        <f t="shared" si="13"/>
        <v>83936</v>
      </c>
      <c r="BK17" s="1400"/>
      <c r="BL17" s="1400">
        <f>SUMIF($P$4:$BK$4,$BL$4,$P17:$BK$65)</f>
        <v>594217</v>
      </c>
      <c r="BM17" s="1400">
        <f>SUMIF($P$4:$BK$4,$BM$4,$P17:$BK$65)</f>
        <v>247771</v>
      </c>
      <c r="BN17" s="1400">
        <f t="shared" si="14"/>
        <v>841988</v>
      </c>
      <c r="BO17" s="1400">
        <f>SUMIF($P$4:$BK$4,$BO$4,$P17:$BK$65)</f>
        <v>0</v>
      </c>
      <c r="BP17" s="1400">
        <f t="shared" si="40"/>
        <v>1034003</v>
      </c>
      <c r="BQ17" s="1400">
        <f t="shared" si="15"/>
        <v>431149</v>
      </c>
      <c r="BR17" s="1400">
        <f t="shared" si="16"/>
        <v>1465152</v>
      </c>
      <c r="BS17" s="1400">
        <f t="shared" si="17"/>
        <v>0</v>
      </c>
      <c r="BT17" s="226" cm="1">
        <f t="array" ref="BT17">IFERROR(SUM(VLOOKUP($A17,'預算A1 BIM'!$A$77:$BB$143,{39},0)),0)+BW17</f>
        <v>753096</v>
      </c>
      <c r="BU17" s="226" cm="1">
        <f t="array" ref="BU17">IFERROR(SUM(VLOOKUP($A17,'預算A1 BIM'!$A$151:$BB$220,{39},0)),0)-BW17</f>
        <v>314018</v>
      </c>
      <c r="BV17" s="226">
        <f t="shared" si="18"/>
        <v>1067114</v>
      </c>
      <c r="BW17" s="1400"/>
      <c r="BX17" s="1400">
        <f t="shared" si="41"/>
        <v>1787099</v>
      </c>
      <c r="BY17" s="1400">
        <f t="shared" si="19"/>
        <v>745167</v>
      </c>
      <c r="BZ17" s="1400">
        <f t="shared" si="20"/>
        <v>2532266</v>
      </c>
      <c r="CA17" s="1400">
        <f t="shared" si="42"/>
        <v>0</v>
      </c>
      <c r="CB17" s="226" cm="1">
        <f t="array" ref="CB17">IFERROR(SUM(VLOOKUP($A17,'預算A1 BIM'!$A$77:$BB$143,{40},0)),0)+CE17</f>
        <v>1220293</v>
      </c>
      <c r="CC17" s="226" cm="1">
        <f t="array" ref="CC17">IFERROR(SUM(VLOOKUP($A17,'預算A1 BIM'!$A$151:$BB$220,{40},0)),0)-CE17</f>
        <v>508826</v>
      </c>
      <c r="CD17" s="226">
        <f t="shared" si="43"/>
        <v>1729119</v>
      </c>
      <c r="CE17" s="1400"/>
      <c r="CF17" s="1400">
        <f t="shared" si="22"/>
        <v>3007392</v>
      </c>
      <c r="CG17" s="1400">
        <f t="shared" si="23"/>
        <v>1253993</v>
      </c>
      <c r="CH17" s="1400">
        <f t="shared" si="24"/>
        <v>4261385</v>
      </c>
      <c r="CI17" s="1400">
        <f t="shared" si="25"/>
        <v>0</v>
      </c>
      <c r="CJ17" s="226" cm="1">
        <f t="array" ref="CJ17">IFERROR(SUM(VLOOKUP($A17,'預算A1 BIM'!$A$77:$BB$143,{41},0)),0)+CM17</f>
        <v>1163262</v>
      </c>
      <c r="CK17" s="226" cm="1">
        <f t="array" ref="CK17">IFERROR(SUM(VLOOKUP($A17,'預算A1 BIM'!$A$151:$BB$220,{41},0)),0)-CM17</f>
        <v>485046</v>
      </c>
      <c r="CL17" s="226">
        <f t="shared" si="26"/>
        <v>1648308</v>
      </c>
      <c r="CM17" s="1400"/>
      <c r="CN17" s="1400">
        <f t="shared" si="27"/>
        <v>4170654</v>
      </c>
      <c r="CO17" s="1400">
        <f t="shared" si="28"/>
        <v>1739039</v>
      </c>
      <c r="CP17" s="1400">
        <f t="shared" si="29"/>
        <v>5909693</v>
      </c>
      <c r="CQ17" s="1400">
        <f t="shared" si="30"/>
        <v>0</v>
      </c>
      <c r="CR17" s="226" cm="1">
        <f t="array" ref="CR17">IFERROR(SUM(VLOOKUP($A17,'預算A1 BIM'!$A$77:$BB$143,{42},0)),0)+CU17</f>
        <v>680680</v>
      </c>
      <c r="CS17" s="226" cm="1">
        <f t="array" ref="CS17">IFERROR(SUM(VLOOKUP($A17,'預算A1 BIM'!$A$151:$BB$220,{42},0)),0)-CU17</f>
        <v>283824</v>
      </c>
      <c r="CT17" s="226">
        <f t="shared" si="31"/>
        <v>964504</v>
      </c>
      <c r="CU17" s="1400"/>
      <c r="CV17" s="1400">
        <f t="shared" si="32"/>
        <v>4851334</v>
      </c>
      <c r="CW17" s="1400">
        <f t="shared" si="33"/>
        <v>2022863</v>
      </c>
      <c r="CX17" s="1400">
        <f t="shared" si="34"/>
        <v>6874197</v>
      </c>
      <c r="CY17" s="1400">
        <f t="shared" si="35"/>
        <v>0</v>
      </c>
    </row>
    <row r="18" spans="1:103" s="1401" customFormat="1" ht="16.5" customHeight="1" outlineLevel="1">
      <c r="A18" s="1397" t="s">
        <v>642</v>
      </c>
      <c r="B18" s="1403" t="s">
        <v>1971</v>
      </c>
      <c r="C18" s="1403" t="s">
        <v>1245</v>
      </c>
      <c r="D18" s="1399">
        <f>IFERROR(VLOOKUP(A18,'202608收入成本表'!A:Y,23,0),0)</f>
        <v>1931642</v>
      </c>
      <c r="E18" s="1399">
        <f>IFERROR(VLOOKUP(A18,'202608收入成本表'!A:Z,24,0),0)</f>
        <v>324358</v>
      </c>
      <c r="F18" s="1400">
        <f t="shared" si="36"/>
        <v>2256000</v>
      </c>
      <c r="G18" s="1400"/>
      <c r="H18" s="1400" cm="1">
        <f t="array" ref="H18">IFERROR(SUM(VLOOKUP(A18,'預算A1 BIM'!$A$77:$BB$143,{19,20,21,22},0)),0)</f>
        <v>649138</v>
      </c>
      <c r="I18" s="1400" cm="1">
        <f t="array" ref="I18">IFERROR(SUM(VLOOKUP(A18,'預算A1 BIM'!$A$151:$BB$220,{19,20,21,22},0)),0)</f>
        <v>942591</v>
      </c>
      <c r="J18" s="1400">
        <f t="shared" si="37"/>
        <v>1591729</v>
      </c>
      <c r="K18" s="1400">
        <f>-VLOOKUP(A18,'2026FCST%'!A:AC,27,FALSE)</f>
        <v>0</v>
      </c>
      <c r="L18" s="1400">
        <f t="shared" si="38"/>
        <v>2580780</v>
      </c>
      <c r="M18" s="1400">
        <f t="shared" si="45"/>
        <v>1266949</v>
      </c>
      <c r="N18" s="1400">
        <f t="shared" si="1"/>
        <v>3847729</v>
      </c>
      <c r="O18" s="1400">
        <f t="shared" si="39"/>
        <v>0</v>
      </c>
      <c r="P18" s="226" cm="1">
        <f t="array" ref="P18">IFERROR(SUM(VLOOKUP($A18,'預算A1 BIM'!$A$77:$BB$143,{25},0)),0)+S18</f>
        <v>160813</v>
      </c>
      <c r="Q18" s="226" cm="1">
        <f t="array" ref="Q18">IFERROR(SUM(VLOOKUP($A18,'預算A1 BIM'!$A$151:$BB$220,{25},0)),0)</f>
        <v>78945</v>
      </c>
      <c r="R18" s="1400">
        <f t="shared" si="2"/>
        <v>239758</v>
      </c>
      <c r="S18" s="1400"/>
      <c r="T18" s="226" cm="1">
        <f t="array" ref="T18">IFERROR(SUM(VLOOKUP($A18,'預算A1 BIM'!$A$77:$BB$143,{26},0)),0)+W18</f>
        <v>160813</v>
      </c>
      <c r="U18" s="226" cm="1">
        <f t="array" ref="U18">IFERROR(SUM(VLOOKUP($A18,'預算A1 BIM'!$A$151:$BB$220,{26},0)),0)</f>
        <v>78946</v>
      </c>
      <c r="V18" s="1400">
        <f t="shared" si="3"/>
        <v>239759</v>
      </c>
      <c r="W18" s="1400"/>
      <c r="X18" s="226" cm="1">
        <f t="array" ref="X18">IFERROR(SUM(VLOOKUP($A18,'預算A1 BIM'!$A$77:$BB$143,{27},0)),0)+AA18</f>
        <v>160813</v>
      </c>
      <c r="Y18" s="226" cm="1">
        <f t="array" ref="Y18">IFERROR(SUM(VLOOKUP($A18,'預算A1 BIM'!$A$151:$BB$220,{27},0)),0)</f>
        <v>78946</v>
      </c>
      <c r="Z18" s="1400">
        <f t="shared" si="4"/>
        <v>239759</v>
      </c>
      <c r="AA18" s="1400"/>
      <c r="AB18" s="226" cm="1">
        <f t="array" ref="AB18">IFERROR(SUM(VLOOKUP($A18,'預算A1 BIM'!$A$77:$BB$143,{28},0)),0)+AE18</f>
        <v>160813</v>
      </c>
      <c r="AC18" s="226" cm="1">
        <f t="array" ref="AC18">IFERROR(SUM(VLOOKUP($A18,'預算A1 BIM'!$A$151:$BB$220,{28},0)),0)</f>
        <v>78946</v>
      </c>
      <c r="AD18" s="226">
        <f t="shared" si="46"/>
        <v>239759</v>
      </c>
      <c r="AE18" s="1400"/>
      <c r="AF18" s="226" cm="1">
        <f t="array" ref="AF18">IFERROR(SUM(VLOOKUP($A18,'預算A1 BIM'!$A$77:$BB$143,{29},0)),0)+AI18</f>
        <v>160813</v>
      </c>
      <c r="AG18" s="226" cm="1">
        <f t="array" ref="AG18">IFERROR(SUM(VLOOKUP($A18,'預算A1 BIM'!$A$151:$BB$220,{29},0)),0)</f>
        <v>78946</v>
      </c>
      <c r="AH18" s="226">
        <f t="shared" si="6"/>
        <v>239759</v>
      </c>
      <c r="AI18" s="1400"/>
      <c r="AJ18" s="226" cm="1">
        <f t="array" ref="AJ18">IFERROR(SUM(VLOOKUP($A18,'預算A1 BIM'!$A$77:$BB$143,{30},0)),0)+AM18</f>
        <v>50000</v>
      </c>
      <c r="AK18" s="226" cm="1">
        <f t="array" ref="AK18">IFERROR(SUM(VLOOKUP($A18,'預算A1 BIM'!$A$151:$BB$220,{30},0)),0)</f>
        <v>24545</v>
      </c>
      <c r="AL18" s="226">
        <f t="shared" si="7"/>
        <v>74545</v>
      </c>
      <c r="AM18" s="1400"/>
      <c r="AN18" s="226" cm="1">
        <f t="array" ref="AN18">IFERROR(SUM(VLOOKUP($A18,'預算A1 BIM'!$A$77:$BB$143,{31},0)),0)+AQ18</f>
        <v>0</v>
      </c>
      <c r="AO18" s="226" cm="1">
        <f t="array" ref="AO18">IFERROR(SUM(VLOOKUP($A18,'預算A1 BIM'!$A$151:$BB$220,{31},0)),0)-AQ18</f>
        <v>0</v>
      </c>
      <c r="AP18" s="226">
        <f t="shared" si="8"/>
        <v>0</v>
      </c>
      <c r="AQ18" s="1400"/>
      <c r="AR18" s="226" cm="1">
        <f t="array" ref="AR18">IFERROR(SUM(VLOOKUP($A18,'預算A1 BIM'!$A$77:$BB$143,{32},0)),0)+AU18</f>
        <v>0</v>
      </c>
      <c r="AS18" s="226" cm="1">
        <f t="array" ref="AS18">IFERROR(SUM(VLOOKUP($A18,'預算A1 BIM'!$A$151:$BB$220,{32},0)),0)-AU18</f>
        <v>0</v>
      </c>
      <c r="AT18" s="226">
        <f t="shared" si="9"/>
        <v>0</v>
      </c>
      <c r="AU18" s="1400"/>
      <c r="AV18" s="226" cm="1">
        <f t="array" ref="AV18">IFERROR(SUM(VLOOKUP($A18,'預算A1 BIM'!$A$77:$BB$143,{33},0)),0)+AY18</f>
        <v>0</v>
      </c>
      <c r="AW18" s="226" cm="1">
        <f t="array" ref="AW18">IFERROR(SUM(VLOOKUP($A18,'預算A1 BIM'!$A$151:$BB$220,{33},0)),0)-AY18</f>
        <v>0</v>
      </c>
      <c r="AX18" s="226">
        <f t="shared" si="44"/>
        <v>0</v>
      </c>
      <c r="AY18" s="1400"/>
      <c r="AZ18" s="226" cm="1">
        <f t="array" ref="AZ18">IFERROR(SUM(VLOOKUP($A18,'預算A1 BIM'!$A$77:$BB$143,{34},0)),0)+BC18</f>
        <v>0</v>
      </c>
      <c r="BA18" s="226" cm="1">
        <f t="array" ref="BA18">IFERROR(SUM(VLOOKUP($A18,'預算A1 BIM'!$A$151:$BB$220,{34},0)),0)-BC18</f>
        <v>0</v>
      </c>
      <c r="BB18" s="226">
        <f t="shared" si="11"/>
        <v>0</v>
      </c>
      <c r="BC18" s="1400"/>
      <c r="BD18" s="226" cm="1">
        <f t="array" ref="BD18">IFERROR(SUM(VLOOKUP($A18,'預算A1 BIM'!$A$77:$BB$143,{35},0)),0)+BG18</f>
        <v>0</v>
      </c>
      <c r="BE18" s="226" cm="1">
        <f t="array" ref="BE18">IFERROR(SUM(VLOOKUP($A18,'預算A1 BIM'!$A$151:$BB$220,{35},0)),0)-BG18</f>
        <v>0</v>
      </c>
      <c r="BF18" s="226">
        <f t="shared" si="12"/>
        <v>0</v>
      </c>
      <c r="BG18" s="1400"/>
      <c r="BH18" s="226" cm="1">
        <f t="array" ref="BH18">IFERROR(SUM(VLOOKUP($A18,'預算A1 BIM'!$A$77:$BB$143,{36},0)),0)+BK18</f>
        <v>2870000</v>
      </c>
      <c r="BI18" s="226" cm="1">
        <f t="array" ref="BI18">IFERROR(SUM(VLOOKUP($A18,'預算A1 BIM'!$A$151:$BB$220,{36},0)),0)-BK18</f>
        <v>1408932</v>
      </c>
      <c r="BJ18" s="226">
        <f t="shared" si="13"/>
        <v>4278932</v>
      </c>
      <c r="BK18" s="1400"/>
      <c r="BL18" s="1400">
        <f>SUMIF($P$4:$BK$4,$BL$4,$P18:$BK$65)</f>
        <v>3724065</v>
      </c>
      <c r="BM18" s="1400">
        <f>SUMIF($P$4:$BK$4,$BM$4,$P18:$BK$65)</f>
        <v>1828206</v>
      </c>
      <c r="BN18" s="1400">
        <f t="shared" si="14"/>
        <v>5552271</v>
      </c>
      <c r="BO18" s="1400">
        <f>SUMIF($P$4:$BK$4,$BO$4,$P18:$BK$65)</f>
        <v>0</v>
      </c>
      <c r="BP18" s="1400">
        <f t="shared" si="40"/>
        <v>6304845</v>
      </c>
      <c r="BQ18" s="1400">
        <f t="shared" si="15"/>
        <v>3095155</v>
      </c>
      <c r="BR18" s="1400">
        <f t="shared" si="16"/>
        <v>9400000</v>
      </c>
      <c r="BS18" s="1400">
        <f t="shared" si="17"/>
        <v>0</v>
      </c>
      <c r="BT18" s="226" cm="1">
        <f t="array" ref="BT18">IFERROR(SUM(VLOOKUP($A18,'預算A1 BIM'!$A$77:$BB$143,{39},0)),0)+BW18</f>
        <v>0</v>
      </c>
      <c r="BU18" s="226" cm="1">
        <f t="array" ref="BU18">IFERROR(SUM(VLOOKUP($A18,'預算A1 BIM'!$A$151:$BB$220,{39},0)),0)-BW18</f>
        <v>0</v>
      </c>
      <c r="BV18" s="226">
        <f t="shared" si="18"/>
        <v>0</v>
      </c>
      <c r="BW18" s="1400"/>
      <c r="BX18" s="1400">
        <f t="shared" si="41"/>
        <v>6304845</v>
      </c>
      <c r="BY18" s="1400">
        <f t="shared" si="19"/>
        <v>3095155</v>
      </c>
      <c r="BZ18" s="1400">
        <f t="shared" si="20"/>
        <v>9400000</v>
      </c>
      <c r="CA18" s="1400">
        <f t="shared" si="42"/>
        <v>0</v>
      </c>
      <c r="CB18" s="226" cm="1">
        <f t="array" ref="CB18">IFERROR(SUM(VLOOKUP($A18,'預算A1 BIM'!$A$77:$BB$143,{40},0)),0)+CE18</f>
        <v>0</v>
      </c>
      <c r="CC18" s="226" cm="1">
        <f t="array" ref="CC18">IFERROR(SUM(VLOOKUP($A18,'預算A1 BIM'!$A$151:$BB$220,{40},0)),0)-CE18</f>
        <v>0</v>
      </c>
      <c r="CD18" s="226">
        <f t="shared" si="43"/>
        <v>0</v>
      </c>
      <c r="CE18" s="1400"/>
      <c r="CF18" s="1400">
        <f t="shared" si="22"/>
        <v>6304845</v>
      </c>
      <c r="CG18" s="1400">
        <f t="shared" si="23"/>
        <v>3095155</v>
      </c>
      <c r="CH18" s="1400">
        <f t="shared" si="24"/>
        <v>9400000</v>
      </c>
      <c r="CI18" s="1400">
        <f t="shared" si="25"/>
        <v>0</v>
      </c>
      <c r="CJ18" s="226" cm="1">
        <f t="array" ref="CJ18">IFERROR(SUM(VLOOKUP($A18,'預算A1 BIM'!$A$77:$BB$143,{41},0)),0)+CM18</f>
        <v>0</v>
      </c>
      <c r="CK18" s="226" cm="1">
        <f t="array" ref="CK18">IFERROR(SUM(VLOOKUP($A18,'預算A1 BIM'!$A$151:$BB$220,{41},0)),0)-CM18</f>
        <v>0</v>
      </c>
      <c r="CL18" s="226">
        <f t="shared" si="26"/>
        <v>0</v>
      </c>
      <c r="CM18" s="1400"/>
      <c r="CN18" s="1400">
        <f t="shared" si="27"/>
        <v>6304845</v>
      </c>
      <c r="CO18" s="1400">
        <f t="shared" si="28"/>
        <v>3095155</v>
      </c>
      <c r="CP18" s="1400">
        <f t="shared" si="29"/>
        <v>9400000</v>
      </c>
      <c r="CQ18" s="1400">
        <f t="shared" si="30"/>
        <v>0</v>
      </c>
      <c r="CR18" s="226" cm="1">
        <f t="array" ref="CR18">IFERROR(SUM(VLOOKUP($A18,'預算A1 BIM'!$A$77:$BB$143,{42},0)),0)+CU18</f>
        <v>0</v>
      </c>
      <c r="CS18" s="226" cm="1">
        <f t="array" ref="CS18">IFERROR(SUM(VLOOKUP($A18,'預算A1 BIM'!$A$151:$BB$220,{42},0)),0)-CU18</f>
        <v>0</v>
      </c>
      <c r="CT18" s="226">
        <f t="shared" si="31"/>
        <v>0</v>
      </c>
      <c r="CU18" s="1400"/>
      <c r="CV18" s="1400">
        <f t="shared" si="32"/>
        <v>6304845</v>
      </c>
      <c r="CW18" s="1400">
        <f t="shared" si="33"/>
        <v>3095155</v>
      </c>
      <c r="CX18" s="1400">
        <f t="shared" si="34"/>
        <v>9400000</v>
      </c>
      <c r="CY18" s="1400">
        <f t="shared" si="35"/>
        <v>0</v>
      </c>
    </row>
    <row r="19" spans="1:103" s="1401" customFormat="1" ht="16.5" customHeight="1" outlineLevel="1">
      <c r="A19" s="1397" t="s">
        <v>643</v>
      </c>
      <c r="B19" s="1403" t="s">
        <v>1972</v>
      </c>
      <c r="C19" s="1403" t="s">
        <v>1245</v>
      </c>
      <c r="D19" s="1399">
        <f>IFERROR(VLOOKUP(A19,'202608收入成本表'!A:Y,23,0),0)</f>
        <v>176468</v>
      </c>
      <c r="E19" s="1399">
        <f>IFERROR(VLOOKUP(A19,'202608收入成本表'!A:Z,24,0),0)</f>
        <v>-176468</v>
      </c>
      <c r="F19" s="1400">
        <f t="shared" si="36"/>
        <v>0</v>
      </c>
      <c r="G19" s="1400"/>
      <c r="H19" s="1400" cm="1">
        <f t="array" ref="H19">IFERROR(SUM(VLOOKUP(A19,'預算A1 BIM'!$A$77:$BB$143,{19,20,21,22},0)),0)</f>
        <v>399000</v>
      </c>
      <c r="I19" s="1400" cm="1">
        <f t="array" ref="I19">IFERROR(SUM(VLOOKUP(A19,'預算A1 BIM'!$A$151:$BB$220,{19,20,21,22},0)),0)</f>
        <v>931000</v>
      </c>
      <c r="J19" s="1400">
        <f t="shared" si="37"/>
        <v>1330000</v>
      </c>
      <c r="K19" s="1400">
        <f>-VLOOKUP(A19,'2026FCST%'!A:AC,27,FALSE)</f>
        <v>0</v>
      </c>
      <c r="L19" s="1400">
        <f t="shared" si="38"/>
        <v>575468</v>
      </c>
      <c r="M19" s="1400">
        <f t="shared" si="45"/>
        <v>754532</v>
      </c>
      <c r="N19" s="1400">
        <f t="shared" si="1"/>
        <v>1330000</v>
      </c>
      <c r="O19" s="1400">
        <f t="shared" si="39"/>
        <v>0</v>
      </c>
      <c r="P19" s="226" cm="1">
        <f t="array" ref="P19">IFERROR(SUM(VLOOKUP($A19,'預算A1 BIM'!$A$77:$BB$143,{25},0)),0)+S19</f>
        <v>0</v>
      </c>
      <c r="Q19" s="226" cm="1">
        <f t="array" ref="Q19">IFERROR(SUM(VLOOKUP($A19,'預算A1 BIM'!$A$151:$BB$220,{25},0)),0)</f>
        <v>0</v>
      </c>
      <c r="R19" s="1400">
        <f t="shared" si="2"/>
        <v>0</v>
      </c>
      <c r="S19" s="1400"/>
      <c r="T19" s="226" cm="1">
        <f t="array" ref="T19">IFERROR(SUM(VLOOKUP($A19,'預算A1 BIM'!$A$77:$BB$143,{26},0)),0)+W19</f>
        <v>0</v>
      </c>
      <c r="U19" s="226" cm="1">
        <f t="array" ref="U19">IFERROR(SUM(VLOOKUP($A19,'預算A1 BIM'!$A$151:$BB$220,{26},0)),0)</f>
        <v>0</v>
      </c>
      <c r="V19" s="1400">
        <f t="shared" si="3"/>
        <v>0</v>
      </c>
      <c r="W19" s="1400"/>
      <c r="X19" s="226" cm="1">
        <f t="array" ref="X19">IFERROR(SUM(VLOOKUP($A19,'預算A1 BIM'!$A$77:$BB$143,{27},0)),0)+AA19</f>
        <v>0</v>
      </c>
      <c r="Y19" s="226" cm="1">
        <f t="array" ref="Y19">IFERROR(SUM(VLOOKUP($A19,'預算A1 BIM'!$A$151:$BB$220,{27},0)),0)</f>
        <v>0</v>
      </c>
      <c r="Z19" s="1400">
        <f t="shared" si="4"/>
        <v>0</v>
      </c>
      <c r="AA19" s="1400"/>
      <c r="AB19" s="226" cm="1">
        <f t="array" ref="AB19">IFERROR(SUM(VLOOKUP($A19,'預算A1 BIM'!$A$77:$BB$143,{28},0)),0)+AE19</f>
        <v>0</v>
      </c>
      <c r="AC19" s="226" cm="1">
        <f t="array" ref="AC19">IFERROR(SUM(VLOOKUP($A19,'預算A1 BIM'!$A$151:$BB$220,{28},0)),0)</f>
        <v>0</v>
      </c>
      <c r="AD19" s="226">
        <f t="shared" si="46"/>
        <v>0</v>
      </c>
      <c r="AE19" s="1400"/>
      <c r="AF19" s="226" cm="1">
        <f t="array" ref="AF19">IFERROR(SUM(VLOOKUP($A19,'預算A1 BIM'!$A$77:$BB$143,{29},0)),0)+AI19</f>
        <v>0</v>
      </c>
      <c r="AG19" s="226" cm="1">
        <f t="array" ref="AG19">IFERROR(SUM(VLOOKUP($A19,'預算A1 BIM'!$A$151:$BB$220,{29},0)),0)</f>
        <v>0</v>
      </c>
      <c r="AH19" s="226">
        <f t="shared" si="6"/>
        <v>0</v>
      </c>
      <c r="AI19" s="1400"/>
      <c r="AJ19" s="226" cm="1">
        <f t="array" ref="AJ19">IFERROR(SUM(VLOOKUP($A19,'預算A1 BIM'!$A$77:$BB$143,{30},0)),0)+AM19</f>
        <v>0</v>
      </c>
      <c r="AK19" s="226" cm="1">
        <f t="array" ref="AK19">IFERROR(SUM(VLOOKUP($A19,'預算A1 BIM'!$A$151:$BB$220,{30},0)),0)</f>
        <v>0</v>
      </c>
      <c r="AL19" s="226">
        <f t="shared" si="7"/>
        <v>0</v>
      </c>
      <c r="AM19" s="1400"/>
      <c r="AN19" s="226" cm="1">
        <f t="array" ref="AN19">IFERROR(SUM(VLOOKUP($A19,'預算A1 BIM'!$A$77:$BB$143,{31},0)),0)+AQ19</f>
        <v>0</v>
      </c>
      <c r="AO19" s="226" cm="1">
        <f t="array" ref="AO19">IFERROR(SUM(VLOOKUP($A19,'預算A1 BIM'!$A$151:$BB$220,{31},0)),0)-AQ19</f>
        <v>0</v>
      </c>
      <c r="AP19" s="226">
        <f t="shared" si="8"/>
        <v>0</v>
      </c>
      <c r="AQ19" s="1400"/>
      <c r="AR19" s="226" cm="1">
        <f t="array" ref="AR19">IFERROR(SUM(VLOOKUP($A19,'預算A1 BIM'!$A$77:$BB$143,{32},0)),0)+AU19</f>
        <v>0</v>
      </c>
      <c r="AS19" s="226" cm="1">
        <f t="array" ref="AS19">IFERROR(SUM(VLOOKUP($A19,'預算A1 BIM'!$A$151:$BB$220,{32},0)),0)-AU19</f>
        <v>0</v>
      </c>
      <c r="AT19" s="226">
        <f t="shared" si="9"/>
        <v>0</v>
      </c>
      <c r="AU19" s="1400"/>
      <c r="AV19" s="226" cm="1">
        <f t="array" ref="AV19">IFERROR(SUM(VLOOKUP($A19,'預算A1 BIM'!$A$77:$BB$143,{33},0)),0)+AY19</f>
        <v>0</v>
      </c>
      <c r="AW19" s="226" cm="1">
        <f t="array" ref="AW19">IFERROR(SUM(VLOOKUP($A19,'預算A1 BIM'!$A$151:$BB$220,{33},0)),0)-AY19</f>
        <v>0</v>
      </c>
      <c r="AX19" s="226">
        <f t="shared" si="44"/>
        <v>0</v>
      </c>
      <c r="AY19" s="1400"/>
      <c r="AZ19" s="226" cm="1">
        <f t="array" ref="AZ19">IFERROR(SUM(VLOOKUP($A19,'預算A1 BIM'!$A$77:$BB$143,{34},0)),0)+BC19</f>
        <v>0</v>
      </c>
      <c r="BA19" s="226" cm="1">
        <f t="array" ref="BA19">IFERROR(SUM(VLOOKUP($A19,'預算A1 BIM'!$A$151:$BB$220,{34},0)),0)-BC19</f>
        <v>0</v>
      </c>
      <c r="BB19" s="226">
        <f t="shared" si="11"/>
        <v>0</v>
      </c>
      <c r="BC19" s="1400"/>
      <c r="BD19" s="226" cm="1">
        <f t="array" ref="BD19">IFERROR(SUM(VLOOKUP($A19,'預算A1 BIM'!$A$77:$BB$143,{35},0)),0)+BG19</f>
        <v>0</v>
      </c>
      <c r="BE19" s="226" cm="1">
        <f t="array" ref="BE19">IFERROR(SUM(VLOOKUP($A19,'預算A1 BIM'!$A$151:$BB$220,{35},0)),0)-BG19</f>
        <v>0</v>
      </c>
      <c r="BF19" s="226">
        <f t="shared" si="12"/>
        <v>0</v>
      </c>
      <c r="BG19" s="1400"/>
      <c r="BH19" s="226" cm="1">
        <f t="array" ref="BH19">IFERROR(SUM(VLOOKUP($A19,'預算A1 BIM'!$A$77:$BB$143,{36},0)),0)+BK19</f>
        <v>0</v>
      </c>
      <c r="BI19" s="226" cm="1">
        <f t="array" ref="BI19">IFERROR(SUM(VLOOKUP($A19,'預算A1 BIM'!$A$151:$BB$220,{36},0)),0)-BK19</f>
        <v>0</v>
      </c>
      <c r="BJ19" s="226">
        <f t="shared" si="13"/>
        <v>0</v>
      </c>
      <c r="BK19" s="1400"/>
      <c r="BL19" s="1400">
        <f>SUMIF($P$4:$BK$4,$BL$4,$P19:$BK$65)</f>
        <v>0</v>
      </c>
      <c r="BM19" s="1400">
        <f>SUMIF($P$4:$BK$4,$BM$4,$P19:$BK$65)</f>
        <v>0</v>
      </c>
      <c r="BN19" s="1400">
        <f t="shared" si="14"/>
        <v>0</v>
      </c>
      <c r="BO19" s="1400">
        <f>SUMIF($P$4:$BK$4,$BO$4,$P19:$BK$65)</f>
        <v>0</v>
      </c>
      <c r="BP19" s="1400">
        <f t="shared" si="40"/>
        <v>575468</v>
      </c>
      <c r="BQ19" s="1400">
        <f t="shared" si="15"/>
        <v>754532</v>
      </c>
      <c r="BR19" s="1400">
        <f t="shared" si="16"/>
        <v>1330000</v>
      </c>
      <c r="BS19" s="1400">
        <f t="shared" si="17"/>
        <v>0</v>
      </c>
      <c r="BT19" s="226" cm="1">
        <f t="array" ref="BT19">IFERROR(SUM(VLOOKUP($A19,'預算A1 BIM'!$A$77:$BB$143,{39},0)),0)+BW19</f>
        <v>0</v>
      </c>
      <c r="BU19" s="226" cm="1">
        <f t="array" ref="BU19">IFERROR(SUM(VLOOKUP($A19,'預算A1 BIM'!$A$151:$BB$220,{39},0)),0)-BW19</f>
        <v>0</v>
      </c>
      <c r="BV19" s="226">
        <f t="shared" si="18"/>
        <v>0</v>
      </c>
      <c r="BW19" s="1400"/>
      <c r="BX19" s="1400">
        <f t="shared" si="41"/>
        <v>575468</v>
      </c>
      <c r="BY19" s="1400">
        <f t="shared" si="19"/>
        <v>754532</v>
      </c>
      <c r="BZ19" s="1400">
        <f t="shared" si="20"/>
        <v>1330000</v>
      </c>
      <c r="CA19" s="1400">
        <f t="shared" si="42"/>
        <v>0</v>
      </c>
      <c r="CB19" s="226" cm="1">
        <f t="array" ref="CB19">IFERROR(SUM(VLOOKUP($A19,'預算A1 BIM'!$A$77:$BB$143,{40},0)),0)+CE19</f>
        <v>0</v>
      </c>
      <c r="CC19" s="226" cm="1">
        <f t="array" ref="CC19">IFERROR(SUM(VLOOKUP($A19,'預算A1 BIM'!$A$151:$BB$220,{40},0)),0)-CE19</f>
        <v>0</v>
      </c>
      <c r="CD19" s="226">
        <f t="shared" si="43"/>
        <v>0</v>
      </c>
      <c r="CE19" s="1400"/>
      <c r="CF19" s="1400">
        <f t="shared" si="22"/>
        <v>575468</v>
      </c>
      <c r="CG19" s="1400">
        <f t="shared" si="23"/>
        <v>754532</v>
      </c>
      <c r="CH19" s="1400">
        <f t="shared" si="24"/>
        <v>1330000</v>
      </c>
      <c r="CI19" s="1400">
        <f t="shared" si="25"/>
        <v>0</v>
      </c>
      <c r="CJ19" s="226" cm="1">
        <f t="array" ref="CJ19">IFERROR(SUM(VLOOKUP($A19,'預算A1 BIM'!$A$77:$BB$143,{41},0)),0)+CM19</f>
        <v>0</v>
      </c>
      <c r="CK19" s="226" cm="1">
        <f t="array" ref="CK19">IFERROR(SUM(VLOOKUP($A19,'預算A1 BIM'!$A$151:$BB$220,{41},0)),0)-CM19</f>
        <v>0</v>
      </c>
      <c r="CL19" s="226">
        <f t="shared" si="26"/>
        <v>0</v>
      </c>
      <c r="CM19" s="1400"/>
      <c r="CN19" s="1400">
        <f t="shared" si="27"/>
        <v>575468</v>
      </c>
      <c r="CO19" s="1400">
        <f t="shared" si="28"/>
        <v>754532</v>
      </c>
      <c r="CP19" s="1400">
        <f t="shared" si="29"/>
        <v>1330000</v>
      </c>
      <c r="CQ19" s="1400">
        <f t="shared" si="30"/>
        <v>0</v>
      </c>
      <c r="CR19" s="226" cm="1">
        <f t="array" ref="CR19">IFERROR(SUM(VLOOKUP($A19,'預算A1 BIM'!$A$77:$BB$143,{42},0)),0)+CU19</f>
        <v>0</v>
      </c>
      <c r="CS19" s="226" cm="1">
        <f t="array" ref="CS19">IFERROR(SUM(VLOOKUP($A19,'預算A1 BIM'!$A$151:$BB$220,{42},0)),0)-CU19</f>
        <v>0</v>
      </c>
      <c r="CT19" s="226">
        <f t="shared" si="31"/>
        <v>0</v>
      </c>
      <c r="CU19" s="1400"/>
      <c r="CV19" s="1400">
        <f t="shared" si="32"/>
        <v>575468</v>
      </c>
      <c r="CW19" s="1400">
        <f t="shared" si="33"/>
        <v>754532</v>
      </c>
      <c r="CX19" s="1400">
        <f t="shared" si="34"/>
        <v>1330000</v>
      </c>
      <c r="CY19" s="1400">
        <f t="shared" si="35"/>
        <v>0</v>
      </c>
    </row>
    <row r="20" spans="1:103" s="1401" customFormat="1" ht="16.5" customHeight="1" outlineLevel="1">
      <c r="A20" s="1397" t="s">
        <v>644</v>
      </c>
      <c r="B20" s="1403" t="s">
        <v>1973</v>
      </c>
      <c r="C20" s="1403" t="s">
        <v>1245</v>
      </c>
      <c r="D20" s="1399">
        <f>IFERROR(VLOOKUP(A20,'202608收入成本表'!A:Y,23,0),0)</f>
        <v>0</v>
      </c>
      <c r="E20" s="1399">
        <f>IFERROR(VLOOKUP(A20,'202608收入成本表'!A:Z,24,0),0)</f>
        <v>0</v>
      </c>
      <c r="F20" s="1400">
        <f t="shared" si="36"/>
        <v>0</v>
      </c>
      <c r="G20" s="1400"/>
      <c r="H20" s="1400" cm="1">
        <f t="array" ref="H20">IFERROR(SUM(VLOOKUP(A20,'預算A1 BIM'!$A$77:$BB$143,{19,20,21,22},0)),0)</f>
        <v>24110</v>
      </c>
      <c r="I20" s="1400" cm="1">
        <f t="array" ref="I20">IFERROR(SUM(VLOOKUP(A20,'預算A1 BIM'!$A$151:$BB$220,{19,20,21,22},0)),0)</f>
        <v>11250</v>
      </c>
      <c r="J20" s="1400">
        <f t="shared" si="37"/>
        <v>35360</v>
      </c>
      <c r="K20" s="1400">
        <f>-VLOOKUP(A20,'2026FCST%'!A:AC,27,FALSE)</f>
        <v>0</v>
      </c>
      <c r="L20" s="1400">
        <f t="shared" si="38"/>
        <v>24110</v>
      </c>
      <c r="M20" s="1400">
        <f t="shared" si="45"/>
        <v>11250</v>
      </c>
      <c r="N20" s="1400">
        <f t="shared" si="1"/>
        <v>35360</v>
      </c>
      <c r="O20" s="1400">
        <f t="shared" si="39"/>
        <v>0</v>
      </c>
      <c r="P20" s="226" cm="1">
        <f t="array" ref="P20">IFERROR(SUM(VLOOKUP($A20,'預算A1 BIM'!$A$77:$BB$143,{25},0)),0)+S20</f>
        <v>238242</v>
      </c>
      <c r="Q20" s="226" cm="1">
        <f t="array" ref="Q20">IFERROR(SUM(VLOOKUP($A20,'預算A1 BIM'!$A$151:$BB$220,{25},0)),0)</f>
        <v>111167</v>
      </c>
      <c r="R20" s="1400">
        <f t="shared" si="2"/>
        <v>349409</v>
      </c>
      <c r="S20" s="1400"/>
      <c r="T20" s="226" cm="1">
        <f t="array" ref="T20">IFERROR(SUM(VLOOKUP($A20,'預算A1 BIM'!$A$77:$BB$143,{26},0)),0)+W20</f>
        <v>238242</v>
      </c>
      <c r="U20" s="226" cm="1">
        <f t="array" ref="U20">IFERROR(SUM(VLOOKUP($A20,'預算A1 BIM'!$A$151:$BB$220,{26},0)),0)</f>
        <v>111167</v>
      </c>
      <c r="V20" s="1400">
        <f t="shared" si="3"/>
        <v>349409</v>
      </c>
      <c r="W20" s="1400"/>
      <c r="X20" s="226" cm="1">
        <f t="array" ref="X20">IFERROR(SUM(VLOOKUP($A20,'預算A1 BIM'!$A$77:$BB$143,{27},0)),0)+AA20</f>
        <v>238242</v>
      </c>
      <c r="Y20" s="226" cm="1">
        <f t="array" ref="Y20">IFERROR(SUM(VLOOKUP($A20,'預算A1 BIM'!$A$151:$BB$220,{27},0)),0)</f>
        <v>111166</v>
      </c>
      <c r="Z20" s="1400">
        <f t="shared" si="4"/>
        <v>349408</v>
      </c>
      <c r="AA20" s="1400"/>
      <c r="AB20" s="226" cm="1">
        <f t="array" ref="AB20">IFERROR(SUM(VLOOKUP($A20,'預算A1 BIM'!$A$77:$BB$143,{28},0)),0)+AE20</f>
        <v>238242</v>
      </c>
      <c r="AC20" s="226" cm="1">
        <f t="array" ref="AC20">IFERROR(SUM(VLOOKUP($A20,'預算A1 BIM'!$A$151:$BB$220,{28},0)),0)</f>
        <v>111167</v>
      </c>
      <c r="AD20" s="226">
        <f t="shared" si="46"/>
        <v>349409</v>
      </c>
      <c r="AE20" s="1400"/>
      <c r="AF20" s="226" cm="1">
        <f t="array" ref="AF20">IFERROR(SUM(VLOOKUP($A20,'預算A1 BIM'!$A$77:$BB$143,{29},0)),0)+AI20</f>
        <v>238242</v>
      </c>
      <c r="AG20" s="226" cm="1">
        <f t="array" ref="AG20">IFERROR(SUM(VLOOKUP($A20,'預算A1 BIM'!$A$151:$BB$220,{29},0)),0)</f>
        <v>111167</v>
      </c>
      <c r="AH20" s="226">
        <f t="shared" si="6"/>
        <v>349409</v>
      </c>
      <c r="AI20" s="1400"/>
      <c r="AJ20" s="226" cm="1">
        <f t="array" ref="AJ20">IFERROR(SUM(VLOOKUP($A20,'預算A1 BIM'!$A$77:$BB$143,{30},0)),0)+AM20</f>
        <v>238242</v>
      </c>
      <c r="AK20" s="226" cm="1">
        <f t="array" ref="AK20">IFERROR(SUM(VLOOKUP($A20,'預算A1 BIM'!$A$151:$BB$220,{30},0)),0)</f>
        <v>111167</v>
      </c>
      <c r="AL20" s="226">
        <f t="shared" si="7"/>
        <v>349409</v>
      </c>
      <c r="AM20" s="1400"/>
      <c r="AN20" s="226" cm="1">
        <f t="array" ref="AN20">IFERROR(SUM(VLOOKUP($A20,'預算A1 BIM'!$A$77:$BB$143,{31},0)),0)+AQ20</f>
        <v>238242</v>
      </c>
      <c r="AO20" s="226" cm="1">
        <f t="array" ref="AO20">IFERROR(SUM(VLOOKUP($A20,'預算A1 BIM'!$A$151:$BB$220,{31},0)),0)-AQ20</f>
        <v>111166</v>
      </c>
      <c r="AP20" s="226">
        <f t="shared" si="8"/>
        <v>349408</v>
      </c>
      <c r="AQ20" s="1400"/>
      <c r="AR20" s="226" cm="1">
        <f t="array" ref="AR20">IFERROR(SUM(VLOOKUP($A20,'預算A1 BIM'!$A$77:$BB$143,{32},0)),0)+AU20</f>
        <v>238242</v>
      </c>
      <c r="AS20" s="226" cm="1">
        <f t="array" ref="AS20">IFERROR(SUM(VLOOKUP($A20,'預算A1 BIM'!$A$151:$BB$220,{32},0)),0)-AU20</f>
        <v>111167</v>
      </c>
      <c r="AT20" s="226">
        <f t="shared" si="9"/>
        <v>349409</v>
      </c>
      <c r="AU20" s="1400"/>
      <c r="AV20" s="226" cm="1">
        <f t="array" ref="AV20">IFERROR(SUM(VLOOKUP($A20,'預算A1 BIM'!$A$77:$BB$143,{33},0)),0)+AY20</f>
        <v>238242</v>
      </c>
      <c r="AW20" s="226" cm="1">
        <f t="array" ref="AW20">IFERROR(SUM(VLOOKUP($A20,'預算A1 BIM'!$A$151:$BB$220,{33},0)),0)-AY20</f>
        <v>111167</v>
      </c>
      <c r="AX20" s="226">
        <f t="shared" si="44"/>
        <v>349409</v>
      </c>
      <c r="AY20" s="1400"/>
      <c r="AZ20" s="226" cm="1">
        <f t="array" ref="AZ20">IFERROR(SUM(VLOOKUP($A20,'預算A1 BIM'!$A$77:$BB$143,{34},0)),0)+BC20</f>
        <v>238242</v>
      </c>
      <c r="BA20" s="226" cm="1">
        <f t="array" ref="BA20">IFERROR(SUM(VLOOKUP($A20,'預算A1 BIM'!$A$151:$BB$220,{34},0)),0)-BC20</f>
        <v>111166</v>
      </c>
      <c r="BB20" s="226">
        <f t="shared" si="11"/>
        <v>349408</v>
      </c>
      <c r="BC20" s="1400"/>
      <c r="BD20" s="226" cm="1">
        <f t="array" ref="BD20">IFERROR(SUM(VLOOKUP($A20,'預算A1 BIM'!$A$77:$BB$143,{35},0)),0)+BG20</f>
        <v>238242</v>
      </c>
      <c r="BE20" s="226" cm="1">
        <f t="array" ref="BE20">IFERROR(SUM(VLOOKUP($A20,'預算A1 BIM'!$A$151:$BB$220,{35},0)),0)-BG20</f>
        <v>111167</v>
      </c>
      <c r="BF20" s="226">
        <f t="shared" si="12"/>
        <v>349409</v>
      </c>
      <c r="BG20" s="1400"/>
      <c r="BH20" s="226" cm="1">
        <f t="array" ref="BH20">IFERROR(SUM(VLOOKUP($A20,'預算A1 BIM'!$A$77:$BB$143,{36},0)),0)+BK20</f>
        <v>268242</v>
      </c>
      <c r="BI20" s="226" cm="1">
        <f t="array" ref="BI20">IFERROR(SUM(VLOOKUP($A20,'預算A1 BIM'!$A$151:$BB$220,{36},0)),0)-BK20</f>
        <v>125165</v>
      </c>
      <c r="BJ20" s="226">
        <f t="shared" si="13"/>
        <v>393407</v>
      </c>
      <c r="BK20" s="1400"/>
      <c r="BL20" s="1400">
        <f>SUMIF($P$4:$BK$4,$BL$4,$P20:$BK$65)</f>
        <v>2888904</v>
      </c>
      <c r="BM20" s="1400">
        <f>SUMIF($P$4:$BK$4,$BM$4,$P20:$BK$65)</f>
        <v>1347999</v>
      </c>
      <c r="BN20" s="1400">
        <f t="shared" si="14"/>
        <v>4236903</v>
      </c>
      <c r="BO20" s="1400">
        <f>SUMIF($P$4:$BK$4,$BO$4,$P20:$BK$65)</f>
        <v>0</v>
      </c>
      <c r="BP20" s="1400">
        <f t="shared" si="40"/>
        <v>2913014</v>
      </c>
      <c r="BQ20" s="1400">
        <f t="shared" si="15"/>
        <v>1359249</v>
      </c>
      <c r="BR20" s="1400">
        <f t="shared" si="16"/>
        <v>4272263</v>
      </c>
      <c r="BS20" s="1400">
        <f t="shared" si="17"/>
        <v>0</v>
      </c>
      <c r="BT20" s="226" cm="1">
        <f t="array" ref="BT20">IFERROR(SUM(VLOOKUP($A20,'預算A1 BIM'!$A$77:$BB$143,{39},0)),0)+BW20</f>
        <v>2530740</v>
      </c>
      <c r="BU20" s="226" cm="1">
        <f t="array" ref="BU20">IFERROR(SUM(VLOOKUP($A20,'預算A1 BIM'!$A$151:$BB$220,{39},0)),0)-BW20</f>
        <v>1180876</v>
      </c>
      <c r="BV20" s="226">
        <f t="shared" si="18"/>
        <v>3711616</v>
      </c>
      <c r="BW20" s="1400"/>
      <c r="BX20" s="1400">
        <f t="shared" si="41"/>
        <v>5443754</v>
      </c>
      <c r="BY20" s="1400">
        <f t="shared" si="19"/>
        <v>2540125</v>
      </c>
      <c r="BZ20" s="1400">
        <f t="shared" si="20"/>
        <v>7983879</v>
      </c>
      <c r="CA20" s="1400">
        <f t="shared" si="42"/>
        <v>0</v>
      </c>
      <c r="CB20" s="226" cm="1">
        <f t="array" ref="CB20">IFERROR(SUM(VLOOKUP($A20,'預算A1 BIM'!$A$77:$BB$143,{40},0)),0)+CE20</f>
        <v>818298</v>
      </c>
      <c r="CC20" s="226" cm="1">
        <f t="array" ref="CC20">IFERROR(SUM(VLOOKUP($A20,'預算A1 BIM'!$A$151:$BB$220,{40},0)),0)-CE20</f>
        <v>381828</v>
      </c>
      <c r="CD20" s="226">
        <f t="shared" si="43"/>
        <v>1200126</v>
      </c>
      <c r="CE20" s="1400"/>
      <c r="CF20" s="1400">
        <f t="shared" si="22"/>
        <v>6262052</v>
      </c>
      <c r="CG20" s="1400">
        <f t="shared" si="23"/>
        <v>2921953</v>
      </c>
      <c r="CH20" s="1400">
        <f t="shared" si="24"/>
        <v>9184005</v>
      </c>
      <c r="CI20" s="1400">
        <f t="shared" si="25"/>
        <v>0</v>
      </c>
      <c r="CJ20" s="226" cm="1">
        <f t="array" ref="CJ20">IFERROR(SUM(VLOOKUP($A20,'預算A1 BIM'!$A$77:$BB$143,{41},0)),0)+CM20</f>
        <v>858516</v>
      </c>
      <c r="CK20" s="226" cm="1">
        <f t="array" ref="CK20">IFERROR(SUM(VLOOKUP($A20,'預算A1 BIM'!$A$151:$BB$220,{41},0)),0)-CM20</f>
        <v>400595</v>
      </c>
      <c r="CL20" s="226">
        <f t="shared" si="26"/>
        <v>1259111</v>
      </c>
      <c r="CM20" s="1400"/>
      <c r="CN20" s="1400">
        <f t="shared" si="27"/>
        <v>7120568</v>
      </c>
      <c r="CO20" s="1400">
        <f t="shared" si="28"/>
        <v>3322548</v>
      </c>
      <c r="CP20" s="1400">
        <f t="shared" si="29"/>
        <v>10443116</v>
      </c>
      <c r="CQ20" s="1400">
        <f t="shared" si="30"/>
        <v>0</v>
      </c>
      <c r="CR20" s="226" cm="1">
        <f t="array" ref="CR20">IFERROR(SUM(VLOOKUP($A20,'預算A1 BIM'!$A$77:$BB$143,{42},0)),0)+CU20</f>
        <v>2652689</v>
      </c>
      <c r="CS20" s="226" cm="1">
        <f t="array" ref="CS20">IFERROR(SUM(VLOOKUP($A20,'預算A1 BIM'!$A$151:$BB$220,{42},0)),0)-CU20</f>
        <v>1237778</v>
      </c>
      <c r="CT20" s="226">
        <f t="shared" si="31"/>
        <v>3890467</v>
      </c>
      <c r="CU20" s="1400"/>
      <c r="CV20" s="1400">
        <f t="shared" si="32"/>
        <v>9773257</v>
      </c>
      <c r="CW20" s="1400">
        <f t="shared" si="33"/>
        <v>4560326</v>
      </c>
      <c r="CX20" s="1400">
        <f t="shared" si="34"/>
        <v>14333583</v>
      </c>
      <c r="CY20" s="1400">
        <f t="shared" si="35"/>
        <v>0</v>
      </c>
    </row>
    <row r="21" spans="1:103" ht="16.5" customHeight="1" outlineLevel="1">
      <c r="A21" s="175" t="s">
        <v>645</v>
      </c>
      <c r="B21" s="169" t="s">
        <v>646</v>
      </c>
      <c r="C21" s="169" t="s">
        <v>1037</v>
      </c>
      <c r="D21" s="225">
        <f>IFERROR(VLOOKUP(A21,'202608收入成本表'!A:Y,23,0),0)</f>
        <v>14921</v>
      </c>
      <c r="E21" s="225">
        <f>IFERROR(VLOOKUP(A21,'202608收入成本表'!A:Z,24,0),0)</f>
        <v>-14921</v>
      </c>
      <c r="F21" s="226">
        <f t="shared" si="36"/>
        <v>0</v>
      </c>
      <c r="G21" s="226"/>
      <c r="H21" s="226" cm="1">
        <f t="array" ref="H21">IFERROR(SUM(VLOOKUP(A21,'預算A1 BIM'!$A$77:$BB$143,{19,20,21,22},0)),0)</f>
        <v>219162</v>
      </c>
      <c r="I21" s="226" cm="1">
        <f t="array" ref="I21">IFERROR(SUM(VLOOKUP(A21,'預算A1 BIM'!$A$151:$BB$220,{19,20,21,22},0)),0)</f>
        <v>129847</v>
      </c>
      <c r="J21" s="226">
        <f t="shared" si="37"/>
        <v>349009</v>
      </c>
      <c r="K21" s="226">
        <f>-VLOOKUP(A21,'2026FCST%'!A:AC,27,FALSE)</f>
        <v>0</v>
      </c>
      <c r="L21" s="226">
        <f t="shared" si="38"/>
        <v>234083</v>
      </c>
      <c r="M21" s="226">
        <f t="shared" si="45"/>
        <v>114926</v>
      </c>
      <c r="N21" s="226">
        <f t="shared" si="1"/>
        <v>349009</v>
      </c>
      <c r="O21" s="226">
        <f t="shared" si="39"/>
        <v>0</v>
      </c>
      <c r="P21" s="226" cm="1">
        <f t="array" ref="P21">IFERROR(SUM(VLOOKUP($A21,'預算A1 BIM'!$A$77:$BB$143,{25},0)),0)+S21</f>
        <v>119121</v>
      </c>
      <c r="Q21" s="226" cm="1">
        <f t="array" ref="Q21">IFERROR(SUM(VLOOKUP($A21,'預算A1 BIM'!$A$151:$BB$220,{25},0)),0)</f>
        <v>58484</v>
      </c>
      <c r="R21" s="226">
        <f t="shared" si="2"/>
        <v>177605</v>
      </c>
      <c r="S21" s="226"/>
      <c r="T21" s="226" cm="1">
        <f t="array" ref="T21">IFERROR(SUM(VLOOKUP($A21,'預算A1 BIM'!$A$77:$BB$143,{26},0)),0)+W21</f>
        <v>119121</v>
      </c>
      <c r="U21" s="226" cm="1">
        <f t="array" ref="U21">IFERROR(SUM(VLOOKUP($A21,'預算A1 BIM'!$A$151:$BB$220,{26},0)),0)</f>
        <v>58484</v>
      </c>
      <c r="V21" s="226">
        <f t="shared" si="3"/>
        <v>177605</v>
      </c>
      <c r="W21" s="226"/>
      <c r="X21" s="226" cm="1">
        <f t="array" ref="X21">IFERROR(SUM(VLOOKUP($A21,'預算A1 BIM'!$A$77:$BB$143,{27},0)),0)+AA21</f>
        <v>238242</v>
      </c>
      <c r="Y21" s="226" cm="1">
        <f t="array" ref="Y21">IFERROR(SUM(VLOOKUP($A21,'預算A1 BIM'!$A$151:$BB$220,{27},0)),0)</f>
        <v>116968</v>
      </c>
      <c r="Z21" s="226">
        <f t="shared" si="4"/>
        <v>355210</v>
      </c>
      <c r="AA21" s="226"/>
      <c r="AB21" s="226" cm="1">
        <f t="array" ref="AB21">IFERROR(SUM(VLOOKUP($A21,'預算A1 BIM'!$A$77:$BB$143,{28},0)),0)+AE21</f>
        <v>238242</v>
      </c>
      <c r="AC21" s="226" cm="1">
        <f t="array" ref="AC21">IFERROR(SUM(VLOOKUP($A21,'預算A1 BIM'!$A$151:$BB$220,{28},0)),0)</f>
        <v>116967</v>
      </c>
      <c r="AD21" s="226">
        <f t="shared" si="46"/>
        <v>355209</v>
      </c>
      <c r="AE21" s="226"/>
      <c r="AF21" s="226" cm="1">
        <f t="array" ref="AF21">IFERROR(SUM(VLOOKUP($A21,'預算A1 BIM'!$A$77:$BB$143,{29},0)),0)+AI21</f>
        <v>238242</v>
      </c>
      <c r="AG21" s="226" cm="1">
        <f t="array" ref="AG21">IFERROR(SUM(VLOOKUP($A21,'預算A1 BIM'!$A$151:$BB$220,{29},0)),0)</f>
        <v>116968</v>
      </c>
      <c r="AH21" s="226">
        <f t="shared" si="6"/>
        <v>355210</v>
      </c>
      <c r="AI21" s="226"/>
      <c r="AJ21" s="226" cm="1">
        <f t="array" ref="AJ21">IFERROR(SUM(VLOOKUP($A21,'預算A1 BIM'!$A$77:$BB$143,{30},0)),0)+AM21</f>
        <v>238242</v>
      </c>
      <c r="AK21" s="226" cm="1">
        <f t="array" ref="AK21">IFERROR(SUM(VLOOKUP($A21,'預算A1 BIM'!$A$151:$BB$220,{30},0)),0)</f>
        <v>116968</v>
      </c>
      <c r="AL21" s="226">
        <f t="shared" si="7"/>
        <v>355210</v>
      </c>
      <c r="AM21" s="226"/>
      <c r="AN21" s="226" cm="1">
        <f t="array" ref="AN21">IFERROR(SUM(VLOOKUP($A21,'預算A1 BIM'!$A$77:$BB$143,{31},0)),0)+AQ21</f>
        <v>238242</v>
      </c>
      <c r="AO21" s="226" cm="1">
        <f t="array" ref="AO21">IFERROR(SUM(VLOOKUP($A21,'預算A1 BIM'!$A$151:$BB$220,{31},0)),0)-AQ21</f>
        <v>116968</v>
      </c>
      <c r="AP21" s="226">
        <f t="shared" si="8"/>
        <v>355210</v>
      </c>
      <c r="AQ21" s="226"/>
      <c r="AR21" s="226" cm="1">
        <f t="array" ref="AR21">IFERROR(SUM(VLOOKUP($A21,'預算A1 BIM'!$A$77:$BB$143,{32},0)),0)+AU21</f>
        <v>238242</v>
      </c>
      <c r="AS21" s="226" cm="1">
        <f t="array" ref="AS21">IFERROR(SUM(VLOOKUP($A21,'預算A1 BIM'!$A$151:$BB$220,{32},0)),0)-AU21</f>
        <v>116968</v>
      </c>
      <c r="AT21" s="226">
        <f t="shared" si="9"/>
        <v>355210</v>
      </c>
      <c r="AU21" s="226"/>
      <c r="AV21" s="226" cm="1">
        <f t="array" ref="AV21">IFERROR(SUM(VLOOKUP($A21,'預算A1 BIM'!$A$77:$BB$143,{33},0)),0)+AY21</f>
        <v>238242</v>
      </c>
      <c r="AW21" s="226" cm="1">
        <f t="array" ref="AW21">IFERROR(SUM(VLOOKUP($A21,'預算A1 BIM'!$A$151:$BB$220,{33},0)),0)-AY21</f>
        <v>116967</v>
      </c>
      <c r="AX21" s="226">
        <f t="shared" si="44"/>
        <v>355209</v>
      </c>
      <c r="AY21" s="226"/>
      <c r="AZ21" s="226" cm="1">
        <f t="array" ref="AZ21">IFERROR(SUM(VLOOKUP($A21,'預算A1 BIM'!$A$77:$BB$143,{34},0)),0)+BC21</f>
        <v>238242</v>
      </c>
      <c r="BA21" s="226" cm="1">
        <f t="array" ref="BA21">IFERROR(SUM(VLOOKUP($A21,'預算A1 BIM'!$A$151:$BB$220,{34},0)),0)-BC21</f>
        <v>116968</v>
      </c>
      <c r="BB21" s="226">
        <f t="shared" si="11"/>
        <v>355210</v>
      </c>
      <c r="BC21" s="226"/>
      <c r="BD21" s="226" cm="1">
        <f t="array" ref="BD21">IFERROR(SUM(VLOOKUP($A21,'預算A1 BIM'!$A$77:$BB$143,{35},0)),0)+BG21</f>
        <v>238242</v>
      </c>
      <c r="BE21" s="226" cm="1">
        <f t="array" ref="BE21">IFERROR(SUM(VLOOKUP($A21,'預算A1 BIM'!$A$151:$BB$220,{35},0)),0)-BG21</f>
        <v>116968</v>
      </c>
      <c r="BF21" s="226">
        <f t="shared" si="12"/>
        <v>355210</v>
      </c>
      <c r="BG21" s="226"/>
      <c r="BH21" s="226" cm="1">
        <f t="array" ref="BH21">IFERROR(SUM(VLOOKUP($A21,'預算A1 BIM'!$A$77:$BB$143,{36},0)),0)+BK21</f>
        <v>149121</v>
      </c>
      <c r="BI21" s="226" cm="1">
        <f t="array" ref="BI21">IFERROR(SUM(VLOOKUP($A21,'預算A1 BIM'!$A$151:$BB$220,{36},0)),0)-BK21</f>
        <v>73213</v>
      </c>
      <c r="BJ21" s="226">
        <f t="shared" si="13"/>
        <v>222334</v>
      </c>
      <c r="BK21" s="226"/>
      <c r="BL21" s="226">
        <f>SUMIF($P$4:$BK$4,$BL$4,$P21:$BK$65)</f>
        <v>2531541</v>
      </c>
      <c r="BM21" s="226">
        <f>SUMIF($P$4:$BK$4,$BM$4,$P21:$BK$65)</f>
        <v>1242891</v>
      </c>
      <c r="BN21" s="226">
        <f t="shared" si="14"/>
        <v>3774432</v>
      </c>
      <c r="BO21" s="226">
        <f>SUMIF($P$4:$BK$4,$BO$4,$P21:$BK$65)</f>
        <v>0</v>
      </c>
      <c r="BP21" s="226">
        <f t="shared" si="40"/>
        <v>2765624</v>
      </c>
      <c r="BQ21" s="226">
        <f t="shared" si="15"/>
        <v>1357817</v>
      </c>
      <c r="BR21" s="226">
        <f t="shared" si="16"/>
        <v>4123441</v>
      </c>
      <c r="BS21" s="226">
        <f t="shared" si="17"/>
        <v>0</v>
      </c>
      <c r="BT21" s="226" cm="1">
        <f t="array" ref="BT21">IFERROR(SUM(VLOOKUP($A21,'預算A1 BIM'!$A$77:$BB$143,{39},0)),0)+BW21</f>
        <v>2280666</v>
      </c>
      <c r="BU21" s="226" cm="1">
        <f t="array" ref="BU21">IFERROR(SUM(VLOOKUP($A21,'預算A1 BIM'!$A$151:$BB$220,{39},0)),0)-BW21</f>
        <v>1119721</v>
      </c>
      <c r="BV21" s="226">
        <f t="shared" si="18"/>
        <v>3400387</v>
      </c>
      <c r="BW21" s="226"/>
      <c r="BX21" s="226">
        <f t="shared" si="41"/>
        <v>5046290</v>
      </c>
      <c r="BY21" s="226">
        <f t="shared" si="19"/>
        <v>2477538</v>
      </c>
      <c r="BZ21" s="226">
        <f t="shared" si="20"/>
        <v>7523828</v>
      </c>
      <c r="CA21" s="226">
        <f t="shared" si="42"/>
        <v>0</v>
      </c>
      <c r="CB21" s="226" cm="1">
        <f t="array" ref="CB21">IFERROR(SUM(VLOOKUP($A21,'預算A1 BIM'!$A$77:$BB$143,{40},0)),0)+CE21</f>
        <v>1606596</v>
      </c>
      <c r="CC21" s="226" cm="1">
        <f t="array" ref="CC21">IFERROR(SUM(VLOOKUP($A21,'預算A1 BIM'!$A$151:$BB$220,{40},0)),0)-CE21</f>
        <v>788778</v>
      </c>
      <c r="CD21" s="226">
        <f t="shared" si="43"/>
        <v>2395374</v>
      </c>
      <c r="CE21" s="226"/>
      <c r="CF21" s="226">
        <f t="shared" si="22"/>
        <v>6652886</v>
      </c>
      <c r="CG21" s="226">
        <f t="shared" si="23"/>
        <v>3266316</v>
      </c>
      <c r="CH21" s="226">
        <f t="shared" si="24"/>
        <v>9919202</v>
      </c>
      <c r="CI21" s="226">
        <f t="shared" si="25"/>
        <v>0</v>
      </c>
      <c r="CJ21" s="226" cm="1">
        <f t="array" ref="CJ21">IFERROR(SUM(VLOOKUP($A21,'預算A1 BIM'!$A$77:$BB$143,{41},0)),0)+CM21</f>
        <v>1626275</v>
      </c>
      <c r="CK21" s="226" cm="1">
        <f t="array" ref="CK21">IFERROR(SUM(VLOOKUP($A21,'預算A1 BIM'!$A$151:$BB$220,{41},0)),0)-CM21</f>
        <v>798439</v>
      </c>
      <c r="CL21" s="226">
        <f t="shared" si="26"/>
        <v>2424714</v>
      </c>
      <c r="CM21" s="226"/>
      <c r="CN21" s="226">
        <f t="shared" si="27"/>
        <v>8279161</v>
      </c>
      <c r="CO21" s="226">
        <f t="shared" si="28"/>
        <v>4064755</v>
      </c>
      <c r="CP21" s="226">
        <f t="shared" si="29"/>
        <v>12343916</v>
      </c>
      <c r="CQ21" s="226">
        <f t="shared" si="30"/>
        <v>0</v>
      </c>
      <c r="CR21" s="226" cm="1">
        <f t="array" ref="CR21">IFERROR(SUM(VLOOKUP($A21,'預算A1 BIM'!$A$77:$BB$143,{42},0)),0)+CU21</f>
        <v>1644143</v>
      </c>
      <c r="CS21" s="226" cm="1">
        <f t="array" ref="CS21">IFERROR(SUM(VLOOKUP($A21,'預算A1 BIM'!$A$151:$BB$220,{42},0)),0)-CU21</f>
        <v>807212</v>
      </c>
      <c r="CT21" s="226">
        <f t="shared" si="31"/>
        <v>2451355</v>
      </c>
      <c r="CU21" s="226"/>
      <c r="CV21" s="226">
        <f t="shared" si="32"/>
        <v>9923304</v>
      </c>
      <c r="CW21" s="226">
        <f t="shared" si="33"/>
        <v>4871967</v>
      </c>
      <c r="CX21" s="226">
        <f t="shared" si="34"/>
        <v>14795271</v>
      </c>
      <c r="CY21" s="226">
        <f t="shared" si="35"/>
        <v>0</v>
      </c>
    </row>
    <row r="22" spans="1:103" outlineLevel="1">
      <c r="A22" s="175" t="s">
        <v>654</v>
      </c>
      <c r="B22" s="172" t="s">
        <v>655</v>
      </c>
      <c r="C22" s="169" t="s">
        <v>1037</v>
      </c>
      <c r="D22" s="225">
        <f>IFERROR(VLOOKUP(A22,'202608收入成本表'!A:Y,23,0),0)</f>
        <v>0</v>
      </c>
      <c r="E22" s="225">
        <f>IFERROR(VLOOKUP(A22,'202608收入成本表'!A:Z,24,0),0)</f>
        <v>0</v>
      </c>
      <c r="F22" s="226">
        <f t="shared" si="36"/>
        <v>0</v>
      </c>
      <c r="G22" s="226"/>
      <c r="H22" s="226" cm="1">
        <f t="array" ref="H22">IFERROR(SUM(VLOOKUP(A22,'預算A1 BIM'!$A$77:$BB$143,{19,20,21,22},0)),0)</f>
        <v>0</v>
      </c>
      <c r="I22" s="226" cm="1">
        <f t="array" ref="I22">IFERROR(SUM(VLOOKUP(A22,'預算A1 BIM'!$A$151:$BB$220,{19,20,21,22},0)),0)</f>
        <v>0</v>
      </c>
      <c r="J22" s="226">
        <f t="shared" si="37"/>
        <v>0</v>
      </c>
      <c r="K22" s="226">
        <f>-VLOOKUP(A22,'2026FCST%'!A:AC,27,FALSE)</f>
        <v>0</v>
      </c>
      <c r="L22" s="226">
        <f t="shared" si="38"/>
        <v>0</v>
      </c>
      <c r="M22" s="226">
        <f t="shared" si="45"/>
        <v>0</v>
      </c>
      <c r="N22" s="226">
        <f t="shared" si="1"/>
        <v>0</v>
      </c>
      <c r="O22" s="226">
        <f t="shared" si="39"/>
        <v>0</v>
      </c>
      <c r="P22" s="226" cm="1">
        <f t="array" ref="P22">IFERROR(SUM(VLOOKUP($A22,'預算A1 BIM'!$A$77:$BB$143,{25},0)),0)+S22</f>
        <v>0</v>
      </c>
      <c r="Q22" s="226" cm="1">
        <f t="array" ref="Q22">IFERROR(SUM(VLOOKUP($A22,'預算A1 BIM'!$A$151:$BB$220,{25},0)),0)</f>
        <v>0</v>
      </c>
      <c r="R22" s="226">
        <f t="shared" si="2"/>
        <v>0</v>
      </c>
      <c r="S22" s="226"/>
      <c r="T22" s="226" cm="1">
        <f t="array" ref="T22">IFERROR(SUM(VLOOKUP($A22,'預算A1 BIM'!$A$77:$BB$143,{26},0)),0)+W22</f>
        <v>0</v>
      </c>
      <c r="U22" s="226" cm="1">
        <f t="array" ref="U22">IFERROR(SUM(VLOOKUP($A22,'預算A1 BIM'!$A$151:$BB$220,{26},0)),0)</f>
        <v>0</v>
      </c>
      <c r="V22" s="226">
        <f t="shared" si="3"/>
        <v>0</v>
      </c>
      <c r="W22" s="226"/>
      <c r="X22" s="226" cm="1">
        <f t="array" ref="X22">IFERROR(SUM(VLOOKUP($A22,'預算A1 BIM'!$A$77:$BB$143,{27},0)),0)+AA22</f>
        <v>0</v>
      </c>
      <c r="Y22" s="226" cm="1">
        <f t="array" ref="Y22">IFERROR(SUM(VLOOKUP($A22,'預算A1 BIM'!$A$151:$BB$220,{27},0)),0)</f>
        <v>0</v>
      </c>
      <c r="Z22" s="226">
        <f t="shared" si="4"/>
        <v>0</v>
      </c>
      <c r="AA22" s="226"/>
      <c r="AB22" s="226" cm="1">
        <f t="array" ref="AB22">IFERROR(SUM(VLOOKUP($A22,'預算A1 BIM'!$A$77:$BB$143,{28},0)),0)+AE22</f>
        <v>0</v>
      </c>
      <c r="AC22" s="226" cm="1">
        <f t="array" ref="AC22">IFERROR(SUM(VLOOKUP($A22,'預算A1 BIM'!$A$151:$BB$220,{28},0)),0)</f>
        <v>0</v>
      </c>
      <c r="AD22" s="226">
        <f t="shared" si="46"/>
        <v>0</v>
      </c>
      <c r="AE22" s="226"/>
      <c r="AF22" s="226" cm="1">
        <f t="array" ref="AF22">IFERROR(SUM(VLOOKUP($A22,'預算A1 BIM'!$A$77:$BB$143,{29},0)),0)+AI22</f>
        <v>0</v>
      </c>
      <c r="AG22" s="226" cm="1">
        <f t="array" ref="AG22">IFERROR(SUM(VLOOKUP($A22,'預算A1 BIM'!$A$151:$BB$220,{29},0)),0)</f>
        <v>0</v>
      </c>
      <c r="AH22" s="226">
        <f t="shared" si="6"/>
        <v>0</v>
      </c>
      <c r="AI22" s="226"/>
      <c r="AJ22" s="226" cm="1">
        <f t="array" ref="AJ22">IFERROR(SUM(VLOOKUP($A22,'預算A1 BIM'!$A$77:$BB$143,{30},0)),0)+AM22</f>
        <v>0</v>
      </c>
      <c r="AK22" s="226" cm="1">
        <f t="array" ref="AK22">IFERROR(SUM(VLOOKUP($A22,'預算A1 BIM'!$A$151:$BB$220,{30},0)),0)</f>
        <v>0</v>
      </c>
      <c r="AL22" s="226">
        <f t="shared" si="7"/>
        <v>0</v>
      </c>
      <c r="AM22" s="226"/>
      <c r="AN22" s="226" cm="1">
        <f t="array" ref="AN22">IFERROR(SUM(VLOOKUP($A22,'預算A1 BIM'!$A$77:$BB$143,{31},0)),0)+AQ22</f>
        <v>0</v>
      </c>
      <c r="AO22" s="226" cm="1">
        <f t="array" ref="AO22">IFERROR(SUM(VLOOKUP($A22,'預算A1 BIM'!$A$151:$BB$220,{31},0)),0)-AQ22</f>
        <v>0</v>
      </c>
      <c r="AP22" s="226">
        <f t="shared" si="8"/>
        <v>0</v>
      </c>
      <c r="AQ22" s="226"/>
      <c r="AR22" s="226" cm="1">
        <f t="array" ref="AR22">IFERROR(SUM(VLOOKUP($A22,'預算A1 BIM'!$A$77:$BB$143,{32},0)),0)+AU22</f>
        <v>0</v>
      </c>
      <c r="AS22" s="226" cm="1">
        <f t="array" ref="AS22">IFERROR(SUM(VLOOKUP($A22,'預算A1 BIM'!$A$151:$BB$220,{32},0)),0)-AU22</f>
        <v>0</v>
      </c>
      <c r="AT22" s="226">
        <f t="shared" si="9"/>
        <v>0</v>
      </c>
      <c r="AU22" s="226"/>
      <c r="AV22" s="226" cm="1">
        <f t="array" ref="AV22">IFERROR(SUM(VLOOKUP($A22,'預算A1 BIM'!$A$77:$BB$143,{33},0)),0)+AY22</f>
        <v>0</v>
      </c>
      <c r="AW22" s="226" cm="1">
        <f t="array" ref="AW22">IFERROR(SUM(VLOOKUP($A22,'預算A1 BIM'!$A$151:$BB$220,{33},0)),0)-AY22</f>
        <v>0</v>
      </c>
      <c r="AX22" s="226">
        <f t="shared" si="44"/>
        <v>0</v>
      </c>
      <c r="AY22" s="226"/>
      <c r="AZ22" s="226" cm="1">
        <f t="array" ref="AZ22">IFERROR(SUM(VLOOKUP($A22,'預算A1 BIM'!$A$77:$BB$143,{34},0)),0)+BC22</f>
        <v>0</v>
      </c>
      <c r="BA22" s="226" cm="1">
        <f t="array" ref="BA22">IFERROR(SUM(VLOOKUP($A22,'預算A1 BIM'!$A$151:$BB$220,{34},0)),0)-BC22</f>
        <v>0</v>
      </c>
      <c r="BB22" s="226">
        <f t="shared" si="11"/>
        <v>0</v>
      </c>
      <c r="BC22" s="226"/>
      <c r="BD22" s="226" cm="1">
        <f t="array" ref="BD22">IFERROR(SUM(VLOOKUP($A22,'預算A1 BIM'!$A$77:$BB$143,{35},0)),0)+BG22</f>
        <v>0</v>
      </c>
      <c r="BE22" s="226" cm="1">
        <f t="array" ref="BE22">IFERROR(SUM(VLOOKUP($A22,'預算A1 BIM'!$A$151:$BB$220,{35},0)),0)-BG22</f>
        <v>0</v>
      </c>
      <c r="BF22" s="226">
        <f t="shared" si="12"/>
        <v>0</v>
      </c>
      <c r="BG22" s="226"/>
      <c r="BH22" s="226" cm="1">
        <f t="array" ref="BH22">IFERROR(SUM(VLOOKUP($A22,'預算A1 BIM'!$A$77:$BB$143,{36},0)),0)+BK22</f>
        <v>0</v>
      </c>
      <c r="BI22" s="226" cm="1">
        <f t="array" ref="BI22">IFERROR(SUM(VLOOKUP($A22,'預算A1 BIM'!$A$151:$BB$220,{36},0)),0)-BK22</f>
        <v>0</v>
      </c>
      <c r="BJ22" s="226">
        <f t="shared" si="13"/>
        <v>0</v>
      </c>
      <c r="BK22" s="226"/>
      <c r="BL22" s="226">
        <f>SUMIF($P$4:$BK$4,$BL$4,$P22:$BK$65)</f>
        <v>0</v>
      </c>
      <c r="BM22" s="226">
        <f>SUMIF($P$4:$BK$4,$BM$4,$P22:$BK$65)</f>
        <v>0</v>
      </c>
      <c r="BN22" s="226">
        <f t="shared" si="14"/>
        <v>0</v>
      </c>
      <c r="BO22" s="226">
        <f>SUMIF($P$4:$BK$4,$BO$4,$P22:$BK$65)</f>
        <v>0</v>
      </c>
      <c r="BP22" s="226">
        <f t="shared" si="40"/>
        <v>0</v>
      </c>
      <c r="BQ22" s="226">
        <f t="shared" si="15"/>
        <v>0</v>
      </c>
      <c r="BR22" s="226">
        <f t="shared" si="16"/>
        <v>0</v>
      </c>
      <c r="BS22" s="226">
        <f t="shared" si="17"/>
        <v>0</v>
      </c>
      <c r="BT22" s="226" cm="1">
        <f t="array" ref="BT22">IFERROR(SUM(VLOOKUP($A22,'預算A1 BIM'!$A$77:$BB$143,{39},0)),0)+BW22</f>
        <v>0</v>
      </c>
      <c r="BU22" s="226" cm="1">
        <f t="array" ref="BU22">IFERROR(SUM(VLOOKUP($A22,'預算A1 BIM'!$A$151:$BB$220,{39},0)),0)-BW22</f>
        <v>0</v>
      </c>
      <c r="BV22" s="226">
        <f t="shared" si="18"/>
        <v>0</v>
      </c>
      <c r="BW22" s="226"/>
      <c r="BX22" s="226">
        <f t="shared" si="41"/>
        <v>0</v>
      </c>
      <c r="BY22" s="226">
        <f t="shared" si="19"/>
        <v>0</v>
      </c>
      <c r="BZ22" s="226">
        <f t="shared" si="20"/>
        <v>0</v>
      </c>
      <c r="CA22" s="226">
        <f t="shared" si="42"/>
        <v>0</v>
      </c>
      <c r="CB22" s="226" cm="1">
        <f t="array" ref="CB22">IFERROR(SUM(VLOOKUP($A22,'預算A1 BIM'!$A$77:$BB$143,{40},0)),0)+CE22</f>
        <v>0</v>
      </c>
      <c r="CC22" s="226" cm="1">
        <f t="array" ref="CC22">IFERROR(SUM(VLOOKUP($A22,'預算A1 BIM'!$A$151:$BB$220,{40},0)),0)-CE22</f>
        <v>0</v>
      </c>
      <c r="CD22" s="226">
        <f t="shared" si="43"/>
        <v>0</v>
      </c>
      <c r="CE22" s="226"/>
      <c r="CF22" s="226">
        <f t="shared" si="22"/>
        <v>0</v>
      </c>
      <c r="CG22" s="226">
        <f t="shared" si="23"/>
        <v>0</v>
      </c>
      <c r="CH22" s="226">
        <f t="shared" si="24"/>
        <v>0</v>
      </c>
      <c r="CI22" s="226">
        <f t="shared" si="25"/>
        <v>0</v>
      </c>
      <c r="CJ22" s="226" cm="1">
        <f t="array" ref="CJ22">IFERROR(SUM(VLOOKUP($A22,'預算A1 BIM'!$A$77:$BB$143,{41},0)),0)+CM22</f>
        <v>0</v>
      </c>
      <c r="CK22" s="226" cm="1">
        <f t="array" ref="CK22">IFERROR(SUM(VLOOKUP($A22,'預算A1 BIM'!$A$151:$BB$220,{41},0)),0)-CM22</f>
        <v>0</v>
      </c>
      <c r="CL22" s="226">
        <f t="shared" si="26"/>
        <v>0</v>
      </c>
      <c r="CM22" s="226"/>
      <c r="CN22" s="226">
        <f t="shared" si="27"/>
        <v>0</v>
      </c>
      <c r="CO22" s="226">
        <f t="shared" si="28"/>
        <v>0</v>
      </c>
      <c r="CP22" s="226">
        <f t="shared" si="29"/>
        <v>0</v>
      </c>
      <c r="CQ22" s="226">
        <f t="shared" si="30"/>
        <v>0</v>
      </c>
      <c r="CR22" s="226" cm="1">
        <f t="array" ref="CR22">IFERROR(SUM(VLOOKUP($A22,'預算A1 BIM'!$A$77:$BB$143,{42},0)),0)+CU22</f>
        <v>0</v>
      </c>
      <c r="CS22" s="226" cm="1">
        <f t="array" ref="CS22">IFERROR(SUM(VLOOKUP($A22,'預算A1 BIM'!$A$151:$BB$220,{42},0)),0)-CU22</f>
        <v>0</v>
      </c>
      <c r="CT22" s="226">
        <f t="shared" si="31"/>
        <v>0</v>
      </c>
      <c r="CU22" s="226"/>
      <c r="CV22" s="226">
        <f t="shared" si="32"/>
        <v>0</v>
      </c>
      <c r="CW22" s="226">
        <f t="shared" si="33"/>
        <v>0</v>
      </c>
      <c r="CX22" s="226">
        <f t="shared" si="34"/>
        <v>0</v>
      </c>
      <c r="CY22" s="226">
        <f t="shared" si="35"/>
        <v>0</v>
      </c>
    </row>
    <row r="23" spans="1:103" outlineLevel="1">
      <c r="A23" s="175" t="s">
        <v>656</v>
      </c>
      <c r="B23" s="172" t="s">
        <v>655</v>
      </c>
      <c r="C23" s="169" t="s">
        <v>1037</v>
      </c>
      <c r="D23" s="225">
        <f>IFERROR(VLOOKUP(A23,'202608收入成本表'!A:Y,23,0),0)</f>
        <v>0</v>
      </c>
      <c r="E23" s="225">
        <f>IFERROR(VLOOKUP(A23,'202608收入成本表'!A:Z,24,0),0)</f>
        <v>0</v>
      </c>
      <c r="F23" s="226">
        <f t="shared" si="36"/>
        <v>0</v>
      </c>
      <c r="G23" s="226"/>
      <c r="H23" s="226" cm="1">
        <f t="array" ref="H23">IFERROR(SUM(VLOOKUP(A23,'預算A1 BIM'!$A$77:$BB$143,{19,20,21,22},0)),0)</f>
        <v>0</v>
      </c>
      <c r="I23" s="226" cm="1">
        <f t="array" ref="I23">IFERROR(SUM(VLOOKUP(A23,'預算A1 BIM'!$A$151:$BB$220,{19,20,21,22},0)),0)</f>
        <v>0</v>
      </c>
      <c r="J23" s="226">
        <f t="shared" si="37"/>
        <v>0</v>
      </c>
      <c r="K23" s="226">
        <f>-VLOOKUP(A23,'2026FCST%'!A:AC,27,FALSE)</f>
        <v>0</v>
      </c>
      <c r="L23" s="226">
        <f t="shared" si="38"/>
        <v>0</v>
      </c>
      <c r="M23" s="226">
        <f t="shared" si="45"/>
        <v>0</v>
      </c>
      <c r="N23" s="226">
        <f t="shared" si="1"/>
        <v>0</v>
      </c>
      <c r="O23" s="226">
        <f t="shared" si="39"/>
        <v>0</v>
      </c>
      <c r="P23" s="226" cm="1">
        <f t="array" ref="P23">IFERROR(SUM(VLOOKUP($A23,'預算A1 BIM'!$A$77:$BB$143,{25},0)),0)+S23</f>
        <v>0</v>
      </c>
      <c r="Q23" s="226" cm="1">
        <f t="array" ref="Q23">IFERROR(SUM(VLOOKUP($A23,'預算A1 BIM'!$A$151:$BB$220,{25},0)),0)</f>
        <v>0</v>
      </c>
      <c r="R23" s="226">
        <f t="shared" si="2"/>
        <v>0</v>
      </c>
      <c r="S23" s="226"/>
      <c r="T23" s="226" cm="1">
        <f t="array" ref="T23">IFERROR(SUM(VLOOKUP($A23,'預算A1 BIM'!$A$77:$BB$143,{26},0)),0)+W23</f>
        <v>0</v>
      </c>
      <c r="U23" s="226" cm="1">
        <f t="array" ref="U23">IFERROR(SUM(VLOOKUP($A23,'預算A1 BIM'!$A$151:$BB$220,{26},0)),0)</f>
        <v>0</v>
      </c>
      <c r="V23" s="226">
        <f t="shared" si="3"/>
        <v>0</v>
      </c>
      <c r="W23" s="226"/>
      <c r="X23" s="226" cm="1">
        <f t="array" ref="X23">IFERROR(SUM(VLOOKUP($A23,'預算A1 BIM'!$A$77:$BB$143,{27},0)),0)+AA23</f>
        <v>0</v>
      </c>
      <c r="Y23" s="226" cm="1">
        <f t="array" ref="Y23">IFERROR(SUM(VLOOKUP($A23,'預算A1 BIM'!$A$151:$BB$220,{27},0)),0)</f>
        <v>0</v>
      </c>
      <c r="Z23" s="226">
        <f t="shared" si="4"/>
        <v>0</v>
      </c>
      <c r="AA23" s="226"/>
      <c r="AB23" s="226" cm="1">
        <f t="array" ref="AB23">IFERROR(SUM(VLOOKUP($A23,'預算A1 BIM'!$A$77:$BB$143,{28},0)),0)+AE23</f>
        <v>0</v>
      </c>
      <c r="AC23" s="226" cm="1">
        <f t="array" ref="AC23">IFERROR(SUM(VLOOKUP($A23,'預算A1 BIM'!$A$151:$BB$220,{28},0)),0)</f>
        <v>0</v>
      </c>
      <c r="AD23" s="226">
        <f t="shared" si="46"/>
        <v>0</v>
      </c>
      <c r="AE23" s="226"/>
      <c r="AF23" s="226" cm="1">
        <f t="array" ref="AF23">IFERROR(SUM(VLOOKUP($A23,'預算A1 BIM'!$A$77:$BB$143,{29},0)),0)+AI23</f>
        <v>0</v>
      </c>
      <c r="AG23" s="226" cm="1">
        <f t="array" ref="AG23">IFERROR(SUM(VLOOKUP($A23,'預算A1 BIM'!$A$151:$BB$220,{29},0)),0)</f>
        <v>0</v>
      </c>
      <c r="AH23" s="226">
        <f t="shared" si="6"/>
        <v>0</v>
      </c>
      <c r="AI23" s="226"/>
      <c r="AJ23" s="226" cm="1">
        <f t="array" ref="AJ23">IFERROR(SUM(VLOOKUP($A23,'預算A1 BIM'!$A$77:$BB$143,{30},0)),0)+AM23</f>
        <v>0</v>
      </c>
      <c r="AK23" s="226" cm="1">
        <f t="array" ref="AK23">IFERROR(SUM(VLOOKUP($A23,'預算A1 BIM'!$A$151:$BB$220,{30},0)),0)</f>
        <v>0</v>
      </c>
      <c r="AL23" s="226">
        <f t="shared" si="7"/>
        <v>0</v>
      </c>
      <c r="AM23" s="226"/>
      <c r="AN23" s="226" cm="1">
        <f t="array" ref="AN23">IFERROR(SUM(VLOOKUP($A23,'預算A1 BIM'!$A$77:$BB$143,{31},0)),0)+AQ23</f>
        <v>0</v>
      </c>
      <c r="AO23" s="226" cm="1">
        <f t="array" ref="AO23">IFERROR(SUM(VLOOKUP($A23,'預算A1 BIM'!$A$151:$BB$220,{31},0)),0)-AQ23</f>
        <v>0</v>
      </c>
      <c r="AP23" s="226">
        <f t="shared" si="8"/>
        <v>0</v>
      </c>
      <c r="AQ23" s="226"/>
      <c r="AR23" s="226" cm="1">
        <f t="array" ref="AR23">IFERROR(SUM(VLOOKUP($A23,'預算A1 BIM'!$A$77:$BB$143,{32},0)),0)+AU23</f>
        <v>0</v>
      </c>
      <c r="AS23" s="226" cm="1">
        <f t="array" ref="AS23">IFERROR(SUM(VLOOKUP($A23,'預算A1 BIM'!$A$151:$BB$220,{32},0)),0)-AU23</f>
        <v>0</v>
      </c>
      <c r="AT23" s="226">
        <f t="shared" si="9"/>
        <v>0</v>
      </c>
      <c r="AU23" s="226"/>
      <c r="AV23" s="226" cm="1">
        <f t="array" ref="AV23">IFERROR(SUM(VLOOKUP($A23,'預算A1 BIM'!$A$77:$BB$143,{33},0)),0)+AY23</f>
        <v>0</v>
      </c>
      <c r="AW23" s="226" cm="1">
        <f t="array" ref="AW23">IFERROR(SUM(VLOOKUP($A23,'預算A1 BIM'!$A$151:$BB$220,{33},0)),0)-AY23</f>
        <v>0</v>
      </c>
      <c r="AX23" s="226">
        <f t="shared" si="44"/>
        <v>0</v>
      </c>
      <c r="AY23" s="226"/>
      <c r="AZ23" s="226" cm="1">
        <f t="array" ref="AZ23">IFERROR(SUM(VLOOKUP($A23,'預算A1 BIM'!$A$77:$BB$143,{34},0)),0)+BC23</f>
        <v>0</v>
      </c>
      <c r="BA23" s="226" cm="1">
        <f t="array" ref="BA23">IFERROR(SUM(VLOOKUP($A23,'預算A1 BIM'!$A$151:$BB$220,{34},0)),0)-BC23</f>
        <v>0</v>
      </c>
      <c r="BB23" s="226">
        <f t="shared" si="11"/>
        <v>0</v>
      </c>
      <c r="BC23" s="226"/>
      <c r="BD23" s="226" cm="1">
        <f t="array" ref="BD23">IFERROR(SUM(VLOOKUP($A23,'預算A1 BIM'!$A$77:$BB$143,{35},0)),0)+BG23</f>
        <v>0</v>
      </c>
      <c r="BE23" s="226" cm="1">
        <f t="array" ref="BE23">IFERROR(SUM(VLOOKUP($A23,'預算A1 BIM'!$A$151:$BB$220,{35},0)),0)-BG23</f>
        <v>0</v>
      </c>
      <c r="BF23" s="226">
        <f t="shared" si="12"/>
        <v>0</v>
      </c>
      <c r="BG23" s="226"/>
      <c r="BH23" s="226" cm="1">
        <f t="array" ref="BH23">IFERROR(SUM(VLOOKUP($A23,'預算A1 BIM'!$A$77:$BB$143,{36},0)),0)+BK23</f>
        <v>0</v>
      </c>
      <c r="BI23" s="226" cm="1">
        <f t="array" ref="BI23">IFERROR(SUM(VLOOKUP($A23,'預算A1 BIM'!$A$151:$BB$220,{36},0)),0)-BK23</f>
        <v>0</v>
      </c>
      <c r="BJ23" s="226">
        <f t="shared" si="13"/>
        <v>0</v>
      </c>
      <c r="BK23" s="226"/>
      <c r="BL23" s="226">
        <f>SUMIF($P$4:$BK$4,$BL$4,$P23:$BK$65)</f>
        <v>0</v>
      </c>
      <c r="BM23" s="226">
        <f>SUMIF($P$4:$BK$4,$BM$4,$P23:$BK$65)</f>
        <v>0</v>
      </c>
      <c r="BN23" s="226">
        <f t="shared" si="14"/>
        <v>0</v>
      </c>
      <c r="BO23" s="226">
        <f>SUMIF($P$4:$BK$4,$BO$4,$P23:$BK$65)</f>
        <v>0</v>
      </c>
      <c r="BP23" s="226">
        <f t="shared" si="40"/>
        <v>0</v>
      </c>
      <c r="BQ23" s="226">
        <f t="shared" si="15"/>
        <v>0</v>
      </c>
      <c r="BR23" s="226">
        <f t="shared" si="16"/>
        <v>0</v>
      </c>
      <c r="BS23" s="226">
        <f t="shared" si="17"/>
        <v>0</v>
      </c>
      <c r="BT23" s="226" cm="1">
        <f t="array" ref="BT23">IFERROR(SUM(VLOOKUP($A23,'預算A1 BIM'!$A$77:$BB$143,{39},0)),0)+BW23</f>
        <v>0</v>
      </c>
      <c r="BU23" s="226" cm="1">
        <f t="array" ref="BU23">IFERROR(SUM(VLOOKUP($A23,'預算A1 BIM'!$A$151:$BB$220,{39},0)),0)-BW23</f>
        <v>0</v>
      </c>
      <c r="BV23" s="226">
        <f t="shared" si="18"/>
        <v>0</v>
      </c>
      <c r="BW23" s="226"/>
      <c r="BX23" s="226">
        <f t="shared" si="41"/>
        <v>0</v>
      </c>
      <c r="BY23" s="226">
        <f t="shared" si="19"/>
        <v>0</v>
      </c>
      <c r="BZ23" s="226">
        <f t="shared" si="20"/>
        <v>0</v>
      </c>
      <c r="CA23" s="226">
        <f t="shared" si="42"/>
        <v>0</v>
      </c>
      <c r="CB23" s="226" cm="1">
        <f t="array" ref="CB23">IFERROR(SUM(VLOOKUP($A23,'預算A1 BIM'!$A$77:$BB$143,{40},0)),0)+CE23</f>
        <v>0</v>
      </c>
      <c r="CC23" s="226" cm="1">
        <f t="array" ref="CC23">IFERROR(SUM(VLOOKUP($A23,'預算A1 BIM'!$A$151:$BB$220,{40},0)),0)-CE23</f>
        <v>0</v>
      </c>
      <c r="CD23" s="226">
        <f t="shared" si="43"/>
        <v>0</v>
      </c>
      <c r="CE23" s="226"/>
      <c r="CF23" s="226">
        <f t="shared" si="22"/>
        <v>0</v>
      </c>
      <c r="CG23" s="226">
        <f t="shared" si="23"/>
        <v>0</v>
      </c>
      <c r="CH23" s="226">
        <f t="shared" si="24"/>
        <v>0</v>
      </c>
      <c r="CI23" s="226">
        <f t="shared" si="25"/>
        <v>0</v>
      </c>
      <c r="CJ23" s="226" cm="1">
        <f t="array" ref="CJ23">IFERROR(SUM(VLOOKUP($A23,'預算A1 BIM'!$A$77:$BB$143,{41},0)),0)+CM23</f>
        <v>0</v>
      </c>
      <c r="CK23" s="226" cm="1">
        <f t="array" ref="CK23">IFERROR(SUM(VLOOKUP($A23,'預算A1 BIM'!$A$151:$BB$220,{41},0)),0)-CM23</f>
        <v>0</v>
      </c>
      <c r="CL23" s="226">
        <f t="shared" si="26"/>
        <v>0</v>
      </c>
      <c r="CM23" s="226"/>
      <c r="CN23" s="226">
        <f t="shared" si="27"/>
        <v>0</v>
      </c>
      <c r="CO23" s="226">
        <f t="shared" si="28"/>
        <v>0</v>
      </c>
      <c r="CP23" s="226">
        <f t="shared" si="29"/>
        <v>0</v>
      </c>
      <c r="CQ23" s="226">
        <f t="shared" si="30"/>
        <v>0</v>
      </c>
      <c r="CR23" s="226" cm="1">
        <f t="array" ref="CR23">IFERROR(SUM(VLOOKUP($A23,'預算A1 BIM'!$A$77:$BB$143,{42},0)),0)+CU23</f>
        <v>0</v>
      </c>
      <c r="CS23" s="226" cm="1">
        <f t="array" ref="CS23">IFERROR(SUM(VLOOKUP($A23,'預算A1 BIM'!$A$151:$BB$220,{42},0)),0)-CU23</f>
        <v>0</v>
      </c>
      <c r="CT23" s="226">
        <f t="shared" si="31"/>
        <v>0</v>
      </c>
      <c r="CU23" s="226"/>
      <c r="CV23" s="226">
        <f t="shared" si="32"/>
        <v>0</v>
      </c>
      <c r="CW23" s="226">
        <f t="shared" si="33"/>
        <v>0</v>
      </c>
      <c r="CX23" s="226">
        <f t="shared" si="34"/>
        <v>0</v>
      </c>
      <c r="CY23" s="226">
        <f t="shared" si="35"/>
        <v>0</v>
      </c>
    </row>
    <row r="24" spans="1:103" outlineLevel="1">
      <c r="A24" s="175" t="s">
        <v>657</v>
      </c>
      <c r="B24" s="172" t="s">
        <v>658</v>
      </c>
      <c r="C24" s="169" t="s">
        <v>1037</v>
      </c>
      <c r="D24" s="225">
        <f>IFERROR(VLOOKUP(A24,'202608收入成本表'!A:Y,23,0),0)</f>
        <v>0</v>
      </c>
      <c r="E24" s="225">
        <f>IFERROR(VLOOKUP(A24,'202608收入成本表'!A:Z,24,0),0)</f>
        <v>0</v>
      </c>
      <c r="F24" s="226">
        <f t="shared" si="36"/>
        <v>0</v>
      </c>
      <c r="G24" s="226"/>
      <c r="H24" s="226" cm="1">
        <f t="array" ref="H24">IFERROR(SUM(VLOOKUP(A24,'預算A1 BIM'!$A$77:$BB$143,{19,20,21,22},0)),0)</f>
        <v>0</v>
      </c>
      <c r="I24" s="226" cm="1">
        <f t="array" ref="I24">IFERROR(SUM(VLOOKUP(A24,'預算A1 BIM'!$A$151:$BB$220,{19,20,21,22},0)),0)</f>
        <v>0</v>
      </c>
      <c r="J24" s="226">
        <f t="shared" si="37"/>
        <v>0</v>
      </c>
      <c r="K24" s="226">
        <f>-VLOOKUP(A24,'2026FCST%'!A:AC,27,FALSE)</f>
        <v>0</v>
      </c>
      <c r="L24" s="226">
        <f t="shared" si="38"/>
        <v>0</v>
      </c>
      <c r="M24" s="226">
        <f t="shared" si="45"/>
        <v>0</v>
      </c>
      <c r="N24" s="226">
        <f t="shared" si="1"/>
        <v>0</v>
      </c>
      <c r="O24" s="226">
        <f t="shared" si="39"/>
        <v>0</v>
      </c>
      <c r="P24" s="226" cm="1">
        <f t="array" ref="P24">IFERROR(SUM(VLOOKUP($A24,'預算A1 BIM'!$A$77:$BB$143,{25},0)),0)+S24</f>
        <v>0</v>
      </c>
      <c r="Q24" s="226" cm="1">
        <f t="array" ref="Q24">IFERROR(SUM(VLOOKUP($A24,'預算A1 BIM'!$A$151:$BB$220,{25},0)),0)</f>
        <v>0</v>
      </c>
      <c r="R24" s="226">
        <f t="shared" si="2"/>
        <v>0</v>
      </c>
      <c r="S24" s="226"/>
      <c r="T24" s="226" cm="1">
        <f t="array" ref="T24">IFERROR(SUM(VLOOKUP($A24,'預算A1 BIM'!$A$77:$BB$143,{26},0)),0)+W24</f>
        <v>0</v>
      </c>
      <c r="U24" s="226" cm="1">
        <f t="array" ref="U24">IFERROR(SUM(VLOOKUP($A24,'預算A1 BIM'!$A$151:$BB$220,{26},0)),0)</f>
        <v>0</v>
      </c>
      <c r="V24" s="226">
        <f t="shared" si="3"/>
        <v>0</v>
      </c>
      <c r="W24" s="226"/>
      <c r="X24" s="226" cm="1">
        <f t="array" ref="X24">IFERROR(SUM(VLOOKUP($A24,'預算A1 BIM'!$A$77:$BB$143,{27},0)),0)+AA24</f>
        <v>0</v>
      </c>
      <c r="Y24" s="226" cm="1">
        <f t="array" ref="Y24">IFERROR(SUM(VLOOKUP($A24,'預算A1 BIM'!$A$151:$BB$220,{27},0)),0)</f>
        <v>0</v>
      </c>
      <c r="Z24" s="226">
        <f t="shared" si="4"/>
        <v>0</v>
      </c>
      <c r="AA24" s="226"/>
      <c r="AB24" s="226" cm="1">
        <f t="array" ref="AB24">IFERROR(SUM(VLOOKUP($A24,'預算A1 BIM'!$A$77:$BB$143,{28},0)),0)+AE24</f>
        <v>119121</v>
      </c>
      <c r="AC24" s="226" cm="1">
        <f t="array" ref="AC24">IFERROR(SUM(VLOOKUP($A24,'預算A1 BIM'!$A$151:$BB$220,{28},0)),0)</f>
        <v>59645</v>
      </c>
      <c r="AD24" s="226">
        <f t="shared" si="46"/>
        <v>178766</v>
      </c>
      <c r="AE24" s="226"/>
      <c r="AF24" s="226" cm="1">
        <f t="array" ref="AF24">IFERROR(SUM(VLOOKUP($A24,'預算A1 BIM'!$A$77:$BB$143,{29},0)),0)+AI24</f>
        <v>357363</v>
      </c>
      <c r="AG24" s="226" cm="1">
        <f t="array" ref="AG24">IFERROR(SUM(VLOOKUP($A24,'預算A1 BIM'!$A$151:$BB$220,{29},0)),0)</f>
        <v>178935</v>
      </c>
      <c r="AH24" s="226">
        <f t="shared" si="6"/>
        <v>536298</v>
      </c>
      <c r="AI24" s="226"/>
      <c r="AJ24" s="226" cm="1">
        <f t="array" ref="AJ24">IFERROR(SUM(VLOOKUP($A24,'預算A1 BIM'!$A$77:$BB$143,{30},0)),0)+AM24</f>
        <v>357363</v>
      </c>
      <c r="AK24" s="226" cm="1">
        <f t="array" ref="AK24">IFERROR(SUM(VLOOKUP($A24,'預算A1 BIM'!$A$151:$BB$220,{30},0)),0)</f>
        <v>178936</v>
      </c>
      <c r="AL24" s="226">
        <f t="shared" si="7"/>
        <v>536299</v>
      </c>
      <c r="AM24" s="226"/>
      <c r="AN24" s="226" cm="1">
        <f t="array" ref="AN24">IFERROR(SUM(VLOOKUP($A24,'預算A1 BIM'!$A$77:$BB$143,{31},0)),0)+AQ24</f>
        <v>357363</v>
      </c>
      <c r="AO24" s="226" cm="1">
        <f t="array" ref="AO24">IFERROR(SUM(VLOOKUP($A24,'預算A1 BIM'!$A$151:$BB$220,{31},0)),0)-AQ24</f>
        <v>178935</v>
      </c>
      <c r="AP24" s="226">
        <f t="shared" si="8"/>
        <v>536298</v>
      </c>
      <c r="AQ24" s="226"/>
      <c r="AR24" s="226" cm="1">
        <f t="array" ref="AR24">IFERROR(SUM(VLOOKUP($A24,'預算A1 BIM'!$A$77:$BB$143,{32},0)),0)+AU24</f>
        <v>476484</v>
      </c>
      <c r="AS24" s="226" cm="1">
        <f t="array" ref="AS24">IFERROR(SUM(VLOOKUP($A24,'預算A1 BIM'!$A$151:$BB$220,{32},0)),0)-AU24</f>
        <v>-476484</v>
      </c>
      <c r="AT24" s="226">
        <f t="shared" si="9"/>
        <v>0</v>
      </c>
      <c r="AU24" s="226"/>
      <c r="AV24" s="226" cm="1">
        <f t="array" ref="AV24">IFERROR(SUM(VLOOKUP($A24,'預算A1 BIM'!$A$77:$BB$143,{33},0)),0)+AY24</f>
        <v>595605</v>
      </c>
      <c r="AW24" s="226" cm="1">
        <f t="array" ref="AW24">IFERROR(SUM(VLOOKUP($A24,'預算A1 BIM'!$A$151:$BB$220,{33},0)),0)-AY24</f>
        <v>-595605</v>
      </c>
      <c r="AX24" s="226">
        <f t="shared" si="44"/>
        <v>0</v>
      </c>
      <c r="AY24" s="226"/>
      <c r="AZ24" s="226" cm="1">
        <f t="array" ref="AZ24">IFERROR(SUM(VLOOKUP($A24,'預算A1 BIM'!$A$77:$BB$143,{34},0)),0)+BC24</f>
        <v>595605</v>
      </c>
      <c r="BA24" s="226" cm="1">
        <f t="array" ref="BA24">IFERROR(SUM(VLOOKUP($A24,'預算A1 BIM'!$A$151:$BB$220,{34},0)),0)-BC24</f>
        <v>1907120</v>
      </c>
      <c r="BB24" s="226">
        <f t="shared" si="11"/>
        <v>2502725</v>
      </c>
      <c r="BC24" s="226"/>
      <c r="BD24" s="226" cm="1">
        <f t="array" ref="BD24">IFERROR(SUM(VLOOKUP($A24,'預算A1 BIM'!$A$77:$BB$143,{35},0)),0)+BG24</f>
        <v>714726</v>
      </c>
      <c r="BE24" s="226" cm="1">
        <f t="array" ref="BE24">IFERROR(SUM(VLOOKUP($A24,'預算A1 BIM'!$A$151:$BB$220,{35},0)),0)-BG24</f>
        <v>357870</v>
      </c>
      <c r="BF24" s="226">
        <f t="shared" si="12"/>
        <v>1072596</v>
      </c>
      <c r="BG24" s="226"/>
      <c r="BH24" s="226" cm="1">
        <f t="array" ref="BH24">IFERROR(SUM(VLOOKUP($A24,'預算A1 BIM'!$A$77:$BB$143,{36},0)),0)+BK24</f>
        <v>714726</v>
      </c>
      <c r="BI24" s="226" cm="1">
        <f t="array" ref="BI24">IFERROR(SUM(VLOOKUP($A24,'預算A1 BIM'!$A$151:$BB$220,{36},0)),0)-BK24</f>
        <v>357871</v>
      </c>
      <c r="BJ24" s="226">
        <f t="shared" si="13"/>
        <v>1072597</v>
      </c>
      <c r="BK24" s="226"/>
      <c r="BL24" s="226">
        <f>SUMIF($P$4:$BK$4,$BL$4,$P24:$BK$65)</f>
        <v>4288356</v>
      </c>
      <c r="BM24" s="226">
        <f>SUMIF($P$4:$BK$4,$BM$4,$P24:$BK$65)</f>
        <v>2147223</v>
      </c>
      <c r="BN24" s="226">
        <f t="shared" si="14"/>
        <v>6435579</v>
      </c>
      <c r="BO24" s="226">
        <f>SUMIF($P$4:$BK$4,$BO$4,$P24:$BK$65)</f>
        <v>0</v>
      </c>
      <c r="BP24" s="226">
        <f t="shared" si="40"/>
        <v>4288356</v>
      </c>
      <c r="BQ24" s="226">
        <f t="shared" si="15"/>
        <v>2147223</v>
      </c>
      <c r="BR24" s="226">
        <f t="shared" si="16"/>
        <v>6435579</v>
      </c>
      <c r="BS24" s="226">
        <f t="shared" si="17"/>
        <v>0</v>
      </c>
      <c r="BT24" s="226" cm="1">
        <f t="array" ref="BT24">IFERROR(SUM(VLOOKUP($A24,'預算A1 BIM'!$A$77:$BB$143,{39},0)),0)+BW24</f>
        <v>6251850</v>
      </c>
      <c r="BU24" s="226" cm="1">
        <f t="array" ref="BU24">IFERROR(SUM(VLOOKUP($A24,'預算A1 BIM'!$A$151:$BB$220,{39},0)),0)-BW24</f>
        <v>3130364</v>
      </c>
      <c r="BV24" s="226">
        <f t="shared" si="18"/>
        <v>9382214</v>
      </c>
      <c r="BW24" s="226"/>
      <c r="BX24" s="226">
        <f t="shared" si="41"/>
        <v>10540206</v>
      </c>
      <c r="BY24" s="226">
        <f t="shared" si="19"/>
        <v>5277587</v>
      </c>
      <c r="BZ24" s="226">
        <f t="shared" si="20"/>
        <v>15817793</v>
      </c>
      <c r="CA24" s="226">
        <f t="shared" si="42"/>
        <v>0</v>
      </c>
      <c r="CB24" s="226" cm="1">
        <f t="array" ref="CB24">IFERROR(SUM(VLOOKUP($A24,'預算A1 BIM'!$A$77:$BB$143,{40},0)),0)+CE24</f>
        <v>6569150</v>
      </c>
      <c r="CC24" s="226" cm="1">
        <f t="array" ref="CC24">IFERROR(SUM(VLOOKUP($A24,'預算A1 BIM'!$A$151:$BB$220,{40},0)),0)-CE24</f>
        <v>3289239</v>
      </c>
      <c r="CD24" s="226">
        <f t="shared" si="43"/>
        <v>9858389</v>
      </c>
      <c r="CE24" s="226"/>
      <c r="CF24" s="226">
        <f t="shared" si="22"/>
        <v>17109356</v>
      </c>
      <c r="CG24" s="226">
        <f t="shared" si="23"/>
        <v>8566826</v>
      </c>
      <c r="CH24" s="226">
        <f t="shared" si="24"/>
        <v>25676182</v>
      </c>
      <c r="CI24" s="226">
        <f t="shared" si="25"/>
        <v>0</v>
      </c>
      <c r="CJ24" s="226" cm="1">
        <f t="array" ref="CJ24">IFERROR(SUM(VLOOKUP($A24,'預算A1 BIM'!$A$77:$BB$143,{41},0)),0)+CM24</f>
        <v>6904300</v>
      </c>
      <c r="CK24" s="226" cm="1">
        <f t="array" ref="CK24">IFERROR(SUM(VLOOKUP($A24,'預算A1 BIM'!$A$151:$BB$220,{41},0)),0)-CM24</f>
        <v>3457053</v>
      </c>
      <c r="CL24" s="226">
        <f t="shared" si="26"/>
        <v>10361353</v>
      </c>
      <c r="CM24" s="226"/>
      <c r="CN24" s="226">
        <f t="shared" si="27"/>
        <v>24013656</v>
      </c>
      <c r="CO24" s="226">
        <f t="shared" si="28"/>
        <v>12023879</v>
      </c>
      <c r="CP24" s="226">
        <f t="shared" si="29"/>
        <v>36037535</v>
      </c>
      <c r="CQ24" s="226">
        <f t="shared" si="30"/>
        <v>0</v>
      </c>
      <c r="CR24" s="226" cm="1">
        <f t="array" ref="CR24">IFERROR(SUM(VLOOKUP($A24,'預算A1 BIM'!$A$77:$BB$143,{42},0)),0)+CU24</f>
        <v>7258500</v>
      </c>
      <c r="CS24" s="226" cm="1">
        <f t="array" ref="CS24">IFERROR(SUM(VLOOKUP($A24,'預算A1 BIM'!$A$151:$BB$220,{42},0)),0)-CU24</f>
        <v>3634404</v>
      </c>
      <c r="CT24" s="226">
        <f t="shared" si="31"/>
        <v>10892904</v>
      </c>
      <c r="CU24" s="226"/>
      <c r="CV24" s="226">
        <f t="shared" si="32"/>
        <v>31272156</v>
      </c>
      <c r="CW24" s="226">
        <f t="shared" si="33"/>
        <v>15658283</v>
      </c>
      <c r="CX24" s="226">
        <f t="shared" si="34"/>
        <v>46930439</v>
      </c>
      <c r="CY24" s="226">
        <f t="shared" si="35"/>
        <v>0</v>
      </c>
    </row>
    <row r="25" spans="1:103" outlineLevel="1">
      <c r="A25" s="175" t="s">
        <v>659</v>
      </c>
      <c r="B25" s="172" t="s">
        <v>660</v>
      </c>
      <c r="C25" s="169" t="s">
        <v>1037</v>
      </c>
      <c r="D25" s="225">
        <f>IFERROR(VLOOKUP(A25,'202608收入成本表'!A:Y,23,0),0)</f>
        <v>0</v>
      </c>
      <c r="E25" s="225">
        <f>IFERROR(VLOOKUP(A25,'202608收入成本表'!A:Z,24,0),0)</f>
        <v>0</v>
      </c>
      <c r="F25" s="226">
        <f t="shared" si="36"/>
        <v>0</v>
      </c>
      <c r="G25" s="226"/>
      <c r="H25" s="226" cm="1">
        <f t="array" ref="H25">IFERROR(SUM(VLOOKUP(A25,'預算A1 BIM'!$A$77:$BB$143,{19,20,21,22},0)),0)</f>
        <v>0</v>
      </c>
      <c r="I25" s="226" cm="1">
        <f t="array" ref="I25">IFERROR(SUM(VLOOKUP(A25,'預算A1 BIM'!$A$151:$BB$220,{19,20,21,22},0)),0)</f>
        <v>0</v>
      </c>
      <c r="J25" s="226">
        <f t="shared" si="37"/>
        <v>0</v>
      </c>
      <c r="K25" s="226">
        <f>-VLOOKUP(A25,'2026FCST%'!A:AC,27,FALSE)</f>
        <v>0</v>
      </c>
      <c r="L25" s="226">
        <f t="shared" si="38"/>
        <v>0</v>
      </c>
      <c r="M25" s="226">
        <f t="shared" si="45"/>
        <v>0</v>
      </c>
      <c r="N25" s="226">
        <f t="shared" si="1"/>
        <v>0</v>
      </c>
      <c r="O25" s="226">
        <f t="shared" si="39"/>
        <v>0</v>
      </c>
      <c r="P25" s="226" cm="1">
        <f t="array" ref="P25">IFERROR(SUM(VLOOKUP($A25,'預算A1 BIM'!$A$77:$BB$143,{25},0)),0)+S25</f>
        <v>0</v>
      </c>
      <c r="Q25" s="226" cm="1">
        <f t="array" ref="Q25">IFERROR(SUM(VLOOKUP($A25,'預算A1 BIM'!$A$151:$BB$220,{25},0)),0)</f>
        <v>0</v>
      </c>
      <c r="R25" s="226">
        <f t="shared" si="2"/>
        <v>0</v>
      </c>
      <c r="S25" s="226"/>
      <c r="T25" s="226" cm="1">
        <f t="array" ref="T25">IFERROR(SUM(VLOOKUP($A25,'預算A1 BIM'!$A$77:$BB$143,{26},0)),0)+W25</f>
        <v>0</v>
      </c>
      <c r="U25" s="226" cm="1">
        <f t="array" ref="U25">IFERROR(SUM(VLOOKUP($A25,'預算A1 BIM'!$A$151:$BB$220,{26},0)),0)</f>
        <v>0</v>
      </c>
      <c r="V25" s="226">
        <f t="shared" si="3"/>
        <v>0</v>
      </c>
      <c r="W25" s="226"/>
      <c r="X25" s="226" cm="1">
        <f t="array" ref="X25">IFERROR(SUM(VLOOKUP($A25,'預算A1 BIM'!$A$77:$BB$143,{27},0)),0)+AA25</f>
        <v>0</v>
      </c>
      <c r="Y25" s="226" cm="1">
        <f t="array" ref="Y25">IFERROR(SUM(VLOOKUP($A25,'預算A1 BIM'!$A$151:$BB$220,{27},0)),0)</f>
        <v>0</v>
      </c>
      <c r="Z25" s="226">
        <f t="shared" si="4"/>
        <v>0</v>
      </c>
      <c r="AA25" s="226"/>
      <c r="AB25" s="226" cm="1">
        <f t="array" ref="AB25">IFERROR(SUM(VLOOKUP($A25,'預算A1 BIM'!$A$77:$BB$143,{28},0)),0)+AE25</f>
        <v>0</v>
      </c>
      <c r="AC25" s="226" cm="1">
        <f t="array" ref="AC25">IFERROR(SUM(VLOOKUP($A25,'預算A1 BIM'!$A$151:$BB$220,{28},0)),0)</f>
        <v>0</v>
      </c>
      <c r="AD25" s="226">
        <f t="shared" si="46"/>
        <v>0</v>
      </c>
      <c r="AE25" s="226"/>
      <c r="AF25" s="226" cm="1">
        <f t="array" ref="AF25">IFERROR(SUM(VLOOKUP($A25,'預算A1 BIM'!$A$77:$BB$143,{29},0)),0)+AI25</f>
        <v>0</v>
      </c>
      <c r="AG25" s="226" cm="1">
        <f t="array" ref="AG25">IFERROR(SUM(VLOOKUP($A25,'預算A1 BIM'!$A$151:$BB$220,{29},0)),0)</f>
        <v>0</v>
      </c>
      <c r="AH25" s="226">
        <f t="shared" si="6"/>
        <v>0</v>
      </c>
      <c r="AI25" s="226"/>
      <c r="AJ25" s="226" cm="1">
        <f t="array" ref="AJ25">IFERROR(SUM(VLOOKUP($A25,'預算A1 BIM'!$A$77:$BB$143,{30},0)),0)+AM25</f>
        <v>0</v>
      </c>
      <c r="AK25" s="226" cm="1">
        <f t="array" ref="AK25">IFERROR(SUM(VLOOKUP($A25,'預算A1 BIM'!$A$151:$BB$220,{30},0)),0)</f>
        <v>0</v>
      </c>
      <c r="AL25" s="226">
        <f t="shared" si="7"/>
        <v>0</v>
      </c>
      <c r="AM25" s="226"/>
      <c r="AN25" s="226" cm="1">
        <f t="array" ref="AN25">IFERROR(SUM(VLOOKUP($A25,'預算A1 BIM'!$A$77:$BB$143,{31},0)),0)+AQ25</f>
        <v>0</v>
      </c>
      <c r="AO25" s="226" cm="1">
        <f t="array" ref="AO25">IFERROR(SUM(VLOOKUP($A25,'預算A1 BIM'!$A$151:$BB$220,{31},0)),0)-AQ25</f>
        <v>0</v>
      </c>
      <c r="AP25" s="226">
        <f t="shared" si="8"/>
        <v>0</v>
      </c>
      <c r="AQ25" s="226"/>
      <c r="AR25" s="226" cm="1">
        <f t="array" ref="AR25">IFERROR(SUM(VLOOKUP($A25,'預算A1 BIM'!$A$77:$BB$143,{32},0)),0)+AU25</f>
        <v>0</v>
      </c>
      <c r="AS25" s="226" cm="1">
        <f t="array" ref="AS25">IFERROR(SUM(VLOOKUP($A25,'預算A1 BIM'!$A$151:$BB$220,{32},0)),0)-AU25</f>
        <v>0</v>
      </c>
      <c r="AT25" s="226">
        <f t="shared" si="9"/>
        <v>0</v>
      </c>
      <c r="AU25" s="226"/>
      <c r="AV25" s="226" cm="1">
        <f t="array" ref="AV25">IFERROR(SUM(VLOOKUP($A25,'預算A1 BIM'!$A$77:$BB$143,{33},0)),0)+AY25</f>
        <v>0</v>
      </c>
      <c r="AW25" s="226" cm="1">
        <f t="array" ref="AW25">IFERROR(SUM(VLOOKUP($A25,'預算A1 BIM'!$A$151:$BB$220,{33},0)),0)-AY25</f>
        <v>0</v>
      </c>
      <c r="AX25" s="226">
        <f t="shared" si="44"/>
        <v>0</v>
      </c>
      <c r="AY25" s="226"/>
      <c r="AZ25" s="226" cm="1">
        <f t="array" ref="AZ25">IFERROR(SUM(VLOOKUP($A25,'預算A1 BIM'!$A$77:$BB$143,{34},0)),0)+BC25</f>
        <v>0</v>
      </c>
      <c r="BA25" s="226" cm="1">
        <f t="array" ref="BA25">IFERROR(SUM(VLOOKUP($A25,'預算A1 BIM'!$A$151:$BB$220,{34},0)),0)-BC25</f>
        <v>0</v>
      </c>
      <c r="BB25" s="226">
        <f t="shared" si="11"/>
        <v>0</v>
      </c>
      <c r="BC25" s="226"/>
      <c r="BD25" s="226" cm="1">
        <f t="array" ref="BD25">IFERROR(SUM(VLOOKUP($A25,'預算A1 BIM'!$A$77:$BB$143,{35},0)),0)+BG25</f>
        <v>0</v>
      </c>
      <c r="BE25" s="226" cm="1">
        <f t="array" ref="BE25">IFERROR(SUM(VLOOKUP($A25,'預算A1 BIM'!$A$151:$BB$220,{35},0)),0)-BG25</f>
        <v>0</v>
      </c>
      <c r="BF25" s="226">
        <f t="shared" si="12"/>
        <v>0</v>
      </c>
      <c r="BG25" s="226"/>
      <c r="BH25" s="226" cm="1">
        <f t="array" ref="BH25">IFERROR(SUM(VLOOKUP($A25,'預算A1 BIM'!$A$77:$BB$143,{36},0)),0)+BK25</f>
        <v>0</v>
      </c>
      <c r="BI25" s="226" cm="1">
        <f t="array" ref="BI25">IFERROR(SUM(VLOOKUP($A25,'預算A1 BIM'!$A$151:$BB$220,{36},0)),0)-BK25</f>
        <v>0</v>
      </c>
      <c r="BJ25" s="226">
        <f t="shared" si="13"/>
        <v>0</v>
      </c>
      <c r="BK25" s="226"/>
      <c r="BL25" s="226">
        <f>SUMIF($P$4:$BK$4,$BL$4,$P25:$BK$65)</f>
        <v>0</v>
      </c>
      <c r="BM25" s="226">
        <f>SUMIF($P$4:$BK$4,$BM$4,$P25:$BK$65)</f>
        <v>0</v>
      </c>
      <c r="BN25" s="226">
        <f t="shared" si="14"/>
        <v>0</v>
      </c>
      <c r="BO25" s="226">
        <f>SUMIF($P$4:$BK$4,$BO$4,$P25:$BK$65)</f>
        <v>0</v>
      </c>
      <c r="BP25" s="226">
        <f t="shared" si="40"/>
        <v>0</v>
      </c>
      <c r="BQ25" s="226">
        <f t="shared" si="15"/>
        <v>0</v>
      </c>
      <c r="BR25" s="226">
        <f t="shared" si="16"/>
        <v>0</v>
      </c>
      <c r="BS25" s="226">
        <f t="shared" si="17"/>
        <v>0</v>
      </c>
      <c r="BT25" s="226" cm="1">
        <f t="array" ref="BT25">IFERROR(SUM(VLOOKUP($A25,'預算A1 BIM'!$A$77:$BB$143,{39},0)),0)+BW25</f>
        <v>3265925</v>
      </c>
      <c r="BU25" s="226" cm="1">
        <f t="array" ref="BU25">IFERROR(SUM(VLOOKUP($A25,'預算A1 BIM'!$A$151:$BB$220,{39},0)),0)-BW25</f>
        <v>1600231</v>
      </c>
      <c r="BV25" s="226">
        <f t="shared" si="18"/>
        <v>4866156</v>
      </c>
      <c r="BW25" s="226"/>
      <c r="BX25" s="226">
        <f t="shared" si="41"/>
        <v>3265925</v>
      </c>
      <c r="BY25" s="226">
        <f t="shared" si="19"/>
        <v>1600231</v>
      </c>
      <c r="BZ25" s="226">
        <f t="shared" si="20"/>
        <v>4866156</v>
      </c>
      <c r="CA25" s="226">
        <f t="shared" si="42"/>
        <v>0</v>
      </c>
      <c r="CB25" s="226" cm="1">
        <f t="array" ref="CB25">IFERROR(SUM(VLOOKUP($A25,'預算A1 BIM'!$A$77:$BB$143,{40},0)),0)+CE25</f>
        <v>3424575</v>
      </c>
      <c r="CC25" s="226" cm="1">
        <f t="array" ref="CC25">IFERROR(SUM(VLOOKUP($A25,'預算A1 BIM'!$A$151:$BB$220,{40},0)),0)-CE25</f>
        <v>1677966</v>
      </c>
      <c r="CD25" s="226">
        <f t="shared" si="43"/>
        <v>5102541</v>
      </c>
      <c r="CE25" s="226"/>
      <c r="CF25" s="226">
        <f t="shared" si="22"/>
        <v>6690500</v>
      </c>
      <c r="CG25" s="226">
        <f t="shared" si="23"/>
        <v>3278197</v>
      </c>
      <c r="CH25" s="226">
        <f t="shared" si="24"/>
        <v>9968697</v>
      </c>
      <c r="CI25" s="226">
        <f t="shared" si="25"/>
        <v>0</v>
      </c>
      <c r="CJ25" s="226" cm="1">
        <f t="array" ref="CJ25">IFERROR(SUM(VLOOKUP($A25,'預算A1 BIM'!$A$77:$BB$143,{41},0)),0)+CM25</f>
        <v>4262580</v>
      </c>
      <c r="CK25" s="226" cm="1">
        <f t="array" ref="CK25">IFERROR(SUM(VLOOKUP($A25,'預算A1 BIM'!$A$151:$BB$220,{41},0)),0)-CM25</f>
        <v>2088570</v>
      </c>
      <c r="CL25" s="226">
        <f t="shared" si="26"/>
        <v>6351150</v>
      </c>
      <c r="CM25" s="226"/>
      <c r="CN25" s="226">
        <f t="shared" si="27"/>
        <v>10953080</v>
      </c>
      <c r="CO25" s="226">
        <f t="shared" si="28"/>
        <v>5366767</v>
      </c>
      <c r="CP25" s="226">
        <f t="shared" si="29"/>
        <v>16319847</v>
      </c>
      <c r="CQ25" s="226">
        <f t="shared" si="30"/>
        <v>0</v>
      </c>
      <c r="CR25" s="226" cm="1">
        <f t="array" ref="CR25">IFERROR(SUM(VLOOKUP($A25,'預算A1 BIM'!$A$77:$BB$143,{42},0)),0)+CU25</f>
        <v>4435100</v>
      </c>
      <c r="CS25" s="226" cm="1">
        <f t="array" ref="CS25">IFERROR(SUM(VLOOKUP($A25,'預算A1 BIM'!$A$151:$BB$220,{42},0)),0)-CU25</f>
        <v>2173100</v>
      </c>
      <c r="CT25" s="226">
        <f t="shared" si="31"/>
        <v>6608200</v>
      </c>
      <c r="CU25" s="226"/>
      <c r="CV25" s="226">
        <f t="shared" si="32"/>
        <v>15388180</v>
      </c>
      <c r="CW25" s="226">
        <f t="shared" si="33"/>
        <v>7539867</v>
      </c>
      <c r="CX25" s="226">
        <f t="shared" si="34"/>
        <v>22928047</v>
      </c>
      <c r="CY25" s="226">
        <f t="shared" si="35"/>
        <v>0</v>
      </c>
    </row>
    <row r="26" spans="1:103" outlineLevel="1">
      <c r="A26" s="175" t="s">
        <v>661</v>
      </c>
      <c r="B26" s="172" t="s">
        <v>662</v>
      </c>
      <c r="C26" s="169" t="s">
        <v>1037</v>
      </c>
      <c r="D26" s="225">
        <f>IFERROR(VLOOKUP(A26,'202608收入成本表'!A:Y,23,0),0)</f>
        <v>0</v>
      </c>
      <c r="E26" s="225">
        <f>IFERROR(VLOOKUP(A26,'202608收入成本表'!A:Z,24,0),0)</f>
        <v>0</v>
      </c>
      <c r="F26" s="226">
        <f t="shared" si="36"/>
        <v>0</v>
      </c>
      <c r="G26" s="226"/>
      <c r="H26" s="226" cm="1">
        <f t="array" ref="H26">IFERROR(SUM(VLOOKUP(A26,'預算A1 BIM'!$A$77:$BB$143,{19,20,21,22},0)),0)</f>
        <v>0</v>
      </c>
      <c r="I26" s="226" cm="1">
        <f t="array" ref="I26">IFERROR(SUM(VLOOKUP(A26,'預算A1 BIM'!$A$151:$BB$220,{19,20,21,22},0)),0)</f>
        <v>0</v>
      </c>
      <c r="J26" s="226">
        <f t="shared" si="37"/>
        <v>0</v>
      </c>
      <c r="K26" s="226">
        <f>-VLOOKUP(A26,'2026FCST%'!A:AC,27,FALSE)</f>
        <v>0</v>
      </c>
      <c r="L26" s="226">
        <f t="shared" si="38"/>
        <v>0</v>
      </c>
      <c r="M26" s="226">
        <f t="shared" si="45"/>
        <v>0</v>
      </c>
      <c r="N26" s="226">
        <f t="shared" si="1"/>
        <v>0</v>
      </c>
      <c r="O26" s="226">
        <f t="shared" si="39"/>
        <v>0</v>
      </c>
      <c r="P26" s="226" cm="1">
        <f t="array" ref="P26">IFERROR(SUM(VLOOKUP($A26,'預算A1 BIM'!$A$77:$BB$143,{25},0)),0)+S26</f>
        <v>0</v>
      </c>
      <c r="Q26" s="226" cm="1">
        <f t="array" ref="Q26">IFERROR(SUM(VLOOKUP($A26,'預算A1 BIM'!$A$151:$BB$220,{25},0)),0)</f>
        <v>0</v>
      </c>
      <c r="R26" s="226">
        <f t="shared" si="2"/>
        <v>0</v>
      </c>
      <c r="S26" s="226"/>
      <c r="T26" s="226" cm="1">
        <f t="array" ref="T26">IFERROR(SUM(VLOOKUP($A26,'預算A1 BIM'!$A$77:$BB$143,{26},0)),0)+W26</f>
        <v>0</v>
      </c>
      <c r="U26" s="226" cm="1">
        <f t="array" ref="U26">IFERROR(SUM(VLOOKUP($A26,'預算A1 BIM'!$A$151:$BB$220,{26},0)),0)</f>
        <v>0</v>
      </c>
      <c r="V26" s="226">
        <f t="shared" si="3"/>
        <v>0</v>
      </c>
      <c r="W26" s="226"/>
      <c r="X26" s="226" cm="1">
        <f t="array" ref="X26">IFERROR(SUM(VLOOKUP($A26,'預算A1 BIM'!$A$77:$BB$143,{27},0)),0)+AA26</f>
        <v>0</v>
      </c>
      <c r="Y26" s="226" cm="1">
        <f t="array" ref="Y26">IFERROR(SUM(VLOOKUP($A26,'預算A1 BIM'!$A$151:$BB$220,{27},0)),0)</f>
        <v>0</v>
      </c>
      <c r="Z26" s="226">
        <f t="shared" si="4"/>
        <v>0</v>
      </c>
      <c r="AA26" s="226"/>
      <c r="AB26" s="226" cm="1">
        <f t="array" ref="AB26">IFERROR(SUM(VLOOKUP($A26,'預算A1 BIM'!$A$77:$BB$143,{28},0)),0)+AE26</f>
        <v>0</v>
      </c>
      <c r="AC26" s="226" cm="1">
        <f t="array" ref="AC26">IFERROR(SUM(VLOOKUP($A26,'預算A1 BIM'!$A$151:$BB$220,{28},0)),0)</f>
        <v>0</v>
      </c>
      <c r="AD26" s="226">
        <f t="shared" si="46"/>
        <v>0</v>
      </c>
      <c r="AE26" s="226"/>
      <c r="AF26" s="226" cm="1">
        <f t="array" ref="AF26">IFERROR(SUM(VLOOKUP($A26,'預算A1 BIM'!$A$77:$BB$143,{29},0)),0)+AI26</f>
        <v>0</v>
      </c>
      <c r="AG26" s="226" cm="1">
        <f t="array" ref="AG26">IFERROR(SUM(VLOOKUP($A26,'預算A1 BIM'!$A$151:$BB$220,{29},0)),0)</f>
        <v>0</v>
      </c>
      <c r="AH26" s="226">
        <f t="shared" si="6"/>
        <v>0</v>
      </c>
      <c r="AI26" s="226"/>
      <c r="AJ26" s="226" cm="1">
        <f t="array" ref="AJ26">IFERROR(SUM(VLOOKUP($A26,'預算A1 BIM'!$A$77:$BB$143,{30},0)),0)+AM26</f>
        <v>0</v>
      </c>
      <c r="AK26" s="226" cm="1">
        <f t="array" ref="AK26">IFERROR(SUM(VLOOKUP($A26,'預算A1 BIM'!$A$151:$BB$220,{30},0)),0)</f>
        <v>0</v>
      </c>
      <c r="AL26" s="226">
        <f t="shared" si="7"/>
        <v>0</v>
      </c>
      <c r="AM26" s="226"/>
      <c r="AN26" s="226" cm="1">
        <f t="array" ref="AN26">IFERROR(SUM(VLOOKUP($A26,'預算A1 BIM'!$A$77:$BB$143,{31},0)),0)+AQ26</f>
        <v>0</v>
      </c>
      <c r="AO26" s="226" cm="1">
        <f t="array" ref="AO26">IFERROR(SUM(VLOOKUP($A26,'預算A1 BIM'!$A$151:$BB$220,{31},0)),0)-AQ26</f>
        <v>0</v>
      </c>
      <c r="AP26" s="226">
        <f t="shared" si="8"/>
        <v>0</v>
      </c>
      <c r="AQ26" s="226"/>
      <c r="AR26" s="226" cm="1">
        <f t="array" ref="AR26">IFERROR(SUM(VLOOKUP($A26,'預算A1 BIM'!$A$77:$BB$143,{32},0)),0)+AU26</f>
        <v>0</v>
      </c>
      <c r="AS26" s="226" cm="1">
        <f t="array" ref="AS26">IFERROR(SUM(VLOOKUP($A26,'預算A1 BIM'!$A$151:$BB$220,{32},0)),0)-AU26</f>
        <v>0</v>
      </c>
      <c r="AT26" s="226">
        <f t="shared" si="9"/>
        <v>0</v>
      </c>
      <c r="AU26" s="226"/>
      <c r="AV26" s="226" cm="1">
        <f t="array" ref="AV26">IFERROR(SUM(VLOOKUP($A26,'預算A1 BIM'!$A$77:$BB$143,{33},0)),0)+AY26</f>
        <v>0</v>
      </c>
      <c r="AW26" s="226" cm="1">
        <f t="array" ref="AW26">IFERROR(SUM(VLOOKUP($A26,'預算A1 BIM'!$A$151:$BB$220,{33},0)),0)-AY26</f>
        <v>0</v>
      </c>
      <c r="AX26" s="226">
        <f t="shared" si="44"/>
        <v>0</v>
      </c>
      <c r="AY26" s="226"/>
      <c r="AZ26" s="226" cm="1">
        <f t="array" ref="AZ26">IFERROR(SUM(VLOOKUP($A26,'預算A1 BIM'!$A$77:$BB$143,{34},0)),0)+BC26</f>
        <v>0</v>
      </c>
      <c r="BA26" s="226" cm="1">
        <f t="array" ref="BA26">IFERROR(SUM(VLOOKUP($A26,'預算A1 BIM'!$A$151:$BB$220,{34},0)),0)-BC26</f>
        <v>0</v>
      </c>
      <c r="BB26" s="226">
        <f t="shared" si="11"/>
        <v>0</v>
      </c>
      <c r="BC26" s="226"/>
      <c r="BD26" s="226" cm="1">
        <f t="array" ref="BD26">IFERROR(SUM(VLOOKUP($A26,'預算A1 BIM'!$A$77:$BB$143,{35},0)),0)+BG26</f>
        <v>0</v>
      </c>
      <c r="BE26" s="226" cm="1">
        <f t="array" ref="BE26">IFERROR(SUM(VLOOKUP($A26,'預算A1 BIM'!$A$151:$BB$220,{35},0)),0)-BG26</f>
        <v>0</v>
      </c>
      <c r="BF26" s="226">
        <f t="shared" si="12"/>
        <v>0</v>
      </c>
      <c r="BG26" s="226"/>
      <c r="BH26" s="226" cm="1">
        <f t="array" ref="BH26">IFERROR(SUM(VLOOKUP($A26,'預算A1 BIM'!$A$77:$BB$143,{36},0)),0)+BK26</f>
        <v>0</v>
      </c>
      <c r="BI26" s="226" cm="1">
        <f t="array" ref="BI26">IFERROR(SUM(VLOOKUP($A26,'預算A1 BIM'!$A$151:$BB$220,{36},0)),0)-BK26</f>
        <v>0</v>
      </c>
      <c r="BJ26" s="226">
        <f t="shared" si="13"/>
        <v>0</v>
      </c>
      <c r="BK26" s="226"/>
      <c r="BL26" s="226">
        <f>SUMIF($P$4:$BK$4,$BL$4,$P26:$BK$65)</f>
        <v>0</v>
      </c>
      <c r="BM26" s="226">
        <f>SUMIF($P$4:$BK$4,$BM$4,$P26:$BK$65)</f>
        <v>0</v>
      </c>
      <c r="BN26" s="226">
        <f t="shared" si="14"/>
        <v>0</v>
      </c>
      <c r="BO26" s="226">
        <f>SUMIF($P$4:$BK$4,$BO$4,$P26:$BK$65)</f>
        <v>0</v>
      </c>
      <c r="BP26" s="226">
        <f t="shared" si="40"/>
        <v>0</v>
      </c>
      <c r="BQ26" s="226">
        <f t="shared" si="15"/>
        <v>0</v>
      </c>
      <c r="BR26" s="226">
        <f t="shared" si="16"/>
        <v>0</v>
      </c>
      <c r="BS26" s="226">
        <f t="shared" si="17"/>
        <v>0</v>
      </c>
      <c r="BT26" s="226" cm="1">
        <f t="array" ref="BT26">IFERROR(SUM(VLOOKUP($A26,'預算A1 BIM'!$A$77:$BB$143,{39},0)),0)+BW26</f>
        <v>0</v>
      </c>
      <c r="BU26" s="226" cm="1">
        <f t="array" ref="BU26">IFERROR(SUM(VLOOKUP($A26,'預算A1 BIM'!$A$151:$BB$220,{39},0)),0)-BW26</f>
        <v>0</v>
      </c>
      <c r="BV26" s="226">
        <f t="shared" si="18"/>
        <v>0</v>
      </c>
      <c r="BW26" s="226"/>
      <c r="BX26" s="226">
        <f t="shared" si="41"/>
        <v>0</v>
      </c>
      <c r="BY26" s="226">
        <f t="shared" si="19"/>
        <v>0</v>
      </c>
      <c r="BZ26" s="226">
        <f t="shared" si="20"/>
        <v>0</v>
      </c>
      <c r="CA26" s="226">
        <f t="shared" si="42"/>
        <v>0</v>
      </c>
      <c r="CB26" s="226" cm="1">
        <f t="array" ref="CB26">IFERROR(SUM(VLOOKUP($A26,'預算A1 BIM'!$A$77:$BB$143,{40},0)),0)+CE26</f>
        <v>2667660</v>
      </c>
      <c r="CC26" s="226" cm="1">
        <f t="array" ref="CC26">IFERROR(SUM(VLOOKUP($A26,'預算A1 BIM'!$A$151:$BB$220,{40},0)),0)-CE26</f>
        <v>1290142</v>
      </c>
      <c r="CD26" s="226">
        <f t="shared" si="43"/>
        <v>3957802</v>
      </c>
      <c r="CE26" s="226"/>
      <c r="CF26" s="226">
        <f t="shared" si="22"/>
        <v>2667660</v>
      </c>
      <c r="CG26" s="226">
        <f t="shared" si="23"/>
        <v>1290142</v>
      </c>
      <c r="CH26" s="226">
        <f t="shared" si="24"/>
        <v>3957802</v>
      </c>
      <c r="CI26" s="226">
        <f t="shared" si="25"/>
        <v>0</v>
      </c>
      <c r="CJ26" s="226" cm="1">
        <f t="array" ref="CJ26">IFERROR(SUM(VLOOKUP($A26,'預算A1 BIM'!$A$77:$BB$143,{41},0)),0)+CM26</f>
        <v>4262580</v>
      </c>
      <c r="CK26" s="226" cm="1">
        <f t="array" ref="CK26">IFERROR(SUM(VLOOKUP($A26,'預算A1 BIM'!$A$151:$BB$220,{41},0)),0)-CM26</f>
        <v>2061482</v>
      </c>
      <c r="CL26" s="226">
        <f t="shared" si="26"/>
        <v>6324062</v>
      </c>
      <c r="CM26" s="226"/>
      <c r="CN26" s="226">
        <f t="shared" si="27"/>
        <v>6930240</v>
      </c>
      <c r="CO26" s="226">
        <f t="shared" si="28"/>
        <v>3351624</v>
      </c>
      <c r="CP26" s="226">
        <f t="shared" si="29"/>
        <v>10281864</v>
      </c>
      <c r="CQ26" s="226">
        <f t="shared" si="30"/>
        <v>0</v>
      </c>
      <c r="CR26" s="226" cm="1">
        <f t="array" ref="CR26">IFERROR(SUM(VLOOKUP($A26,'預算A1 BIM'!$A$77:$BB$143,{42},0)),0)+CU26</f>
        <v>4435100</v>
      </c>
      <c r="CS26" s="226" cm="1">
        <f t="array" ref="CS26">IFERROR(SUM(VLOOKUP($A26,'預算A1 BIM'!$A$151:$BB$220,{42},0)),0)-CU26</f>
        <v>2144917</v>
      </c>
      <c r="CT26" s="226">
        <f t="shared" si="31"/>
        <v>6580017</v>
      </c>
      <c r="CU26" s="226"/>
      <c r="CV26" s="226">
        <f t="shared" si="32"/>
        <v>11365340</v>
      </c>
      <c r="CW26" s="226">
        <f t="shared" si="33"/>
        <v>5496541</v>
      </c>
      <c r="CX26" s="226">
        <f t="shared" si="34"/>
        <v>16861881</v>
      </c>
      <c r="CY26" s="226">
        <f t="shared" si="35"/>
        <v>0</v>
      </c>
    </row>
    <row r="27" spans="1:103" outlineLevel="1">
      <c r="A27" s="175" t="s">
        <v>663</v>
      </c>
      <c r="B27" s="172" t="s">
        <v>664</v>
      </c>
      <c r="C27" s="169" t="s">
        <v>1037</v>
      </c>
      <c r="D27" s="225">
        <f>IFERROR(VLOOKUP(A27,'202608收入成本表'!A:Y,23,0),0)</f>
        <v>0</v>
      </c>
      <c r="E27" s="225">
        <f>IFERROR(VLOOKUP(A27,'202608收入成本表'!A:Z,24,0),0)</f>
        <v>0</v>
      </c>
      <c r="F27" s="226">
        <f t="shared" si="36"/>
        <v>0</v>
      </c>
      <c r="G27" s="226"/>
      <c r="H27" s="226" cm="1">
        <f t="array" ref="H27">IFERROR(SUM(VLOOKUP(A27,'預算A1 BIM'!$A$77:$BB$143,{19,20,21,22},0)),0)</f>
        <v>0</v>
      </c>
      <c r="I27" s="226" cm="1">
        <f t="array" ref="I27">IFERROR(SUM(VLOOKUP(A27,'預算A1 BIM'!$A$151:$BB$220,{19,20,21,22},0)),0)</f>
        <v>0</v>
      </c>
      <c r="J27" s="226">
        <f t="shared" si="37"/>
        <v>0</v>
      </c>
      <c r="K27" s="226">
        <f>-VLOOKUP(A27,'2026FCST%'!A:AC,27,FALSE)</f>
        <v>0</v>
      </c>
      <c r="L27" s="226">
        <f t="shared" si="38"/>
        <v>0</v>
      </c>
      <c r="M27" s="226">
        <f t="shared" si="45"/>
        <v>0</v>
      </c>
      <c r="N27" s="226">
        <f t="shared" si="1"/>
        <v>0</v>
      </c>
      <c r="O27" s="226">
        <f t="shared" si="39"/>
        <v>0</v>
      </c>
      <c r="P27" s="226" cm="1">
        <f t="array" ref="P27">IFERROR(SUM(VLOOKUP($A27,'預算A1 BIM'!$A$77:$BB$143,{25},0)),0)+S27</f>
        <v>0</v>
      </c>
      <c r="Q27" s="226" cm="1">
        <f t="array" ref="Q27">IFERROR(SUM(VLOOKUP($A27,'預算A1 BIM'!$A$151:$BB$220,{25},0)),0)</f>
        <v>0</v>
      </c>
      <c r="R27" s="226">
        <f t="shared" si="2"/>
        <v>0</v>
      </c>
      <c r="S27" s="226"/>
      <c r="T27" s="226" cm="1">
        <f t="array" ref="T27">IFERROR(SUM(VLOOKUP($A27,'預算A1 BIM'!$A$77:$BB$143,{26},0)),0)+W27</f>
        <v>0</v>
      </c>
      <c r="U27" s="226" cm="1">
        <f t="array" ref="U27">IFERROR(SUM(VLOOKUP($A27,'預算A1 BIM'!$A$151:$BB$220,{26},0)),0)</f>
        <v>0</v>
      </c>
      <c r="V27" s="226">
        <f t="shared" si="3"/>
        <v>0</v>
      </c>
      <c r="W27" s="226"/>
      <c r="X27" s="226" cm="1">
        <f t="array" ref="X27">IFERROR(SUM(VLOOKUP($A27,'預算A1 BIM'!$A$77:$BB$143,{27},0)),0)+AA27</f>
        <v>0</v>
      </c>
      <c r="Y27" s="226" cm="1">
        <f t="array" ref="Y27">IFERROR(SUM(VLOOKUP($A27,'預算A1 BIM'!$A$151:$BB$220,{27},0)),0)</f>
        <v>0</v>
      </c>
      <c r="Z27" s="226">
        <f t="shared" si="4"/>
        <v>0</v>
      </c>
      <c r="AA27" s="226"/>
      <c r="AB27" s="226" cm="1">
        <f t="array" ref="AB27">IFERROR(SUM(VLOOKUP($A27,'預算A1 BIM'!$A$77:$BB$143,{28},0)),0)+AE27</f>
        <v>0</v>
      </c>
      <c r="AC27" s="226" cm="1">
        <f t="array" ref="AC27">IFERROR(SUM(VLOOKUP($A27,'預算A1 BIM'!$A$151:$BB$220,{28},0)),0)</f>
        <v>0</v>
      </c>
      <c r="AD27" s="226">
        <f t="shared" si="46"/>
        <v>0</v>
      </c>
      <c r="AE27" s="226"/>
      <c r="AF27" s="226" cm="1">
        <f t="array" ref="AF27">IFERROR(SUM(VLOOKUP($A27,'預算A1 BIM'!$A$77:$BB$143,{29},0)),0)+AI27</f>
        <v>0</v>
      </c>
      <c r="AG27" s="226" cm="1">
        <f t="array" ref="AG27">IFERROR(SUM(VLOOKUP($A27,'預算A1 BIM'!$A$151:$BB$220,{29},0)),0)</f>
        <v>0</v>
      </c>
      <c r="AH27" s="226">
        <f t="shared" si="6"/>
        <v>0</v>
      </c>
      <c r="AI27" s="226"/>
      <c r="AJ27" s="226" cm="1">
        <f t="array" ref="AJ27">IFERROR(SUM(VLOOKUP($A27,'預算A1 BIM'!$A$77:$BB$143,{30},0)),0)+AM27</f>
        <v>0</v>
      </c>
      <c r="AK27" s="226" cm="1">
        <f t="array" ref="AK27">IFERROR(SUM(VLOOKUP($A27,'預算A1 BIM'!$A$151:$BB$220,{30},0)),0)</f>
        <v>0</v>
      </c>
      <c r="AL27" s="226">
        <f t="shared" si="7"/>
        <v>0</v>
      </c>
      <c r="AM27" s="226"/>
      <c r="AN27" s="226" cm="1">
        <f t="array" ref="AN27">IFERROR(SUM(VLOOKUP($A27,'預算A1 BIM'!$A$77:$BB$143,{31},0)),0)+AQ27</f>
        <v>0</v>
      </c>
      <c r="AO27" s="226" cm="1">
        <f t="array" ref="AO27">IFERROR(SUM(VLOOKUP($A27,'預算A1 BIM'!$A$151:$BB$220,{31},0)),0)-AQ27</f>
        <v>0</v>
      </c>
      <c r="AP27" s="226">
        <f t="shared" si="8"/>
        <v>0</v>
      </c>
      <c r="AQ27" s="226"/>
      <c r="AR27" s="226" cm="1">
        <f t="array" ref="AR27">IFERROR(SUM(VLOOKUP($A27,'預算A1 BIM'!$A$77:$BB$143,{32},0)),0)+AU27</f>
        <v>0</v>
      </c>
      <c r="AS27" s="226" cm="1">
        <f t="array" ref="AS27">IFERROR(SUM(VLOOKUP($A27,'預算A1 BIM'!$A$151:$BB$220,{32},0)),0)-AU27</f>
        <v>0</v>
      </c>
      <c r="AT27" s="226">
        <f t="shared" si="9"/>
        <v>0</v>
      </c>
      <c r="AU27" s="226"/>
      <c r="AV27" s="226" cm="1">
        <f t="array" ref="AV27">IFERROR(SUM(VLOOKUP($A27,'預算A1 BIM'!$A$77:$BB$143,{33},0)),0)+AY27</f>
        <v>0</v>
      </c>
      <c r="AW27" s="226" cm="1">
        <f t="array" ref="AW27">IFERROR(SUM(VLOOKUP($A27,'預算A1 BIM'!$A$151:$BB$220,{33},0)),0)-AY27</f>
        <v>0</v>
      </c>
      <c r="AX27" s="226">
        <f t="shared" si="44"/>
        <v>0</v>
      </c>
      <c r="AY27" s="226"/>
      <c r="AZ27" s="226" cm="1">
        <f t="array" ref="AZ27">IFERROR(SUM(VLOOKUP($A27,'預算A1 BIM'!$A$77:$BB$143,{34},0)),0)+BC27</f>
        <v>0</v>
      </c>
      <c r="BA27" s="226" cm="1">
        <f t="array" ref="BA27">IFERROR(SUM(VLOOKUP($A27,'預算A1 BIM'!$A$151:$BB$220,{34},0)),0)-BC27</f>
        <v>0</v>
      </c>
      <c r="BB27" s="226">
        <f t="shared" si="11"/>
        <v>0</v>
      </c>
      <c r="BC27" s="226"/>
      <c r="BD27" s="226" cm="1">
        <f t="array" ref="BD27">IFERROR(SUM(VLOOKUP($A27,'預算A1 BIM'!$A$77:$BB$143,{35},0)),0)+BG27</f>
        <v>0</v>
      </c>
      <c r="BE27" s="226" cm="1">
        <f t="array" ref="BE27">IFERROR(SUM(VLOOKUP($A27,'預算A1 BIM'!$A$151:$BB$220,{35},0)),0)-BG27</f>
        <v>0</v>
      </c>
      <c r="BF27" s="226">
        <f t="shared" si="12"/>
        <v>0</v>
      </c>
      <c r="BG27" s="226"/>
      <c r="BH27" s="226" cm="1">
        <f t="array" ref="BH27">IFERROR(SUM(VLOOKUP($A27,'預算A1 BIM'!$A$77:$BB$143,{36},0)),0)+BK27</f>
        <v>0</v>
      </c>
      <c r="BI27" s="226" cm="1">
        <f t="array" ref="BI27">IFERROR(SUM(VLOOKUP($A27,'預算A1 BIM'!$A$151:$BB$220,{36},0)),0)-BK27</f>
        <v>0</v>
      </c>
      <c r="BJ27" s="226">
        <f t="shared" si="13"/>
        <v>0</v>
      </c>
      <c r="BK27" s="226"/>
      <c r="BL27" s="226">
        <f>SUMIF($P$4:$BK$4,$BL$4,$P27:$BK$65)</f>
        <v>0</v>
      </c>
      <c r="BM27" s="226">
        <f>SUMIF($P$4:$BK$4,$BM$4,$P27:$BK$65)</f>
        <v>0</v>
      </c>
      <c r="BN27" s="226">
        <f t="shared" si="14"/>
        <v>0</v>
      </c>
      <c r="BO27" s="226">
        <f>SUMIF($P$4:$BK$4,$BO$4,$P27:$BK$65)</f>
        <v>0</v>
      </c>
      <c r="BP27" s="226">
        <f t="shared" si="40"/>
        <v>0</v>
      </c>
      <c r="BQ27" s="226">
        <f t="shared" si="15"/>
        <v>0</v>
      </c>
      <c r="BR27" s="226">
        <f t="shared" si="16"/>
        <v>0</v>
      </c>
      <c r="BS27" s="226">
        <f t="shared" si="17"/>
        <v>0</v>
      </c>
      <c r="BT27" s="226" cm="1">
        <f t="array" ref="BT27">IFERROR(SUM(VLOOKUP($A27,'預算A1 BIM'!$A$77:$BB$143,{39},0)),0)+BW27</f>
        <v>0</v>
      </c>
      <c r="BU27" s="226" cm="1">
        <f t="array" ref="BU27">IFERROR(SUM(VLOOKUP($A27,'預算A1 BIM'!$A$151:$BB$220,{39},0)),0)-BW27</f>
        <v>0</v>
      </c>
      <c r="BV27" s="226">
        <f t="shared" si="18"/>
        <v>0</v>
      </c>
      <c r="BW27" s="226"/>
      <c r="BX27" s="226">
        <f t="shared" si="41"/>
        <v>0</v>
      </c>
      <c r="BY27" s="226">
        <f t="shared" si="19"/>
        <v>0</v>
      </c>
      <c r="BZ27" s="226">
        <f t="shared" si="20"/>
        <v>0</v>
      </c>
      <c r="CA27" s="226">
        <f t="shared" si="42"/>
        <v>0</v>
      </c>
      <c r="CB27" s="226" cm="1">
        <f t="array" ref="CB27">IFERROR(SUM(VLOOKUP($A27,'預算A1 BIM'!$A$77:$BB$143,{40},0)),0)+CE27</f>
        <v>0</v>
      </c>
      <c r="CC27" s="226" cm="1">
        <f t="array" ref="CC27">IFERROR(SUM(VLOOKUP($A27,'預算A1 BIM'!$A$151:$BB$220,{40},0)),0)-CE27</f>
        <v>0</v>
      </c>
      <c r="CD27" s="226">
        <f t="shared" si="43"/>
        <v>0</v>
      </c>
      <c r="CE27" s="226"/>
      <c r="CF27" s="226">
        <f t="shared" si="22"/>
        <v>0</v>
      </c>
      <c r="CG27" s="226">
        <f t="shared" si="23"/>
        <v>0</v>
      </c>
      <c r="CH27" s="226">
        <f t="shared" si="24"/>
        <v>0</v>
      </c>
      <c r="CI27" s="226">
        <f t="shared" si="25"/>
        <v>0</v>
      </c>
      <c r="CJ27" s="226" cm="1">
        <f t="array" ref="CJ27">IFERROR(SUM(VLOOKUP($A27,'預算A1 BIM'!$A$77:$BB$143,{41},0)),0)+CM27</f>
        <v>4182580</v>
      </c>
      <c r="CK27" s="226" cm="1">
        <f t="array" ref="CK27">IFERROR(SUM(VLOOKUP($A27,'預算A1 BIM'!$A$151:$BB$220,{41},0)),0)-CM27</f>
        <v>2026536</v>
      </c>
      <c r="CL27" s="226">
        <f t="shared" si="26"/>
        <v>6209116</v>
      </c>
      <c r="CM27" s="226"/>
      <c r="CN27" s="226">
        <f t="shared" si="27"/>
        <v>4182580</v>
      </c>
      <c r="CO27" s="226">
        <f t="shared" si="28"/>
        <v>2026536</v>
      </c>
      <c r="CP27" s="226">
        <f t="shared" si="29"/>
        <v>6209116</v>
      </c>
      <c r="CQ27" s="226">
        <f t="shared" si="30"/>
        <v>0</v>
      </c>
      <c r="CR27" s="226" cm="1">
        <f t="array" ref="CR27">IFERROR(SUM(VLOOKUP($A27,'預算A1 BIM'!$A$77:$BB$143,{42},0)),0)+CU27</f>
        <v>4435100</v>
      </c>
      <c r="CS27" s="226" cm="1">
        <f t="array" ref="CS27">IFERROR(SUM(VLOOKUP($A27,'預算A1 BIM'!$A$151:$BB$220,{42},0)),0)-CU27</f>
        <v>2148886</v>
      </c>
      <c r="CT27" s="226">
        <f t="shared" si="31"/>
        <v>6583986</v>
      </c>
      <c r="CU27" s="226"/>
      <c r="CV27" s="226">
        <f t="shared" si="32"/>
        <v>8617680</v>
      </c>
      <c r="CW27" s="226">
        <f t="shared" si="33"/>
        <v>4175422</v>
      </c>
      <c r="CX27" s="226">
        <f t="shared" si="34"/>
        <v>12793102</v>
      </c>
      <c r="CY27" s="226">
        <f t="shared" si="35"/>
        <v>0</v>
      </c>
    </row>
    <row r="28" spans="1:103" outlineLevel="1">
      <c r="A28" s="175" t="s">
        <v>665</v>
      </c>
      <c r="B28" s="172" t="s">
        <v>666</v>
      </c>
      <c r="C28" s="169" t="s">
        <v>1037</v>
      </c>
      <c r="D28" s="225">
        <f>IFERROR(VLOOKUP(A28,'202608收入成本表'!A:Y,23,0),0)</f>
        <v>0</v>
      </c>
      <c r="E28" s="225">
        <f>IFERROR(VLOOKUP(A28,'202608收入成本表'!A:Z,24,0),0)</f>
        <v>0</v>
      </c>
      <c r="F28" s="226">
        <f t="shared" si="36"/>
        <v>0</v>
      </c>
      <c r="G28" s="226"/>
      <c r="H28" s="226" cm="1">
        <f t="array" ref="H28">IFERROR(SUM(VLOOKUP(A28,'預算A1 BIM'!$A$77:$BB$143,{19,20,21,22},0)),0)</f>
        <v>0</v>
      </c>
      <c r="I28" s="226" cm="1">
        <f t="array" ref="I28">IFERROR(SUM(VLOOKUP(A28,'預算A1 BIM'!$A$151:$BB$220,{19,20,21,22},0)),0)</f>
        <v>0</v>
      </c>
      <c r="J28" s="226">
        <f t="shared" si="37"/>
        <v>0</v>
      </c>
      <c r="K28" s="226">
        <f>-VLOOKUP(A28,'2026FCST%'!A:AC,27,FALSE)</f>
        <v>0</v>
      </c>
      <c r="L28" s="226">
        <f t="shared" si="38"/>
        <v>0</v>
      </c>
      <c r="M28" s="226">
        <f t="shared" si="45"/>
        <v>0</v>
      </c>
      <c r="N28" s="226">
        <f t="shared" si="1"/>
        <v>0</v>
      </c>
      <c r="O28" s="226">
        <f t="shared" si="39"/>
        <v>0</v>
      </c>
      <c r="P28" s="226" cm="1">
        <f t="array" ref="P28">IFERROR(SUM(VLOOKUP($A28,'預算A1 BIM'!$A$77:$BB$143,{25},0)),0)+S28</f>
        <v>0</v>
      </c>
      <c r="Q28" s="226" cm="1">
        <f t="array" ref="Q28">IFERROR(SUM(VLOOKUP($A28,'預算A1 BIM'!$A$151:$BB$220,{25},0)),0)</f>
        <v>0</v>
      </c>
      <c r="R28" s="226">
        <f t="shared" si="2"/>
        <v>0</v>
      </c>
      <c r="S28" s="226"/>
      <c r="T28" s="226" cm="1">
        <f t="array" ref="T28">IFERROR(SUM(VLOOKUP($A28,'預算A1 BIM'!$A$77:$BB$143,{26},0)),0)+W28</f>
        <v>0</v>
      </c>
      <c r="U28" s="226" cm="1">
        <f t="array" ref="U28">IFERROR(SUM(VLOOKUP($A28,'預算A1 BIM'!$A$151:$BB$220,{26},0)),0)</f>
        <v>0</v>
      </c>
      <c r="V28" s="226">
        <f t="shared" si="3"/>
        <v>0</v>
      </c>
      <c r="W28" s="226"/>
      <c r="X28" s="226" cm="1">
        <f t="array" ref="X28">IFERROR(SUM(VLOOKUP($A28,'預算A1 BIM'!$A$77:$BB$143,{27},0)),0)+AA28</f>
        <v>0</v>
      </c>
      <c r="Y28" s="226" cm="1">
        <f t="array" ref="Y28">IFERROR(SUM(VLOOKUP($A28,'預算A1 BIM'!$A$151:$BB$220,{27},0)),0)</f>
        <v>0</v>
      </c>
      <c r="Z28" s="226">
        <f t="shared" si="4"/>
        <v>0</v>
      </c>
      <c r="AA28" s="226"/>
      <c r="AB28" s="226" cm="1">
        <f t="array" ref="AB28">IFERROR(SUM(VLOOKUP($A28,'預算A1 BIM'!$A$77:$BB$143,{28},0)),0)+AE28</f>
        <v>0</v>
      </c>
      <c r="AC28" s="226" cm="1">
        <f t="array" ref="AC28">IFERROR(SUM(VLOOKUP($A28,'預算A1 BIM'!$A$151:$BB$220,{28},0)),0)</f>
        <v>0</v>
      </c>
      <c r="AD28" s="226">
        <f t="shared" si="46"/>
        <v>0</v>
      </c>
      <c r="AE28" s="226"/>
      <c r="AF28" s="226" cm="1">
        <f t="array" ref="AF28">IFERROR(SUM(VLOOKUP($A28,'預算A1 BIM'!$A$77:$BB$143,{29},0)),0)+AI28</f>
        <v>0</v>
      </c>
      <c r="AG28" s="226" cm="1">
        <f t="array" ref="AG28">IFERROR(SUM(VLOOKUP($A28,'預算A1 BIM'!$A$151:$BB$220,{29},0)),0)</f>
        <v>0</v>
      </c>
      <c r="AH28" s="226">
        <f t="shared" si="6"/>
        <v>0</v>
      </c>
      <c r="AI28" s="226"/>
      <c r="AJ28" s="226" cm="1">
        <f t="array" ref="AJ28">IFERROR(SUM(VLOOKUP($A28,'預算A1 BIM'!$A$77:$BB$143,{30},0)),0)+AM28</f>
        <v>0</v>
      </c>
      <c r="AK28" s="226" cm="1">
        <f t="array" ref="AK28">IFERROR(SUM(VLOOKUP($A28,'預算A1 BIM'!$A$151:$BB$220,{30},0)),0)</f>
        <v>0</v>
      </c>
      <c r="AL28" s="226">
        <f t="shared" si="7"/>
        <v>0</v>
      </c>
      <c r="AM28" s="226"/>
      <c r="AN28" s="226" cm="1">
        <f t="array" ref="AN28">IFERROR(SUM(VLOOKUP($A28,'預算A1 BIM'!$A$77:$BB$143,{31},0)),0)+AQ28</f>
        <v>0</v>
      </c>
      <c r="AO28" s="226" cm="1">
        <f t="array" ref="AO28">IFERROR(SUM(VLOOKUP($A28,'預算A1 BIM'!$A$151:$BB$220,{31},0)),0)-AQ28</f>
        <v>0</v>
      </c>
      <c r="AP28" s="226">
        <f t="shared" si="8"/>
        <v>0</v>
      </c>
      <c r="AQ28" s="226"/>
      <c r="AR28" s="226" cm="1">
        <f t="array" ref="AR28">IFERROR(SUM(VLOOKUP($A28,'預算A1 BIM'!$A$77:$BB$143,{32},0)),0)+AU28</f>
        <v>0</v>
      </c>
      <c r="AS28" s="226" cm="1">
        <f t="array" ref="AS28">IFERROR(SUM(VLOOKUP($A28,'預算A1 BIM'!$A$151:$BB$220,{32},0)),0)-AU28</f>
        <v>0</v>
      </c>
      <c r="AT28" s="226">
        <f t="shared" si="9"/>
        <v>0</v>
      </c>
      <c r="AU28" s="226"/>
      <c r="AV28" s="226" cm="1">
        <f t="array" ref="AV28">IFERROR(SUM(VLOOKUP($A28,'預算A1 BIM'!$A$77:$BB$143,{33},0)),0)+AY28</f>
        <v>0</v>
      </c>
      <c r="AW28" s="226" cm="1">
        <f t="array" ref="AW28">IFERROR(SUM(VLOOKUP($A28,'預算A1 BIM'!$A$151:$BB$220,{33},0)),0)-AY28</f>
        <v>0</v>
      </c>
      <c r="AX28" s="226">
        <f t="shared" si="44"/>
        <v>0</v>
      </c>
      <c r="AY28" s="226"/>
      <c r="AZ28" s="226" cm="1">
        <f t="array" ref="AZ28">IFERROR(SUM(VLOOKUP($A28,'預算A1 BIM'!$A$77:$BB$143,{34},0)),0)+BC28</f>
        <v>0</v>
      </c>
      <c r="BA28" s="226" cm="1">
        <f t="array" ref="BA28">IFERROR(SUM(VLOOKUP($A28,'預算A1 BIM'!$A$151:$BB$220,{34},0)),0)-BC28</f>
        <v>0</v>
      </c>
      <c r="BB28" s="226">
        <f t="shared" si="11"/>
        <v>0</v>
      </c>
      <c r="BC28" s="226"/>
      <c r="BD28" s="226" cm="1">
        <f t="array" ref="BD28">IFERROR(SUM(VLOOKUP($A28,'預算A1 BIM'!$A$77:$BB$143,{35},0)),0)+BG28</f>
        <v>0</v>
      </c>
      <c r="BE28" s="226" cm="1">
        <f t="array" ref="BE28">IFERROR(SUM(VLOOKUP($A28,'預算A1 BIM'!$A$151:$BB$220,{35},0)),0)-BG28</f>
        <v>0</v>
      </c>
      <c r="BF28" s="226">
        <f t="shared" si="12"/>
        <v>0</v>
      </c>
      <c r="BG28" s="226"/>
      <c r="BH28" s="226" cm="1">
        <f t="array" ref="BH28">IFERROR(SUM(VLOOKUP($A28,'預算A1 BIM'!$A$77:$BB$143,{36},0)),0)+BK28</f>
        <v>0</v>
      </c>
      <c r="BI28" s="226" cm="1">
        <f t="array" ref="BI28">IFERROR(SUM(VLOOKUP($A28,'預算A1 BIM'!$A$151:$BB$220,{36},0)),0)-BK28</f>
        <v>0</v>
      </c>
      <c r="BJ28" s="226">
        <f t="shared" si="13"/>
        <v>0</v>
      </c>
      <c r="BK28" s="226"/>
      <c r="BL28" s="226">
        <f>SUMIF($P$4:$BK$4,$BL$4,$P28:$BK$65)</f>
        <v>0</v>
      </c>
      <c r="BM28" s="226">
        <f>SUMIF($P$4:$BK$4,$BM$4,$P28:$BK$65)</f>
        <v>0</v>
      </c>
      <c r="BN28" s="226">
        <f t="shared" si="14"/>
        <v>0</v>
      </c>
      <c r="BO28" s="226">
        <f>SUMIF($P$4:$BK$4,$BO$4,$P28:$BK$65)</f>
        <v>0</v>
      </c>
      <c r="BP28" s="226">
        <f t="shared" si="40"/>
        <v>0</v>
      </c>
      <c r="BQ28" s="226">
        <f t="shared" si="15"/>
        <v>0</v>
      </c>
      <c r="BR28" s="226">
        <f t="shared" si="16"/>
        <v>0</v>
      </c>
      <c r="BS28" s="226">
        <f t="shared" si="17"/>
        <v>0</v>
      </c>
      <c r="BT28" s="226" cm="1">
        <f t="array" ref="BT28">IFERROR(SUM(VLOOKUP($A28,'預算A1 BIM'!$A$77:$BB$143,{39},0)),0)+BW28</f>
        <v>0</v>
      </c>
      <c r="BU28" s="226" cm="1">
        <f t="array" ref="BU28">IFERROR(SUM(VLOOKUP($A28,'預算A1 BIM'!$A$151:$BB$220,{39},0)),0)-BW28</f>
        <v>0</v>
      </c>
      <c r="BV28" s="226">
        <f t="shared" si="18"/>
        <v>0</v>
      </c>
      <c r="BW28" s="226"/>
      <c r="BX28" s="226">
        <f t="shared" si="41"/>
        <v>0</v>
      </c>
      <c r="BY28" s="226">
        <f t="shared" si="19"/>
        <v>0</v>
      </c>
      <c r="BZ28" s="226">
        <f t="shared" si="20"/>
        <v>0</v>
      </c>
      <c r="CA28" s="226">
        <f t="shared" si="42"/>
        <v>0</v>
      </c>
      <c r="CB28" s="226" cm="1">
        <f t="array" ref="CB28">IFERROR(SUM(VLOOKUP($A28,'預算A1 BIM'!$A$77:$BB$143,{40},0)),0)+CE28</f>
        <v>0</v>
      </c>
      <c r="CC28" s="226" cm="1">
        <f t="array" ref="CC28">IFERROR(SUM(VLOOKUP($A28,'預算A1 BIM'!$A$151:$BB$220,{40},0)),0)-CE28</f>
        <v>0</v>
      </c>
      <c r="CD28" s="226">
        <f t="shared" si="43"/>
        <v>0</v>
      </c>
      <c r="CE28" s="226"/>
      <c r="CF28" s="226">
        <f t="shared" si="22"/>
        <v>0</v>
      </c>
      <c r="CG28" s="226">
        <f t="shared" si="23"/>
        <v>0</v>
      </c>
      <c r="CH28" s="226">
        <f t="shared" si="24"/>
        <v>0</v>
      </c>
      <c r="CI28" s="226">
        <f t="shared" si="25"/>
        <v>0</v>
      </c>
      <c r="CJ28" s="226" cm="1">
        <f t="array" ref="CJ28">IFERROR(SUM(VLOOKUP($A28,'預算A1 BIM'!$A$77:$BB$143,{41},0)),0)+CM28</f>
        <v>0</v>
      </c>
      <c r="CK28" s="226" cm="1">
        <f t="array" ref="CK28">IFERROR(SUM(VLOOKUP($A28,'預算A1 BIM'!$A$151:$BB$220,{41},0)),0)-CM28</f>
        <v>0</v>
      </c>
      <c r="CL28" s="226">
        <f t="shared" si="26"/>
        <v>0</v>
      </c>
      <c r="CM28" s="226"/>
      <c r="CN28" s="226">
        <f t="shared" si="27"/>
        <v>0</v>
      </c>
      <c r="CO28" s="226">
        <f t="shared" si="28"/>
        <v>0</v>
      </c>
      <c r="CP28" s="226">
        <f t="shared" si="29"/>
        <v>0</v>
      </c>
      <c r="CQ28" s="226">
        <f t="shared" si="30"/>
        <v>0</v>
      </c>
      <c r="CR28" s="226" cm="1">
        <f t="array" ref="CR28">IFERROR(SUM(VLOOKUP($A28,'預算A1 BIM'!$A$77:$BB$143,{42},0)),0)+CU28</f>
        <v>3669250</v>
      </c>
      <c r="CS28" s="226" cm="1">
        <f t="array" ref="CS28">IFERROR(SUM(VLOOKUP($A28,'預算A1 BIM'!$A$151:$BB$220,{42},0)),0)-CU28</f>
        <v>1775971</v>
      </c>
      <c r="CT28" s="226">
        <f t="shared" si="31"/>
        <v>5445221</v>
      </c>
      <c r="CU28" s="226"/>
      <c r="CV28" s="226">
        <f t="shared" si="32"/>
        <v>3669250</v>
      </c>
      <c r="CW28" s="226">
        <f t="shared" si="33"/>
        <v>1775971</v>
      </c>
      <c r="CX28" s="226">
        <f t="shared" si="34"/>
        <v>5445221</v>
      </c>
      <c r="CY28" s="226">
        <f t="shared" si="35"/>
        <v>0</v>
      </c>
    </row>
    <row r="29" spans="1:103" ht="21" customHeight="1" outlineLevel="1">
      <c r="A29" s="228"/>
      <c r="B29" s="229" t="s">
        <v>1966</v>
      </c>
      <c r="C29" s="229"/>
      <c r="D29" s="230">
        <f t="shared" ref="D29:AE29" si="47">SUM(D6:D28)</f>
        <v>41285660</v>
      </c>
      <c r="E29" s="230">
        <f t="shared" si="47"/>
        <v>25525001</v>
      </c>
      <c r="F29" s="230">
        <f t="shared" si="47"/>
        <v>66810661</v>
      </c>
      <c r="G29" s="230">
        <f t="shared" si="47"/>
        <v>0</v>
      </c>
      <c r="H29" s="230">
        <f t="shared" si="47"/>
        <v>7783340</v>
      </c>
      <c r="I29" s="230">
        <f t="shared" si="47"/>
        <v>-9139167</v>
      </c>
      <c r="J29" s="230">
        <f t="shared" si="47"/>
        <v>-1355827</v>
      </c>
      <c r="K29" s="230">
        <f t="shared" si="47"/>
        <v>-241615</v>
      </c>
      <c r="L29" s="230">
        <f t="shared" si="47"/>
        <v>49069000</v>
      </c>
      <c r="M29" s="230">
        <f t="shared" si="47"/>
        <v>16385834</v>
      </c>
      <c r="N29" s="230">
        <f t="shared" si="47"/>
        <v>65454834</v>
      </c>
      <c r="O29" s="230">
        <f t="shared" si="47"/>
        <v>-241615</v>
      </c>
      <c r="P29" s="230">
        <f t="shared" si="47"/>
        <v>2903542</v>
      </c>
      <c r="Q29" s="230">
        <f t="shared" si="47"/>
        <v>1089182</v>
      </c>
      <c r="R29" s="230">
        <f t="shared" si="47"/>
        <v>3992724</v>
      </c>
      <c r="S29" s="230">
        <f t="shared" si="47"/>
        <v>10381</v>
      </c>
      <c r="T29" s="230">
        <f t="shared" si="47"/>
        <v>1787637</v>
      </c>
      <c r="U29" s="230">
        <f t="shared" si="47"/>
        <v>725492</v>
      </c>
      <c r="V29" s="230">
        <f t="shared" si="47"/>
        <v>2513129</v>
      </c>
      <c r="W29" s="230">
        <f t="shared" si="47"/>
        <v>5900</v>
      </c>
      <c r="X29" s="230">
        <f t="shared" si="47"/>
        <v>2393963</v>
      </c>
      <c r="Y29" s="230">
        <f t="shared" si="47"/>
        <v>973718</v>
      </c>
      <c r="Z29" s="230">
        <f t="shared" si="47"/>
        <v>3367681</v>
      </c>
      <c r="AA29" s="230">
        <f t="shared" si="47"/>
        <v>5901</v>
      </c>
      <c r="AB29" s="230">
        <f t="shared" si="47"/>
        <v>1804313</v>
      </c>
      <c r="AC29" s="230">
        <f t="shared" si="47"/>
        <v>695902</v>
      </c>
      <c r="AD29" s="230">
        <f t="shared" si="47"/>
        <v>2500215</v>
      </c>
      <c r="AE29" s="230">
        <f t="shared" si="47"/>
        <v>22493</v>
      </c>
      <c r="AF29" s="230">
        <f t="shared" ref="AF29:AI29" si="48">SUM(AF6:AF28)</f>
        <v>1834095</v>
      </c>
      <c r="AG29" s="230">
        <f t="shared" si="48"/>
        <v>690158</v>
      </c>
      <c r="AH29" s="230">
        <f t="shared" si="48"/>
        <v>2524253</v>
      </c>
      <c r="AI29" s="230">
        <f t="shared" si="48"/>
        <v>22492</v>
      </c>
      <c r="AJ29" s="230">
        <f t="shared" ref="AJ29:AM29" si="49">SUM(AJ6:AJ28)</f>
        <v>2143626</v>
      </c>
      <c r="AK29" s="230">
        <f t="shared" si="49"/>
        <v>817255</v>
      </c>
      <c r="AL29" s="230">
        <f t="shared" si="49"/>
        <v>2960881</v>
      </c>
      <c r="AM29" s="230">
        <f t="shared" si="49"/>
        <v>22493</v>
      </c>
      <c r="AN29" s="230">
        <f t="shared" ref="AN29:AQ29" si="50">SUM(AN6:AN28)</f>
        <v>1799551</v>
      </c>
      <c r="AO29" s="230">
        <f t="shared" si="50"/>
        <v>703600</v>
      </c>
      <c r="AP29" s="230">
        <f t="shared" si="50"/>
        <v>2503151</v>
      </c>
      <c r="AQ29" s="230">
        <f t="shared" si="50"/>
        <v>24118</v>
      </c>
      <c r="AR29" s="230">
        <f t="shared" ref="AR29:AY29" si="51">SUM(AR6:AR28)</f>
        <v>1747137</v>
      </c>
      <c r="AS29" s="230">
        <f t="shared" si="51"/>
        <v>-6747</v>
      </c>
      <c r="AT29" s="230">
        <f t="shared" si="51"/>
        <v>1740390</v>
      </c>
      <c r="AU29" s="230">
        <f t="shared" si="51"/>
        <v>26937</v>
      </c>
      <c r="AV29" s="230">
        <f t="shared" si="51"/>
        <v>1810272</v>
      </c>
      <c r="AW29" s="230">
        <f t="shared" si="51"/>
        <v>-155159</v>
      </c>
      <c r="AX29" s="230">
        <f t="shared" si="51"/>
        <v>1655113</v>
      </c>
      <c r="AY29" s="230">
        <f t="shared" si="51"/>
        <v>26936</v>
      </c>
      <c r="AZ29" s="230">
        <f t="shared" ref="AZ29:BK29" si="52">SUM(AZ6:AZ28)</f>
        <v>1762621</v>
      </c>
      <c r="BA29" s="230">
        <f t="shared" si="52"/>
        <v>2328664</v>
      </c>
      <c r="BB29" s="230">
        <f t="shared" si="52"/>
        <v>4091285</v>
      </c>
      <c r="BC29" s="230">
        <f t="shared" si="52"/>
        <v>26936</v>
      </c>
      <c r="BD29" s="230">
        <f t="shared" si="52"/>
        <v>1811462</v>
      </c>
      <c r="BE29" s="230">
        <f t="shared" si="52"/>
        <v>772518</v>
      </c>
      <c r="BF29" s="230">
        <f t="shared" si="52"/>
        <v>2583980</v>
      </c>
      <c r="BG29" s="230">
        <f t="shared" si="52"/>
        <v>16810</v>
      </c>
      <c r="BH29" s="230">
        <f t="shared" si="52"/>
        <v>6314375</v>
      </c>
      <c r="BI29" s="230">
        <f t="shared" si="52"/>
        <v>2652989</v>
      </c>
      <c r="BJ29" s="230">
        <f t="shared" si="52"/>
        <v>8967364</v>
      </c>
      <c r="BK29" s="230">
        <f t="shared" si="52"/>
        <v>30218</v>
      </c>
      <c r="BL29" s="230">
        <f t="shared" ref="BL29:BO29" si="53">SUM(BL6:BL28)</f>
        <v>28112594</v>
      </c>
      <c r="BM29" s="230">
        <f t="shared" si="53"/>
        <v>11287572</v>
      </c>
      <c r="BN29" s="230">
        <f t="shared" si="53"/>
        <v>39400166</v>
      </c>
      <c r="BO29" s="230">
        <f t="shared" si="53"/>
        <v>241615</v>
      </c>
      <c r="BP29" s="230">
        <f t="shared" ref="BP29:CU29" si="54">SUM(BP6:BP28)</f>
        <v>77181594</v>
      </c>
      <c r="BQ29" s="230">
        <f t="shared" si="54"/>
        <v>27673406</v>
      </c>
      <c r="BR29" s="230">
        <f t="shared" si="54"/>
        <v>104855000</v>
      </c>
      <c r="BS29" s="230">
        <f t="shared" si="54"/>
        <v>0</v>
      </c>
      <c r="BT29" s="230">
        <f t="shared" si="54"/>
        <v>24775545</v>
      </c>
      <c r="BU29" s="230">
        <f t="shared" si="54"/>
        <v>11415977</v>
      </c>
      <c r="BV29" s="230">
        <f t="shared" si="54"/>
        <v>36191522</v>
      </c>
      <c r="BW29" s="230">
        <f t="shared" si="54"/>
        <v>0</v>
      </c>
      <c r="BX29" s="230">
        <f>SUM(BX6:BX28)</f>
        <v>101957139</v>
      </c>
      <c r="BY29" s="230">
        <f t="shared" si="54"/>
        <v>39089383</v>
      </c>
      <c r="BZ29" s="230">
        <f t="shared" si="54"/>
        <v>141046522</v>
      </c>
      <c r="CA29" s="230">
        <f t="shared" si="54"/>
        <v>0</v>
      </c>
      <c r="CB29" s="230">
        <f t="shared" si="54"/>
        <v>28120911</v>
      </c>
      <c r="CC29" s="230">
        <f t="shared" si="54"/>
        <v>13241445</v>
      </c>
      <c r="CD29" s="230">
        <f t="shared" si="54"/>
        <v>41362356</v>
      </c>
      <c r="CE29" s="230">
        <f t="shared" si="54"/>
        <v>0</v>
      </c>
      <c r="CF29" s="230">
        <f t="shared" si="54"/>
        <v>130078050</v>
      </c>
      <c r="CG29" s="230">
        <f t="shared" si="54"/>
        <v>52330828</v>
      </c>
      <c r="CH29" s="230">
        <f t="shared" si="54"/>
        <v>182408878</v>
      </c>
      <c r="CI29" s="230">
        <f t="shared" si="54"/>
        <v>0</v>
      </c>
      <c r="CJ29" s="230">
        <f t="shared" ref="CJ29:CM29" si="55">SUM(CJ6:CJ28)</f>
        <v>27049482</v>
      </c>
      <c r="CK29" s="230">
        <f t="shared" si="55"/>
        <v>12937126</v>
      </c>
      <c r="CL29" s="230">
        <f t="shared" si="55"/>
        <v>39986608</v>
      </c>
      <c r="CM29" s="230">
        <f t="shared" si="55"/>
        <v>0</v>
      </c>
      <c r="CN29" s="230">
        <f t="shared" si="54"/>
        <v>157127532</v>
      </c>
      <c r="CO29" s="230">
        <f t="shared" si="54"/>
        <v>65267954</v>
      </c>
      <c r="CP29" s="230">
        <f t="shared" si="54"/>
        <v>222395486</v>
      </c>
      <c r="CQ29" s="230">
        <f t="shared" si="54"/>
        <v>0</v>
      </c>
      <c r="CR29" s="230">
        <f t="shared" si="54"/>
        <v>32750109</v>
      </c>
      <c r="CS29" s="230">
        <f t="shared" si="54"/>
        <v>15650198</v>
      </c>
      <c r="CT29" s="230">
        <f t="shared" si="54"/>
        <v>48400307</v>
      </c>
      <c r="CU29" s="230">
        <f t="shared" si="54"/>
        <v>0</v>
      </c>
      <c r="CV29" s="230">
        <f t="shared" ref="CV29:CY29" si="56">SUM(CV6:CV28)</f>
        <v>189877641</v>
      </c>
      <c r="CW29" s="230">
        <f t="shared" si="56"/>
        <v>80918152</v>
      </c>
      <c r="CX29" s="230">
        <f t="shared" si="56"/>
        <v>270795793</v>
      </c>
      <c r="CY29" s="230">
        <f t="shared" si="56"/>
        <v>0</v>
      </c>
    </row>
    <row r="30" spans="1:103" s="1401" customFormat="1" outlineLevel="1">
      <c r="A30" s="1397" t="s">
        <v>667</v>
      </c>
      <c r="B30" s="1404" t="s">
        <v>1974</v>
      </c>
      <c r="C30" s="1398" t="s">
        <v>1245</v>
      </c>
      <c r="D30" s="1399">
        <f>IFERROR(VLOOKUP(A30,'202608收入成本表'!A:Y,23,0),0)</f>
        <v>7070420</v>
      </c>
      <c r="E30" s="1399">
        <f>IFERROR(VLOOKUP(A30,'202608收入成本表'!A:Z,24,0),0)</f>
        <v>4041580</v>
      </c>
      <c r="F30" s="1400">
        <f t="shared" ref="F30:F53" si="57">SUM(D30:E30)</f>
        <v>11112000</v>
      </c>
      <c r="G30" s="1400"/>
      <c r="H30" s="1400" cm="1">
        <f t="array" ref="H30">IFERROR(SUM(VLOOKUP(A30,'預算A1 BIM'!$A$77:$BB$143,{19,20,21,22},0)),0)</f>
        <v>0</v>
      </c>
      <c r="I30" s="1400" cm="1">
        <f t="array" ref="I30">IFERROR(SUM(VLOOKUP(A30,'預算A1 BIM'!$A$151:$BB$220,{19,20,21,22},0)),0)</f>
        <v>0</v>
      </c>
      <c r="J30" s="1400">
        <f t="shared" ref="J30:J57" si="58">SUM(H30:I30)</f>
        <v>0</v>
      </c>
      <c r="K30" s="226">
        <f>-VLOOKUP(A30,'2026FCST%'!A:AC,27,FALSE)</f>
        <v>0</v>
      </c>
      <c r="L30" s="1400">
        <f t="shared" ref="L30:L57" si="59">+D30+H30</f>
        <v>7070420</v>
      </c>
      <c r="M30" s="1400">
        <f t="shared" ref="M30:M57" si="60">+E30+I30</f>
        <v>4041580</v>
      </c>
      <c r="N30" s="1400">
        <f t="shared" ref="N30:N57" si="61">SUM(L30:M30)</f>
        <v>11112000</v>
      </c>
      <c r="O30" s="1400">
        <f>+G30+K30</f>
        <v>0</v>
      </c>
      <c r="P30" s="226" cm="1">
        <f t="array" ref="P30">IFERROR(SUM(VLOOKUP($A30,'預算A1 BIM'!$A$77:$BB$143,{25},0)),0)+S30</f>
        <v>0</v>
      </c>
      <c r="Q30" s="226" cm="1">
        <f t="array" ref="Q30">IFERROR(SUM(VLOOKUP($A30,'預算A1 BIM'!$A$151:$BB$220,{25},0)),0)</f>
        <v>0</v>
      </c>
      <c r="R30" s="1400">
        <f t="shared" ref="R30:R57" si="62">SUM(P30:Q30)</f>
        <v>0</v>
      </c>
      <c r="S30" s="1397"/>
      <c r="T30" s="226" cm="1">
        <f t="array" ref="T30">IFERROR(SUM(VLOOKUP($A30,'預算A1 BIM'!$A$77:$BB$143,{26},0)),0)+W30</f>
        <v>0</v>
      </c>
      <c r="U30" s="226" cm="1">
        <f t="array" ref="U30">IFERROR(SUM(VLOOKUP($A30,'預算A1 BIM'!$A$151:$BB$220,{26},0)),0)</f>
        <v>0</v>
      </c>
      <c r="V30" s="226">
        <f t="shared" ref="V30:V31" si="63">SUM(T30:U30)</f>
        <v>0</v>
      </c>
      <c r="W30" s="1397"/>
      <c r="X30" s="226" cm="1">
        <f t="array" ref="X30">IFERROR(SUM(VLOOKUP($A30,'預算A1 BIM'!$A$77:$BB$143,{27},0)),0)+AA30</f>
        <v>0</v>
      </c>
      <c r="Y30" s="226" cm="1">
        <f t="array" ref="Y30">IFERROR(SUM(VLOOKUP($A30,'預算A1 BIM'!$A$151:$BB$220,{27},0)),0)</f>
        <v>0</v>
      </c>
      <c r="Z30" s="226">
        <f t="shared" ref="Z30" si="64">SUM(X30:Y30)</f>
        <v>0</v>
      </c>
      <c r="AA30" s="226"/>
      <c r="AB30" s="226" cm="1">
        <f t="array" ref="AB30">IFERROR(SUM(VLOOKUP($A30,'預算A1 BIM'!$A$77:$BB$143,{28},0)),0)+AE30</f>
        <v>0</v>
      </c>
      <c r="AC30" s="226" cm="1">
        <f t="array" ref="AC30">IFERROR(SUM(VLOOKUP($A30,'預算A1 BIM'!$A$151:$BB$220,{28},0)),0)</f>
        <v>0</v>
      </c>
      <c r="AD30" s="226">
        <f t="shared" ref="AD30" si="65">SUM(AB30:AC30)</f>
        <v>0</v>
      </c>
      <c r="AE30" s="1397"/>
      <c r="AF30" s="226" cm="1">
        <f t="array" ref="AF30">IFERROR(SUM(VLOOKUP($A30,'預算A1 BIM'!$A$77:$BB$143,{29},0)),0)+AI30</f>
        <v>0</v>
      </c>
      <c r="AG30" s="226" cm="1">
        <f t="array" ref="AG30">IFERROR(SUM(VLOOKUP($A30,'預算A1 BIM'!$A$151:$BB$220,{29},0)),0)</f>
        <v>0</v>
      </c>
      <c r="AH30" s="226">
        <f t="shared" ref="AH30:AH31" si="66">SUM(AF30:AG30)</f>
        <v>0</v>
      </c>
      <c r="AI30" s="1397"/>
      <c r="AJ30" s="226" cm="1">
        <f t="array" ref="AJ30">IFERROR(SUM(VLOOKUP($A30,'預算A1 BIM'!$A$77:$BB$143,{30},0)),0)+AM30</f>
        <v>0</v>
      </c>
      <c r="AK30" s="226" cm="1">
        <f t="array" ref="AK30">IFERROR(SUM(VLOOKUP($A30,'預算A1 BIM'!$A$151:$BB$220,{30},0)),0)</f>
        <v>0</v>
      </c>
      <c r="AL30" s="226">
        <f t="shared" ref="AL30:AL31" si="67">SUM(AJ30:AK30)</f>
        <v>0</v>
      </c>
      <c r="AM30" s="1397"/>
      <c r="AN30" s="226" cm="1">
        <f t="array" ref="AN30">IFERROR(SUM(VLOOKUP($A30,'預算A1 BIM'!$A$77:$BB$143,{31},0)),0)+AQ30</f>
        <v>0</v>
      </c>
      <c r="AO30" s="226" cm="1">
        <f t="array" ref="AO30">IFERROR(SUM(VLOOKUP($A30,'預算A1 BIM'!$A$151:$BB$220,{31},0)),0)</f>
        <v>0</v>
      </c>
      <c r="AP30" s="226">
        <f t="shared" ref="AP30:AP63" si="68">SUM(AN30:AO30)</f>
        <v>0</v>
      </c>
      <c r="AQ30" s="1397"/>
      <c r="AR30" s="226" cm="1">
        <f t="array" ref="AR30">IFERROR(SUM(VLOOKUP($A30,'預算A1 BIM'!$A$77:$BB$143,{32},0)),0)+AU30</f>
        <v>0</v>
      </c>
      <c r="AS30" s="226" cm="1">
        <f t="array" ref="AS30">IFERROR(SUM(VLOOKUP($A30,'預算A1 BIM'!$A$151:$BB$220,{32},0)),0)</f>
        <v>0</v>
      </c>
      <c r="AT30" s="226">
        <f t="shared" ref="AT30:AT57" si="69">SUM(AR30:AS30)</f>
        <v>0</v>
      </c>
      <c r="AU30" s="1397"/>
      <c r="AV30" s="226" cm="1">
        <f t="array" ref="AV30">IFERROR(SUM(VLOOKUP($A30,'預算A1 BIM'!$A$77:$BB$143,{33},0)),0)+AY30</f>
        <v>0</v>
      </c>
      <c r="AW30" s="226" cm="1">
        <f t="array" ref="AW30">IFERROR(SUM(VLOOKUP($A30,'預算A1 BIM'!$A$151:$BB$220,{33},0)),0)-AY30</f>
        <v>0</v>
      </c>
      <c r="AX30" s="226">
        <f t="shared" ref="AX30:AX57" si="70">SUM(AV30:AW30)</f>
        <v>0</v>
      </c>
      <c r="AY30" s="1397"/>
      <c r="AZ30" s="226" cm="1">
        <f t="array" ref="AZ30">IFERROR(SUM(VLOOKUP($A30,'預算A1 BIM'!$A$77:$BB$143,{34},0)),0)+BC30</f>
        <v>0</v>
      </c>
      <c r="BA30" s="226" cm="1">
        <f t="array" ref="BA30">IFERROR(SUM(VLOOKUP($A30,'預算A1 BIM'!$A$151:$BB$220,{34},0)),0)-BC30</f>
        <v>0</v>
      </c>
      <c r="BB30" s="226">
        <f t="shared" ref="BB30:BB31" si="71">SUM(AZ30:BA30)</f>
        <v>0</v>
      </c>
      <c r="BC30" s="1397"/>
      <c r="BD30" s="226" cm="1">
        <f t="array" ref="BD30">IFERROR(SUM(VLOOKUP($A30,'預算A1 BIM'!$A$77:$BB$143,{35},0)),0)+BG30</f>
        <v>0</v>
      </c>
      <c r="BE30" s="226" cm="1">
        <f t="array" ref="BE30">IFERROR(SUM(VLOOKUP($A30,'預算A1 BIM'!$A$151:$BB$220,{35},0)),0)-BG30</f>
        <v>0</v>
      </c>
      <c r="BF30" s="226">
        <f t="shared" ref="BF30:BF52" si="72">SUM(BD30:BE30)</f>
        <v>0</v>
      </c>
      <c r="BG30" s="1397"/>
      <c r="BH30" s="226" cm="1">
        <f t="array" ref="BH30">IFERROR(SUM(VLOOKUP($A30,'預算A1 BIM'!$A$77:$BB$143,{36},0)),0)+BK30</f>
        <v>0</v>
      </c>
      <c r="BI30" s="226" cm="1">
        <f t="array" ref="BI30">IFERROR(SUM(VLOOKUP($A30,'預算A1 BIM'!$A$151:$BB$220,{36},0)),0)-BK30</f>
        <v>0</v>
      </c>
      <c r="BJ30" s="226">
        <f t="shared" ref="BJ30:BJ50" si="73">SUM(BH30:BI30)</f>
        <v>0</v>
      </c>
      <c r="BK30" s="1397"/>
      <c r="BL30" s="1400">
        <f>SUMIF($P$4:$BK$4,$BL$4,$P30:$BK$65)</f>
        <v>0</v>
      </c>
      <c r="BM30" s="1400">
        <f>SUMIF($P$4:$BK$4,$BM$4,$P30:$BK$65)</f>
        <v>0</v>
      </c>
      <c r="BN30" s="1400">
        <f t="shared" ref="BN30:BN63" si="74">SUM(BL30:BM30)</f>
        <v>0</v>
      </c>
      <c r="BO30" s="1397">
        <f>SUMIF($P$4:$BK$4,$BO$4,$P30:$BK$65)</f>
        <v>0</v>
      </c>
      <c r="BP30" s="1400">
        <f t="shared" ref="BP30:BP57" si="75">+L30+BL30</f>
        <v>7070420</v>
      </c>
      <c r="BQ30" s="1400">
        <f t="shared" ref="BQ30:BQ57" si="76">+M30+BM30</f>
        <v>4041580</v>
      </c>
      <c r="BR30" s="1400">
        <f t="shared" ref="BR30:BR57" si="77">SUM(BP30:BQ30)</f>
        <v>11112000</v>
      </c>
      <c r="BS30" s="1400">
        <f t="shared" ref="BS30:BS57" si="78">+O30+BO30</f>
        <v>0</v>
      </c>
      <c r="BT30" s="226" cm="1">
        <f t="array" ref="BT30">IFERROR(SUM(VLOOKUP($A30,'預算A1 BIM'!$A$77:$BB$143,{39},0)),0)+BW30</f>
        <v>0</v>
      </c>
      <c r="BU30" s="226" cm="1">
        <f t="array" ref="BU30">IFERROR(SUM(VLOOKUP($A30,'預算A1 BIM'!$A$151:$BB$220,{39},0)),0)-BW30</f>
        <v>0</v>
      </c>
      <c r="BV30" s="226">
        <f t="shared" ref="BV30:BV57" si="79">SUM(BT30:BU30)</f>
        <v>0</v>
      </c>
      <c r="BW30" s="1397"/>
      <c r="BX30" s="1400">
        <f t="shared" ref="BX30:BX57" si="80">+BP30+BT30</f>
        <v>7070420</v>
      </c>
      <c r="BY30" s="1397">
        <f t="shared" ref="BY30:BY57" si="81">+BQ30+BU30</f>
        <v>4041580</v>
      </c>
      <c r="BZ30" s="1400">
        <f t="shared" ref="BZ30:BZ57" si="82">SUM(BX30:BY30)</f>
        <v>11112000</v>
      </c>
      <c r="CA30" s="1397">
        <f t="shared" ref="CA30:CA57" si="83">+BS30+BW30</f>
        <v>0</v>
      </c>
      <c r="CB30" s="226" cm="1">
        <f t="array" ref="CB30">IFERROR(SUM(VLOOKUP($A30,'預算A1 BIM'!$A$77:$BB$143,{40},0)),0)+CE30</f>
        <v>0</v>
      </c>
      <c r="CC30" s="226" cm="1">
        <f t="array" ref="CC30">IFERROR(SUM(VLOOKUP($A30,'預算A1 BIM'!$A$151:$BB$220,{40},0)),0)-CE30</f>
        <v>0</v>
      </c>
      <c r="CD30" s="226">
        <f t="shared" ref="CD30:CD52" si="84">SUM(CB30:CC30)</f>
        <v>0</v>
      </c>
      <c r="CE30" s="1397"/>
      <c r="CF30" s="1400">
        <f t="shared" ref="CF30:CF57" si="85">+BX30+CB30</f>
        <v>7070420</v>
      </c>
      <c r="CG30" s="1400">
        <f t="shared" ref="CG30:CG57" si="86">+BY30+CC30</f>
        <v>4041580</v>
      </c>
      <c r="CH30" s="1400">
        <f t="shared" ref="CH30:CH57" si="87">SUM(CF30:CG30)</f>
        <v>11112000</v>
      </c>
      <c r="CI30" s="1400">
        <f t="shared" ref="CI30:CI57" si="88">+CA30+CE30</f>
        <v>0</v>
      </c>
      <c r="CJ30" s="226" cm="1">
        <f t="array" ref="CJ30">IFERROR(SUM(VLOOKUP($A30,'預算A1 BIM'!$A$77:$BB$143,{41},0)),0)+CM30</f>
        <v>0</v>
      </c>
      <c r="CK30" s="226" cm="1">
        <f t="array" ref="CK30">IFERROR(SUM(VLOOKUP($A30,'預算A1 BIM'!$A$151:$BB$220,{41},0)),0)-CM30</f>
        <v>0</v>
      </c>
      <c r="CL30" s="226">
        <f t="shared" ref="CL30:CL57" si="89">SUM(CJ30:CK30)</f>
        <v>0</v>
      </c>
      <c r="CM30" s="1397"/>
      <c r="CN30" s="1400">
        <f t="shared" ref="CN30:CN57" si="90">+CF30+CJ30</f>
        <v>7070420</v>
      </c>
      <c r="CO30" s="1400">
        <f t="shared" ref="CO30:CO57" si="91">+CG30+CK30</f>
        <v>4041580</v>
      </c>
      <c r="CP30" s="1400">
        <f t="shared" ref="CP30:CP57" si="92">SUM(CN30:CO30)</f>
        <v>11112000</v>
      </c>
      <c r="CQ30" s="1400">
        <f t="shared" ref="CQ30:CQ57" si="93">+CI30+CM30</f>
        <v>0</v>
      </c>
      <c r="CR30" s="226" cm="1">
        <f t="array" ref="CR30">IFERROR(SUM(VLOOKUP($A30,'預算A1 BIM'!$A$77:$BB$143,{42},0)),0)+CU30</f>
        <v>0</v>
      </c>
      <c r="CS30" s="226" cm="1">
        <f t="array" ref="CS30">IFERROR(SUM(VLOOKUP($A30,'預算A1 BIM'!$A$151:$BB$220,{42},0)),0)-CU30</f>
        <v>0</v>
      </c>
      <c r="CT30" s="226">
        <f t="shared" ref="CT30:CT39" si="94">SUM(CR30:CS30)</f>
        <v>0</v>
      </c>
      <c r="CU30" s="1397"/>
      <c r="CV30" s="1400">
        <f t="shared" ref="CV30:CV57" si="95">+CN30+CR30</f>
        <v>7070420</v>
      </c>
      <c r="CW30" s="1400">
        <f t="shared" ref="CW30:CW57" si="96">+CO30+CS30</f>
        <v>4041580</v>
      </c>
      <c r="CX30" s="1400">
        <f t="shared" ref="CX30:CX57" si="97">SUM(CV30:CW30)</f>
        <v>11112000</v>
      </c>
      <c r="CY30" s="1400">
        <f t="shared" ref="CY30:CY57" si="98">+CQ30+CU30</f>
        <v>0</v>
      </c>
    </row>
    <row r="31" spans="1:103" outlineLevel="1">
      <c r="A31" s="175" t="s">
        <v>668</v>
      </c>
      <c r="B31" s="172" t="s">
        <v>669</v>
      </c>
      <c r="C31" s="169" t="s">
        <v>1037</v>
      </c>
      <c r="D31" s="225">
        <f>IFERROR(VLOOKUP(A31,'202608收入成本表'!A:Y,23,0),0)</f>
        <v>7953513</v>
      </c>
      <c r="E31" s="225">
        <f>IFERROR(VLOOKUP(A31,'202608收入成本表'!A:Z,24,0),0)</f>
        <v>-468513</v>
      </c>
      <c r="F31" s="226">
        <f t="shared" si="57"/>
        <v>7485000</v>
      </c>
      <c r="G31" s="226"/>
      <c r="H31" s="226" cm="1">
        <f t="array" ref="H31">IFERROR(SUM(VLOOKUP(A31,'預算A1 BIM'!$A$77:$BB$143,{19,20,21,22},0)),0)+K31</f>
        <v>294034</v>
      </c>
      <c r="I31" s="1411" cm="1">
        <f t="array" ref="I31">IFERROR(SUM(VLOOKUP(A31,'預算A1 BIM'!$A$151:$BB$220,{19,20,21,22},0)),0)-K31</f>
        <v>-310742</v>
      </c>
      <c r="J31" s="1411">
        <f t="shared" si="58"/>
        <v>-16708</v>
      </c>
      <c r="K31" s="226">
        <f>-VLOOKUP(A31,'2026FCST%'!A:AC,27,FALSE)</f>
        <v>-36698</v>
      </c>
      <c r="L31" s="226">
        <f t="shared" si="59"/>
        <v>8247547</v>
      </c>
      <c r="M31" s="226">
        <f t="shared" si="60"/>
        <v>-779255</v>
      </c>
      <c r="N31" s="226">
        <f t="shared" si="61"/>
        <v>7468292</v>
      </c>
      <c r="O31" s="226">
        <f t="shared" ref="O31:O57" si="99">+G31+K31</f>
        <v>-36698</v>
      </c>
      <c r="P31" s="226" cm="1">
        <f t="array" ref="P31">IFERROR(SUM(VLOOKUP($A31,'預算A1 BIM'!$A$77:$BB$143,{25},0)),0)+S31</f>
        <v>108290</v>
      </c>
      <c r="Q31" s="226" cm="1">
        <f t="array" ref="Q31">IFERROR(SUM(VLOOKUP($A31,'預算A1 BIM'!$A$151:$BB$220,{25},0)),0)-S31</f>
        <v>-10232</v>
      </c>
      <c r="R31" s="226">
        <f t="shared" si="62"/>
        <v>98058</v>
      </c>
      <c r="S31" s="226">
        <f>-VLOOKUP(A31,'202609-202712-2031完比法各月收入彙總'!$A$70:$AE$78,'202609-202712-2031完比法各月收入彙總'!$N$1,FALSE)</f>
        <v>10232</v>
      </c>
      <c r="T31" s="226" cm="1">
        <f t="array" ref="T31">IFERROR(SUM(VLOOKUP($A31,'預算A1 BIM'!$A$77:$BB$143,{26},0)),0)+W31</f>
        <v>23627</v>
      </c>
      <c r="U31" s="226" cm="1">
        <f t="array" ref="U31">IFERROR(SUM(VLOOKUP($A31,'預算A1 BIM'!$A$151:$BB$220,{26},0)),0)-W31</f>
        <v>-2232</v>
      </c>
      <c r="V31" s="226">
        <f t="shared" si="63"/>
        <v>21395</v>
      </c>
      <c r="W31" s="226">
        <f>-VLOOKUP($A31,'202609-202712-2031完比法各月收入彙總'!$A$70:$AE$78,'202609-202712-2031完比法各月收入彙總'!$O$1,FALSE)</f>
        <v>2232</v>
      </c>
      <c r="X31" s="226" cm="1">
        <f t="array" ref="X31">IFERROR(SUM(VLOOKUP($A31,'預算A1 BIM'!$A$77:$BB$143,{27},0)),0)+AA31</f>
        <v>33964</v>
      </c>
      <c r="Y31" s="226" cm="1">
        <f t="array" ref="Y31">IFERROR(SUM(VLOOKUP($A31,'預算A1 BIM'!$A$151:$BB$220,{27},0)),0)-AA31</f>
        <v>-3209</v>
      </c>
      <c r="Z31" s="226">
        <f t="shared" ref="Z31:Z32" si="100">SUM(X31:Y31)</f>
        <v>30755</v>
      </c>
      <c r="AA31" s="226">
        <f>-VLOOKUP($A31,'202609-202712-2031完比法各月收入彙總'!$A$70:$AE$78,'202609-202712-2031完比法各月收入彙總'!$P$1,FALSE)</f>
        <v>3209</v>
      </c>
      <c r="AB31" s="226" cm="1">
        <f t="array" ref="AB31">IFERROR(SUM(VLOOKUP($A31,'預算A1 BIM'!$A$77:$BB$143,{28},0)),0)+AE31</f>
        <v>0</v>
      </c>
      <c r="AC31" s="226" cm="1">
        <f t="array" ref="AC31">IFERROR(SUM(VLOOKUP($A31,'預算A1 BIM'!$A$151:$BB$220,{28},0)),0)-AE31</f>
        <v>0</v>
      </c>
      <c r="AD31" s="226">
        <f t="shared" ref="AD31:AD48" si="101">SUM(AB31:AC31)</f>
        <v>0</v>
      </c>
      <c r="AE31" s="226">
        <f>-VLOOKUP($A31,'202609-202712-2031完比法各月收入彙總'!$A$70:$AE$78,'202609-202712-2031完比法各月收入彙總'!$Q$1,FALSE)</f>
        <v>0</v>
      </c>
      <c r="AF31" s="226" cm="1">
        <f t="array" ref="AF31">IFERROR(SUM(VLOOKUP($A31,'預算A1 BIM'!$A$77:$BB$143,{29},0)),0)+AI31</f>
        <v>0</v>
      </c>
      <c r="AG31" s="226" cm="1">
        <f t="array" ref="AG31">IFERROR(SUM(VLOOKUP($A31,'預算A1 BIM'!$A$151:$BB$220,{29},0)),0)-AI31</f>
        <v>0</v>
      </c>
      <c r="AH31" s="226">
        <f t="shared" si="66"/>
        <v>0</v>
      </c>
      <c r="AI31" s="226">
        <f>-VLOOKUP($A31,'202609-202712-2031完比法各月收入彙總'!$A$70:$AE$78,'202609-202712-2031完比法各月收入彙總'!$R$1,FALSE)</f>
        <v>0</v>
      </c>
      <c r="AJ31" s="226" cm="1">
        <f t="array" ref="AJ31">IFERROR(SUM(VLOOKUP($A31,'預算A1 BIM'!$A$77:$BB$143,{30},0)),0)+AM31</f>
        <v>0</v>
      </c>
      <c r="AK31" s="226" cm="1">
        <f t="array" ref="AK31">IFERROR(SUM(VLOOKUP($A31,'預算A1 BIM'!$A$151:$BB$220,{30},0)),0)-AM31</f>
        <v>0</v>
      </c>
      <c r="AL31" s="226">
        <f t="shared" si="67"/>
        <v>0</v>
      </c>
      <c r="AM31" s="226">
        <f>-VLOOKUP($A31,'202609-202712-2031完比法各月收入彙總'!$A$70:$AE$78,'202609-202712-2031完比法各月收入彙總'!$S$1,FALSE)</f>
        <v>0</v>
      </c>
      <c r="AN31" s="226" cm="1">
        <f t="array" ref="AN31">IFERROR(SUM(VLOOKUP($A31,'預算A1 BIM'!$A$77:$BB$143,{31},0)),0)+AQ31</f>
        <v>0</v>
      </c>
      <c r="AO31" s="226" cm="1">
        <f t="array" ref="AO31">IFERROR(SUM(VLOOKUP($A31,'預算A1 BIM'!$A$151:$BB$220,{31},0)),0)-AQ31</f>
        <v>0</v>
      </c>
      <c r="AP31" s="226">
        <f t="shared" si="68"/>
        <v>0</v>
      </c>
      <c r="AQ31" s="226">
        <f>-VLOOKUP($A31,'202609-202712-2031完比法各月收入彙總'!$A$70:$AE$78,'202609-202712-2031完比法各月收入彙總'!$T$1,FALSE)</f>
        <v>0</v>
      </c>
      <c r="AR31" s="226" cm="1">
        <f t="array" ref="AR31">IFERROR(SUM(VLOOKUP($A32,'預算A1 BIM'!$A$77:$BB$143,{32},0)),0)+AU32</f>
        <v>0</v>
      </c>
      <c r="AS31" s="226" cm="1">
        <f t="array" ref="AS31">IFERROR(SUM(VLOOKUP($A32,'預算A1 BIM'!$A$151:$BB$220,{32},0)),0)-AU32</f>
        <v>0</v>
      </c>
      <c r="AT31" s="226">
        <f>SUM(AR32:AS32)</f>
        <v>0</v>
      </c>
      <c r="AU31" s="226">
        <f>-VLOOKUP($A31,'202609-202712-2031完比法各月收入彙總'!$A$70:$AE$78,'202609-202712-2031完比法各月收入彙總'!$U$1,FALSE)</f>
        <v>0</v>
      </c>
      <c r="AV31" s="226" cm="1">
        <f t="array" ref="AV31">IFERROR(SUM(VLOOKUP($A32,'預算A1 BIM'!$A$77:$BB$143,{33},0)),0)+AY31</f>
        <v>0</v>
      </c>
      <c r="AW31" s="226" cm="1">
        <f t="array" ref="AW31">IFERROR(SUM(VLOOKUP($A32,'預算A1 BIM'!$A$151:$BB$220,{33},0)),0)-AY31</f>
        <v>0</v>
      </c>
      <c r="AX31" s="226">
        <f>SUM(AV32:AW32)</f>
        <v>0</v>
      </c>
      <c r="AY31" s="226">
        <f>-VLOOKUP($A31,'202609-202712-2031完比法各月收入彙總'!$A$70:$AE$78,'202609-202712-2031完比法各月收入彙總'!$V$1,FALSE)</f>
        <v>0</v>
      </c>
      <c r="AZ31" s="226" cm="1">
        <f t="array" ref="AZ31">IFERROR(SUM(VLOOKUP($A31,'預算A1 BIM'!$A$77:$BB$143,{34},0)),0)+BC31</f>
        <v>7893</v>
      </c>
      <c r="BA31" s="226" cm="1">
        <f t="array" ref="BA31">IFERROR(SUM(VLOOKUP($A31,'預算A1 BIM'!$A$151:$BB$220,{34},0)),0)-BC31</f>
        <v>-746</v>
      </c>
      <c r="BB31" s="226">
        <f t="shared" si="71"/>
        <v>7147</v>
      </c>
      <c r="BC31" s="226">
        <f>-VLOOKUP($A31,'202609-202712-2031完比法各月收入彙總'!$A$70:$AE$78,'202609-202712-2031完比法各月收入彙總'!$W$1,FALSE)</f>
        <v>746</v>
      </c>
      <c r="BD31" s="226" cm="1">
        <f t="array" ref="BD31">IFERROR(SUM(VLOOKUP($A31,'預算A1 BIM'!$A$77:$BB$143,{35},0)),0)+BG31</f>
        <v>0</v>
      </c>
      <c r="BE31" s="226" cm="1">
        <f t="array" ref="BE31">IFERROR(SUM(VLOOKUP($A31,'預算A1 BIM'!$A$151:$BB$220,{35},0)),0)-BG31</f>
        <v>0</v>
      </c>
      <c r="BF31" s="226">
        <f t="shared" si="72"/>
        <v>0</v>
      </c>
      <c r="BG31" s="226">
        <f>-VLOOKUP($A31,'202609-202712-2031完比法各月收入彙總'!$A$70:$AE$78,'202609-202712-2031完比法各月收入彙總'!$X$1,FALSE)</f>
        <v>0</v>
      </c>
      <c r="BH31" s="226" cm="1">
        <f t="array" ref="BH31">IFERROR(SUM(VLOOKUP($A31,'預算A1 BIM'!$A$77:$BB$143,{36},0)),0)+BK31</f>
        <v>0</v>
      </c>
      <c r="BI31" s="226" cm="1">
        <f t="array" ref="BI31">IFERROR(SUM(VLOOKUP($A31,'預算A1 BIM'!$A$151:$BB$220,{36},0)),0)-BK31</f>
        <v>0</v>
      </c>
      <c r="BJ31" s="226">
        <f t="shared" si="73"/>
        <v>0</v>
      </c>
      <c r="BK31" s="226">
        <f>-VLOOKUP($A31,'202609-202712-2031完比法各月收入彙總'!$A$70:$AE$78,'202609-202712-2031完比法各月收入彙總'!$Y$1,FALSE)</f>
        <v>0</v>
      </c>
      <c r="BL31" s="226">
        <f>SUMIF($P$4:$BK$4,$BL$4,$P31:$BK$65)</f>
        <v>173774</v>
      </c>
      <c r="BM31" s="226">
        <f>SUMIF($P$4:$BK$4,$BM$4,$P31:$BK$65)</f>
        <v>-16419</v>
      </c>
      <c r="BN31" s="226">
        <f t="shared" si="74"/>
        <v>157355</v>
      </c>
      <c r="BO31" s="157">
        <f>SUMIF($P$4:$BK$4,$BO$4,$P31:$BK$65)</f>
        <v>16419</v>
      </c>
      <c r="BP31" s="226">
        <f t="shared" si="75"/>
        <v>8421321</v>
      </c>
      <c r="BQ31" s="226">
        <f t="shared" si="76"/>
        <v>-795674</v>
      </c>
      <c r="BR31" s="226">
        <f t="shared" si="77"/>
        <v>7625647</v>
      </c>
      <c r="BS31" s="226">
        <f t="shared" si="78"/>
        <v>-20279</v>
      </c>
      <c r="BT31" s="226" cm="1">
        <f t="array" ref="BT31">IFERROR(SUM(VLOOKUP($A31,'預算A1 BIM'!$A$77:$BB$143,{39},0)),0)+BW31</f>
        <v>0</v>
      </c>
      <c r="BU31" s="226" cm="1">
        <f t="array" ref="BU31">IFERROR(SUM(VLOOKUP($A31,'預算A1 BIM'!$A$151:$BB$220,{39},0)),0)-BW31</f>
        <v>0</v>
      </c>
      <c r="BV31" s="226">
        <f t="shared" si="79"/>
        <v>0</v>
      </c>
      <c r="BW31" s="226">
        <f>-VLOOKUP($A31,'202609-202712-2031完比法各月收入彙總'!$A$70:$AE$78,'202609-202712-2031完比法各月收入彙總'!$AA$1,FALSE)</f>
        <v>0</v>
      </c>
      <c r="BX31" s="226">
        <f t="shared" si="80"/>
        <v>8421321</v>
      </c>
      <c r="BY31" s="157">
        <f t="shared" si="81"/>
        <v>-795674</v>
      </c>
      <c r="BZ31" s="226">
        <f t="shared" si="82"/>
        <v>7625647</v>
      </c>
      <c r="CA31" s="157">
        <f t="shared" si="83"/>
        <v>-20279</v>
      </c>
      <c r="CB31" s="226" cm="1">
        <f t="array" ref="CB31">IFERROR(SUM(VLOOKUP($A31,'預算A1 BIM'!$A$77:$BB$143,{40},0)),0)+CE31</f>
        <v>0</v>
      </c>
      <c r="CC31" s="226" cm="1">
        <f t="array" ref="CC31">IFERROR(SUM(VLOOKUP($A31,'預算A1 BIM'!$A$151:$BB$220,{40},0)),0)-CE31</f>
        <v>0</v>
      </c>
      <c r="CD31" s="226">
        <f t="shared" si="84"/>
        <v>0</v>
      </c>
      <c r="CE31" s="226">
        <f>-VLOOKUP($A31,'202609-202712-2031完比法各月收入彙總'!$A$70:$AE$78,'202609-202712-2031完比法各月收入彙總'!$AB$1,FALSE)</f>
        <v>0</v>
      </c>
      <c r="CF31" s="226">
        <f t="shared" si="85"/>
        <v>8421321</v>
      </c>
      <c r="CG31" s="226">
        <f t="shared" si="86"/>
        <v>-795674</v>
      </c>
      <c r="CH31" s="226">
        <f t="shared" si="87"/>
        <v>7625647</v>
      </c>
      <c r="CI31" s="226">
        <f t="shared" si="88"/>
        <v>-20279</v>
      </c>
      <c r="CJ31" s="226" cm="1">
        <f t="array" ref="CJ31">IFERROR(SUM(VLOOKUP($A31,'預算A1 BIM'!$A$77:$BB$143,{41},0)),0)+CM31</f>
        <v>0</v>
      </c>
      <c r="CK31" s="226" cm="1">
        <f t="array" ref="CK31">IFERROR(SUM(VLOOKUP($A31,'預算A1 BIM'!$A$151:$BB$220,{41},0)),0)-CM31</f>
        <v>0</v>
      </c>
      <c r="CL31" s="226">
        <f t="shared" si="89"/>
        <v>0</v>
      </c>
      <c r="CM31" s="226">
        <f>-VLOOKUP($A31,'202609-202712-2031完比法各月收入彙總'!$A$70:$AE$78,'202609-202712-2031完比法各月收入彙總'!$AC$1,FALSE)</f>
        <v>0</v>
      </c>
      <c r="CN31" s="226">
        <f t="shared" si="90"/>
        <v>8421321</v>
      </c>
      <c r="CO31" s="226">
        <f t="shared" si="91"/>
        <v>-795674</v>
      </c>
      <c r="CP31" s="226">
        <f t="shared" si="92"/>
        <v>7625647</v>
      </c>
      <c r="CQ31" s="226">
        <f t="shared" si="93"/>
        <v>-20279</v>
      </c>
      <c r="CR31" s="226" cm="1">
        <f t="array" ref="CR31">IFERROR(SUM(VLOOKUP($A31,'預算A1 BIM'!$A$77:$BB$143,{42},0)),0)+CU31</f>
        <v>0</v>
      </c>
      <c r="CS31" s="226" cm="1">
        <f t="array" ref="CS31">IFERROR(SUM(VLOOKUP($A31,'預算A1 BIM'!$A$151:$BB$220,{42},0)),0)-CU31</f>
        <v>0</v>
      </c>
      <c r="CT31" s="226">
        <f t="shared" si="94"/>
        <v>0</v>
      </c>
      <c r="CU31" s="226">
        <f>-VLOOKUP($A31,'202609-202712-2031完比法各月收入彙總'!$A$70:$AE$78,'202609-202712-2031完比法各月收入彙總'!$AC$1,FALSE)</f>
        <v>0</v>
      </c>
      <c r="CV31" s="226">
        <f t="shared" si="95"/>
        <v>8421321</v>
      </c>
      <c r="CW31" s="226">
        <f t="shared" si="96"/>
        <v>-795674</v>
      </c>
      <c r="CX31" s="226">
        <f t="shared" si="97"/>
        <v>7625647</v>
      </c>
      <c r="CY31" s="226">
        <f t="shared" si="98"/>
        <v>-20279</v>
      </c>
    </row>
    <row r="32" spans="1:103" outlineLevel="1">
      <c r="A32" s="175" t="s">
        <v>670</v>
      </c>
      <c r="B32" s="172" t="s">
        <v>671</v>
      </c>
      <c r="C32" s="169" t="s">
        <v>1037</v>
      </c>
      <c r="D32" s="225">
        <f>IFERROR(VLOOKUP(A32,'202608收入成本表'!A:Y,23,0),0)</f>
        <v>2111327</v>
      </c>
      <c r="E32" s="225">
        <f>IFERROR(VLOOKUP(A32,'202608收入成本表'!A:Z,24,0),0)</f>
        <v>1808673</v>
      </c>
      <c r="F32" s="226">
        <f t="shared" si="57"/>
        <v>3920000</v>
      </c>
      <c r="G32" s="226"/>
      <c r="H32" s="226" cm="1">
        <f t="array" ref="H32">IFERROR(SUM(VLOOKUP(A32,'預算A1 BIM'!$A$77:$BB$143,{19,20,21,22},0)),0)</f>
        <v>136322</v>
      </c>
      <c r="I32" s="226" cm="1">
        <f t="array" ref="I32">IFERROR(SUM(VLOOKUP(A32,'預算A1 BIM'!$A$151:$BB$220,{19,20,21,22},0)),0)</f>
        <v>-267514</v>
      </c>
      <c r="J32" s="226">
        <f t="shared" si="58"/>
        <v>-131192</v>
      </c>
      <c r="K32" s="226">
        <f>-VLOOKUP(A32,'2026FCST%'!A:AC,27,FALSE)</f>
        <v>0</v>
      </c>
      <c r="L32" s="226">
        <f t="shared" si="59"/>
        <v>2247649</v>
      </c>
      <c r="M32" s="226">
        <f t="shared" si="60"/>
        <v>1541159</v>
      </c>
      <c r="N32" s="226">
        <f t="shared" si="61"/>
        <v>3788808</v>
      </c>
      <c r="O32" s="226">
        <f t="shared" si="99"/>
        <v>0</v>
      </c>
      <c r="P32" s="226" cm="1">
        <f t="array" ref="P32">IFERROR(SUM(VLOOKUP($A32,'預算A1 BIM'!$A$77:$BB$143,{25},0)),0)+S32</f>
        <v>30540</v>
      </c>
      <c r="Q32" s="226" cm="1">
        <f t="array" ref="Q32">IFERROR(SUM(VLOOKUP($A32,'預算A1 BIM'!$A$151:$BB$220,{25},0)),0)</f>
        <v>20941</v>
      </c>
      <c r="R32" s="226">
        <f t="shared" si="62"/>
        <v>51481</v>
      </c>
      <c r="S32" s="157"/>
      <c r="T32" s="226" cm="1">
        <f t="array" ref="T32">IFERROR(SUM(VLOOKUP($A32,'預算A1 BIM'!$A$77:$BB$143,{26},0)),0)+W32</f>
        <v>16757</v>
      </c>
      <c r="U32" s="226" cm="1">
        <f t="array" ref="U32">IFERROR(SUM(VLOOKUP($A32,'預算A1 BIM'!$A$151:$BB$220,{26},0)),0)</f>
        <v>11490</v>
      </c>
      <c r="V32" s="226">
        <f t="shared" ref="V32" si="102">SUM(T32:U32)</f>
        <v>28247</v>
      </c>
      <c r="W32" s="157"/>
      <c r="X32" s="226" cm="1">
        <f t="array" ref="X32">IFERROR(SUM(VLOOKUP($A32,'預算A1 BIM'!$A$77:$BB$143,{27},0)),0)+AA32</f>
        <v>33964</v>
      </c>
      <c r="Y32" s="226" cm="1">
        <f t="array" ref="Y32">IFERROR(SUM(VLOOKUP($A32,'預算A1 BIM'!$A$151:$BB$220,{27},0)),0)</f>
        <v>23288</v>
      </c>
      <c r="Z32" s="226">
        <f t="shared" si="100"/>
        <v>57252</v>
      </c>
      <c r="AA32" s="226"/>
      <c r="AB32" s="226" cm="1">
        <f t="array" ref="AB32">IFERROR(SUM(VLOOKUP($A32,'預算A1 BIM'!$A$77:$BB$143,{28},0)),0)+AE32</f>
        <v>0</v>
      </c>
      <c r="AC32" s="226" cm="1">
        <f t="array" ref="AC32">IFERROR(SUM(VLOOKUP($A32,'預算A1 BIM'!$A$151:$BB$220,{28},0)),0)</f>
        <v>0</v>
      </c>
      <c r="AD32" s="226">
        <f t="shared" si="101"/>
        <v>0</v>
      </c>
      <c r="AE32" s="157"/>
      <c r="AF32" s="226" cm="1">
        <f t="array" ref="AF32">IFERROR(SUM(VLOOKUP($A32,'預算A1 BIM'!$A$77:$BB$143,{29},0)),0)+AI32</f>
        <v>0</v>
      </c>
      <c r="AG32" s="226" cm="1">
        <f t="array" ref="AG32">IFERROR(SUM(VLOOKUP($A32,'預算A1 BIM'!$A$151:$BB$220,{29},0)),0)</f>
        <v>0</v>
      </c>
      <c r="AH32" s="226">
        <f t="shared" ref="AH32:AH57" si="103">SUM(AF32:AG32)</f>
        <v>0</v>
      </c>
      <c r="AI32" s="157"/>
      <c r="AJ32" s="226" cm="1">
        <f t="array" ref="AJ32">IFERROR(SUM(VLOOKUP($A32,'預算A1 BIM'!$A$77:$BB$143,{30},0)),0)+AM32</f>
        <v>0</v>
      </c>
      <c r="AK32" s="226" cm="1">
        <f t="array" ref="AK32">IFERROR(SUM(VLOOKUP($A32,'預算A1 BIM'!$A$151:$BB$220,{30},0)),0)</f>
        <v>0</v>
      </c>
      <c r="AL32" s="226">
        <f t="shared" ref="AL32:AL57" si="104">SUM(AJ32:AK32)</f>
        <v>0</v>
      </c>
      <c r="AM32" s="157"/>
      <c r="AN32" s="226" cm="1">
        <f t="array" ref="AN32">IFERROR(SUM(VLOOKUP($A32,'預算A1 BIM'!$A$77:$BB$143,{31},0)),0)+AQ32</f>
        <v>0</v>
      </c>
      <c r="AO32" s="226" cm="1">
        <f t="array" ref="AO32">IFERROR(SUM(VLOOKUP($A32,'預算A1 BIM'!$A$151:$BB$220,{31},0)),0)</f>
        <v>0</v>
      </c>
      <c r="AP32" s="226">
        <f t="shared" si="68"/>
        <v>0</v>
      </c>
      <c r="AQ32" s="157"/>
      <c r="AR32" s="226" cm="1">
        <f t="array" ref="AR32">IFERROR(SUM(VLOOKUP($A32,'預算A1 BIM'!$A$77:$BB$143,{32},0)),0)+AU32</f>
        <v>0</v>
      </c>
      <c r="AS32" s="226" cm="1">
        <f t="array" ref="AS32">IFERROR(SUM(VLOOKUP($A32,'預算A1 BIM'!$A$151:$BB$220,{32},0)),0)</f>
        <v>0</v>
      </c>
      <c r="AT32" s="226">
        <f t="shared" si="69"/>
        <v>0</v>
      </c>
      <c r="AU32" s="157"/>
      <c r="AV32" s="226" cm="1">
        <f t="array" ref="AV32">IFERROR(SUM(VLOOKUP($A32,'預算A1 BIM'!$A$77:$BB$143,{33},0)),0)+AY32</f>
        <v>0</v>
      </c>
      <c r="AW32" s="226" cm="1">
        <f t="array" ref="AW32">IFERROR(SUM(VLOOKUP($A32,'預算A1 BIM'!$A$151:$BB$220,{33},0)),0)-AY32</f>
        <v>0</v>
      </c>
      <c r="AX32" s="226">
        <f t="shared" si="70"/>
        <v>0</v>
      </c>
      <c r="AY32" s="157"/>
      <c r="AZ32" s="226" cm="1">
        <f t="array" ref="AZ32">IFERROR(SUM(VLOOKUP($A32,'預算A1 BIM'!$A$77:$BB$143,{34},0)),0)+BC32</f>
        <v>0</v>
      </c>
      <c r="BA32" s="226" cm="1">
        <f t="array" ref="BA32">IFERROR(SUM(VLOOKUP($A32,'預算A1 BIM'!$A$151:$BB$220,{34},0)),0)-BC32</f>
        <v>0</v>
      </c>
      <c r="BB32" s="226">
        <f t="shared" ref="BB32:BB57" si="105">SUM(AZ32:BA32)</f>
        <v>0</v>
      </c>
      <c r="BC32" s="157"/>
      <c r="BD32" s="226" cm="1">
        <f t="array" ref="BD32">IFERROR(SUM(VLOOKUP($A32,'預算A1 BIM'!$A$77:$BB$143,{35},0)),0)+BG32</f>
        <v>0</v>
      </c>
      <c r="BE32" s="226" cm="1">
        <f t="array" ref="BE32">IFERROR(SUM(VLOOKUP($A32,'預算A1 BIM'!$A$151:$BB$220,{35},0)),0)-BG32</f>
        <v>0</v>
      </c>
      <c r="BF32" s="226">
        <f t="shared" si="72"/>
        <v>0</v>
      </c>
      <c r="BG32" s="157"/>
      <c r="BH32" s="226" cm="1">
        <f t="array" ref="BH32">IFERROR(SUM(VLOOKUP($A32,'預算A1 BIM'!$A$77:$BB$143,{36},0)),0)+BK32</f>
        <v>0</v>
      </c>
      <c r="BI32" s="226" cm="1">
        <f t="array" ref="BI32">IFERROR(SUM(VLOOKUP($A32,'預算A1 BIM'!$A$151:$BB$220,{36},0)),0)-BK32</f>
        <v>0</v>
      </c>
      <c r="BJ32" s="226">
        <f t="shared" si="73"/>
        <v>0</v>
      </c>
      <c r="BK32" s="157"/>
      <c r="BL32" s="226">
        <f>SUMIF($P$4:$BK$4,$BL$4,$P32:$BK$65)</f>
        <v>81261</v>
      </c>
      <c r="BM32" s="226">
        <f>SUMIF($P$4:$BK$4,$BM$4,$P32:$BK$65)</f>
        <v>55719</v>
      </c>
      <c r="BN32" s="226">
        <f t="shared" si="74"/>
        <v>136980</v>
      </c>
      <c r="BO32" s="157">
        <f>SUMIF($P$4:$BK$4,$BO$4,$P32:$BK$65)</f>
        <v>0</v>
      </c>
      <c r="BP32" s="226">
        <f t="shared" si="75"/>
        <v>2328910</v>
      </c>
      <c r="BQ32" s="226">
        <f t="shared" si="76"/>
        <v>1596878</v>
      </c>
      <c r="BR32" s="226">
        <f t="shared" si="77"/>
        <v>3925788</v>
      </c>
      <c r="BS32" s="226">
        <f t="shared" si="78"/>
        <v>0</v>
      </c>
      <c r="BT32" s="226" cm="1">
        <f t="array" ref="BT32">IFERROR(SUM(VLOOKUP($A32,'預算A1 BIM'!$A$77:$BB$143,{39},0)),0)+BW32</f>
        <v>0</v>
      </c>
      <c r="BU32" s="226" cm="1">
        <f t="array" ref="BU32">IFERROR(SUM(VLOOKUP($A32,'預算A1 BIM'!$A$151:$BB$220,{39},0)),0)-BW32</f>
        <v>0</v>
      </c>
      <c r="BV32" s="226">
        <f t="shared" si="79"/>
        <v>0</v>
      </c>
      <c r="BW32" s="157"/>
      <c r="BX32" s="226">
        <f t="shared" si="80"/>
        <v>2328910</v>
      </c>
      <c r="BY32" s="157">
        <f t="shared" si="81"/>
        <v>1596878</v>
      </c>
      <c r="BZ32" s="226">
        <f t="shared" si="82"/>
        <v>3925788</v>
      </c>
      <c r="CA32" s="157">
        <f t="shared" si="83"/>
        <v>0</v>
      </c>
      <c r="CB32" s="226" cm="1">
        <f t="array" ref="CB32">IFERROR(SUM(VLOOKUP($A32,'預算A1 BIM'!$A$77:$BB$143,{40},0)),0)+CE32</f>
        <v>0</v>
      </c>
      <c r="CC32" s="226" cm="1">
        <f t="array" ref="CC32">IFERROR(SUM(VLOOKUP($A32,'預算A1 BIM'!$A$151:$BB$220,{40},0)),0)-CE32</f>
        <v>0</v>
      </c>
      <c r="CD32" s="226">
        <f t="shared" si="84"/>
        <v>0</v>
      </c>
      <c r="CE32" s="157"/>
      <c r="CF32" s="226">
        <f t="shared" si="85"/>
        <v>2328910</v>
      </c>
      <c r="CG32" s="226">
        <f t="shared" si="86"/>
        <v>1596878</v>
      </c>
      <c r="CH32" s="226">
        <f t="shared" si="87"/>
        <v>3925788</v>
      </c>
      <c r="CI32" s="226">
        <f t="shared" si="88"/>
        <v>0</v>
      </c>
      <c r="CJ32" s="226" cm="1">
        <f t="array" ref="CJ32">IFERROR(SUM(VLOOKUP($A32,'預算A1 BIM'!$A$77:$BB$143,{41},0)),0)+CM32</f>
        <v>0</v>
      </c>
      <c r="CK32" s="226" cm="1">
        <f t="array" ref="CK32">IFERROR(SUM(VLOOKUP($A32,'預算A1 BIM'!$A$151:$BB$220,{41},0)),0)-CM32</f>
        <v>0</v>
      </c>
      <c r="CL32" s="226">
        <f t="shared" si="89"/>
        <v>0</v>
      </c>
      <c r="CM32" s="157"/>
      <c r="CN32" s="226">
        <f t="shared" si="90"/>
        <v>2328910</v>
      </c>
      <c r="CO32" s="226">
        <f t="shared" si="91"/>
        <v>1596878</v>
      </c>
      <c r="CP32" s="226">
        <f t="shared" si="92"/>
        <v>3925788</v>
      </c>
      <c r="CQ32" s="226">
        <f t="shared" si="93"/>
        <v>0</v>
      </c>
      <c r="CR32" s="226" cm="1">
        <f t="array" ref="CR32">IFERROR(SUM(VLOOKUP($A32,'預算A1 BIM'!$A$77:$BB$143,{42},0)),0)+CU32</f>
        <v>0</v>
      </c>
      <c r="CS32" s="226" cm="1">
        <f t="array" ref="CS32">IFERROR(SUM(VLOOKUP($A32,'預算A1 BIM'!$A$151:$BB$220,{42},0)),0)-CU32</f>
        <v>0</v>
      </c>
      <c r="CT32" s="226">
        <f t="shared" si="94"/>
        <v>0</v>
      </c>
      <c r="CU32" s="157"/>
      <c r="CV32" s="226">
        <f t="shared" si="95"/>
        <v>2328910</v>
      </c>
      <c r="CW32" s="226">
        <f t="shared" si="96"/>
        <v>1596878</v>
      </c>
      <c r="CX32" s="226">
        <f t="shared" si="97"/>
        <v>3925788</v>
      </c>
      <c r="CY32" s="226">
        <f t="shared" si="98"/>
        <v>0</v>
      </c>
    </row>
    <row r="33" spans="1:103" s="1401" customFormat="1" outlineLevel="1">
      <c r="A33" s="1397" t="s">
        <v>672</v>
      </c>
      <c r="B33" s="1404" t="s">
        <v>1975</v>
      </c>
      <c r="C33" s="1398" t="s">
        <v>1245</v>
      </c>
      <c r="D33" s="1399">
        <f>IFERROR(VLOOKUP(A33,'202608收入成本表'!A:Y,23,0),0)</f>
        <v>373088</v>
      </c>
      <c r="E33" s="1399">
        <f>IFERROR(VLOOKUP(A33,'202608收入成本表'!A:Z,24,0),0)</f>
        <v>494412</v>
      </c>
      <c r="F33" s="1400">
        <f t="shared" si="57"/>
        <v>867500</v>
      </c>
      <c r="G33" s="1400"/>
      <c r="H33" s="1400" cm="1">
        <f t="array" ref="H33">IFERROR(SUM(VLOOKUP(A33,'預算A1 BIM'!$A$77:$BB$143,{19,20,21,22},0)),0)</f>
        <v>28391</v>
      </c>
      <c r="I33" s="1400" cm="1">
        <f t="array" ref="I33">IFERROR(SUM(VLOOKUP(A33,'預算A1 BIM'!$A$151:$BB$220,{19,20,21,22},0)),0)</f>
        <v>-334989</v>
      </c>
      <c r="J33" s="1400">
        <f t="shared" si="58"/>
        <v>-306598</v>
      </c>
      <c r="K33" s="226">
        <f>-VLOOKUP(A33,'2026FCST%'!A:AC,27,FALSE)</f>
        <v>0</v>
      </c>
      <c r="L33" s="1400">
        <f t="shared" si="59"/>
        <v>401479</v>
      </c>
      <c r="M33" s="1400">
        <f t="shared" si="60"/>
        <v>159423</v>
      </c>
      <c r="N33" s="1400">
        <f t="shared" si="61"/>
        <v>560902</v>
      </c>
      <c r="O33" s="1400">
        <f t="shared" si="99"/>
        <v>0</v>
      </c>
      <c r="P33" s="226" cm="1">
        <f t="array" ref="P33">IFERROR(SUM(VLOOKUP($A33,'預算A1 BIM'!$A$77:$BB$143,{25},0)),0)+S33</f>
        <v>110698</v>
      </c>
      <c r="Q33" s="226" cm="1">
        <f t="array" ref="Q33">IFERROR(SUM(VLOOKUP($A33,'預算A1 BIM'!$A$151:$BB$220,{25},0)),0)</f>
        <v>43957</v>
      </c>
      <c r="R33" s="1400">
        <f t="shared" si="62"/>
        <v>154655</v>
      </c>
      <c r="S33" s="1397"/>
      <c r="T33" s="226" cm="1">
        <f t="array" ref="T33">IFERROR(SUM(VLOOKUP($A33,'預算A1 BIM'!$A$77:$BB$143,{26},0)),0)+W33</f>
        <v>78471</v>
      </c>
      <c r="U33" s="226" cm="1">
        <f t="array" ref="U33">IFERROR(SUM(VLOOKUP($A33,'預算A1 BIM'!$A$151:$BB$220,{26},0)),0)</f>
        <v>31161</v>
      </c>
      <c r="V33" s="226">
        <f t="shared" ref="V33:V57" si="106">SUM(T33:U33)</f>
        <v>109632</v>
      </c>
      <c r="W33" s="1397"/>
      <c r="X33" s="226" cm="1">
        <f t="array" ref="X33">IFERROR(SUM(VLOOKUP($A33,'預算A1 BIM'!$A$77:$BB$143,{27},0)),0)+AA33</f>
        <v>136239</v>
      </c>
      <c r="Y33" s="226" cm="1">
        <f t="array" ref="Y33">IFERROR(SUM(VLOOKUP($A33,'預算A1 BIM'!$A$151:$BB$220,{27},0)),0)</f>
        <v>54099</v>
      </c>
      <c r="Z33" s="226">
        <f t="shared" ref="Z33:Z57" si="107">SUM(X33:Y33)</f>
        <v>190338</v>
      </c>
      <c r="AA33" s="226"/>
      <c r="AB33" s="226" cm="1">
        <f t="array" ref="AB33">IFERROR(SUM(VLOOKUP($A33,'預算A1 BIM'!$A$77:$BB$143,{28},0)),0)+AE33</f>
        <v>114541</v>
      </c>
      <c r="AC33" s="226" cm="1">
        <f t="array" ref="AC33">IFERROR(SUM(VLOOKUP($A33,'預算A1 BIM'!$A$151:$BB$220,{28},0)),0)</f>
        <v>45483</v>
      </c>
      <c r="AD33" s="226">
        <f t="shared" si="101"/>
        <v>160024</v>
      </c>
      <c r="AE33" s="1397"/>
      <c r="AF33" s="226" cm="1">
        <f t="array" ref="AF33">IFERROR(SUM(VLOOKUP($A33,'預算A1 BIM'!$A$77:$BB$143,{29},0)),0)+AI33</f>
        <v>144844</v>
      </c>
      <c r="AG33" s="226" cm="1">
        <f t="array" ref="AG33">IFERROR(SUM(VLOOKUP($A33,'預算A1 BIM'!$A$151:$BB$220,{29},0)),0)</f>
        <v>57516</v>
      </c>
      <c r="AH33" s="226">
        <f t="shared" si="103"/>
        <v>202360</v>
      </c>
      <c r="AI33" s="1397"/>
      <c r="AJ33" s="226" cm="1">
        <f t="array" ref="AJ33">IFERROR(SUM(VLOOKUP($A33,'預算A1 BIM'!$A$77:$BB$143,{30},0)),0)+AM33</f>
        <v>125665</v>
      </c>
      <c r="AK33" s="226" cm="1">
        <f t="array" ref="AK33">IFERROR(SUM(VLOOKUP($A33,'預算A1 BIM'!$A$151:$BB$220,{30},0)),0)</f>
        <v>49900</v>
      </c>
      <c r="AL33" s="226">
        <f t="shared" si="104"/>
        <v>175565</v>
      </c>
      <c r="AM33" s="1397"/>
      <c r="AN33" s="226" cm="1">
        <f t="array" ref="AN33">IFERROR(SUM(VLOOKUP($A33,'預算A1 BIM'!$A$77:$BB$143,{31},0)),0)+AQ33</f>
        <v>121249</v>
      </c>
      <c r="AO33" s="226" cm="1">
        <f t="array" ref="AO33">IFERROR(SUM(VLOOKUP($A33,'預算A1 BIM'!$A$151:$BB$220,{31},0)),0)</f>
        <v>48147</v>
      </c>
      <c r="AP33" s="226">
        <f t="shared" si="68"/>
        <v>169396</v>
      </c>
      <c r="AQ33" s="1397"/>
      <c r="AR33" s="226" cm="1">
        <f t="array" ref="AR33">IFERROR(SUM(VLOOKUP($A33,'預算A1 BIM'!$A$77:$BB$143,{32},0)),0)+AU33</f>
        <v>122096</v>
      </c>
      <c r="AS33" s="226" cm="1">
        <f t="array" ref="AS33">IFERROR(SUM(VLOOKUP($A33,'預算A1 BIM'!$A$151:$BB$220,{32},0)),0)</f>
        <v>48483</v>
      </c>
      <c r="AT33" s="226">
        <f t="shared" si="69"/>
        <v>170579</v>
      </c>
      <c r="AU33" s="1397"/>
      <c r="AV33" s="226" cm="1">
        <f t="array" ref="AV33">IFERROR(SUM(VLOOKUP($A33,'預算A1 BIM'!$A$77:$BB$143,{33},0)),0)+AY33</f>
        <v>111508</v>
      </c>
      <c r="AW33" s="226" cm="1">
        <f t="array" ref="AW33">IFERROR(SUM(VLOOKUP($A33,'預算A1 BIM'!$A$151:$BB$220,{33},0)),0)-AY33</f>
        <v>44279</v>
      </c>
      <c r="AX33" s="226">
        <f t="shared" si="70"/>
        <v>155787</v>
      </c>
      <c r="AY33" s="1397"/>
      <c r="AZ33" s="226" cm="1">
        <f t="array" ref="AZ33">IFERROR(SUM(VLOOKUP($A33,'預算A1 BIM'!$A$77:$BB$143,{34},0)),0)+BC33</f>
        <v>119401</v>
      </c>
      <c r="BA33" s="226" cm="1">
        <f t="array" ref="BA33">IFERROR(SUM(VLOOKUP($A33,'預算A1 BIM'!$A$151:$BB$220,{34},0)),0)-BC33</f>
        <v>47413</v>
      </c>
      <c r="BB33" s="226">
        <f t="shared" si="105"/>
        <v>166814</v>
      </c>
      <c r="BC33" s="1397"/>
      <c r="BD33" s="226" cm="1">
        <f t="array" ref="BD33">IFERROR(SUM(VLOOKUP($A33,'預算A1 BIM'!$A$77:$BB$143,{35},0)),0)+BG33</f>
        <v>120690</v>
      </c>
      <c r="BE33" s="226" cm="1">
        <f t="array" ref="BE33">IFERROR(SUM(VLOOKUP($A33,'預算A1 BIM'!$A$151:$BB$220,{35},0)),0)-BG33</f>
        <v>47925</v>
      </c>
      <c r="BF33" s="226">
        <f t="shared" si="72"/>
        <v>168615</v>
      </c>
      <c r="BG33" s="1397"/>
      <c r="BH33" s="226" cm="1">
        <f t="array" ref="BH33">IFERROR(SUM(VLOOKUP($A33,'預算A1 BIM'!$A$77:$BB$143,{36},0)),0)+BK33</f>
        <v>147596</v>
      </c>
      <c r="BI33" s="226" cm="1">
        <f t="array" ref="BI33">IFERROR(SUM(VLOOKUP($A33,'預算A1 BIM'!$A$151:$BB$220,{36},0)),0)-BK33</f>
        <v>58609</v>
      </c>
      <c r="BJ33" s="226">
        <f t="shared" si="73"/>
        <v>206205</v>
      </c>
      <c r="BK33" s="1397"/>
      <c r="BL33" s="1400">
        <f>SUMIF($P$4:$BK$4,$BL$4,$P33:$BK$65)</f>
        <v>1452998</v>
      </c>
      <c r="BM33" s="1400">
        <f>SUMIF($P$4:$BK$4,$BM$4,$P33:$BK$65)</f>
        <v>576972</v>
      </c>
      <c r="BN33" s="1400">
        <f t="shared" si="74"/>
        <v>2029970</v>
      </c>
      <c r="BO33" s="1397">
        <f>SUMIF($P$4:$BK$4,$BO$4,$P33:$BK$65)</f>
        <v>0</v>
      </c>
      <c r="BP33" s="1400">
        <f t="shared" si="75"/>
        <v>1854477</v>
      </c>
      <c r="BQ33" s="1400">
        <f t="shared" si="76"/>
        <v>736395</v>
      </c>
      <c r="BR33" s="1400">
        <f t="shared" si="77"/>
        <v>2590872</v>
      </c>
      <c r="BS33" s="1400">
        <f t="shared" si="78"/>
        <v>0</v>
      </c>
      <c r="BT33" s="226" cm="1">
        <f t="array" ref="BT33">IFERROR(SUM(VLOOKUP($A33,'預算A1 BIM'!$A$77:$BB$143,{39},0)),0)+BW33</f>
        <v>540275</v>
      </c>
      <c r="BU33" s="226" cm="1">
        <f t="array" ref="BU33">IFERROR(SUM(VLOOKUP($A33,'預算A1 BIM'!$A$151:$BB$220,{39},0)),0)-BW33</f>
        <v>214538</v>
      </c>
      <c r="BV33" s="226">
        <f t="shared" si="79"/>
        <v>754813</v>
      </c>
      <c r="BW33" s="1397"/>
      <c r="BX33" s="1400">
        <f t="shared" si="80"/>
        <v>2394752</v>
      </c>
      <c r="BY33" s="1397">
        <f t="shared" si="81"/>
        <v>950933</v>
      </c>
      <c r="BZ33" s="1400">
        <f t="shared" si="82"/>
        <v>3345685</v>
      </c>
      <c r="CA33" s="1397">
        <f t="shared" si="83"/>
        <v>0</v>
      </c>
      <c r="CB33" s="226" cm="1">
        <f t="array" ref="CB33">IFERROR(SUM(VLOOKUP($A33,'預算A1 BIM'!$A$77:$BB$143,{40},0)),0)+CE33</f>
        <v>690987</v>
      </c>
      <c r="CC33" s="226" cm="1">
        <f t="array" ref="CC33">IFERROR(SUM(VLOOKUP($A33,'預算A1 BIM'!$A$151:$BB$220,{40},0)),0)-CE33</f>
        <v>274384</v>
      </c>
      <c r="CD33" s="226">
        <f t="shared" si="84"/>
        <v>965371</v>
      </c>
      <c r="CE33" s="1397"/>
      <c r="CF33" s="1400">
        <f t="shared" si="85"/>
        <v>3085739</v>
      </c>
      <c r="CG33" s="1400">
        <f t="shared" si="86"/>
        <v>1225317</v>
      </c>
      <c r="CH33" s="1400">
        <f t="shared" si="87"/>
        <v>4311056</v>
      </c>
      <c r="CI33" s="1400">
        <f t="shared" si="88"/>
        <v>0</v>
      </c>
      <c r="CJ33" s="226" cm="1">
        <f t="array" ref="CJ33">IFERROR(SUM(VLOOKUP($A33,'預算A1 BIM'!$A$77:$BB$143,{41},0)),0)+CM33</f>
        <v>0</v>
      </c>
      <c r="CK33" s="226" cm="1">
        <f t="array" ref="CK33">IFERROR(SUM(VLOOKUP($A33,'預算A1 BIM'!$A$151:$BB$220,{41},0)),0)-CM33</f>
        <v>0</v>
      </c>
      <c r="CL33" s="226">
        <f t="shared" si="89"/>
        <v>0</v>
      </c>
      <c r="CM33" s="1397"/>
      <c r="CN33" s="1400">
        <f t="shared" si="90"/>
        <v>3085739</v>
      </c>
      <c r="CO33" s="1400">
        <f t="shared" si="91"/>
        <v>1225317</v>
      </c>
      <c r="CP33" s="1400">
        <f t="shared" si="92"/>
        <v>4311056</v>
      </c>
      <c r="CQ33" s="1400">
        <f t="shared" si="93"/>
        <v>0</v>
      </c>
      <c r="CR33" s="226" cm="1">
        <f t="array" ref="CR33">IFERROR(SUM(VLOOKUP($A33,'預算A1 BIM'!$A$77:$BB$143,{42},0)),0)+CU33</f>
        <v>0</v>
      </c>
      <c r="CS33" s="226" cm="1">
        <f t="array" ref="CS33">IFERROR(SUM(VLOOKUP($A33,'預算A1 BIM'!$A$151:$BB$220,{42},0)),0)-CU33</f>
        <v>0</v>
      </c>
      <c r="CT33" s="226">
        <f t="shared" si="94"/>
        <v>0</v>
      </c>
      <c r="CU33" s="1397"/>
      <c r="CV33" s="1400">
        <f t="shared" si="95"/>
        <v>3085739</v>
      </c>
      <c r="CW33" s="1400">
        <f t="shared" si="96"/>
        <v>1225317</v>
      </c>
      <c r="CX33" s="1400">
        <f t="shared" si="97"/>
        <v>4311056</v>
      </c>
      <c r="CY33" s="1400">
        <f t="shared" si="98"/>
        <v>0</v>
      </c>
    </row>
    <row r="34" spans="1:103" outlineLevel="1">
      <c r="A34" s="175" t="s">
        <v>673</v>
      </c>
      <c r="B34" s="172" t="s">
        <v>674</v>
      </c>
      <c r="C34" s="169" t="s">
        <v>1037</v>
      </c>
      <c r="D34" s="225">
        <f>IFERROR(VLOOKUP(A34,'202608收入成本表'!A:Y,23,0),0)</f>
        <v>8536116</v>
      </c>
      <c r="E34" s="225">
        <f>IFERROR(VLOOKUP(A34,'202608收入成本表'!A:Z,24,0),0)</f>
        <v>5653884</v>
      </c>
      <c r="F34" s="226">
        <f t="shared" si="57"/>
        <v>14190000</v>
      </c>
      <c r="G34" s="226"/>
      <c r="H34" s="226" cm="1">
        <f t="array" ref="H34">IFERROR(SUM(VLOOKUP(A34,'預算A1 BIM'!$A$77:$BB$143,{19,20,21,22},0)),0)</f>
        <v>1015361</v>
      </c>
      <c r="I34" s="226" cm="1">
        <f t="array" ref="I34">IFERROR(SUM(VLOOKUP(A34,'預算A1 BIM'!$A$151:$BB$220,{19,20,21,22},0)),0)</f>
        <v>-365407</v>
      </c>
      <c r="J34" s="226">
        <f t="shared" si="58"/>
        <v>649954</v>
      </c>
      <c r="K34" s="226">
        <f>-VLOOKUP(A34,'2026FCST%'!A:AC,27,FALSE)</f>
        <v>0</v>
      </c>
      <c r="L34" s="226">
        <f t="shared" si="59"/>
        <v>9551477</v>
      </c>
      <c r="M34" s="226">
        <f t="shared" si="60"/>
        <v>5288477</v>
      </c>
      <c r="N34" s="226">
        <f t="shared" si="61"/>
        <v>14839954</v>
      </c>
      <c r="O34" s="226">
        <f t="shared" si="99"/>
        <v>0</v>
      </c>
      <c r="P34" s="226" cm="1">
        <f t="array" ref="P34">IFERROR(SUM(VLOOKUP($A34,'預算A1 BIM'!$A$77:$BB$143,{25},0)),0)+S34</f>
        <v>121213</v>
      </c>
      <c r="Q34" s="226" cm="1">
        <f t="array" ref="Q34">IFERROR(SUM(VLOOKUP($A34,'預算A1 BIM'!$A$151:$BB$220,{25},0)),0)</f>
        <v>67114</v>
      </c>
      <c r="R34" s="226">
        <f t="shared" si="62"/>
        <v>188327</v>
      </c>
      <c r="S34" s="157"/>
      <c r="T34" s="226" cm="1">
        <f t="array" ref="T34">IFERROR(SUM(VLOOKUP($A34,'預算A1 BIM'!$A$77:$BB$143,{26},0)),0)+W34</f>
        <v>79142</v>
      </c>
      <c r="U34" s="226" cm="1">
        <f t="array" ref="U34">IFERROR(SUM(VLOOKUP($A34,'預算A1 BIM'!$A$151:$BB$220,{26},0)),0)</f>
        <v>43819</v>
      </c>
      <c r="V34" s="226">
        <f t="shared" si="106"/>
        <v>122961</v>
      </c>
      <c r="W34" s="157"/>
      <c r="X34" s="226" cm="1">
        <f t="array" ref="X34">IFERROR(SUM(VLOOKUP($A34,'預算A1 BIM'!$A$77:$BB$143,{27},0)),0)+AA34</f>
        <v>159582</v>
      </c>
      <c r="Y34" s="226" cm="1">
        <f t="array" ref="Y34">IFERROR(SUM(VLOOKUP($A34,'預算A1 BIM'!$A$151:$BB$220,{27},0)),0)</f>
        <v>88358</v>
      </c>
      <c r="Z34" s="226">
        <f t="shared" si="107"/>
        <v>247940</v>
      </c>
      <c r="AA34" s="226"/>
      <c r="AB34" s="226" cm="1">
        <f t="array" ref="AB34">IFERROR(SUM(VLOOKUP($A34,'預算A1 BIM'!$A$77:$BB$143,{28},0)),0)+AE34</f>
        <v>125579</v>
      </c>
      <c r="AC34" s="226" cm="1">
        <f t="array" ref="AC34">IFERROR(SUM(VLOOKUP($A34,'預算A1 BIM'!$A$151:$BB$220,{28},0)),0)</f>
        <v>69531</v>
      </c>
      <c r="AD34" s="226">
        <f t="shared" si="101"/>
        <v>195110</v>
      </c>
      <c r="AE34" s="157"/>
      <c r="AF34" s="226" cm="1">
        <f t="array" ref="AF34">IFERROR(SUM(VLOOKUP($A34,'預算A1 BIM'!$A$77:$BB$143,{29},0)),0)+AI34</f>
        <v>145545</v>
      </c>
      <c r="AG34" s="226" cm="1">
        <f t="array" ref="AG34">IFERROR(SUM(VLOOKUP($A34,'預算A1 BIM'!$A$151:$BB$220,{29},0)),0)</f>
        <v>80585</v>
      </c>
      <c r="AH34" s="226">
        <f t="shared" si="103"/>
        <v>226130</v>
      </c>
      <c r="AI34" s="157"/>
      <c r="AJ34" s="226" cm="1">
        <f t="array" ref="AJ34">IFERROR(SUM(VLOOKUP($A34,'預算A1 BIM'!$A$77:$BB$143,{30},0)),0)+AM34</f>
        <v>126366</v>
      </c>
      <c r="AK34" s="226" cm="1">
        <f t="array" ref="AK34">IFERROR(SUM(VLOOKUP($A34,'預算A1 BIM'!$A$151:$BB$220,{30},0)),0)</f>
        <v>69967</v>
      </c>
      <c r="AL34" s="226">
        <f t="shared" si="104"/>
        <v>196333</v>
      </c>
      <c r="AM34" s="157"/>
      <c r="AN34" s="226" cm="1">
        <f t="array" ref="AN34">IFERROR(SUM(VLOOKUP($A34,'預算A1 BIM'!$A$77:$BB$143,{31},0)),0)+AQ34</f>
        <v>121950</v>
      </c>
      <c r="AO34" s="226" cm="1">
        <f t="array" ref="AO34">IFERROR(SUM(VLOOKUP($A34,'預算A1 BIM'!$A$151:$BB$220,{31},0)),0)</f>
        <v>67521</v>
      </c>
      <c r="AP34" s="226">
        <f t="shared" si="68"/>
        <v>189471</v>
      </c>
      <c r="AQ34" s="157"/>
      <c r="AR34" s="226" cm="1">
        <f t="array" ref="AR34">IFERROR(SUM(VLOOKUP($A34,'預算A1 BIM'!$A$77:$BB$143,{32},0)),0)+AU34</f>
        <v>122866</v>
      </c>
      <c r="AS34" s="226" cm="1">
        <f t="array" ref="AS34">IFERROR(SUM(VLOOKUP($A34,'預算A1 BIM'!$A$151:$BB$220,{32},0)),0)</f>
        <v>68029</v>
      </c>
      <c r="AT34" s="226">
        <f t="shared" si="69"/>
        <v>190895</v>
      </c>
      <c r="AU34" s="157"/>
      <c r="AV34" s="226" cm="1">
        <f t="array" ref="AV34">IFERROR(SUM(VLOOKUP($A34,'預算A1 BIM'!$A$77:$BB$143,{33},0)),0)+AY34</f>
        <v>112278</v>
      </c>
      <c r="AW34" s="226" cm="1">
        <f t="array" ref="AW34">IFERROR(SUM(VLOOKUP($A34,'預算A1 BIM'!$A$151:$BB$220,{33},0)),0)-AY34</f>
        <v>62166</v>
      </c>
      <c r="AX34" s="226">
        <f t="shared" si="70"/>
        <v>174444</v>
      </c>
      <c r="AY34" s="157"/>
      <c r="AZ34" s="226" cm="1">
        <f t="array" ref="AZ34">IFERROR(SUM(VLOOKUP($A34,'預算A1 BIM'!$A$77:$BB$143,{34},0)),0)+BC34</f>
        <v>249549</v>
      </c>
      <c r="BA34" s="226" cm="1">
        <f t="array" ref="BA34">IFERROR(SUM(VLOOKUP($A34,'預算A1 BIM'!$A$151:$BB$220,{34},0)),0)-BC34</f>
        <v>138171</v>
      </c>
      <c r="BB34" s="226">
        <f t="shared" si="105"/>
        <v>387720</v>
      </c>
      <c r="BC34" s="157"/>
      <c r="BD34" s="226" cm="1">
        <f t="array" ref="BD34">IFERROR(SUM(VLOOKUP($A34,'預算A1 BIM'!$A$77:$BB$143,{35},0)),0)+BG34</f>
        <v>197680</v>
      </c>
      <c r="BE34" s="226" cm="1">
        <f t="array" ref="BE34">IFERROR(SUM(VLOOKUP($A34,'預算A1 BIM'!$A$151:$BB$220,{35},0)),0)-BG34</f>
        <v>109452</v>
      </c>
      <c r="BF34" s="226">
        <f t="shared" si="72"/>
        <v>307132</v>
      </c>
      <c r="BG34" s="157"/>
      <c r="BH34" s="226" cm="1">
        <f t="array" ref="BH34">IFERROR(SUM(VLOOKUP($A34,'預算A1 BIM'!$A$77:$BB$143,{36},0)),0)+BK34</f>
        <v>216879</v>
      </c>
      <c r="BI34" s="226" cm="1">
        <f t="array" ref="BI34">IFERROR(SUM(VLOOKUP($A34,'預算A1 BIM'!$A$151:$BB$220,{36},0)),0)-BK34</f>
        <v>120082</v>
      </c>
      <c r="BJ34" s="226">
        <f t="shared" si="73"/>
        <v>336961</v>
      </c>
      <c r="BK34" s="157"/>
      <c r="BL34" s="226">
        <f>SUMIF($P$4:$BK$4,$BL$4,$P34:$BK$65)</f>
        <v>1778629</v>
      </c>
      <c r="BM34" s="226">
        <f>SUMIF($P$4:$BK$4,$BM$4,$P34:$BK$65)</f>
        <v>984795</v>
      </c>
      <c r="BN34" s="226">
        <f t="shared" si="74"/>
        <v>2763424</v>
      </c>
      <c r="BO34" s="157">
        <f>SUMIF($P$4:$BK$4,$BO$4,$P34:$BK$65)</f>
        <v>0</v>
      </c>
      <c r="BP34" s="226">
        <f t="shared" si="75"/>
        <v>11330106</v>
      </c>
      <c r="BQ34" s="226">
        <f t="shared" si="76"/>
        <v>6273272</v>
      </c>
      <c r="BR34" s="226">
        <f t="shared" si="77"/>
        <v>17603378</v>
      </c>
      <c r="BS34" s="226">
        <f t="shared" si="78"/>
        <v>0</v>
      </c>
      <c r="BT34" s="226" cm="1">
        <f t="array" ref="BT34">IFERROR(SUM(VLOOKUP($A34,'預算A1 BIM'!$A$77:$BB$143,{39},0)),0)+BW34</f>
        <v>685029</v>
      </c>
      <c r="BU34" s="226" cm="1">
        <f t="array" ref="BU34">IFERROR(SUM(VLOOKUP($A34,'預算A1 BIM'!$A$151:$BB$220,{39},0)),0)-BW34</f>
        <v>379288</v>
      </c>
      <c r="BV34" s="226">
        <f t="shared" si="79"/>
        <v>1064317</v>
      </c>
      <c r="BW34" s="157"/>
      <c r="BX34" s="226">
        <f t="shared" si="80"/>
        <v>12015135</v>
      </c>
      <c r="BY34" s="157">
        <f t="shared" si="81"/>
        <v>6652560</v>
      </c>
      <c r="BZ34" s="226">
        <f t="shared" si="82"/>
        <v>18667695</v>
      </c>
      <c r="CA34" s="157">
        <f t="shared" si="83"/>
        <v>0</v>
      </c>
      <c r="CB34" s="226" cm="1">
        <f t="array" ref="CB34">IFERROR(SUM(VLOOKUP($A34,'預算A1 BIM'!$A$77:$BB$143,{40},0)),0)+CE34</f>
        <v>0</v>
      </c>
      <c r="CC34" s="226" cm="1">
        <f t="array" ref="CC34">IFERROR(SUM(VLOOKUP($A34,'預算A1 BIM'!$A$151:$BB$220,{40},0)),0)-CE34</f>
        <v>0</v>
      </c>
      <c r="CD34" s="226">
        <f t="shared" si="84"/>
        <v>0</v>
      </c>
      <c r="CE34" s="157"/>
      <c r="CF34" s="226">
        <f t="shared" si="85"/>
        <v>12015135</v>
      </c>
      <c r="CG34" s="226">
        <f t="shared" si="86"/>
        <v>6652560</v>
      </c>
      <c r="CH34" s="226">
        <f t="shared" si="87"/>
        <v>18667695</v>
      </c>
      <c r="CI34" s="226">
        <f t="shared" si="88"/>
        <v>0</v>
      </c>
      <c r="CJ34" s="226" cm="1">
        <f t="array" ref="CJ34">IFERROR(SUM(VLOOKUP($A34,'預算A1 BIM'!$A$77:$BB$143,{41},0)),0)+CM34</f>
        <v>0</v>
      </c>
      <c r="CK34" s="226" cm="1">
        <f t="array" ref="CK34">IFERROR(SUM(VLOOKUP($A34,'預算A1 BIM'!$A$151:$BB$220,{41},0)),0)-CM34</f>
        <v>0</v>
      </c>
      <c r="CL34" s="226">
        <f t="shared" si="89"/>
        <v>0</v>
      </c>
      <c r="CM34" s="157"/>
      <c r="CN34" s="226">
        <f t="shared" si="90"/>
        <v>12015135</v>
      </c>
      <c r="CO34" s="226">
        <f t="shared" si="91"/>
        <v>6652560</v>
      </c>
      <c r="CP34" s="226">
        <f t="shared" si="92"/>
        <v>18667695</v>
      </c>
      <c r="CQ34" s="226">
        <f t="shared" si="93"/>
        <v>0</v>
      </c>
      <c r="CR34" s="226" cm="1">
        <f t="array" ref="CR34">IFERROR(SUM(VLOOKUP($A34,'預算A1 BIM'!$A$77:$BB$143,{42},0)),0)+CU34</f>
        <v>0</v>
      </c>
      <c r="CS34" s="226" cm="1">
        <f t="array" ref="CS34">IFERROR(SUM(VLOOKUP($A34,'預算A1 BIM'!$A$151:$BB$220,{42},0)),0)-CU34</f>
        <v>0</v>
      </c>
      <c r="CT34" s="226">
        <f t="shared" si="94"/>
        <v>0</v>
      </c>
      <c r="CU34" s="157"/>
      <c r="CV34" s="226">
        <f t="shared" si="95"/>
        <v>12015135</v>
      </c>
      <c r="CW34" s="226">
        <f t="shared" si="96"/>
        <v>6652560</v>
      </c>
      <c r="CX34" s="226">
        <f t="shared" si="97"/>
        <v>18667695</v>
      </c>
      <c r="CY34" s="226">
        <f t="shared" si="98"/>
        <v>0</v>
      </c>
    </row>
    <row r="35" spans="1:103" outlineLevel="1">
      <c r="A35" s="175" t="s">
        <v>675</v>
      </c>
      <c r="B35" s="172" t="s">
        <v>676</v>
      </c>
      <c r="C35" s="169" t="s">
        <v>1037</v>
      </c>
      <c r="D35" s="225">
        <f>IFERROR(VLOOKUP(A35,'202608收入成本表'!A:Y,23,0),0)</f>
        <v>2589656</v>
      </c>
      <c r="E35" s="225">
        <f>IFERROR(VLOOKUP(A35,'202608收入成本表'!A:Z,24,0),0)</f>
        <v>1780344</v>
      </c>
      <c r="F35" s="226">
        <f t="shared" si="57"/>
        <v>4370000</v>
      </c>
      <c r="G35" s="226"/>
      <c r="H35" s="226" cm="1">
        <f t="array" ref="H35">IFERROR(SUM(VLOOKUP(A35,'預算A1 BIM'!$A$77:$BB$143,{19,20,21,22},0)),0)</f>
        <v>336810</v>
      </c>
      <c r="I35" s="226" cm="1">
        <f t="array" ref="I35">IFERROR(SUM(VLOOKUP(A35,'預算A1 BIM'!$A$151:$BB$220,{19,20,21,22},0)),0)</f>
        <v>-189078</v>
      </c>
      <c r="J35" s="226">
        <f t="shared" si="58"/>
        <v>147732</v>
      </c>
      <c r="K35" s="226">
        <f>-VLOOKUP(A35,'2026FCST%'!A:AC,27,FALSE)</f>
        <v>0</v>
      </c>
      <c r="L35" s="226">
        <f t="shared" si="59"/>
        <v>2926466</v>
      </c>
      <c r="M35" s="226">
        <f t="shared" si="60"/>
        <v>1591266</v>
      </c>
      <c r="N35" s="226">
        <f t="shared" si="61"/>
        <v>4517732</v>
      </c>
      <c r="O35" s="226">
        <f t="shared" si="99"/>
        <v>0</v>
      </c>
      <c r="P35" s="226" cm="1">
        <f t="array" ref="P35">IFERROR(SUM(VLOOKUP($A35,'預算A1 BIM'!$A$77:$BB$143,{25},0)),0)+S35</f>
        <v>1006</v>
      </c>
      <c r="Q35" s="226" cm="1">
        <f t="array" ref="Q35">IFERROR(SUM(VLOOKUP($A35,'預算A1 BIM'!$A$151:$BB$220,{25},0)),0)</f>
        <v>547</v>
      </c>
      <c r="R35" s="226">
        <f t="shared" si="62"/>
        <v>1553</v>
      </c>
      <c r="S35" s="157"/>
      <c r="T35" s="226" cm="1">
        <f t="array" ref="T35">IFERROR(SUM(VLOOKUP($A35,'預算A1 BIM'!$A$77:$BB$143,{26},0)),0)+W35</f>
        <v>1006</v>
      </c>
      <c r="U35" s="226" cm="1">
        <f t="array" ref="U35">IFERROR(SUM(VLOOKUP($A35,'預算A1 BIM'!$A$151:$BB$220,{26},0)),0)</f>
        <v>547</v>
      </c>
      <c r="V35" s="226">
        <f t="shared" si="106"/>
        <v>1553</v>
      </c>
      <c r="W35" s="157"/>
      <c r="X35" s="226" cm="1">
        <f t="array" ref="X35">IFERROR(SUM(VLOOKUP($A35,'預算A1 BIM'!$A$77:$BB$143,{27},0)),0)+AA35</f>
        <v>1051</v>
      </c>
      <c r="Y35" s="226" cm="1">
        <f t="array" ref="Y35">IFERROR(SUM(VLOOKUP($A35,'預算A1 BIM'!$A$151:$BB$220,{27},0)),0)</f>
        <v>571</v>
      </c>
      <c r="Z35" s="226">
        <f t="shared" si="107"/>
        <v>1622</v>
      </c>
      <c r="AA35" s="226"/>
      <c r="AB35" s="226" cm="1">
        <f t="array" ref="AB35">IFERROR(SUM(VLOOKUP($A35,'預算A1 BIM'!$A$77:$BB$143,{28},0)),0)+AE35</f>
        <v>1051</v>
      </c>
      <c r="AC35" s="226" cm="1">
        <f t="array" ref="AC35">IFERROR(SUM(VLOOKUP($A35,'預算A1 BIM'!$A$151:$BB$220,{28},0)),0)</f>
        <v>572</v>
      </c>
      <c r="AD35" s="226">
        <f t="shared" si="101"/>
        <v>1623</v>
      </c>
      <c r="AE35" s="157"/>
      <c r="AF35" s="226" cm="1">
        <f t="array" ref="AF35">IFERROR(SUM(VLOOKUP($A35,'預算A1 BIM'!$A$77:$BB$143,{29},0)),0)+AI35</f>
        <v>1051</v>
      </c>
      <c r="AG35" s="226" cm="1">
        <f t="array" ref="AG35">IFERROR(SUM(VLOOKUP($A35,'預算A1 BIM'!$A$151:$BB$220,{29},0)),0)</f>
        <v>571</v>
      </c>
      <c r="AH35" s="226">
        <f t="shared" si="103"/>
        <v>1622</v>
      </c>
      <c r="AI35" s="157"/>
      <c r="AJ35" s="226" cm="1">
        <f t="array" ref="AJ35">IFERROR(SUM(VLOOKUP($A35,'預算A1 BIM'!$A$77:$BB$143,{30},0)),0)+AM35</f>
        <v>1051</v>
      </c>
      <c r="AK35" s="226" cm="1">
        <f t="array" ref="AK35">IFERROR(SUM(VLOOKUP($A35,'預算A1 BIM'!$A$151:$BB$220,{30},0)),0)</f>
        <v>572</v>
      </c>
      <c r="AL35" s="226">
        <f t="shared" si="104"/>
        <v>1623</v>
      </c>
      <c r="AM35" s="157"/>
      <c r="AN35" s="226" cm="1">
        <f t="array" ref="AN35">IFERROR(SUM(VLOOKUP($A35,'預算A1 BIM'!$A$77:$BB$143,{31},0)),0)+AQ35</f>
        <v>1051</v>
      </c>
      <c r="AO35" s="226" cm="1">
        <f t="array" ref="AO35">IFERROR(SUM(VLOOKUP($A35,'預算A1 BIM'!$A$151:$BB$220,{31},0)),0)</f>
        <v>571</v>
      </c>
      <c r="AP35" s="226">
        <f t="shared" si="68"/>
        <v>1622</v>
      </c>
      <c r="AQ35" s="157"/>
      <c r="AR35" s="226" cm="1">
        <f t="array" ref="AR35">IFERROR(SUM(VLOOKUP($A35,'預算A1 BIM'!$A$77:$BB$143,{32},0)),0)+AU35</f>
        <v>0</v>
      </c>
      <c r="AS35" s="226" cm="1">
        <f t="array" ref="AS35">IFERROR(SUM(VLOOKUP($A35,'預算A1 BIM'!$A$151:$BB$220,{32},0)),0)</f>
        <v>0</v>
      </c>
      <c r="AT35" s="226">
        <f t="shared" si="69"/>
        <v>0</v>
      </c>
      <c r="AU35" s="157"/>
      <c r="AV35" s="226" cm="1">
        <f t="array" ref="AV35">IFERROR(SUM(VLOOKUP($A35,'預算A1 BIM'!$A$77:$BB$143,{33},0)),0)+AY35</f>
        <v>0</v>
      </c>
      <c r="AW35" s="226" cm="1">
        <f t="array" ref="AW35">IFERROR(SUM(VLOOKUP($A35,'預算A1 BIM'!$A$151:$BB$220,{33},0)),0)-AY35</f>
        <v>0</v>
      </c>
      <c r="AX35" s="226">
        <f t="shared" si="70"/>
        <v>0</v>
      </c>
      <c r="AY35" s="157"/>
      <c r="AZ35" s="226" cm="1">
        <f t="array" ref="AZ35">IFERROR(SUM(VLOOKUP($A35,'預算A1 BIM'!$A$77:$BB$143,{34},0)),0)+BC35</f>
        <v>0</v>
      </c>
      <c r="BA35" s="226" cm="1">
        <f t="array" ref="BA35">IFERROR(SUM(VLOOKUP($A35,'預算A1 BIM'!$A$151:$BB$220,{34},0)),0)-BC35</f>
        <v>0</v>
      </c>
      <c r="BB35" s="226">
        <f t="shared" si="105"/>
        <v>0</v>
      </c>
      <c r="BC35" s="157"/>
      <c r="BD35" s="226" cm="1">
        <f t="array" ref="BD35">IFERROR(SUM(VLOOKUP($A35,'預算A1 BIM'!$A$77:$BB$143,{35},0)),0)+BG35</f>
        <v>0</v>
      </c>
      <c r="BE35" s="226" cm="1">
        <f t="array" ref="BE35">IFERROR(SUM(VLOOKUP($A35,'預算A1 BIM'!$A$151:$BB$220,{35},0)),0)-BG35</f>
        <v>0</v>
      </c>
      <c r="BF35" s="226">
        <f t="shared" si="72"/>
        <v>0</v>
      </c>
      <c r="BG35" s="157"/>
      <c r="BH35" s="226" cm="1">
        <f t="array" ref="BH35">IFERROR(SUM(VLOOKUP($A35,'預算A1 BIM'!$A$77:$BB$143,{36},0)),0)+BK35</f>
        <v>0</v>
      </c>
      <c r="BI35" s="226" cm="1">
        <f t="array" ref="BI35">IFERROR(SUM(VLOOKUP($A35,'預算A1 BIM'!$A$151:$BB$220,{36},0)),0)-BK35</f>
        <v>0</v>
      </c>
      <c r="BJ35" s="226">
        <f t="shared" si="73"/>
        <v>0</v>
      </c>
      <c r="BK35" s="157"/>
      <c r="BL35" s="226">
        <f>SUMIF($P$4:$BK$4,$BL$4,$P35:$BK$65)</f>
        <v>7267</v>
      </c>
      <c r="BM35" s="226">
        <f>SUMIF($P$4:$BK$4,$BM$4,$P35:$BK$65)</f>
        <v>3951</v>
      </c>
      <c r="BN35" s="226">
        <f t="shared" si="74"/>
        <v>11218</v>
      </c>
      <c r="BO35" s="157">
        <f>SUMIF($P$4:$BK$4,$BO$4,$P35:$BK$65)</f>
        <v>0</v>
      </c>
      <c r="BP35" s="226">
        <f t="shared" si="75"/>
        <v>2933733</v>
      </c>
      <c r="BQ35" s="226">
        <f t="shared" si="76"/>
        <v>1595217</v>
      </c>
      <c r="BR35" s="226">
        <f t="shared" si="77"/>
        <v>4528950</v>
      </c>
      <c r="BS35" s="226">
        <f t="shared" si="78"/>
        <v>0</v>
      </c>
      <c r="BT35" s="226" cm="1">
        <f t="array" ref="BT35">IFERROR(SUM(VLOOKUP($A35,'預算A1 BIM'!$A$77:$BB$143,{39},0)),0)+BW35</f>
        <v>0</v>
      </c>
      <c r="BU35" s="226" cm="1">
        <f t="array" ref="BU35">IFERROR(SUM(VLOOKUP($A35,'預算A1 BIM'!$A$151:$BB$220,{39},0)),0)-BW35</f>
        <v>0</v>
      </c>
      <c r="BV35" s="226">
        <f t="shared" si="79"/>
        <v>0</v>
      </c>
      <c r="BW35" s="157"/>
      <c r="BX35" s="226">
        <f t="shared" si="80"/>
        <v>2933733</v>
      </c>
      <c r="BY35" s="157">
        <f t="shared" si="81"/>
        <v>1595217</v>
      </c>
      <c r="BZ35" s="226">
        <f t="shared" si="82"/>
        <v>4528950</v>
      </c>
      <c r="CA35" s="157">
        <f t="shared" si="83"/>
        <v>0</v>
      </c>
      <c r="CB35" s="226" cm="1">
        <f t="array" ref="CB35">IFERROR(SUM(VLOOKUP($A35,'預算A1 BIM'!$A$77:$BB$143,{40},0)),0)+CE35</f>
        <v>0</v>
      </c>
      <c r="CC35" s="226" cm="1">
        <f t="array" ref="CC35">IFERROR(SUM(VLOOKUP($A35,'預算A1 BIM'!$A$151:$BB$220,{40},0)),0)-CE35</f>
        <v>0</v>
      </c>
      <c r="CD35" s="226">
        <f t="shared" si="84"/>
        <v>0</v>
      </c>
      <c r="CE35" s="157"/>
      <c r="CF35" s="226">
        <f t="shared" si="85"/>
        <v>2933733</v>
      </c>
      <c r="CG35" s="226">
        <f t="shared" si="86"/>
        <v>1595217</v>
      </c>
      <c r="CH35" s="226">
        <f t="shared" si="87"/>
        <v>4528950</v>
      </c>
      <c r="CI35" s="226">
        <f t="shared" si="88"/>
        <v>0</v>
      </c>
      <c r="CJ35" s="226" cm="1">
        <f t="array" ref="CJ35">IFERROR(SUM(VLOOKUP($A35,'預算A1 BIM'!$A$77:$BB$143,{41},0)),0)+CM35</f>
        <v>0</v>
      </c>
      <c r="CK35" s="226" cm="1">
        <f t="array" ref="CK35">IFERROR(SUM(VLOOKUP($A35,'預算A1 BIM'!$A$151:$BB$220,{41},0)),0)-CM35</f>
        <v>0</v>
      </c>
      <c r="CL35" s="226">
        <f t="shared" si="89"/>
        <v>0</v>
      </c>
      <c r="CM35" s="157"/>
      <c r="CN35" s="226">
        <f t="shared" si="90"/>
        <v>2933733</v>
      </c>
      <c r="CO35" s="226">
        <f t="shared" si="91"/>
        <v>1595217</v>
      </c>
      <c r="CP35" s="226">
        <f t="shared" si="92"/>
        <v>4528950</v>
      </c>
      <c r="CQ35" s="226">
        <f t="shared" si="93"/>
        <v>0</v>
      </c>
      <c r="CR35" s="226" cm="1">
        <f t="array" ref="CR35">IFERROR(SUM(VLOOKUP($A35,'預算A1 BIM'!$A$77:$BB$143,{42},0)),0)+CU35</f>
        <v>0</v>
      </c>
      <c r="CS35" s="226" cm="1">
        <f t="array" ref="CS35">IFERROR(SUM(VLOOKUP($A35,'預算A1 BIM'!$A$151:$BB$220,{42},0)),0)-CU35</f>
        <v>0</v>
      </c>
      <c r="CT35" s="226">
        <f t="shared" si="94"/>
        <v>0</v>
      </c>
      <c r="CU35" s="157"/>
      <c r="CV35" s="226">
        <f t="shared" si="95"/>
        <v>2933733</v>
      </c>
      <c r="CW35" s="226">
        <f t="shared" si="96"/>
        <v>1595217</v>
      </c>
      <c r="CX35" s="226">
        <f t="shared" si="97"/>
        <v>4528950</v>
      </c>
      <c r="CY35" s="226">
        <f t="shared" si="98"/>
        <v>0</v>
      </c>
    </row>
    <row r="36" spans="1:103" outlineLevel="1">
      <c r="A36" s="175" t="s">
        <v>677</v>
      </c>
      <c r="B36" s="172" t="s">
        <v>446</v>
      </c>
      <c r="C36" s="169" t="s">
        <v>1037</v>
      </c>
      <c r="D36" s="225">
        <f>IFERROR(VLOOKUP(A36,'202608收入成本表'!A:Y,23,0),0)</f>
        <v>13987909</v>
      </c>
      <c r="E36" s="225">
        <f>IFERROR(VLOOKUP(A36,'202608收入成本表'!A:Z,24,0),0)</f>
        <v>14957091</v>
      </c>
      <c r="F36" s="226">
        <f t="shared" si="57"/>
        <v>28945000</v>
      </c>
      <c r="G36" s="226"/>
      <c r="H36" s="226" cm="1">
        <f t="array" ref="H36">IFERROR(SUM(VLOOKUP(A36,'預算A1 BIM'!$A$77:$BB$143,{19,20,21,22},0)),0)</f>
        <v>1334613</v>
      </c>
      <c r="I36" s="226" cm="1">
        <f t="array" ref="I36">IFERROR(SUM(VLOOKUP(A36,'預算A1 BIM'!$A$151:$BB$220,{19,20,21,22},0)),0)</f>
        <v>-1455715</v>
      </c>
      <c r="J36" s="226">
        <f t="shared" si="58"/>
        <v>-121102</v>
      </c>
      <c r="K36" s="226">
        <f>-VLOOKUP(A36,'2026FCST%'!A:AC,27,FALSE)</f>
        <v>0</v>
      </c>
      <c r="L36" s="226">
        <f t="shared" si="59"/>
        <v>15322522</v>
      </c>
      <c r="M36" s="226">
        <f t="shared" si="60"/>
        <v>13501376</v>
      </c>
      <c r="N36" s="226">
        <f t="shared" si="61"/>
        <v>28823898</v>
      </c>
      <c r="O36" s="226">
        <f t="shared" si="99"/>
        <v>0</v>
      </c>
      <c r="P36" s="226" cm="1">
        <f t="array" ref="P36">IFERROR(SUM(VLOOKUP($A36,'預算A1 BIM'!$A$77:$BB$143,{25},0)),0)+S36</f>
        <v>322584</v>
      </c>
      <c r="Q36" s="226" cm="1">
        <f t="array" ref="Q36">IFERROR(SUM(VLOOKUP($A36,'預算A1 BIM'!$A$151:$BB$220,{25},0)),0)</f>
        <v>284243</v>
      </c>
      <c r="R36" s="226">
        <f t="shared" si="62"/>
        <v>606827</v>
      </c>
      <c r="S36" s="157"/>
      <c r="T36" s="226" cm="1">
        <f t="array" ref="T36">IFERROR(SUM(VLOOKUP($A36,'預算A1 BIM'!$A$77:$BB$143,{26},0)),0)+W36</f>
        <v>150407</v>
      </c>
      <c r="U36" s="226" cm="1">
        <f t="array" ref="U36">IFERROR(SUM(VLOOKUP($A36,'預算A1 BIM'!$A$151:$BB$220,{26},0)),0)</f>
        <v>132531</v>
      </c>
      <c r="V36" s="226">
        <f t="shared" si="106"/>
        <v>282938</v>
      </c>
      <c r="W36" s="157"/>
      <c r="X36" s="226" cm="1">
        <f t="array" ref="X36">IFERROR(SUM(VLOOKUP($A36,'預算A1 BIM'!$A$77:$BB$143,{27},0)),0)+AA36</f>
        <v>273880</v>
      </c>
      <c r="Y36" s="226" cm="1">
        <f t="array" ref="Y36">IFERROR(SUM(VLOOKUP($A36,'預算A1 BIM'!$A$151:$BB$220,{27},0)),0)</f>
        <v>241328</v>
      </c>
      <c r="Z36" s="226">
        <f t="shared" si="107"/>
        <v>515208</v>
      </c>
      <c r="AA36" s="226"/>
      <c r="AB36" s="226" cm="1">
        <f t="array" ref="AB36">IFERROR(SUM(VLOOKUP($A36,'預算A1 BIM'!$A$77:$BB$143,{28},0)),0)+AE36</f>
        <v>65309</v>
      </c>
      <c r="AC36" s="226" cm="1">
        <f t="array" ref="AC36">IFERROR(SUM(VLOOKUP($A36,'預算A1 BIM'!$A$151:$BB$220,{28},0)),0)</f>
        <v>57547</v>
      </c>
      <c r="AD36" s="226">
        <f t="shared" si="101"/>
        <v>122856</v>
      </c>
      <c r="AE36" s="157"/>
      <c r="AF36" s="226" cm="1">
        <f t="array" ref="AF36">IFERROR(SUM(VLOOKUP($A36,'預算A1 BIM'!$A$77:$BB$143,{29},0)),0)+AI36</f>
        <v>64109</v>
      </c>
      <c r="AG36" s="226" cm="1">
        <f t="array" ref="AG36">IFERROR(SUM(VLOOKUP($A36,'預算A1 BIM'!$A$151:$BB$220,{29},0)),0)</f>
        <v>56489</v>
      </c>
      <c r="AH36" s="226">
        <f t="shared" si="103"/>
        <v>120598</v>
      </c>
      <c r="AI36" s="157"/>
      <c r="AJ36" s="226" cm="1">
        <f t="array" ref="AJ36">IFERROR(SUM(VLOOKUP($A36,'預算A1 BIM'!$A$77:$BB$143,{30},0)),0)+AM36</f>
        <v>33503</v>
      </c>
      <c r="AK36" s="226" cm="1">
        <f t="array" ref="AK36">IFERROR(SUM(VLOOKUP($A36,'預算A1 BIM'!$A$151:$BB$220,{30},0)),0)</f>
        <v>29521</v>
      </c>
      <c r="AL36" s="226">
        <f t="shared" si="104"/>
        <v>63024</v>
      </c>
      <c r="AM36" s="157"/>
      <c r="AN36" s="226" cm="1">
        <f t="array" ref="AN36">IFERROR(SUM(VLOOKUP($A36,'預算A1 BIM'!$A$77:$BB$143,{31},0)),0)+AQ36</f>
        <v>3503</v>
      </c>
      <c r="AO36" s="226" cm="1">
        <f t="array" ref="AO36">IFERROR(SUM(VLOOKUP($A36,'預算A1 BIM'!$A$151:$BB$220,{31},0)),0)</f>
        <v>3087</v>
      </c>
      <c r="AP36" s="226">
        <f t="shared" si="68"/>
        <v>6590</v>
      </c>
      <c r="AQ36" s="157"/>
      <c r="AR36" s="226" cm="1">
        <f t="array" ref="AR36">IFERROR(SUM(VLOOKUP($A36,'預算A1 BIM'!$A$77:$BB$143,{32},0)),0)+AU36</f>
        <v>3848</v>
      </c>
      <c r="AS36" s="226" cm="1">
        <f t="array" ref="AS36">IFERROR(SUM(VLOOKUP($A36,'預算A1 BIM'!$A$151:$BB$220,{32},0)),0)</f>
        <v>3391</v>
      </c>
      <c r="AT36" s="226">
        <f t="shared" si="69"/>
        <v>7239</v>
      </c>
      <c r="AU36" s="157"/>
      <c r="AV36" s="226" cm="1">
        <f t="array" ref="AV36">IFERROR(SUM(VLOOKUP($A36,'預算A1 BIM'!$A$77:$BB$143,{33},0)),0)+AY36</f>
        <v>3848</v>
      </c>
      <c r="AW36" s="226" cm="1">
        <f t="array" ref="AW36">IFERROR(SUM(VLOOKUP($A36,'預算A1 BIM'!$A$151:$BB$220,{33},0)),0)-AY36</f>
        <v>3390</v>
      </c>
      <c r="AX36" s="226">
        <f t="shared" si="70"/>
        <v>7238</v>
      </c>
      <c r="AY36" s="157"/>
      <c r="AZ36" s="226" cm="1">
        <f t="array" ref="AZ36">IFERROR(SUM(VLOOKUP($A36,'預算A1 BIM'!$A$77:$BB$143,{34},0)),0)+BC36</f>
        <v>3848</v>
      </c>
      <c r="BA36" s="226" cm="1">
        <f t="array" ref="BA36">IFERROR(SUM(VLOOKUP($A36,'預算A1 BIM'!$A$151:$BB$220,{34},0)),0)-BC36</f>
        <v>3391</v>
      </c>
      <c r="BB36" s="226">
        <f t="shared" si="105"/>
        <v>7239</v>
      </c>
      <c r="BC36" s="157"/>
      <c r="BD36" s="226" cm="1">
        <f t="array" ref="BD36">IFERROR(SUM(VLOOKUP($A36,'預算A1 BIM'!$A$77:$BB$143,{35},0)),0)+BG36</f>
        <v>3848</v>
      </c>
      <c r="BE36" s="226" cm="1">
        <f t="array" ref="BE36">IFERROR(SUM(VLOOKUP($A36,'預算A1 BIM'!$A$151:$BB$220,{35},0)),0)-BG36</f>
        <v>3391</v>
      </c>
      <c r="BF36" s="226">
        <f t="shared" si="72"/>
        <v>7239</v>
      </c>
      <c r="BG36" s="157"/>
      <c r="BH36" s="226" cm="1">
        <f t="array" ref="BH36">IFERROR(SUM(VLOOKUP($A36,'預算A1 BIM'!$A$77:$BB$143,{36},0)),0)+BK36</f>
        <v>3848</v>
      </c>
      <c r="BI36" s="226" cm="1">
        <f t="array" ref="BI36">IFERROR(SUM(VLOOKUP($A36,'預算A1 BIM'!$A$151:$BB$220,{36},0)),0)-BK36</f>
        <v>3390</v>
      </c>
      <c r="BJ36" s="226">
        <f t="shared" si="73"/>
        <v>7238</v>
      </c>
      <c r="BK36" s="157"/>
      <c r="BL36" s="226">
        <f>SUMIF($P$4:$BK$4,$BL$4,$P36:$BK$65)</f>
        <v>932535</v>
      </c>
      <c r="BM36" s="226">
        <f>SUMIF($P$4:$BK$4,$BM$4,$P36:$BK$65)</f>
        <v>821699</v>
      </c>
      <c r="BN36" s="226">
        <f t="shared" si="74"/>
        <v>1754234</v>
      </c>
      <c r="BO36" s="157">
        <f>SUMIF($P$4:$BK$4,$BO$4,$P36:$BK$65)</f>
        <v>0</v>
      </c>
      <c r="BP36" s="226">
        <f t="shared" si="75"/>
        <v>16255057</v>
      </c>
      <c r="BQ36" s="226">
        <f t="shared" si="76"/>
        <v>14323075</v>
      </c>
      <c r="BR36" s="226">
        <f t="shared" si="77"/>
        <v>30578132</v>
      </c>
      <c r="BS36" s="226">
        <f t="shared" si="78"/>
        <v>0</v>
      </c>
      <c r="BT36" s="226" cm="1">
        <f t="array" ref="BT36">IFERROR(SUM(VLOOKUP($A36,'預算A1 BIM'!$A$77:$BB$143,{39},0)),0)+BW36</f>
        <v>86722</v>
      </c>
      <c r="BU36" s="226" cm="1">
        <f t="array" ref="BU36">IFERROR(SUM(VLOOKUP($A36,'預算A1 BIM'!$A$151:$BB$220,{39},0)),0)-BW36</f>
        <v>76415</v>
      </c>
      <c r="BV36" s="226">
        <f t="shared" si="79"/>
        <v>163137</v>
      </c>
      <c r="BW36" s="157"/>
      <c r="BX36" s="226">
        <f t="shared" si="80"/>
        <v>16341779</v>
      </c>
      <c r="BY36" s="157">
        <f t="shared" si="81"/>
        <v>14399490</v>
      </c>
      <c r="BZ36" s="226">
        <f t="shared" si="82"/>
        <v>30741269</v>
      </c>
      <c r="CA36" s="157">
        <f t="shared" si="83"/>
        <v>0</v>
      </c>
      <c r="CB36" s="226" cm="1">
        <f t="array" ref="CB36">IFERROR(SUM(VLOOKUP($A36,'預算A1 BIM'!$A$77:$BB$143,{40},0)),0)+CE36</f>
        <v>0</v>
      </c>
      <c r="CC36" s="226" cm="1">
        <f t="array" ref="CC36">IFERROR(SUM(VLOOKUP($A36,'預算A1 BIM'!$A$151:$BB$220,{40},0)),0)-CE36</f>
        <v>0</v>
      </c>
      <c r="CD36" s="226">
        <f t="shared" si="84"/>
        <v>0</v>
      </c>
      <c r="CE36" s="157"/>
      <c r="CF36" s="226">
        <f t="shared" si="85"/>
        <v>16341779</v>
      </c>
      <c r="CG36" s="226">
        <f t="shared" si="86"/>
        <v>14399490</v>
      </c>
      <c r="CH36" s="226">
        <f t="shared" si="87"/>
        <v>30741269</v>
      </c>
      <c r="CI36" s="226">
        <f t="shared" si="88"/>
        <v>0</v>
      </c>
      <c r="CJ36" s="226" cm="1">
        <f t="array" ref="CJ36">IFERROR(SUM(VLOOKUP($A36,'預算A1 BIM'!$A$77:$BB$143,{41},0)),0)+CM36</f>
        <v>0</v>
      </c>
      <c r="CK36" s="226" cm="1">
        <f t="array" ref="CK36">IFERROR(SUM(VLOOKUP($A36,'預算A1 BIM'!$A$151:$BB$220,{41},0)),0)-CM36</f>
        <v>0</v>
      </c>
      <c r="CL36" s="226">
        <f t="shared" si="89"/>
        <v>0</v>
      </c>
      <c r="CM36" s="157"/>
      <c r="CN36" s="226">
        <f t="shared" si="90"/>
        <v>16341779</v>
      </c>
      <c r="CO36" s="226">
        <f t="shared" si="91"/>
        <v>14399490</v>
      </c>
      <c r="CP36" s="226">
        <f t="shared" si="92"/>
        <v>30741269</v>
      </c>
      <c r="CQ36" s="226">
        <f t="shared" si="93"/>
        <v>0</v>
      </c>
      <c r="CR36" s="226" cm="1">
        <f t="array" ref="CR36">IFERROR(SUM(VLOOKUP($A36,'預算A1 BIM'!$A$77:$BB$143,{42},0)),0)+CU36</f>
        <v>0</v>
      </c>
      <c r="CS36" s="226" cm="1">
        <f t="array" ref="CS36">IFERROR(SUM(VLOOKUP($A36,'預算A1 BIM'!$A$151:$BB$220,{42},0)),0)-CU36</f>
        <v>0</v>
      </c>
      <c r="CT36" s="226">
        <f t="shared" si="94"/>
        <v>0</v>
      </c>
      <c r="CU36" s="157"/>
      <c r="CV36" s="226">
        <f t="shared" si="95"/>
        <v>16341779</v>
      </c>
      <c r="CW36" s="226">
        <f t="shared" si="96"/>
        <v>14399490</v>
      </c>
      <c r="CX36" s="226">
        <f t="shared" si="97"/>
        <v>30741269</v>
      </c>
      <c r="CY36" s="226">
        <f t="shared" si="98"/>
        <v>0</v>
      </c>
    </row>
    <row r="37" spans="1:103" outlineLevel="1">
      <c r="A37" s="175" t="s">
        <v>678</v>
      </c>
      <c r="B37" s="172" t="s">
        <v>679</v>
      </c>
      <c r="C37" s="169" t="s">
        <v>1037</v>
      </c>
      <c r="D37" s="225">
        <f>IFERROR(VLOOKUP(A37,'202608收入成本表'!A:Y,23,0),0)</f>
        <v>1681852</v>
      </c>
      <c r="E37" s="225">
        <f>IFERROR(VLOOKUP(A37,'202608收入成本表'!A:Z,24,0),0)</f>
        <v>518148</v>
      </c>
      <c r="F37" s="226">
        <f t="shared" si="57"/>
        <v>2200000</v>
      </c>
      <c r="G37" s="226"/>
      <c r="H37" s="226" cm="1">
        <f t="array" ref="H37">IFERROR(SUM(VLOOKUP(A37,'預算A1 BIM'!$A$77:$BB$143,{19,20,21,22},0)),0)</f>
        <v>0</v>
      </c>
      <c r="I37" s="226" cm="1">
        <f t="array" ref="I37">IFERROR(SUM(VLOOKUP(A37,'預算A1 BIM'!$A$151:$BB$220,{19,20,21,22},0)),0)</f>
        <v>0</v>
      </c>
      <c r="J37" s="226">
        <f t="shared" si="58"/>
        <v>0</v>
      </c>
      <c r="K37" s="226">
        <f>-VLOOKUP(A37,'2026FCST%'!A:AC,27,FALSE)</f>
        <v>0</v>
      </c>
      <c r="L37" s="226">
        <f t="shared" si="59"/>
        <v>1681852</v>
      </c>
      <c r="M37" s="226">
        <f t="shared" si="60"/>
        <v>518148</v>
      </c>
      <c r="N37" s="226">
        <f t="shared" si="61"/>
        <v>2200000</v>
      </c>
      <c r="O37" s="226">
        <f t="shared" si="99"/>
        <v>0</v>
      </c>
      <c r="P37" s="226" cm="1">
        <f t="array" ref="P37">IFERROR(SUM(VLOOKUP($A37,'預算A1 BIM'!$A$77:$BB$143,{25},0)),0)+S37</f>
        <v>0</v>
      </c>
      <c r="Q37" s="226" cm="1">
        <f t="array" ref="Q37">IFERROR(SUM(VLOOKUP($A37,'預算A1 BIM'!$A$151:$BB$220,{25},0)),0)</f>
        <v>0</v>
      </c>
      <c r="R37" s="226">
        <f t="shared" si="62"/>
        <v>0</v>
      </c>
      <c r="S37" s="157"/>
      <c r="T37" s="226" cm="1">
        <f t="array" ref="T37">IFERROR(SUM(VLOOKUP($A37,'預算A1 BIM'!$A$77:$BB$143,{26},0)),0)+W37</f>
        <v>0</v>
      </c>
      <c r="U37" s="226" cm="1">
        <f t="array" ref="U37">IFERROR(SUM(VLOOKUP($A37,'預算A1 BIM'!$A$151:$BB$220,{26},0)),0)</f>
        <v>0</v>
      </c>
      <c r="V37" s="226">
        <f t="shared" si="106"/>
        <v>0</v>
      </c>
      <c r="W37" s="157"/>
      <c r="X37" s="226" cm="1">
        <f t="array" ref="X37">IFERROR(SUM(VLOOKUP($A37,'預算A1 BIM'!$A$77:$BB$143,{27},0)),0)+AA37</f>
        <v>0</v>
      </c>
      <c r="Y37" s="226" cm="1">
        <f t="array" ref="Y37">IFERROR(SUM(VLOOKUP($A37,'預算A1 BIM'!$A$151:$BB$220,{27},0)),0)</f>
        <v>0</v>
      </c>
      <c r="Z37" s="226">
        <f t="shared" si="107"/>
        <v>0</v>
      </c>
      <c r="AA37" s="226"/>
      <c r="AB37" s="226" cm="1">
        <f t="array" ref="AB37">IFERROR(SUM(VLOOKUP($A37,'預算A1 BIM'!$A$77:$BB$143,{28},0)),0)+AE37</f>
        <v>0</v>
      </c>
      <c r="AC37" s="226" cm="1">
        <f t="array" ref="AC37">IFERROR(SUM(VLOOKUP($A37,'預算A1 BIM'!$A$151:$BB$220,{28},0)),0)</f>
        <v>0</v>
      </c>
      <c r="AD37" s="226">
        <f t="shared" si="101"/>
        <v>0</v>
      </c>
      <c r="AE37" s="157"/>
      <c r="AF37" s="226" cm="1">
        <f t="array" ref="AF37">IFERROR(SUM(VLOOKUP($A37,'預算A1 BIM'!$A$77:$BB$143,{29},0)),0)+AI37</f>
        <v>0</v>
      </c>
      <c r="AG37" s="226" cm="1">
        <f t="array" ref="AG37">IFERROR(SUM(VLOOKUP($A37,'預算A1 BIM'!$A$151:$BB$220,{29},0)),0)</f>
        <v>0</v>
      </c>
      <c r="AH37" s="226">
        <f t="shared" si="103"/>
        <v>0</v>
      </c>
      <c r="AI37" s="157"/>
      <c r="AJ37" s="226" cm="1">
        <f t="array" ref="AJ37">IFERROR(SUM(VLOOKUP($A37,'預算A1 BIM'!$A$77:$BB$143,{30},0)),0)+AM37</f>
        <v>0</v>
      </c>
      <c r="AK37" s="226" cm="1">
        <f t="array" ref="AK37">IFERROR(SUM(VLOOKUP($A37,'預算A1 BIM'!$A$151:$BB$220,{30},0)),0)</f>
        <v>0</v>
      </c>
      <c r="AL37" s="226">
        <f t="shared" si="104"/>
        <v>0</v>
      </c>
      <c r="AM37" s="157"/>
      <c r="AN37" s="226" cm="1">
        <f t="array" ref="AN37">IFERROR(SUM(VLOOKUP($A37,'預算A1 BIM'!$A$77:$BB$143,{31},0)),0)+AQ37</f>
        <v>0</v>
      </c>
      <c r="AO37" s="226" cm="1">
        <f t="array" ref="AO37">IFERROR(SUM(VLOOKUP($A37,'預算A1 BIM'!$A$151:$BB$220,{31},0)),0)</f>
        <v>0</v>
      </c>
      <c r="AP37" s="226">
        <f t="shared" si="68"/>
        <v>0</v>
      </c>
      <c r="AQ37" s="157"/>
      <c r="AR37" s="226" cm="1">
        <f t="array" ref="AR37">IFERROR(SUM(VLOOKUP($A37,'預算A1 BIM'!$A$77:$BB$143,{32},0)),0)+AU37</f>
        <v>0</v>
      </c>
      <c r="AS37" s="226" cm="1">
        <f t="array" ref="AS37">IFERROR(SUM(VLOOKUP($A37,'預算A1 BIM'!$A$151:$BB$220,{32},0)),0)</f>
        <v>0</v>
      </c>
      <c r="AT37" s="226">
        <f t="shared" si="69"/>
        <v>0</v>
      </c>
      <c r="AU37" s="157"/>
      <c r="AV37" s="226" cm="1">
        <f t="array" ref="AV37">IFERROR(SUM(VLOOKUP($A37,'預算A1 BIM'!$A$77:$BB$143,{33},0)),0)+AY37</f>
        <v>0</v>
      </c>
      <c r="AW37" s="226" cm="1">
        <f t="array" ref="AW37">IFERROR(SUM(VLOOKUP($A37,'預算A1 BIM'!$A$151:$BB$220,{33},0)),0)-AY37</f>
        <v>0</v>
      </c>
      <c r="AX37" s="226">
        <f t="shared" si="70"/>
        <v>0</v>
      </c>
      <c r="AY37" s="157"/>
      <c r="AZ37" s="226" cm="1">
        <f t="array" ref="AZ37">IFERROR(SUM(VLOOKUP($A37,'預算A1 BIM'!$A$77:$BB$143,{34},0)),0)+BC37</f>
        <v>0</v>
      </c>
      <c r="BA37" s="226" cm="1">
        <f t="array" ref="BA37">IFERROR(SUM(VLOOKUP($A37,'預算A1 BIM'!$A$151:$BB$220,{34},0)),0)-BC37</f>
        <v>0</v>
      </c>
      <c r="BB37" s="226">
        <f t="shared" si="105"/>
        <v>0</v>
      </c>
      <c r="BC37" s="157"/>
      <c r="BD37" s="226" cm="1">
        <f t="array" ref="BD37">IFERROR(SUM(VLOOKUP($A37,'預算A1 BIM'!$A$77:$BB$143,{35},0)),0)+BG37</f>
        <v>0</v>
      </c>
      <c r="BE37" s="226" cm="1">
        <f t="array" ref="BE37">IFERROR(SUM(VLOOKUP($A37,'預算A1 BIM'!$A$151:$BB$220,{35},0)),0)-BG37</f>
        <v>0</v>
      </c>
      <c r="BF37" s="226">
        <f t="shared" si="72"/>
        <v>0</v>
      </c>
      <c r="BG37" s="157"/>
      <c r="BH37" s="226" cm="1">
        <f t="array" ref="BH37">IFERROR(SUM(VLOOKUP($A37,'預算A1 BIM'!$A$77:$BB$143,{36},0)),0)+BK37</f>
        <v>0</v>
      </c>
      <c r="BI37" s="226" cm="1">
        <f t="array" ref="BI37">IFERROR(SUM(VLOOKUP($A37,'預算A1 BIM'!$A$151:$BB$220,{36},0)),0)-BK37</f>
        <v>0</v>
      </c>
      <c r="BJ37" s="226">
        <f t="shared" si="73"/>
        <v>0</v>
      </c>
      <c r="BK37" s="157"/>
      <c r="BL37" s="226">
        <f>SUMIF($P$4:$BK$4,$BL$4,$P37:$BK$65)</f>
        <v>0</v>
      </c>
      <c r="BM37" s="226">
        <f>SUMIF($P$4:$BK$4,$BM$4,$P37:$BK$65)</f>
        <v>0</v>
      </c>
      <c r="BN37" s="226">
        <f t="shared" si="74"/>
        <v>0</v>
      </c>
      <c r="BO37" s="157">
        <f>SUMIF($P$4:$BK$4,$BO$4,$P37:$BK$65)</f>
        <v>0</v>
      </c>
      <c r="BP37" s="226">
        <f t="shared" si="75"/>
        <v>1681852</v>
      </c>
      <c r="BQ37" s="226">
        <f t="shared" si="76"/>
        <v>518148</v>
      </c>
      <c r="BR37" s="226">
        <f t="shared" si="77"/>
        <v>2200000</v>
      </c>
      <c r="BS37" s="226">
        <f t="shared" si="78"/>
        <v>0</v>
      </c>
      <c r="BT37" s="226" cm="1">
        <f t="array" ref="BT37">IFERROR(SUM(VLOOKUP($A37,'預算A1 BIM'!$A$77:$BB$143,{39},0)),0)+BW37</f>
        <v>0</v>
      </c>
      <c r="BU37" s="226" cm="1">
        <f t="array" ref="BU37">IFERROR(SUM(VLOOKUP($A37,'預算A1 BIM'!$A$151:$BB$220,{39},0)),0)-BW37</f>
        <v>0</v>
      </c>
      <c r="BV37" s="226">
        <f t="shared" si="79"/>
        <v>0</v>
      </c>
      <c r="BW37" s="157"/>
      <c r="BX37" s="226">
        <f t="shared" si="80"/>
        <v>1681852</v>
      </c>
      <c r="BY37" s="157">
        <f t="shared" si="81"/>
        <v>518148</v>
      </c>
      <c r="BZ37" s="226">
        <f t="shared" si="82"/>
        <v>2200000</v>
      </c>
      <c r="CA37" s="157">
        <f t="shared" si="83"/>
        <v>0</v>
      </c>
      <c r="CB37" s="226" cm="1">
        <f t="array" ref="CB37">IFERROR(SUM(VLOOKUP($A37,'預算A1 BIM'!$A$77:$BB$143,{40},0)),0)+CE37</f>
        <v>0</v>
      </c>
      <c r="CC37" s="226" cm="1">
        <f t="array" ref="CC37">IFERROR(SUM(VLOOKUP($A37,'預算A1 BIM'!$A$151:$BB$220,{40},0)),0)-CE37</f>
        <v>0</v>
      </c>
      <c r="CD37" s="226">
        <f t="shared" si="84"/>
        <v>0</v>
      </c>
      <c r="CE37" s="157"/>
      <c r="CF37" s="226">
        <f t="shared" si="85"/>
        <v>1681852</v>
      </c>
      <c r="CG37" s="226">
        <f t="shared" si="86"/>
        <v>518148</v>
      </c>
      <c r="CH37" s="226">
        <f t="shared" si="87"/>
        <v>2200000</v>
      </c>
      <c r="CI37" s="226">
        <f t="shared" si="88"/>
        <v>0</v>
      </c>
      <c r="CJ37" s="226" cm="1">
        <f t="array" ref="CJ37">IFERROR(SUM(VLOOKUP($A37,'預算A1 BIM'!$A$77:$BB$143,{41},0)),0)+CM37</f>
        <v>0</v>
      </c>
      <c r="CK37" s="226" cm="1">
        <f t="array" ref="CK37">IFERROR(SUM(VLOOKUP($A37,'預算A1 BIM'!$A$151:$BB$220,{41},0)),0)-CM37</f>
        <v>0</v>
      </c>
      <c r="CL37" s="226">
        <f t="shared" si="89"/>
        <v>0</v>
      </c>
      <c r="CM37" s="157"/>
      <c r="CN37" s="226">
        <f t="shared" si="90"/>
        <v>1681852</v>
      </c>
      <c r="CO37" s="226">
        <f t="shared" si="91"/>
        <v>518148</v>
      </c>
      <c r="CP37" s="226">
        <f t="shared" si="92"/>
        <v>2200000</v>
      </c>
      <c r="CQ37" s="226">
        <f t="shared" si="93"/>
        <v>0</v>
      </c>
      <c r="CR37" s="226" cm="1">
        <f t="array" ref="CR37">IFERROR(SUM(VLOOKUP($A37,'預算A1 BIM'!$A$77:$BB$143,{42},0)),0)+CU37</f>
        <v>0</v>
      </c>
      <c r="CS37" s="226" cm="1">
        <f t="array" ref="CS37">IFERROR(SUM(VLOOKUP($A37,'預算A1 BIM'!$A$151:$BB$220,{42},0)),0)-CU37</f>
        <v>0</v>
      </c>
      <c r="CT37" s="226">
        <f t="shared" si="94"/>
        <v>0</v>
      </c>
      <c r="CU37" s="157"/>
      <c r="CV37" s="226">
        <f t="shared" si="95"/>
        <v>1681852</v>
      </c>
      <c r="CW37" s="226">
        <f t="shared" si="96"/>
        <v>518148</v>
      </c>
      <c r="CX37" s="226">
        <f t="shared" si="97"/>
        <v>2200000</v>
      </c>
      <c r="CY37" s="226">
        <f t="shared" si="98"/>
        <v>0</v>
      </c>
    </row>
    <row r="38" spans="1:103" outlineLevel="1">
      <c r="A38" s="175" t="s">
        <v>680</v>
      </c>
      <c r="B38" s="172" t="s">
        <v>681</v>
      </c>
      <c r="C38" s="169" t="s">
        <v>1037</v>
      </c>
      <c r="D38" s="225">
        <f>IFERROR(VLOOKUP(A38,'202608收入成本表'!A:Y,23,0),0)</f>
        <v>2067951</v>
      </c>
      <c r="E38" s="225">
        <f>IFERROR(VLOOKUP(A38,'202608收入成本表'!A:Z,24,0),0)</f>
        <v>907049</v>
      </c>
      <c r="F38" s="226">
        <f t="shared" si="57"/>
        <v>2975000</v>
      </c>
      <c r="G38" s="226"/>
      <c r="H38" s="226" cm="1">
        <f t="array" ref="H38">IFERROR(SUM(VLOOKUP(A38,'預算A1 BIM'!$A$77:$BB$143,{19,20,21,22},0)),0)</f>
        <v>198760</v>
      </c>
      <c r="I38" s="226" cm="1">
        <f t="array" ref="I38">IFERROR(SUM(VLOOKUP(A38,'預算A1 BIM'!$A$151:$BB$220,{19,20,21,22},0)),0)</f>
        <v>-396978</v>
      </c>
      <c r="J38" s="226">
        <f t="shared" si="58"/>
        <v>-198218</v>
      </c>
      <c r="K38" s="226">
        <f>-VLOOKUP(A38,'2026FCST%'!A:AC,27,FALSE)</f>
        <v>0</v>
      </c>
      <c r="L38" s="226">
        <f>+D38+H38</f>
        <v>2266711</v>
      </c>
      <c r="M38" s="226">
        <f t="shared" si="60"/>
        <v>510071</v>
      </c>
      <c r="N38" s="226">
        <f t="shared" si="61"/>
        <v>2776782</v>
      </c>
      <c r="O38" s="226">
        <f t="shared" si="99"/>
        <v>0</v>
      </c>
      <c r="P38" s="226" cm="1">
        <f t="array" ref="P38">IFERROR(SUM(VLOOKUP($A38,'預算A1 BIM'!$A$77:$BB$143,{25},0)),0)+S38</f>
        <v>0</v>
      </c>
      <c r="Q38" s="226" cm="1">
        <f t="array" ref="Q38">IFERROR(SUM(VLOOKUP($A38,'預算A1 BIM'!$A$151:$BB$220,{25},0)),0)</f>
        <v>0</v>
      </c>
      <c r="R38" s="226">
        <f t="shared" si="62"/>
        <v>0</v>
      </c>
      <c r="S38" s="157"/>
      <c r="T38" s="226" cm="1">
        <f t="array" ref="T38">IFERROR(SUM(VLOOKUP($A38,'預算A1 BIM'!$A$77:$BB$143,{26},0)),0)+W38</f>
        <v>0</v>
      </c>
      <c r="U38" s="226" cm="1">
        <f t="array" ref="U38">IFERROR(SUM(VLOOKUP($A38,'預算A1 BIM'!$A$151:$BB$220,{26},0)),0)</f>
        <v>0</v>
      </c>
      <c r="V38" s="226">
        <f t="shared" si="106"/>
        <v>0</v>
      </c>
      <c r="W38" s="157"/>
      <c r="X38" s="226" cm="1">
        <f t="array" ref="X38">IFERROR(SUM(VLOOKUP($A38,'預算A1 BIM'!$A$77:$BB$143,{27},0)),0)+AA38</f>
        <v>0</v>
      </c>
      <c r="Y38" s="226" cm="1">
        <f t="array" ref="Y38">IFERROR(SUM(VLOOKUP($A38,'預算A1 BIM'!$A$151:$BB$220,{27},0)),0)</f>
        <v>0</v>
      </c>
      <c r="Z38" s="226">
        <f t="shared" si="107"/>
        <v>0</v>
      </c>
      <c r="AA38" s="226"/>
      <c r="AB38" s="226" cm="1">
        <f t="array" ref="AB38">IFERROR(SUM(VLOOKUP($A38,'預算A1 BIM'!$A$77:$BB$143,{28},0)),0)+AE38</f>
        <v>0</v>
      </c>
      <c r="AC38" s="226" cm="1">
        <f t="array" ref="AC38">IFERROR(SUM(VLOOKUP($A38,'預算A1 BIM'!$A$151:$BB$220,{28},0)),0)</f>
        <v>0</v>
      </c>
      <c r="AD38" s="226">
        <f t="shared" si="101"/>
        <v>0</v>
      </c>
      <c r="AE38" s="157"/>
      <c r="AF38" s="226" cm="1">
        <f t="array" ref="AF38">IFERROR(SUM(VLOOKUP($A38,'預算A1 BIM'!$A$77:$BB$143,{29},0)),0)+AI38</f>
        <v>0</v>
      </c>
      <c r="AG38" s="226" cm="1">
        <f t="array" ref="AG38">IFERROR(SUM(VLOOKUP($A38,'預算A1 BIM'!$A$151:$BB$220,{29},0)),0)</f>
        <v>0</v>
      </c>
      <c r="AH38" s="226">
        <f t="shared" si="103"/>
        <v>0</v>
      </c>
      <c r="AI38" s="157"/>
      <c r="AJ38" s="226" cm="1">
        <f t="array" ref="AJ38">IFERROR(SUM(VLOOKUP($A38,'預算A1 BIM'!$A$77:$BB$143,{30},0)),0)+AM38</f>
        <v>0</v>
      </c>
      <c r="AK38" s="226" cm="1">
        <f t="array" ref="AK38">IFERROR(SUM(VLOOKUP($A38,'預算A1 BIM'!$A$151:$BB$220,{30},0)),0)</f>
        <v>0</v>
      </c>
      <c r="AL38" s="226">
        <f t="shared" si="104"/>
        <v>0</v>
      </c>
      <c r="AM38" s="157"/>
      <c r="AN38" s="226" cm="1">
        <f t="array" ref="AN38">IFERROR(SUM(VLOOKUP($A38,'預算A1 BIM'!$A$77:$BB$143,{31},0)),0)+AQ38</f>
        <v>0</v>
      </c>
      <c r="AO38" s="226" cm="1">
        <f t="array" ref="AO38">IFERROR(SUM(VLOOKUP($A38,'預算A1 BIM'!$A$151:$BB$220,{31},0)),0)</f>
        <v>0</v>
      </c>
      <c r="AP38" s="226">
        <f t="shared" si="68"/>
        <v>0</v>
      </c>
      <c r="AQ38" s="157"/>
      <c r="AR38" s="226" cm="1">
        <f t="array" ref="AR38">IFERROR(SUM(VLOOKUP($A38,'預算A1 BIM'!$A$77:$BB$143,{32},0)),0)+AU38</f>
        <v>0</v>
      </c>
      <c r="AS38" s="226" cm="1">
        <f t="array" ref="AS38">IFERROR(SUM(VLOOKUP($A38,'預算A1 BIM'!$A$151:$BB$220,{32},0)),0)</f>
        <v>0</v>
      </c>
      <c r="AT38" s="226">
        <f t="shared" si="69"/>
        <v>0</v>
      </c>
      <c r="AU38" s="157"/>
      <c r="AV38" s="226" cm="1">
        <f t="array" ref="AV38">IFERROR(SUM(VLOOKUP($A38,'預算A1 BIM'!$A$77:$BB$143,{33},0)),0)+AY38</f>
        <v>0</v>
      </c>
      <c r="AW38" s="226" cm="1">
        <f t="array" ref="AW38">IFERROR(SUM(VLOOKUP($A38,'預算A1 BIM'!$A$151:$BB$220,{33},0)),0)-AY38</f>
        <v>0</v>
      </c>
      <c r="AX38" s="226">
        <f t="shared" si="70"/>
        <v>0</v>
      </c>
      <c r="AY38" s="157"/>
      <c r="AZ38" s="226" cm="1">
        <f t="array" ref="AZ38">IFERROR(SUM(VLOOKUP($A38,'預算A1 BIM'!$A$77:$BB$143,{34},0)),0)+BC38</f>
        <v>0</v>
      </c>
      <c r="BA38" s="226" cm="1">
        <f t="array" ref="BA38">IFERROR(SUM(VLOOKUP($A38,'預算A1 BIM'!$A$151:$BB$220,{34},0)),0)-BC38</f>
        <v>0</v>
      </c>
      <c r="BB38" s="226">
        <f t="shared" si="105"/>
        <v>0</v>
      </c>
      <c r="BC38" s="157"/>
      <c r="BD38" s="226" cm="1">
        <f t="array" ref="BD38">IFERROR(SUM(VLOOKUP($A38,'預算A1 BIM'!$A$77:$BB$143,{35},0)),0)+BG38</f>
        <v>0</v>
      </c>
      <c r="BE38" s="226" cm="1">
        <f t="array" ref="BE38">IFERROR(SUM(VLOOKUP($A38,'預算A1 BIM'!$A$151:$BB$220,{35},0)),0)-BG38</f>
        <v>0</v>
      </c>
      <c r="BF38" s="226">
        <f t="shared" si="72"/>
        <v>0</v>
      </c>
      <c r="BG38" s="157"/>
      <c r="BH38" s="226" cm="1">
        <f t="array" ref="BH38">IFERROR(SUM(VLOOKUP($A38,'預算A1 BIM'!$A$77:$BB$143,{36},0)),0)+BK38</f>
        <v>0</v>
      </c>
      <c r="BI38" s="226" cm="1">
        <f t="array" ref="BI38">IFERROR(SUM(VLOOKUP($A38,'預算A1 BIM'!$A$151:$BB$220,{36},0)),0)-BK38</f>
        <v>0</v>
      </c>
      <c r="BJ38" s="226">
        <f t="shared" si="73"/>
        <v>0</v>
      </c>
      <c r="BK38" s="157"/>
      <c r="BL38" s="226">
        <f>SUMIF($P$4:$BK$4,$BL$4,$P38:$BK$65)</f>
        <v>0</v>
      </c>
      <c r="BM38" s="226">
        <f>SUMIF($P$4:$BK$4,$BM$4,$P38:$BK$65)</f>
        <v>0</v>
      </c>
      <c r="BN38" s="226">
        <f t="shared" si="74"/>
        <v>0</v>
      </c>
      <c r="BO38" s="157">
        <f>SUMIF($P$4:$BK$4,$BO$4,$P38:$BK$65)</f>
        <v>0</v>
      </c>
      <c r="BP38" s="226">
        <f t="shared" si="75"/>
        <v>2266711</v>
      </c>
      <c r="BQ38" s="226">
        <f t="shared" si="76"/>
        <v>510071</v>
      </c>
      <c r="BR38" s="226">
        <f t="shared" si="77"/>
        <v>2776782</v>
      </c>
      <c r="BS38" s="226">
        <f t="shared" si="78"/>
        <v>0</v>
      </c>
      <c r="BT38" s="226" cm="1">
        <f t="array" ref="BT38">IFERROR(SUM(VLOOKUP($A38,'預算A1 BIM'!$A$77:$BB$143,{39},0)),0)+BW38</f>
        <v>0</v>
      </c>
      <c r="BU38" s="226" cm="1">
        <f t="array" ref="BU38">IFERROR(SUM(VLOOKUP($A38,'預算A1 BIM'!$A$151:$BB$220,{39},0)),0)-BW38</f>
        <v>0</v>
      </c>
      <c r="BV38" s="226">
        <f t="shared" si="79"/>
        <v>0</v>
      </c>
      <c r="BW38" s="157"/>
      <c r="BX38" s="226">
        <f t="shared" si="80"/>
        <v>2266711</v>
      </c>
      <c r="BY38" s="157">
        <f t="shared" si="81"/>
        <v>510071</v>
      </c>
      <c r="BZ38" s="226">
        <f t="shared" si="82"/>
        <v>2776782</v>
      </c>
      <c r="CA38" s="157">
        <f t="shared" si="83"/>
        <v>0</v>
      </c>
      <c r="CB38" s="226" cm="1">
        <f t="array" ref="CB38">IFERROR(SUM(VLOOKUP($A38,'預算A1 BIM'!$A$77:$BB$143,{40},0)),0)+CE38</f>
        <v>0</v>
      </c>
      <c r="CC38" s="226" cm="1">
        <f t="array" ref="CC38">IFERROR(SUM(VLOOKUP($A38,'預算A1 BIM'!$A$151:$BB$220,{40},0)),0)-CE38</f>
        <v>0</v>
      </c>
      <c r="CD38" s="226">
        <f t="shared" si="84"/>
        <v>0</v>
      </c>
      <c r="CE38" s="157"/>
      <c r="CF38" s="226">
        <f t="shared" si="85"/>
        <v>2266711</v>
      </c>
      <c r="CG38" s="226">
        <f t="shared" si="86"/>
        <v>510071</v>
      </c>
      <c r="CH38" s="226">
        <f t="shared" si="87"/>
        <v>2776782</v>
      </c>
      <c r="CI38" s="226">
        <f t="shared" si="88"/>
        <v>0</v>
      </c>
      <c r="CJ38" s="226" cm="1">
        <f t="array" ref="CJ38">IFERROR(SUM(VLOOKUP($A38,'預算A1 BIM'!$A$77:$BB$143,{41},0)),0)+CM38</f>
        <v>0</v>
      </c>
      <c r="CK38" s="226" cm="1">
        <f t="array" ref="CK38">IFERROR(SUM(VLOOKUP($A38,'預算A1 BIM'!$A$151:$BB$220,{41},0)),0)-CM38</f>
        <v>0</v>
      </c>
      <c r="CL38" s="226">
        <f t="shared" si="89"/>
        <v>0</v>
      </c>
      <c r="CM38" s="157"/>
      <c r="CN38" s="226">
        <f t="shared" si="90"/>
        <v>2266711</v>
      </c>
      <c r="CO38" s="226">
        <f t="shared" si="91"/>
        <v>510071</v>
      </c>
      <c r="CP38" s="226">
        <f t="shared" si="92"/>
        <v>2776782</v>
      </c>
      <c r="CQ38" s="226">
        <f t="shared" si="93"/>
        <v>0</v>
      </c>
      <c r="CR38" s="226" cm="1">
        <f t="array" ref="CR38">IFERROR(SUM(VLOOKUP($A38,'預算A1 BIM'!$A$77:$BB$143,{42},0)),0)+CU38</f>
        <v>0</v>
      </c>
      <c r="CS38" s="226" cm="1">
        <f t="array" ref="CS38">IFERROR(SUM(VLOOKUP($A38,'預算A1 BIM'!$A$151:$BB$220,{42},0)),0)-CU38</f>
        <v>0</v>
      </c>
      <c r="CT38" s="226">
        <f t="shared" si="94"/>
        <v>0</v>
      </c>
      <c r="CU38" s="157"/>
      <c r="CV38" s="226">
        <f t="shared" si="95"/>
        <v>2266711</v>
      </c>
      <c r="CW38" s="226">
        <f t="shared" si="96"/>
        <v>510071</v>
      </c>
      <c r="CX38" s="226">
        <f t="shared" si="97"/>
        <v>2776782</v>
      </c>
      <c r="CY38" s="226">
        <f t="shared" si="98"/>
        <v>0</v>
      </c>
    </row>
    <row r="39" spans="1:103" outlineLevel="1">
      <c r="A39" s="175" t="s">
        <v>682</v>
      </c>
      <c r="B39" s="172" t="s">
        <v>683</v>
      </c>
      <c r="C39" s="169" t="s">
        <v>1037</v>
      </c>
      <c r="D39" s="225">
        <f>IFERROR(VLOOKUP(A39,'202608收入成本表'!A:Y,23,0),0)</f>
        <v>881007</v>
      </c>
      <c r="E39" s="225">
        <f>IFERROR(VLOOKUP(A39,'202608收入成本表'!A:Z,24,0),0)</f>
        <v>1095993</v>
      </c>
      <c r="F39" s="226">
        <f t="shared" si="57"/>
        <v>1977000</v>
      </c>
      <c r="G39" s="226"/>
      <c r="H39" s="226" cm="1">
        <f t="array" ref="H39">IFERROR(SUM(VLOOKUP(A39,'預算A1 BIM'!$A$77:$BB$143,{19,20,21,22},0)),0)</f>
        <v>18841</v>
      </c>
      <c r="I39" s="226" cm="1">
        <f t="array" ref="I39">IFERROR(SUM(VLOOKUP(A39,'預算A1 BIM'!$A$151:$BB$220,{19,20,21,22},0)),0)</f>
        <v>-307486</v>
      </c>
      <c r="J39" s="226">
        <f t="shared" si="58"/>
        <v>-288645</v>
      </c>
      <c r="K39" s="226">
        <f>-VLOOKUP(A39,'2026FCST%'!A:AC,27,FALSE)</f>
        <v>0</v>
      </c>
      <c r="L39" s="226">
        <f t="shared" si="59"/>
        <v>899848</v>
      </c>
      <c r="M39" s="226">
        <f t="shared" si="60"/>
        <v>788507</v>
      </c>
      <c r="N39" s="226">
        <f t="shared" si="61"/>
        <v>1688355</v>
      </c>
      <c r="O39" s="226">
        <f t="shared" si="99"/>
        <v>0</v>
      </c>
      <c r="P39" s="226" cm="1">
        <f t="array" ref="P39">IFERROR(SUM(VLOOKUP($A39,'預算A1 BIM'!$A$77:$BB$143,{25},0)),0)+S39</f>
        <v>0</v>
      </c>
      <c r="Q39" s="226" cm="1">
        <f t="array" ref="Q39">IFERROR(SUM(VLOOKUP($A39,'預算A1 BIM'!$A$151:$BB$220,{25},0)),0)</f>
        <v>0</v>
      </c>
      <c r="R39" s="226">
        <f t="shared" si="62"/>
        <v>0</v>
      </c>
      <c r="S39" s="157"/>
      <c r="T39" s="226" cm="1">
        <f t="array" ref="T39">IFERROR(SUM(VLOOKUP($A39,'預算A1 BIM'!$A$77:$BB$143,{26},0)),0)+W39</f>
        <v>0</v>
      </c>
      <c r="U39" s="226" cm="1">
        <f t="array" ref="U39">IFERROR(SUM(VLOOKUP($A39,'預算A1 BIM'!$A$151:$BB$220,{26},0)),0)</f>
        <v>0</v>
      </c>
      <c r="V39" s="226">
        <f t="shared" si="106"/>
        <v>0</v>
      </c>
      <c r="W39" s="157"/>
      <c r="X39" s="226" cm="1">
        <f t="array" ref="X39">IFERROR(SUM(VLOOKUP($A39,'預算A1 BIM'!$A$77:$BB$143,{27},0)),0)+AA39</f>
        <v>0</v>
      </c>
      <c r="Y39" s="226" cm="1">
        <f t="array" ref="Y39">IFERROR(SUM(VLOOKUP($A39,'預算A1 BIM'!$A$151:$BB$220,{27},0)),0)</f>
        <v>0</v>
      </c>
      <c r="Z39" s="226">
        <f t="shared" si="107"/>
        <v>0</v>
      </c>
      <c r="AA39" s="226"/>
      <c r="AB39" s="226" cm="1">
        <f t="array" ref="AB39">IFERROR(SUM(VLOOKUP($A39,'預算A1 BIM'!$A$77:$BB$143,{28},0)),0)+AE39</f>
        <v>0</v>
      </c>
      <c r="AC39" s="226" cm="1">
        <f t="array" ref="AC39">IFERROR(SUM(VLOOKUP($A39,'預算A1 BIM'!$A$151:$BB$220,{28},0)),0)</f>
        <v>0</v>
      </c>
      <c r="AD39" s="226">
        <f t="shared" si="101"/>
        <v>0</v>
      </c>
      <c r="AE39" s="157"/>
      <c r="AF39" s="226" cm="1">
        <f t="array" ref="AF39">IFERROR(SUM(VLOOKUP($A39,'預算A1 BIM'!$A$77:$BB$143,{29},0)),0)+AI39</f>
        <v>0</v>
      </c>
      <c r="AG39" s="226" cm="1">
        <f t="array" ref="AG39">IFERROR(SUM(VLOOKUP($A39,'預算A1 BIM'!$A$151:$BB$220,{29},0)),0)</f>
        <v>0</v>
      </c>
      <c r="AH39" s="226">
        <f t="shared" si="103"/>
        <v>0</v>
      </c>
      <c r="AI39" s="157"/>
      <c r="AJ39" s="226" cm="1">
        <f t="array" ref="AJ39">IFERROR(SUM(VLOOKUP($A39,'預算A1 BIM'!$A$77:$BB$143,{30},0)),0)+AM39</f>
        <v>0</v>
      </c>
      <c r="AK39" s="226" cm="1">
        <f t="array" ref="AK39">IFERROR(SUM(VLOOKUP($A39,'預算A1 BIM'!$A$151:$BB$220,{30},0)),0)</f>
        <v>0</v>
      </c>
      <c r="AL39" s="226">
        <f t="shared" si="104"/>
        <v>0</v>
      </c>
      <c r="AM39" s="157"/>
      <c r="AN39" s="226" cm="1">
        <f t="array" ref="AN39">IFERROR(SUM(VLOOKUP($A39,'預算A1 BIM'!$A$77:$BB$143,{31},0)),0)+AQ39</f>
        <v>0</v>
      </c>
      <c r="AO39" s="226" cm="1">
        <f t="array" ref="AO39">IFERROR(SUM(VLOOKUP($A39,'預算A1 BIM'!$A$151:$BB$220,{31},0)),0)</f>
        <v>0</v>
      </c>
      <c r="AP39" s="226">
        <f t="shared" si="68"/>
        <v>0</v>
      </c>
      <c r="AQ39" s="157"/>
      <c r="AR39" s="226" cm="1">
        <f t="array" ref="AR39">IFERROR(SUM(VLOOKUP($A39,'預算A1 BIM'!$A$77:$BB$143,{32},0)),0)+AU39</f>
        <v>0</v>
      </c>
      <c r="AS39" s="226" cm="1">
        <f t="array" ref="AS39">IFERROR(SUM(VLOOKUP($A39,'預算A1 BIM'!$A$151:$BB$220,{32},0)),0)</f>
        <v>0</v>
      </c>
      <c r="AT39" s="226">
        <f t="shared" si="69"/>
        <v>0</v>
      </c>
      <c r="AU39" s="157"/>
      <c r="AV39" s="226" cm="1">
        <f t="array" ref="AV39">IFERROR(SUM(VLOOKUP($A39,'預算A1 BIM'!$A$77:$BB$143,{33},0)),0)+AY39</f>
        <v>0</v>
      </c>
      <c r="AW39" s="226" cm="1">
        <f t="array" ref="AW39">IFERROR(SUM(VLOOKUP($A39,'預算A1 BIM'!$A$151:$BB$220,{33},0)),0)-AY39</f>
        <v>0</v>
      </c>
      <c r="AX39" s="226">
        <f t="shared" si="70"/>
        <v>0</v>
      </c>
      <c r="AY39" s="157"/>
      <c r="AZ39" s="226" cm="1">
        <f t="array" ref="AZ39">IFERROR(SUM(VLOOKUP($A39,'預算A1 BIM'!$A$77:$BB$143,{34},0)),0)+BC39</f>
        <v>0</v>
      </c>
      <c r="BA39" s="226" cm="1">
        <f t="array" ref="BA39">IFERROR(SUM(VLOOKUP($A39,'預算A1 BIM'!$A$151:$BB$220,{34},0)),0)-BC39</f>
        <v>0</v>
      </c>
      <c r="BB39" s="226">
        <f t="shared" si="105"/>
        <v>0</v>
      </c>
      <c r="BC39" s="157"/>
      <c r="BD39" s="226" cm="1">
        <f t="array" ref="BD39">IFERROR(SUM(VLOOKUP($A39,'預算A1 BIM'!$A$77:$BB$143,{35},0)),0)+BG39</f>
        <v>0</v>
      </c>
      <c r="BE39" s="226" cm="1">
        <f t="array" ref="BE39">IFERROR(SUM(VLOOKUP($A39,'預算A1 BIM'!$A$151:$BB$220,{35},0)),0)-BG39</f>
        <v>0</v>
      </c>
      <c r="BF39" s="226">
        <f t="shared" si="72"/>
        <v>0</v>
      </c>
      <c r="BG39" s="157"/>
      <c r="BH39" s="226" cm="1">
        <f t="array" ref="BH39">IFERROR(SUM(VLOOKUP($A39,'預算A1 BIM'!$A$77:$BB$143,{36},0)),0)+BK39</f>
        <v>0</v>
      </c>
      <c r="BI39" s="226" cm="1">
        <f t="array" ref="BI39">IFERROR(SUM(VLOOKUP($A39,'預算A1 BIM'!$A$151:$BB$220,{36},0)),0)-BK39</f>
        <v>0</v>
      </c>
      <c r="BJ39" s="226">
        <f t="shared" si="73"/>
        <v>0</v>
      </c>
      <c r="BK39" s="157"/>
      <c r="BL39" s="226">
        <f>SUMIF($P$4:$BK$4,$BL$4,$P39:$BK$65)</f>
        <v>0</v>
      </c>
      <c r="BM39" s="226">
        <f>SUMIF($P$4:$BK$4,$BM$4,$P39:$BK$65)</f>
        <v>0</v>
      </c>
      <c r="BN39" s="226">
        <f t="shared" si="74"/>
        <v>0</v>
      </c>
      <c r="BO39" s="157">
        <f>SUMIF($P$4:$BK$4,$BO$4,$P39:$BK$65)</f>
        <v>0</v>
      </c>
      <c r="BP39" s="226">
        <f t="shared" si="75"/>
        <v>899848</v>
      </c>
      <c r="BQ39" s="226">
        <f t="shared" si="76"/>
        <v>788507</v>
      </c>
      <c r="BR39" s="226">
        <f t="shared" si="77"/>
        <v>1688355</v>
      </c>
      <c r="BS39" s="226">
        <f t="shared" si="78"/>
        <v>0</v>
      </c>
      <c r="BT39" s="226" cm="1">
        <f t="array" ref="BT39">IFERROR(SUM(VLOOKUP($A39,'預算A1 BIM'!$A$77:$BB$143,{39},0)),0)+BW39</f>
        <v>0</v>
      </c>
      <c r="BU39" s="226" cm="1">
        <f t="array" ref="BU39">IFERROR(SUM(VLOOKUP($A39,'預算A1 BIM'!$A$151:$BB$220,{39},0)),0)-BW39</f>
        <v>0</v>
      </c>
      <c r="BV39" s="226">
        <f t="shared" si="79"/>
        <v>0</v>
      </c>
      <c r="BW39" s="157"/>
      <c r="BX39" s="226">
        <f t="shared" si="80"/>
        <v>899848</v>
      </c>
      <c r="BY39" s="157">
        <f t="shared" si="81"/>
        <v>788507</v>
      </c>
      <c r="BZ39" s="226">
        <f t="shared" si="82"/>
        <v>1688355</v>
      </c>
      <c r="CA39" s="157">
        <f t="shared" si="83"/>
        <v>0</v>
      </c>
      <c r="CB39" s="226" cm="1">
        <f t="array" ref="CB39">IFERROR(SUM(VLOOKUP($A39,'預算A1 BIM'!$A$77:$BB$143,{40},0)),0)+CE39</f>
        <v>0</v>
      </c>
      <c r="CC39" s="226" cm="1">
        <f t="array" ref="CC39">IFERROR(SUM(VLOOKUP($A39,'預算A1 BIM'!$A$151:$BB$220,{40},0)),0)-CE39</f>
        <v>0</v>
      </c>
      <c r="CD39" s="226">
        <f t="shared" si="84"/>
        <v>0</v>
      </c>
      <c r="CE39" s="157"/>
      <c r="CF39" s="226">
        <f t="shared" si="85"/>
        <v>899848</v>
      </c>
      <c r="CG39" s="226">
        <f t="shared" si="86"/>
        <v>788507</v>
      </c>
      <c r="CH39" s="226">
        <f t="shared" si="87"/>
        <v>1688355</v>
      </c>
      <c r="CI39" s="226">
        <f t="shared" si="88"/>
        <v>0</v>
      </c>
      <c r="CJ39" s="226" cm="1">
        <f t="array" ref="CJ39">IFERROR(SUM(VLOOKUP($A39,'預算A1 BIM'!$A$77:$BB$143,{41},0)),0)+CM39</f>
        <v>0</v>
      </c>
      <c r="CK39" s="226" cm="1">
        <f t="array" ref="CK39">IFERROR(SUM(VLOOKUP($A39,'預算A1 BIM'!$A$151:$BB$220,{41},0)),0)-CM39</f>
        <v>0</v>
      </c>
      <c r="CL39" s="226">
        <f t="shared" si="89"/>
        <v>0</v>
      </c>
      <c r="CM39" s="157"/>
      <c r="CN39" s="226">
        <f t="shared" si="90"/>
        <v>899848</v>
      </c>
      <c r="CO39" s="226">
        <f t="shared" si="91"/>
        <v>788507</v>
      </c>
      <c r="CP39" s="226">
        <f t="shared" si="92"/>
        <v>1688355</v>
      </c>
      <c r="CQ39" s="226">
        <f t="shared" si="93"/>
        <v>0</v>
      </c>
      <c r="CR39" s="226" cm="1">
        <f t="array" ref="CR39">IFERROR(SUM(VLOOKUP($A39,'預算A1 BIM'!$A$77:$BB$143,{42},0)),0)+CU39</f>
        <v>0</v>
      </c>
      <c r="CS39" s="226" cm="1">
        <f t="array" ref="CS39">IFERROR(SUM(VLOOKUP($A39,'預算A1 BIM'!$A$151:$BB$220,{42},0)),0)-CU39</f>
        <v>0</v>
      </c>
      <c r="CT39" s="226">
        <f t="shared" si="94"/>
        <v>0</v>
      </c>
      <c r="CU39" s="157"/>
      <c r="CV39" s="226">
        <f t="shared" si="95"/>
        <v>899848</v>
      </c>
      <c r="CW39" s="226">
        <f t="shared" si="96"/>
        <v>788507</v>
      </c>
      <c r="CX39" s="226">
        <f t="shared" si="97"/>
        <v>1688355</v>
      </c>
      <c r="CY39" s="226">
        <f t="shared" si="98"/>
        <v>0</v>
      </c>
    </row>
    <row r="40" spans="1:103" outlineLevel="1">
      <c r="A40" s="175" t="s">
        <v>684</v>
      </c>
      <c r="B40" s="172" t="s">
        <v>685</v>
      </c>
      <c r="C40" s="169" t="s">
        <v>1037</v>
      </c>
      <c r="D40" s="225">
        <f>IFERROR(VLOOKUP(A40,'202608收入成本表'!A:Y,23,0),0)</f>
        <v>1089400</v>
      </c>
      <c r="E40" s="225">
        <f>IFERROR(VLOOKUP(A40,'202608收入成本表'!A:Z,24,0),0)</f>
        <v>467600</v>
      </c>
      <c r="F40" s="226">
        <f t="shared" si="57"/>
        <v>1557000</v>
      </c>
      <c r="G40" s="226"/>
      <c r="H40" s="226" cm="1">
        <f t="array" ref="H40">IFERROR(SUM(VLOOKUP(A40,'預算A1 BIM'!$A$77:$BB$143,{19,20,21,22},0)),0)</f>
        <v>0</v>
      </c>
      <c r="I40" s="226" cm="1">
        <f t="array" ref="I40">IFERROR(SUM(VLOOKUP(A40,'預算A1 BIM'!$A$151:$BB$220,{19,20,21,22},0)),0)</f>
        <v>645000</v>
      </c>
      <c r="J40" s="226">
        <f t="shared" si="58"/>
        <v>645000</v>
      </c>
      <c r="K40" s="226">
        <f>-VLOOKUP(A40,'2026FCST%'!A:AC,27,FALSE)</f>
        <v>0</v>
      </c>
      <c r="L40" s="226">
        <f t="shared" si="59"/>
        <v>1089400</v>
      </c>
      <c r="M40" s="226">
        <f t="shared" si="60"/>
        <v>1112600</v>
      </c>
      <c r="N40" s="226">
        <f t="shared" si="61"/>
        <v>2202000</v>
      </c>
      <c r="O40" s="226">
        <f t="shared" si="99"/>
        <v>0</v>
      </c>
      <c r="P40" s="226" cm="1">
        <f t="array" ref="P40">IFERROR(SUM(VLOOKUP($A40,'預算A1 BIM'!$A$77:$BB$143,{25},0)),0)+S40</f>
        <v>0</v>
      </c>
      <c r="Q40" s="226" cm="1">
        <f t="array" ref="Q40">IFERROR(SUM(VLOOKUP($A40,'預算A1 BIM'!$A$151:$BB$220,{25},0)),0)</f>
        <v>0</v>
      </c>
      <c r="R40" s="226">
        <f t="shared" si="62"/>
        <v>0</v>
      </c>
      <c r="S40" s="157"/>
      <c r="T40" s="226" cm="1">
        <f t="array" ref="T40">IFERROR(SUM(VLOOKUP($A40,'預算A1 BIM'!$A$77:$BB$143,{26},0)),0)+W40</f>
        <v>0</v>
      </c>
      <c r="U40" s="226" cm="1">
        <f t="array" ref="U40">IFERROR(SUM(VLOOKUP($A40,'預算A1 BIM'!$A$151:$BB$220,{26},0)),0)</f>
        <v>0</v>
      </c>
      <c r="V40" s="226">
        <f t="shared" si="106"/>
        <v>0</v>
      </c>
      <c r="W40" s="157"/>
      <c r="X40" s="226" cm="1">
        <f t="array" ref="X40">IFERROR(SUM(VLOOKUP($A40,'預算A1 BIM'!$A$77:$BB$143,{27},0)),0)+AA40</f>
        <v>0</v>
      </c>
      <c r="Y40" s="226" cm="1">
        <f t="array" ref="Y40">IFERROR(SUM(VLOOKUP($A40,'預算A1 BIM'!$A$151:$BB$220,{27},0)),0)</f>
        <v>0</v>
      </c>
      <c r="Z40" s="226">
        <f t="shared" si="107"/>
        <v>0</v>
      </c>
      <c r="AA40" s="226"/>
      <c r="AB40" s="226" cm="1">
        <f t="array" ref="AB40">IFERROR(SUM(VLOOKUP($A40,'預算A1 BIM'!$A$77:$BB$143,{28},0)),0)+AE40</f>
        <v>0</v>
      </c>
      <c r="AC40" s="226" cm="1">
        <f t="array" ref="AC40">IFERROR(SUM(VLOOKUP($A40,'預算A1 BIM'!$A$151:$BB$220,{28},0)),0)</f>
        <v>0</v>
      </c>
      <c r="AD40" s="226">
        <f t="shared" si="101"/>
        <v>0</v>
      </c>
      <c r="AE40" s="157"/>
      <c r="AF40" s="226" cm="1">
        <f t="array" ref="AF40">IFERROR(SUM(VLOOKUP($A40,'預算A1 BIM'!$A$77:$BB$143,{29},0)),0)+AI40</f>
        <v>0</v>
      </c>
      <c r="AG40" s="226" cm="1">
        <f t="array" ref="AG40">IFERROR(SUM(VLOOKUP($A40,'預算A1 BIM'!$A$151:$BB$220,{29},0)),0)</f>
        <v>0</v>
      </c>
      <c r="AH40" s="226">
        <f t="shared" si="103"/>
        <v>0</v>
      </c>
      <c r="AI40" s="157"/>
      <c r="AJ40" s="226" cm="1">
        <f t="array" ref="AJ40">IFERROR(SUM(VLOOKUP($A40,'預算A1 BIM'!$A$77:$BB$143,{30},0)),0)+AM40</f>
        <v>0</v>
      </c>
      <c r="AK40" s="226" cm="1">
        <f t="array" ref="AK40">IFERROR(SUM(VLOOKUP($A40,'預算A1 BIM'!$A$151:$BB$220,{30},0)),0)</f>
        <v>0</v>
      </c>
      <c r="AL40" s="226">
        <f t="shared" si="104"/>
        <v>0</v>
      </c>
      <c r="AM40" s="157"/>
      <c r="AN40" s="226" cm="1">
        <f t="array" ref="AN40">IFERROR(SUM(VLOOKUP($A40,'預算A1 BIM'!$A$77:$BB$143,{31},0)),0)+AQ40</f>
        <v>0</v>
      </c>
      <c r="AO40" s="226" cm="1">
        <f t="array" ref="AO40">IFERROR(SUM(VLOOKUP($A40,'預算A1 BIM'!$A$151:$BB$220,{31},0)),0)</f>
        <v>0</v>
      </c>
      <c r="AP40" s="226">
        <f t="shared" si="68"/>
        <v>0</v>
      </c>
      <c r="AQ40" s="157"/>
      <c r="AR40" s="226" cm="1">
        <f t="array" ref="AR40">IFERROR(SUM(VLOOKUP($A40,'預算A1 BIM'!$A$77:$BB$143,{32},0)),0)+AU40</f>
        <v>0</v>
      </c>
      <c r="AS40" s="226" cm="1">
        <f t="array" ref="AS40">IFERROR(SUM(VLOOKUP($A40,'預算A1 BIM'!$A$151:$BB$220,{32},0)),0)</f>
        <v>0</v>
      </c>
      <c r="AT40" s="226">
        <f t="shared" si="69"/>
        <v>0</v>
      </c>
      <c r="AU40" s="157"/>
      <c r="AV40" s="226" cm="1">
        <f t="array" ref="AV40">IFERROR(SUM(VLOOKUP($A40,'預算A1 BIM'!$A$77:$BB$143,{33},0)),0)+AY40</f>
        <v>0</v>
      </c>
      <c r="AW40" s="226" cm="1">
        <f t="array" ref="AW40">IFERROR(SUM(VLOOKUP($A40,'預算A1 BIM'!$A$151:$BB$220,{33},0)),0)-AY40</f>
        <v>0</v>
      </c>
      <c r="AX40" s="226">
        <f t="shared" si="70"/>
        <v>0</v>
      </c>
      <c r="AY40" s="157"/>
      <c r="AZ40" s="226" cm="1">
        <f t="array" ref="AZ40">IFERROR(SUM(VLOOKUP($A40,'預算A1 BIM'!$A$77:$BB$143,{34},0)),0)+BC40</f>
        <v>0</v>
      </c>
      <c r="BA40" s="226" cm="1">
        <f t="array" ref="BA40">IFERROR(SUM(VLOOKUP($A40,'預算A1 BIM'!$A$151:$BB$220,{34},0)),0)-BC40</f>
        <v>0</v>
      </c>
      <c r="BB40" s="226">
        <f t="shared" si="105"/>
        <v>0</v>
      </c>
      <c r="BC40" s="157"/>
      <c r="BD40" s="226" cm="1">
        <f t="array" ref="BD40">IFERROR(SUM(VLOOKUP($A40,'預算A1 BIM'!$A$77:$BB$143,{35},0)),0)+BG40</f>
        <v>0</v>
      </c>
      <c r="BE40" s="226" cm="1">
        <f t="array" ref="BE40">IFERROR(SUM(VLOOKUP($A40,'預算A1 BIM'!$A$151:$BB$220,{35},0)),0)-BG40</f>
        <v>0</v>
      </c>
      <c r="BF40" s="226">
        <f t="shared" si="72"/>
        <v>0</v>
      </c>
      <c r="BG40" s="157"/>
      <c r="BH40" s="226" cm="1">
        <f t="array" ref="BH40">IFERROR(SUM(VLOOKUP($A40,'預算A1 BIM'!$A$77:$BB$143,{36},0)),0)+BK40</f>
        <v>0</v>
      </c>
      <c r="BI40" s="226" cm="1">
        <f t="array" ref="BI40">IFERROR(SUM(VLOOKUP($A40,'預算A1 BIM'!$A$151:$BB$220,{36},0)),0)-BK40</f>
        <v>0</v>
      </c>
      <c r="BJ40" s="226">
        <f t="shared" si="73"/>
        <v>0</v>
      </c>
      <c r="BK40" s="157"/>
      <c r="BL40" s="226">
        <f>SUMIF($P$4:$BK$4,$BL$4,$P40:$BK$65)</f>
        <v>0</v>
      </c>
      <c r="BM40" s="226">
        <f>SUMIF($P$4:$BK$4,$BM$4,$P40:$BK$65)</f>
        <v>0</v>
      </c>
      <c r="BN40" s="226">
        <f t="shared" si="74"/>
        <v>0</v>
      </c>
      <c r="BO40" s="157">
        <f>SUMIF($P$4:$BK$4,$BO$4,$P40:$BK$65)</f>
        <v>0</v>
      </c>
      <c r="BP40" s="226">
        <f t="shared" si="75"/>
        <v>1089400</v>
      </c>
      <c r="BQ40" s="226">
        <f t="shared" si="76"/>
        <v>1112600</v>
      </c>
      <c r="BR40" s="226">
        <f t="shared" si="77"/>
        <v>2202000</v>
      </c>
      <c r="BS40" s="226">
        <f t="shared" si="78"/>
        <v>0</v>
      </c>
      <c r="BT40" s="226" cm="1">
        <f t="array" ref="BT40">IFERROR(SUM(VLOOKUP($A40,'預算A1 BIM'!$A$77:$BB$143,{39},0)),0)+BW40</f>
        <v>0</v>
      </c>
      <c r="BU40" s="226" cm="1">
        <f t="array" ref="BU40">IFERROR(SUM(VLOOKUP($A40,'預算A1 BIM'!$A$151:$BB$220,{39},0)),0)-BW40</f>
        <v>0</v>
      </c>
      <c r="BV40" s="226">
        <f t="shared" si="79"/>
        <v>0</v>
      </c>
      <c r="BW40" s="157"/>
      <c r="BX40" s="226">
        <f t="shared" si="80"/>
        <v>1089400</v>
      </c>
      <c r="BY40" s="157">
        <f t="shared" si="81"/>
        <v>1112600</v>
      </c>
      <c r="BZ40" s="226">
        <f t="shared" si="82"/>
        <v>2202000</v>
      </c>
      <c r="CA40" s="157">
        <f t="shared" si="83"/>
        <v>0</v>
      </c>
      <c r="CB40" s="226" cm="1">
        <f t="array" ref="CB40">IFERROR(SUM(VLOOKUP($A40,'預算A1 BIM'!$A$77:$BB$143,{40},0)),0)+CE40</f>
        <v>0</v>
      </c>
      <c r="CC40" s="226" cm="1">
        <f t="array" ref="CC40">IFERROR(SUM(VLOOKUP($A40,'預算A1 BIM'!$A$151:$BB$220,{40},0)),0)-CE40</f>
        <v>0</v>
      </c>
      <c r="CD40" s="226">
        <f t="shared" si="84"/>
        <v>0</v>
      </c>
      <c r="CE40" s="157"/>
      <c r="CF40" s="226">
        <f t="shared" si="85"/>
        <v>1089400</v>
      </c>
      <c r="CG40" s="226">
        <f t="shared" si="86"/>
        <v>1112600</v>
      </c>
      <c r="CH40" s="226">
        <f t="shared" si="87"/>
        <v>2202000</v>
      </c>
      <c r="CI40" s="226">
        <f t="shared" si="88"/>
        <v>0</v>
      </c>
      <c r="CJ40" s="226" cm="1">
        <f t="array" ref="CJ40">IFERROR(SUM(VLOOKUP($A41,'預算A1 BIM'!$A$77:$BB$143,{41},0)),0)+CM41</f>
        <v>0</v>
      </c>
      <c r="CK40" s="226" cm="1">
        <f t="array" ref="CK40">IFERROR(SUM(VLOOKUP($A41,'預算A1 BIM'!$A$151:$BB$220,{41},0)),0)-CM41</f>
        <v>0</v>
      </c>
      <c r="CL40" s="226">
        <f>SUM(CJ41:CK41)</f>
        <v>0</v>
      </c>
      <c r="CM40" s="157"/>
      <c r="CN40" s="226">
        <f t="shared" si="90"/>
        <v>1089400</v>
      </c>
      <c r="CO40" s="226">
        <f t="shared" si="91"/>
        <v>1112600</v>
      </c>
      <c r="CP40" s="226">
        <f t="shared" si="92"/>
        <v>2202000</v>
      </c>
      <c r="CQ40" s="226">
        <f t="shared" si="93"/>
        <v>0</v>
      </c>
      <c r="CR40" s="226" cm="1">
        <f t="array" ref="CR40">IFERROR(SUM(VLOOKUP($A42,'預算A1 BIM'!$A$77:$BB$143,{42},0)),0)+CU42</f>
        <v>0</v>
      </c>
      <c r="CS40" s="226" cm="1">
        <f t="array" ref="CS40">IFERROR(SUM(VLOOKUP($A42,'預算A1 BIM'!$A$151:$BB$220,{42},0)),0)-CU42</f>
        <v>0</v>
      </c>
      <c r="CT40" s="226">
        <f>SUM(CR42:CS42)</f>
        <v>0</v>
      </c>
      <c r="CU40" s="157"/>
      <c r="CV40" s="226">
        <f t="shared" si="95"/>
        <v>1089400</v>
      </c>
      <c r="CW40" s="226">
        <f t="shared" si="96"/>
        <v>1112600</v>
      </c>
      <c r="CX40" s="226">
        <f t="shared" si="97"/>
        <v>2202000</v>
      </c>
      <c r="CY40" s="226">
        <f t="shared" si="98"/>
        <v>0</v>
      </c>
    </row>
    <row r="41" spans="1:103" outlineLevel="1">
      <c r="A41" s="175" t="s">
        <v>686</v>
      </c>
      <c r="B41" s="172" t="s">
        <v>687</v>
      </c>
      <c r="C41" s="169" t="s">
        <v>1037</v>
      </c>
      <c r="D41" s="225">
        <f>IFERROR(VLOOKUP(A41,'202608收入成本表'!A:Y,23,0),0)</f>
        <v>1653385</v>
      </c>
      <c r="E41" s="225">
        <f>IFERROR(VLOOKUP(A41,'202608收入成本表'!A:Z,24,0),0)</f>
        <v>1586615</v>
      </c>
      <c r="F41" s="226">
        <f t="shared" si="57"/>
        <v>3240000</v>
      </c>
      <c r="G41" s="226"/>
      <c r="H41" s="226" cm="1">
        <f t="array" ref="H41">IFERROR(SUM(VLOOKUP(A41,'預算A1 BIM'!$A$77:$BB$143,{19,20,21,22},0)),0)</f>
        <v>92625</v>
      </c>
      <c r="I41" s="226" cm="1">
        <f t="array" ref="I41">IFERROR(SUM(VLOOKUP(A41,'預算A1 BIM'!$A$151:$BB$220,{19,20,21,22},0)),0)</f>
        <v>-55561</v>
      </c>
      <c r="J41" s="226">
        <f t="shared" si="58"/>
        <v>37064</v>
      </c>
      <c r="K41" s="226">
        <f>-VLOOKUP(A41,'2026FCST%'!A:AC,27,FALSE)</f>
        <v>0</v>
      </c>
      <c r="L41" s="226">
        <f t="shared" si="59"/>
        <v>1746010</v>
      </c>
      <c r="M41" s="226">
        <f t="shared" si="60"/>
        <v>1531054</v>
      </c>
      <c r="N41" s="226">
        <f t="shared" si="61"/>
        <v>3277064</v>
      </c>
      <c r="O41" s="226">
        <f t="shared" si="99"/>
        <v>0</v>
      </c>
      <c r="P41" s="226" cm="1">
        <f t="array" ref="P41">IFERROR(SUM(VLOOKUP($A41,'預算A1 BIM'!$A$77:$BB$143,{25},0)),0)+S41</f>
        <v>1006</v>
      </c>
      <c r="Q41" s="226" cm="1">
        <f t="array" ref="Q41">IFERROR(SUM(VLOOKUP($A41,'預算A1 BIM'!$A$151:$BB$220,{25},0)),0)</f>
        <v>882</v>
      </c>
      <c r="R41" s="226">
        <f t="shared" si="62"/>
        <v>1888</v>
      </c>
      <c r="S41" s="157"/>
      <c r="T41" s="226" cm="1">
        <f t="array" ref="T41">IFERROR(SUM(VLOOKUP($A41,'預算A1 BIM'!$A$77:$BB$143,{26},0)),0)+W41</f>
        <v>1006</v>
      </c>
      <c r="U41" s="226" cm="1">
        <f t="array" ref="U41">IFERROR(SUM(VLOOKUP($A41,'預算A1 BIM'!$A$151:$BB$220,{26},0)),0)</f>
        <v>882</v>
      </c>
      <c r="V41" s="226">
        <f t="shared" si="106"/>
        <v>1888</v>
      </c>
      <c r="W41" s="157"/>
      <c r="X41" s="226" cm="1">
        <f t="array" ref="X41">IFERROR(SUM(VLOOKUP($A41,'預算A1 BIM'!$A$77:$BB$143,{27},0)),0)+AA41</f>
        <v>1051</v>
      </c>
      <c r="Y41" s="226" cm="1">
        <f t="array" ref="Y41">IFERROR(SUM(VLOOKUP($A41,'預算A1 BIM'!$A$151:$BB$220,{27},0)),0)</f>
        <v>922</v>
      </c>
      <c r="Z41" s="226">
        <f t="shared" si="107"/>
        <v>1973</v>
      </c>
      <c r="AA41" s="226"/>
      <c r="AB41" s="226" cm="1">
        <f t="array" ref="AB41">IFERROR(SUM(VLOOKUP($A41,'預算A1 BIM'!$A$77:$BB$143,{28},0)),0)+AE41</f>
        <v>1051</v>
      </c>
      <c r="AC41" s="226" cm="1">
        <f t="array" ref="AC41">IFERROR(SUM(VLOOKUP($A41,'預算A1 BIM'!$A$151:$BB$220,{28},0)),0)</f>
        <v>922</v>
      </c>
      <c r="AD41" s="226">
        <f t="shared" si="101"/>
        <v>1973</v>
      </c>
      <c r="AE41" s="157"/>
      <c r="AF41" s="226" cm="1">
        <f t="array" ref="AF41">IFERROR(SUM(VLOOKUP($A41,'預算A1 BIM'!$A$77:$BB$143,{29},0)),0)+AI41</f>
        <v>1051</v>
      </c>
      <c r="AG41" s="226" cm="1">
        <f t="array" ref="AG41">IFERROR(SUM(VLOOKUP($A41,'預算A1 BIM'!$A$151:$BB$220,{29},0)),0)</f>
        <v>921</v>
      </c>
      <c r="AH41" s="226">
        <f t="shared" si="103"/>
        <v>1972</v>
      </c>
      <c r="AI41" s="157"/>
      <c r="AJ41" s="226" cm="1">
        <f t="array" ref="AJ41">IFERROR(SUM(VLOOKUP($A41,'預算A1 BIM'!$A$77:$BB$143,{30},0)),0)+AM41</f>
        <v>1051</v>
      </c>
      <c r="AK41" s="226" cm="1">
        <f t="array" ref="AK41">IFERROR(SUM(VLOOKUP($A41,'預算A1 BIM'!$A$151:$BB$220,{30},0)),0)</f>
        <v>922</v>
      </c>
      <c r="AL41" s="226">
        <f t="shared" si="104"/>
        <v>1973</v>
      </c>
      <c r="AM41" s="157"/>
      <c r="AN41" s="226" cm="1">
        <f t="array" ref="AN41">IFERROR(SUM(VLOOKUP($A41,'預算A1 BIM'!$A$77:$BB$143,{31},0)),0)+AQ41</f>
        <v>1051</v>
      </c>
      <c r="AO41" s="226" cm="1">
        <f t="array" ref="AO41">IFERROR(SUM(VLOOKUP($A41,'預算A1 BIM'!$A$151:$BB$220,{31},0)),0)</f>
        <v>921</v>
      </c>
      <c r="AP41" s="226">
        <f t="shared" si="68"/>
        <v>1972</v>
      </c>
      <c r="AQ41" s="157"/>
      <c r="AR41" s="226" cm="1">
        <f t="array" ref="AR41">IFERROR(SUM(VLOOKUP($A41,'預算A1 BIM'!$A$77:$BB$143,{32},0)),0)+AU41</f>
        <v>0</v>
      </c>
      <c r="AS41" s="226" cm="1">
        <f t="array" ref="AS41">IFERROR(SUM(VLOOKUP($A41,'預算A1 BIM'!$A$151:$BB$220,{32},0)),0)</f>
        <v>0</v>
      </c>
      <c r="AT41" s="226">
        <f t="shared" si="69"/>
        <v>0</v>
      </c>
      <c r="AU41" s="157"/>
      <c r="AV41" s="226" cm="1">
        <f t="array" ref="AV41">IFERROR(SUM(VLOOKUP($A41,'預算A1 BIM'!$A$77:$BB$143,{33},0)),0)+AY41</f>
        <v>0</v>
      </c>
      <c r="AW41" s="226" cm="1">
        <f t="array" ref="AW41">IFERROR(SUM(VLOOKUP($A41,'預算A1 BIM'!$A$151:$BB$220,{33},0)),0)-AY41</f>
        <v>0</v>
      </c>
      <c r="AX41" s="226">
        <f t="shared" si="70"/>
        <v>0</v>
      </c>
      <c r="AY41" s="157"/>
      <c r="AZ41" s="226" cm="1">
        <f t="array" ref="AZ41">IFERROR(SUM(VLOOKUP($A41,'預算A1 BIM'!$A$77:$BB$143,{34},0)),0)+BC41</f>
        <v>0</v>
      </c>
      <c r="BA41" s="226" cm="1">
        <f t="array" ref="BA41">IFERROR(SUM(VLOOKUP($A41,'預算A1 BIM'!$A$151:$BB$220,{34},0)),0)-BC41</f>
        <v>0</v>
      </c>
      <c r="BB41" s="226">
        <f t="shared" si="105"/>
        <v>0</v>
      </c>
      <c r="BC41" s="157"/>
      <c r="BD41" s="226" cm="1">
        <f t="array" ref="BD41">IFERROR(SUM(VLOOKUP($A41,'預算A1 BIM'!$A$77:$BB$143,{35},0)),0)+BG41</f>
        <v>0</v>
      </c>
      <c r="BE41" s="226" cm="1">
        <f t="array" ref="BE41">IFERROR(SUM(VLOOKUP($A41,'預算A1 BIM'!$A$151:$BB$220,{35},0)),0)-BG41</f>
        <v>0</v>
      </c>
      <c r="BF41" s="226">
        <f t="shared" si="72"/>
        <v>0</v>
      </c>
      <c r="BG41" s="157"/>
      <c r="BH41" s="226" cm="1">
        <f t="array" ref="BH41">IFERROR(SUM(VLOOKUP($A41,'預算A1 BIM'!$A$77:$BB$143,{36},0)),0)+BK41</f>
        <v>0</v>
      </c>
      <c r="BI41" s="226" cm="1">
        <f t="array" ref="BI41">IFERROR(SUM(VLOOKUP($A41,'預算A1 BIM'!$A$151:$BB$220,{36},0)),0)-BK41</f>
        <v>0</v>
      </c>
      <c r="BJ41" s="226">
        <f t="shared" si="73"/>
        <v>0</v>
      </c>
      <c r="BK41" s="157"/>
      <c r="BL41" s="226">
        <f>SUMIF($P$4:$BK$4,$BL$4,$P41:$BK$65)</f>
        <v>7267</v>
      </c>
      <c r="BM41" s="226">
        <f>SUMIF($P$4:$BK$4,$BM$4,$P41:$BK$65)</f>
        <v>6372</v>
      </c>
      <c r="BN41" s="226">
        <f t="shared" si="74"/>
        <v>13639</v>
      </c>
      <c r="BO41" s="157">
        <f>SUMIF($P$4:$BK$4,$BO$4,$P41:$BK$65)</f>
        <v>0</v>
      </c>
      <c r="BP41" s="226">
        <f t="shared" si="75"/>
        <v>1753277</v>
      </c>
      <c r="BQ41" s="226">
        <f t="shared" si="76"/>
        <v>1537426</v>
      </c>
      <c r="BR41" s="226">
        <f t="shared" si="77"/>
        <v>3290703</v>
      </c>
      <c r="BS41" s="226">
        <f t="shared" si="78"/>
        <v>0</v>
      </c>
      <c r="BT41" s="226" cm="1">
        <f t="array" ref="BT41">IFERROR(SUM(VLOOKUP($A41,'預算A1 BIM'!$A$77:$BB$143,{39},0)),0)+BW41</f>
        <v>0</v>
      </c>
      <c r="BU41" s="226" cm="1">
        <f t="array" ref="BU41">IFERROR(SUM(VLOOKUP($A41,'預算A1 BIM'!$A$151:$BB$220,{39},0)),0)-BW41</f>
        <v>0</v>
      </c>
      <c r="BV41" s="226">
        <f t="shared" si="79"/>
        <v>0</v>
      </c>
      <c r="BW41" s="157"/>
      <c r="BX41" s="226">
        <f t="shared" si="80"/>
        <v>1753277</v>
      </c>
      <c r="BY41" s="157">
        <f t="shared" si="81"/>
        <v>1537426</v>
      </c>
      <c r="BZ41" s="226">
        <f t="shared" si="82"/>
        <v>3290703</v>
      </c>
      <c r="CA41" s="157">
        <f t="shared" si="83"/>
        <v>0</v>
      </c>
      <c r="CB41" s="226" cm="1">
        <f t="array" ref="CB41">IFERROR(SUM(VLOOKUP($A41,'預算A1 BIM'!$A$77:$BB$143,{40},0)),0)+CE41</f>
        <v>0</v>
      </c>
      <c r="CC41" s="226" cm="1">
        <f t="array" ref="CC41">IFERROR(SUM(VLOOKUP($A41,'預算A1 BIM'!$A$151:$BB$220,{40},0)),0)-CE41</f>
        <v>0</v>
      </c>
      <c r="CD41" s="226">
        <f t="shared" si="84"/>
        <v>0</v>
      </c>
      <c r="CE41" s="157"/>
      <c r="CF41" s="226">
        <f t="shared" si="85"/>
        <v>1753277</v>
      </c>
      <c r="CG41" s="226">
        <f t="shared" si="86"/>
        <v>1537426</v>
      </c>
      <c r="CH41" s="226">
        <f t="shared" si="87"/>
        <v>3290703</v>
      </c>
      <c r="CI41" s="226">
        <f t="shared" si="88"/>
        <v>0</v>
      </c>
      <c r="CJ41" s="226" cm="1">
        <f t="array" ref="CJ41">IFERROR(SUM(VLOOKUP($A41,'預算A1 BIM'!$A$77:$BB$143,{41},0)),0)+CM41</f>
        <v>0</v>
      </c>
      <c r="CK41" s="226" cm="1">
        <f t="array" ref="CK41">IFERROR(SUM(VLOOKUP($A41,'預算A1 BIM'!$A$151:$BB$220,{41},0)),0)-CM41</f>
        <v>0</v>
      </c>
      <c r="CL41" s="226">
        <f t="shared" si="89"/>
        <v>0</v>
      </c>
      <c r="CM41" s="157"/>
      <c r="CN41" s="226">
        <f t="shared" si="90"/>
        <v>1753277</v>
      </c>
      <c r="CO41" s="226">
        <f t="shared" si="91"/>
        <v>1537426</v>
      </c>
      <c r="CP41" s="226">
        <f t="shared" si="92"/>
        <v>3290703</v>
      </c>
      <c r="CQ41" s="226">
        <f t="shared" si="93"/>
        <v>0</v>
      </c>
      <c r="CR41" s="226" cm="1">
        <f t="array" ref="CR41">IFERROR(SUM(VLOOKUP($A42,'預算A1 BIM'!$A$77:$BB$143,{42},0)),0)+CU42</f>
        <v>0</v>
      </c>
      <c r="CS41" s="226" cm="1">
        <f t="array" ref="CS41">IFERROR(SUM(VLOOKUP($A42,'預算A1 BIM'!$A$151:$BB$220,{42},0)),0)-CU42</f>
        <v>0</v>
      </c>
      <c r="CT41" s="226">
        <f>SUM(CR42:CS42)</f>
        <v>0</v>
      </c>
      <c r="CU41" s="157"/>
      <c r="CV41" s="226">
        <f t="shared" si="95"/>
        <v>1753277</v>
      </c>
      <c r="CW41" s="226">
        <f t="shared" si="96"/>
        <v>1537426</v>
      </c>
      <c r="CX41" s="226">
        <f t="shared" si="97"/>
        <v>3290703</v>
      </c>
      <c r="CY41" s="226">
        <f t="shared" si="98"/>
        <v>0</v>
      </c>
    </row>
    <row r="42" spans="1:103" s="1401" customFormat="1" outlineLevel="1">
      <c r="A42" s="1397" t="s">
        <v>688</v>
      </c>
      <c r="B42" s="1404" t="s">
        <v>689</v>
      </c>
      <c r="C42" s="1398" t="s">
        <v>1245</v>
      </c>
      <c r="D42" s="1399">
        <f>IFERROR(VLOOKUP(A42,'202608收入成本表'!A:Y,23,0),0)</f>
        <v>1250140</v>
      </c>
      <c r="E42" s="1399">
        <f>IFERROR(VLOOKUP(A42,'202608收入成本表'!A:Z,24,0),0)</f>
        <v>1797480</v>
      </c>
      <c r="F42" s="1400">
        <f t="shared" si="57"/>
        <v>3047620</v>
      </c>
      <c r="G42" s="1400"/>
      <c r="H42" s="1400" cm="1">
        <f t="array" ref="H42">IFERROR(SUM(VLOOKUP(A42,'預算A1 BIM'!$A$77:$BB$143,{19,20,21,22},0)),0)</f>
        <v>0</v>
      </c>
      <c r="I42" s="1400" cm="1">
        <f t="array" ref="I42">IFERROR(SUM(VLOOKUP(A42,'預算A1 BIM'!$A$151:$BB$220,{19,20,21,22},0)),0)</f>
        <v>0</v>
      </c>
      <c r="J42" s="1400">
        <f t="shared" si="58"/>
        <v>0</v>
      </c>
      <c r="K42" s="226">
        <f>-VLOOKUP(A42,'2026FCST%'!A:AC,27,FALSE)</f>
        <v>0</v>
      </c>
      <c r="L42" s="1400">
        <f t="shared" si="59"/>
        <v>1250140</v>
      </c>
      <c r="M42" s="1400">
        <f t="shared" si="60"/>
        <v>1797480</v>
      </c>
      <c r="N42" s="1400">
        <f t="shared" si="61"/>
        <v>3047620</v>
      </c>
      <c r="O42" s="1400">
        <f t="shared" si="99"/>
        <v>0</v>
      </c>
      <c r="P42" s="226" cm="1">
        <f t="array" ref="P42">IFERROR(SUM(VLOOKUP($A42,'預算A1 BIM'!$A$77:$BB$143,{25},0)),0)+S42</f>
        <v>0</v>
      </c>
      <c r="Q42" s="226" cm="1">
        <f t="array" ref="Q42">IFERROR(SUM(VLOOKUP($A42,'預算A1 BIM'!$A$151:$BB$220,{25},0)),0)</f>
        <v>0</v>
      </c>
      <c r="R42" s="1400">
        <f t="shared" si="62"/>
        <v>0</v>
      </c>
      <c r="S42" s="1397"/>
      <c r="T42" s="226" cm="1">
        <f t="array" ref="T42">IFERROR(SUM(VLOOKUP($A42,'預算A1 BIM'!$A$77:$BB$143,{26},0)),0)+W42</f>
        <v>0</v>
      </c>
      <c r="U42" s="226" cm="1">
        <f t="array" ref="U42">IFERROR(SUM(VLOOKUP($A42,'預算A1 BIM'!$A$151:$BB$220,{26},0)),0)</f>
        <v>0</v>
      </c>
      <c r="V42" s="226">
        <f t="shared" si="106"/>
        <v>0</v>
      </c>
      <c r="W42" s="1397"/>
      <c r="X42" s="226" cm="1">
        <f t="array" ref="X42">IFERROR(SUM(VLOOKUP($A42,'預算A1 BIM'!$A$77:$BB$143,{27},0)),0)+AA42</f>
        <v>0</v>
      </c>
      <c r="Y42" s="226" cm="1">
        <f t="array" ref="Y42">IFERROR(SUM(VLOOKUP($A42,'預算A1 BIM'!$A$151:$BB$220,{27},0)),0)</f>
        <v>0</v>
      </c>
      <c r="Z42" s="226">
        <f t="shared" si="107"/>
        <v>0</v>
      </c>
      <c r="AA42" s="226"/>
      <c r="AB42" s="226" cm="1">
        <f t="array" ref="AB42">IFERROR(SUM(VLOOKUP($A42,'預算A1 BIM'!$A$77:$BB$143,{28},0)),0)+AE42</f>
        <v>0</v>
      </c>
      <c r="AC42" s="226" cm="1">
        <f t="array" ref="AC42">IFERROR(SUM(VLOOKUP($A42,'預算A1 BIM'!$A$151:$BB$220,{28},0)),0)</f>
        <v>0</v>
      </c>
      <c r="AD42" s="226">
        <f t="shared" si="101"/>
        <v>0</v>
      </c>
      <c r="AE42" s="1397"/>
      <c r="AF42" s="226" cm="1">
        <f t="array" ref="AF42">IFERROR(SUM(VLOOKUP($A42,'預算A1 BIM'!$A$77:$BB$143,{29},0)),0)+AI42</f>
        <v>0</v>
      </c>
      <c r="AG42" s="226" cm="1">
        <f t="array" ref="AG42">IFERROR(SUM(VLOOKUP($A42,'預算A1 BIM'!$A$151:$BB$220,{29},0)),0)</f>
        <v>0</v>
      </c>
      <c r="AH42" s="226">
        <f t="shared" si="103"/>
        <v>0</v>
      </c>
      <c r="AI42" s="1397"/>
      <c r="AJ42" s="226" cm="1">
        <f t="array" ref="AJ42">IFERROR(SUM(VLOOKUP($A42,'預算A1 BIM'!$A$77:$BB$143,{30},0)),0)+AM42</f>
        <v>0</v>
      </c>
      <c r="AK42" s="226" cm="1">
        <f t="array" ref="AK42">IFERROR(SUM(VLOOKUP($A42,'預算A1 BIM'!$A$151:$BB$220,{30},0)),0)</f>
        <v>0</v>
      </c>
      <c r="AL42" s="226">
        <f t="shared" si="104"/>
        <v>0</v>
      </c>
      <c r="AM42" s="1397"/>
      <c r="AN42" s="226" cm="1">
        <f t="array" ref="AN42">IFERROR(SUM(VLOOKUP($A42,'預算A1 BIM'!$A$77:$BB$143,{31},0)),0)+AQ42</f>
        <v>0</v>
      </c>
      <c r="AO42" s="226" cm="1">
        <f t="array" ref="AO42">IFERROR(SUM(VLOOKUP($A42,'預算A1 BIM'!$A$151:$BB$220,{31},0)),0)</f>
        <v>0</v>
      </c>
      <c r="AP42" s="226">
        <f t="shared" si="68"/>
        <v>0</v>
      </c>
      <c r="AQ42" s="1397"/>
      <c r="AR42" s="226" cm="1">
        <f t="array" ref="AR42">IFERROR(SUM(VLOOKUP($A42,'預算A1 BIM'!$A$77:$BB$143,{32},0)),0)+AU42</f>
        <v>0</v>
      </c>
      <c r="AS42" s="226" cm="1">
        <f t="array" ref="AS42">IFERROR(SUM(VLOOKUP($A42,'預算A1 BIM'!$A$151:$BB$220,{32},0)),0)</f>
        <v>0</v>
      </c>
      <c r="AT42" s="226">
        <f t="shared" si="69"/>
        <v>0</v>
      </c>
      <c r="AU42" s="1397"/>
      <c r="AV42" s="226" cm="1">
        <f t="array" ref="AV42">IFERROR(SUM(VLOOKUP($A42,'預算A1 BIM'!$A$77:$BB$143,{33},0)),0)+AY42</f>
        <v>0</v>
      </c>
      <c r="AW42" s="226" cm="1">
        <f t="array" ref="AW42">IFERROR(SUM(VLOOKUP($A42,'預算A1 BIM'!$A$151:$BB$220,{33},0)),0)-AY42</f>
        <v>0</v>
      </c>
      <c r="AX42" s="226">
        <f t="shared" si="70"/>
        <v>0</v>
      </c>
      <c r="AY42" s="1397"/>
      <c r="AZ42" s="226" cm="1">
        <f t="array" ref="AZ42">IFERROR(SUM(VLOOKUP($A42,'預算A1 BIM'!$A$77:$BB$143,{34},0)),0)+BC42</f>
        <v>0</v>
      </c>
      <c r="BA42" s="226" cm="1">
        <f t="array" ref="BA42">IFERROR(SUM(VLOOKUP($A42,'預算A1 BIM'!$A$151:$BB$220,{34},0)),0)-BC42</f>
        <v>0</v>
      </c>
      <c r="BB42" s="226">
        <f t="shared" si="105"/>
        <v>0</v>
      </c>
      <c r="BC42" s="1397"/>
      <c r="BD42" s="226" cm="1">
        <f t="array" ref="BD42">IFERROR(SUM(VLOOKUP($A42,'預算A1 BIM'!$A$77:$BB$143,{35},0)),0)+BG42</f>
        <v>0</v>
      </c>
      <c r="BE42" s="226" cm="1">
        <f t="array" ref="BE42">IFERROR(SUM(VLOOKUP($A42,'預算A1 BIM'!$A$151:$BB$220,{35},0)),0)-BG42</f>
        <v>0</v>
      </c>
      <c r="BF42" s="226">
        <f t="shared" si="72"/>
        <v>0</v>
      </c>
      <c r="BG42" s="1397"/>
      <c r="BH42" s="226" cm="1">
        <f t="array" ref="BH42">IFERROR(SUM(VLOOKUP($A42,'預算A1 BIM'!$A$77:$BB$143,{36},0)),0)+BK42</f>
        <v>0</v>
      </c>
      <c r="BI42" s="226" cm="1">
        <f t="array" ref="BI42">IFERROR(SUM(VLOOKUP($A42,'預算A1 BIM'!$A$151:$BB$220,{36},0)),0)-BK42</f>
        <v>0</v>
      </c>
      <c r="BJ42" s="226">
        <f t="shared" si="73"/>
        <v>0</v>
      </c>
      <c r="BK42" s="1397"/>
      <c r="BL42" s="1400">
        <f>SUMIF($P$4:$BK$4,$BL$4,$P42:$BK$65)</f>
        <v>0</v>
      </c>
      <c r="BM42" s="1400">
        <f>SUMIF($P$4:$BK$4,$BM$4,$P42:$BK$65)</f>
        <v>0</v>
      </c>
      <c r="BN42" s="1400">
        <f t="shared" si="74"/>
        <v>0</v>
      </c>
      <c r="BO42" s="1397">
        <f>SUMIF($P$4:$BK$4,$BO$4,$P42:$BK$65)</f>
        <v>0</v>
      </c>
      <c r="BP42" s="1400">
        <f t="shared" si="75"/>
        <v>1250140</v>
      </c>
      <c r="BQ42" s="1400">
        <f t="shared" si="76"/>
        <v>1797480</v>
      </c>
      <c r="BR42" s="1400">
        <f t="shared" si="77"/>
        <v>3047620</v>
      </c>
      <c r="BS42" s="1400">
        <f t="shared" si="78"/>
        <v>0</v>
      </c>
      <c r="BT42" s="226" cm="1">
        <f t="array" ref="BT42">IFERROR(SUM(VLOOKUP($A42,'預算A1 BIM'!$A$77:$BB$143,{39},0)),0)+BW42</f>
        <v>0</v>
      </c>
      <c r="BU42" s="226" cm="1">
        <f t="array" ref="BU42">IFERROR(SUM(VLOOKUP($A42,'預算A1 BIM'!$A$151:$BB$220,{39},0)),0)-BW42</f>
        <v>0</v>
      </c>
      <c r="BV42" s="226">
        <f t="shared" si="79"/>
        <v>0</v>
      </c>
      <c r="BW42" s="1397"/>
      <c r="BX42" s="1400">
        <f t="shared" si="80"/>
        <v>1250140</v>
      </c>
      <c r="BY42" s="1397">
        <f t="shared" si="81"/>
        <v>1797480</v>
      </c>
      <c r="BZ42" s="1400">
        <f t="shared" si="82"/>
        <v>3047620</v>
      </c>
      <c r="CA42" s="1397">
        <f t="shared" si="83"/>
        <v>0</v>
      </c>
      <c r="CB42" s="226" cm="1">
        <f t="array" ref="CB42">IFERROR(SUM(VLOOKUP($A42,'預算A1 BIM'!$A$77:$BB$143,{40},0)),0)+CE42</f>
        <v>0</v>
      </c>
      <c r="CC42" s="226" cm="1">
        <f t="array" ref="CC42">IFERROR(SUM(VLOOKUP($A42,'預算A1 BIM'!$A$151:$BB$220,{40},0)),0)-CE42</f>
        <v>0</v>
      </c>
      <c r="CD42" s="226">
        <f t="shared" si="84"/>
        <v>0</v>
      </c>
      <c r="CE42" s="1397"/>
      <c r="CF42" s="1400">
        <f t="shared" si="85"/>
        <v>1250140</v>
      </c>
      <c r="CG42" s="1400">
        <f t="shared" si="86"/>
        <v>1797480</v>
      </c>
      <c r="CH42" s="1400">
        <f t="shared" si="87"/>
        <v>3047620</v>
      </c>
      <c r="CI42" s="1400">
        <f t="shared" si="88"/>
        <v>0</v>
      </c>
      <c r="CJ42" s="226" cm="1">
        <f t="array" ref="CJ42">IFERROR(SUM(VLOOKUP($A42,'預算A1 BIM'!$A$77:$BB$143,{41},0)),0)+CM42</f>
        <v>0</v>
      </c>
      <c r="CK42" s="226" cm="1">
        <f t="array" ref="CK42">IFERROR(SUM(VLOOKUP($A42,'預算A1 BIM'!$A$151:$BB$220,{41},0)),0)-CM42</f>
        <v>0</v>
      </c>
      <c r="CL42" s="226">
        <f t="shared" si="89"/>
        <v>0</v>
      </c>
      <c r="CM42" s="1397"/>
      <c r="CN42" s="1400">
        <f t="shared" si="90"/>
        <v>1250140</v>
      </c>
      <c r="CO42" s="1400">
        <f t="shared" si="91"/>
        <v>1797480</v>
      </c>
      <c r="CP42" s="1400">
        <f t="shared" si="92"/>
        <v>3047620</v>
      </c>
      <c r="CQ42" s="1400">
        <f t="shared" si="93"/>
        <v>0</v>
      </c>
      <c r="CR42" s="226" cm="1">
        <f t="array" ref="CR42">IFERROR(SUM(VLOOKUP($A42,'預算A1 BIM'!$A$77:$BB$143,{42},0)),0)+CU42</f>
        <v>0</v>
      </c>
      <c r="CS42" s="226" cm="1">
        <f t="array" ref="CS42">IFERROR(SUM(VLOOKUP($A42,'預算A1 BIM'!$A$151:$BB$220,{42},0)),0)-CU42</f>
        <v>0</v>
      </c>
      <c r="CT42" s="226">
        <f t="shared" ref="CT42:CT57" si="108">SUM(CR42:CS42)</f>
        <v>0</v>
      </c>
      <c r="CU42" s="1397"/>
      <c r="CV42" s="1400">
        <f t="shared" si="95"/>
        <v>1250140</v>
      </c>
      <c r="CW42" s="1400">
        <f t="shared" si="96"/>
        <v>1797480</v>
      </c>
      <c r="CX42" s="1400">
        <f t="shared" si="97"/>
        <v>3047620</v>
      </c>
      <c r="CY42" s="1400">
        <f t="shared" si="98"/>
        <v>0</v>
      </c>
    </row>
    <row r="43" spans="1:103" outlineLevel="1">
      <c r="A43" s="175" t="s">
        <v>690</v>
      </c>
      <c r="B43" s="172" t="s">
        <v>691</v>
      </c>
      <c r="C43" s="169" t="s">
        <v>1037</v>
      </c>
      <c r="D43" s="225">
        <f>IFERROR(VLOOKUP(A43,'202608收入成本表'!A:Y,23,0),0)</f>
        <v>7054154</v>
      </c>
      <c r="E43" s="225">
        <f>IFERROR(VLOOKUP(A43,'202608收入成本表'!A:Z,24,0),0)</f>
        <v>2720596</v>
      </c>
      <c r="F43" s="226">
        <f t="shared" si="57"/>
        <v>9774750</v>
      </c>
      <c r="G43" s="226"/>
      <c r="H43" s="226" cm="1">
        <f t="array" ref="H43">IFERROR(SUM(VLOOKUP(A43,'預算A1 BIM'!$A$77:$BB$143,{19,20,21,22},0)),0)</f>
        <v>1759014</v>
      </c>
      <c r="I43" s="226" cm="1">
        <f t="array" ref="I43">IFERROR(SUM(VLOOKUP(A43,'預算A1 BIM'!$A$151:$BB$220,{19,20,21,22},0)),0)</f>
        <v>-531850</v>
      </c>
      <c r="J43" s="226">
        <f t="shared" si="58"/>
        <v>1227164</v>
      </c>
      <c r="K43" s="226">
        <f>-VLOOKUP(A43,'2026FCST%'!A:AC,27,FALSE)</f>
        <v>0</v>
      </c>
      <c r="L43" s="226">
        <f t="shared" si="59"/>
        <v>8813168</v>
      </c>
      <c r="M43" s="226">
        <f t="shared" si="60"/>
        <v>2188746</v>
      </c>
      <c r="N43" s="226">
        <f t="shared" si="61"/>
        <v>11001914</v>
      </c>
      <c r="O43" s="226">
        <f t="shared" si="99"/>
        <v>0</v>
      </c>
      <c r="P43" s="226" cm="1">
        <f t="array" ref="P43">IFERROR(SUM(VLOOKUP($A43,'預算A1 BIM'!$A$77:$BB$143,{25},0)),0)+S43</f>
        <v>304571</v>
      </c>
      <c r="Q43" s="226" cm="1">
        <f t="array" ref="Q43">IFERROR(SUM(VLOOKUP($A43,'預算A1 BIM'!$A$151:$BB$220,{25},0)),0)</f>
        <v>75640</v>
      </c>
      <c r="R43" s="226">
        <f t="shared" si="62"/>
        <v>380211</v>
      </c>
      <c r="S43" s="157"/>
      <c r="T43" s="226" cm="1">
        <f t="array" ref="T43">IFERROR(SUM(VLOOKUP($A43,'預算A1 BIM'!$A$77:$BB$143,{26},0)),0)+W43</f>
        <v>199332</v>
      </c>
      <c r="U43" s="226" cm="1">
        <f t="array" ref="U43">IFERROR(SUM(VLOOKUP($A43,'預算A1 BIM'!$A$151:$BB$220,{26},0)),0)</f>
        <v>49504</v>
      </c>
      <c r="V43" s="226">
        <f t="shared" si="106"/>
        <v>248836</v>
      </c>
      <c r="W43" s="157"/>
      <c r="X43" s="226" cm="1">
        <f t="array" ref="X43">IFERROR(SUM(VLOOKUP($A43,'預算A1 BIM'!$A$77:$BB$143,{27},0)),0)+AA43</f>
        <v>1515676</v>
      </c>
      <c r="Y43" s="226" cm="1">
        <f t="array" ref="Y43">IFERROR(SUM(VLOOKUP($A43,'預算A1 BIM'!$A$151:$BB$220,{27},0)),0)</f>
        <v>376418</v>
      </c>
      <c r="Z43" s="226">
        <f t="shared" si="107"/>
        <v>1892094</v>
      </c>
      <c r="AA43" s="226"/>
      <c r="AB43" s="226" cm="1">
        <f t="array" ref="AB43">IFERROR(SUM(VLOOKUP($A43,'預算A1 BIM'!$A$77:$BB$143,{28},0)),0)+AE43</f>
        <v>725044</v>
      </c>
      <c r="AC43" s="226" cm="1">
        <f t="array" ref="AC43">IFERROR(SUM(VLOOKUP($A43,'預算A1 BIM'!$A$151:$BB$220,{28},0)),0)</f>
        <v>180064</v>
      </c>
      <c r="AD43" s="226">
        <f t="shared" si="101"/>
        <v>905108</v>
      </c>
      <c r="AE43" s="157"/>
      <c r="AF43" s="226" cm="1">
        <f t="array" ref="AF43">IFERROR(SUM(VLOOKUP($A43,'預算A1 BIM'!$A$77:$BB$143,{29},0)),0)+AI43</f>
        <v>370497</v>
      </c>
      <c r="AG43" s="226" cm="1">
        <f t="array" ref="AG43">IFERROR(SUM(VLOOKUP($A43,'預算A1 BIM'!$A$151:$BB$220,{29},0)),0)</f>
        <v>92013</v>
      </c>
      <c r="AH43" s="226">
        <f t="shared" si="103"/>
        <v>462510</v>
      </c>
      <c r="AI43" s="157"/>
      <c r="AJ43" s="226" cm="1">
        <f t="array" ref="AJ43">IFERROR(SUM(VLOOKUP($A43,'預算A1 BIM'!$A$77:$BB$143,{30},0)),0)+AM43</f>
        <v>378424</v>
      </c>
      <c r="AK43" s="226" cm="1">
        <f t="array" ref="AK43">IFERROR(SUM(VLOOKUP($A43,'預算A1 BIM'!$A$151:$BB$220,{30},0)),0)</f>
        <v>93981</v>
      </c>
      <c r="AL43" s="226">
        <f t="shared" si="104"/>
        <v>472405</v>
      </c>
      <c r="AM43" s="157"/>
      <c r="AN43" s="226" cm="1">
        <f t="array" ref="AN43">IFERROR(SUM(VLOOKUP($A43,'預算A1 BIM'!$A$77:$BB$143,{31},0)),0)+AQ43</f>
        <v>755017</v>
      </c>
      <c r="AO43" s="226" cm="1">
        <f t="array" ref="AO43">IFERROR(SUM(VLOOKUP($A43,'預算A1 BIM'!$A$151:$BB$220,{31},0)),0)</f>
        <v>187508</v>
      </c>
      <c r="AP43" s="226">
        <f t="shared" si="68"/>
        <v>942525</v>
      </c>
      <c r="AQ43" s="157"/>
      <c r="AR43" s="226" cm="1">
        <f t="array" ref="AR43">IFERROR(SUM(VLOOKUP($A43,'預算A1 BIM'!$A$77:$BB$143,{32},0)),0)+AU43</f>
        <v>357768</v>
      </c>
      <c r="AS43" s="226" cm="1">
        <f t="array" ref="AS43">IFERROR(SUM(VLOOKUP($A43,'預算A1 BIM'!$A$151:$BB$220,{32},0)),0)</f>
        <v>88852</v>
      </c>
      <c r="AT43" s="226">
        <f t="shared" si="69"/>
        <v>446620</v>
      </c>
      <c r="AU43" s="157"/>
      <c r="AV43" s="226" cm="1">
        <f t="array" ref="AV43">IFERROR(SUM(VLOOKUP($A43,'預算A1 BIM'!$A$77:$BB$143,{33},0)),0)+AY43</f>
        <v>307297</v>
      </c>
      <c r="AW43" s="226" cm="1">
        <f t="array" ref="AW43">IFERROR(SUM(VLOOKUP($A43,'預算A1 BIM'!$A$151:$BB$220,{33},0)),0)-AY43</f>
        <v>76317</v>
      </c>
      <c r="AX43" s="226">
        <f t="shared" si="70"/>
        <v>383614</v>
      </c>
      <c r="AY43" s="157"/>
      <c r="AZ43" s="226" cm="1">
        <f t="array" ref="AZ43">IFERROR(SUM(VLOOKUP($A43,'預算A1 BIM'!$A$77:$BB$143,{34},0)),0)+BC43</f>
        <v>723079</v>
      </c>
      <c r="BA43" s="226" cm="1">
        <f t="array" ref="BA43">IFERROR(SUM(VLOOKUP($A43,'預算A1 BIM'!$A$151:$BB$220,{34},0)),0)-BC43</f>
        <v>179576</v>
      </c>
      <c r="BB43" s="226">
        <f t="shared" si="105"/>
        <v>902655</v>
      </c>
      <c r="BC43" s="157"/>
      <c r="BD43" s="226" cm="1">
        <f t="array" ref="BD43">IFERROR(SUM(VLOOKUP($A43,'預算A1 BIM'!$A$77:$BB$143,{35},0)),0)+BG43</f>
        <v>353552</v>
      </c>
      <c r="BE43" s="226" cm="1">
        <f t="array" ref="BE43">IFERROR(SUM(VLOOKUP($A43,'預算A1 BIM'!$A$151:$BB$220,{35},0)),0)-BG43</f>
        <v>87805</v>
      </c>
      <c r="BF43" s="226">
        <f t="shared" si="72"/>
        <v>441357</v>
      </c>
      <c r="BG43" s="157"/>
      <c r="BH43" s="226" cm="1">
        <f t="array" ref="BH43">IFERROR(SUM(VLOOKUP($A43,'預算A1 BIM'!$A$77:$BB$143,{36},0)),0)+BK43</f>
        <v>442454</v>
      </c>
      <c r="BI43" s="226" cm="1">
        <f t="array" ref="BI43">IFERROR(SUM(VLOOKUP($A43,'預算A1 BIM'!$A$151:$BB$220,{36},0)),0)-BK43</f>
        <v>109883</v>
      </c>
      <c r="BJ43" s="226">
        <f t="shared" si="73"/>
        <v>552337</v>
      </c>
      <c r="BK43" s="157"/>
      <c r="BL43" s="226">
        <f>SUMIF($P$4:$BK$4,$BL$4,$P43:$BK$65)</f>
        <v>6432711</v>
      </c>
      <c r="BM43" s="226">
        <f>SUMIF($P$4:$BK$4,$BM$4,$P43:$BK$65)</f>
        <v>1597561</v>
      </c>
      <c r="BN43" s="226">
        <f t="shared" si="74"/>
        <v>8030272</v>
      </c>
      <c r="BO43" s="157">
        <f>SUMIF($P$4:$BK$4,$BO$4,$P43:$BK$65)</f>
        <v>0</v>
      </c>
      <c r="BP43" s="226">
        <f t="shared" si="75"/>
        <v>15245879</v>
      </c>
      <c r="BQ43" s="226">
        <f t="shared" si="76"/>
        <v>3786307</v>
      </c>
      <c r="BR43" s="226">
        <f t="shared" si="77"/>
        <v>19032186</v>
      </c>
      <c r="BS43" s="226">
        <f t="shared" si="78"/>
        <v>0</v>
      </c>
      <c r="BT43" s="226" cm="1">
        <f t="array" ref="BT43">IFERROR(SUM(VLOOKUP($A43,'預算A1 BIM'!$A$77:$BB$143,{39},0)),0)+BW43</f>
        <v>7164174</v>
      </c>
      <c r="BU43" s="226" cm="1">
        <f t="array" ref="BU43">IFERROR(SUM(VLOOKUP($A43,'預算A1 BIM'!$A$151:$BB$220,{39},0)),0)-BW43</f>
        <v>1779219</v>
      </c>
      <c r="BV43" s="226">
        <f t="shared" si="79"/>
        <v>8943393</v>
      </c>
      <c r="BW43" s="157"/>
      <c r="BX43" s="226">
        <f>+BP43+BT43</f>
        <v>22410053</v>
      </c>
      <c r="BY43" s="157">
        <f t="shared" si="81"/>
        <v>5565526</v>
      </c>
      <c r="BZ43" s="226">
        <f t="shared" si="82"/>
        <v>27975579</v>
      </c>
      <c r="CA43" s="157">
        <f t="shared" si="83"/>
        <v>0</v>
      </c>
      <c r="CB43" s="226" cm="1">
        <f t="array" ref="CB43">IFERROR(SUM(VLOOKUP($A43,'預算A1 BIM'!$A$77:$BB$143,{40},0)),0)+CE43</f>
        <v>5228358</v>
      </c>
      <c r="CC43" s="226" cm="1">
        <f t="array" ref="CC43">IFERROR(SUM(VLOOKUP($A43,'預算A1 BIM'!$A$151:$BB$220,{40},0)),0)-CE43</f>
        <v>1298461</v>
      </c>
      <c r="CD43" s="226">
        <f t="shared" si="84"/>
        <v>6526819</v>
      </c>
      <c r="CE43" s="157"/>
      <c r="CF43" s="226">
        <f t="shared" si="85"/>
        <v>27638411</v>
      </c>
      <c r="CG43" s="226">
        <f t="shared" si="86"/>
        <v>6863987</v>
      </c>
      <c r="CH43" s="226">
        <f t="shared" si="87"/>
        <v>34502398</v>
      </c>
      <c r="CI43" s="226">
        <f t="shared" si="88"/>
        <v>0</v>
      </c>
      <c r="CJ43" s="226" cm="1">
        <f t="array" ref="CJ43">IFERROR(SUM(VLOOKUP($A43,'預算A1 BIM'!$A$77:$BB$143,{41},0)),0)+CM43</f>
        <v>1169252</v>
      </c>
      <c r="CK43" s="226" cm="1">
        <f t="array" ref="CK43">IFERROR(SUM(VLOOKUP($A43,'預算A1 BIM'!$A$151:$BB$220,{41},0)),0)-CM43</f>
        <v>290383</v>
      </c>
      <c r="CL43" s="226">
        <f t="shared" si="89"/>
        <v>1459635</v>
      </c>
      <c r="CM43" s="157"/>
      <c r="CN43" s="226">
        <f t="shared" si="90"/>
        <v>28807663</v>
      </c>
      <c r="CO43" s="226">
        <f t="shared" si="91"/>
        <v>7154370</v>
      </c>
      <c r="CP43" s="226">
        <f t="shared" si="92"/>
        <v>35962033</v>
      </c>
      <c r="CQ43" s="226">
        <f t="shared" si="93"/>
        <v>0</v>
      </c>
      <c r="CR43" s="226" cm="1">
        <f t="array" ref="CR43">IFERROR(SUM(VLOOKUP($A43,'預算A1 BIM'!$A$77:$BB$143,{42},0)),0)+CU43</f>
        <v>0</v>
      </c>
      <c r="CS43" s="226" cm="1">
        <f t="array" ref="CS43">IFERROR(SUM(VLOOKUP($A43,'預算A1 BIM'!$A$151:$BB$220,{42},0)),0)-CU43</f>
        <v>0</v>
      </c>
      <c r="CT43" s="226">
        <f t="shared" si="108"/>
        <v>0</v>
      </c>
      <c r="CU43" s="157"/>
      <c r="CV43" s="226">
        <f t="shared" si="95"/>
        <v>28807663</v>
      </c>
      <c r="CW43" s="226">
        <f t="shared" si="96"/>
        <v>7154370</v>
      </c>
      <c r="CX43" s="226">
        <f t="shared" si="97"/>
        <v>35962033</v>
      </c>
      <c r="CY43" s="226">
        <f t="shared" si="98"/>
        <v>0</v>
      </c>
    </row>
    <row r="44" spans="1:103" outlineLevel="1">
      <c r="A44" s="175" t="s">
        <v>692</v>
      </c>
      <c r="B44" s="172" t="s">
        <v>693</v>
      </c>
      <c r="C44" s="169" t="s">
        <v>1037</v>
      </c>
      <c r="D44" s="225">
        <f>IFERROR(VLOOKUP(A44,'202608收入成本表'!A:Y,23,0),0)</f>
        <v>944109</v>
      </c>
      <c r="E44" s="225">
        <f>IFERROR(VLOOKUP(A44,'202608收入成本表'!A:Z,24,0),0)</f>
        <v>835891</v>
      </c>
      <c r="F44" s="226">
        <f t="shared" si="57"/>
        <v>1780000</v>
      </c>
      <c r="G44" s="226"/>
      <c r="H44" s="226" cm="1">
        <f t="array" ref="H44">IFERROR(SUM(VLOOKUP(A44,'預算A1 BIM'!$A$77:$BB$143,{19,20,21,22},0)),0)</f>
        <v>153544</v>
      </c>
      <c r="I44" s="226" cm="1">
        <f t="array" ref="I44">IFERROR(SUM(VLOOKUP(A44,'預算A1 BIM'!$A$151:$BB$220,{19,20,21,22},0)),0)</f>
        <v>-288690</v>
      </c>
      <c r="J44" s="226">
        <f t="shared" si="58"/>
        <v>-135146</v>
      </c>
      <c r="K44" s="226">
        <f>-VLOOKUP(A44,'2026FCST%'!A:AC,27,FALSE)</f>
        <v>0</v>
      </c>
      <c r="L44" s="226">
        <f t="shared" si="59"/>
        <v>1097653</v>
      </c>
      <c r="M44" s="226">
        <f t="shared" si="60"/>
        <v>547201</v>
      </c>
      <c r="N44" s="226">
        <f t="shared" si="61"/>
        <v>1644854</v>
      </c>
      <c r="O44" s="226">
        <f t="shared" si="99"/>
        <v>0</v>
      </c>
      <c r="P44" s="226" cm="1">
        <f t="array" ref="P44">IFERROR(SUM(VLOOKUP($A44,'預算A1 BIM'!$A$77:$BB$143,{25},0)),0)+S44</f>
        <v>1677</v>
      </c>
      <c r="Q44" s="226" cm="1">
        <f t="array" ref="Q44">IFERROR(SUM(VLOOKUP($A44,'預算A1 BIM'!$A$151:$BB$220,{25},0)),0)</f>
        <v>836</v>
      </c>
      <c r="R44" s="226">
        <f t="shared" si="62"/>
        <v>2513</v>
      </c>
      <c r="S44" s="157"/>
      <c r="T44" s="226" cm="1">
        <f t="array" ref="T44">IFERROR(SUM(VLOOKUP($A44,'預算A1 BIM'!$A$77:$BB$143,{26},0)),0)+W44</f>
        <v>1677</v>
      </c>
      <c r="U44" s="226" cm="1">
        <f t="array" ref="U44">IFERROR(SUM(VLOOKUP($A44,'預算A1 BIM'!$A$151:$BB$220,{26},0)),0)</f>
        <v>836</v>
      </c>
      <c r="V44" s="226">
        <f t="shared" si="106"/>
        <v>2513</v>
      </c>
      <c r="W44" s="157"/>
      <c r="X44" s="226" cm="1">
        <f t="array" ref="X44">IFERROR(SUM(VLOOKUP($A44,'預算A1 BIM'!$A$77:$BB$143,{27},0)),0)+AA44</f>
        <v>1752</v>
      </c>
      <c r="Y44" s="226" cm="1">
        <f t="array" ref="Y44">IFERROR(SUM(VLOOKUP($A44,'預算A1 BIM'!$A$151:$BB$220,{27},0)),0)</f>
        <v>873</v>
      </c>
      <c r="Z44" s="226">
        <f t="shared" si="107"/>
        <v>2625</v>
      </c>
      <c r="AA44" s="226"/>
      <c r="AB44" s="226" cm="1">
        <f t="array" ref="AB44">IFERROR(SUM(VLOOKUP($A44,'預算A1 BIM'!$A$77:$BB$143,{28},0)),0)+AE44</f>
        <v>1752</v>
      </c>
      <c r="AC44" s="226" cm="1">
        <f t="array" ref="AC44">IFERROR(SUM(VLOOKUP($A44,'預算A1 BIM'!$A$151:$BB$220,{28},0)),0)</f>
        <v>873</v>
      </c>
      <c r="AD44" s="226">
        <f t="shared" si="101"/>
        <v>2625</v>
      </c>
      <c r="AE44" s="157"/>
      <c r="AF44" s="226" cm="1">
        <f t="array" ref="AF44">IFERROR(SUM(VLOOKUP($A44,'預算A1 BIM'!$A$77:$BB$143,{29},0)),0)+AI44</f>
        <v>16904</v>
      </c>
      <c r="AG44" s="226" cm="1">
        <f t="array" ref="AG44">IFERROR(SUM(VLOOKUP($A44,'預算A1 BIM'!$A$151:$BB$220,{29},0)),0)</f>
        <v>8427</v>
      </c>
      <c r="AH44" s="226">
        <f t="shared" si="103"/>
        <v>25331</v>
      </c>
      <c r="AI44" s="157"/>
      <c r="AJ44" s="226" cm="1">
        <f t="array" ref="AJ44">IFERROR(SUM(VLOOKUP($A44,'預算A1 BIM'!$A$77:$BB$143,{30},0)),0)+AM44</f>
        <v>11752</v>
      </c>
      <c r="AK44" s="226" cm="1">
        <f t="array" ref="AK44">IFERROR(SUM(VLOOKUP($A44,'預算A1 BIM'!$A$151:$BB$220,{30},0)),0)</f>
        <v>5859</v>
      </c>
      <c r="AL44" s="226">
        <f t="shared" si="104"/>
        <v>17611</v>
      </c>
      <c r="AM44" s="157"/>
      <c r="AN44" s="226" cm="1">
        <f t="array" ref="AN44">IFERROR(SUM(VLOOKUP($A44,'預算A1 BIM'!$A$77:$BB$143,{31},0)),0)+AQ44</f>
        <v>1752</v>
      </c>
      <c r="AO44" s="226" cm="1">
        <f t="array" ref="AO44">IFERROR(SUM(VLOOKUP($A44,'預算A1 BIM'!$A$151:$BB$220,{31},0)),0)</f>
        <v>873</v>
      </c>
      <c r="AP44" s="226">
        <f t="shared" si="68"/>
        <v>2625</v>
      </c>
      <c r="AQ44" s="157"/>
      <c r="AR44" s="226" cm="1">
        <f t="array" ref="AR44">IFERROR(SUM(VLOOKUP($A44,'預算A1 BIM'!$A$77:$BB$143,{32},0)),0)+AU44</f>
        <v>1924</v>
      </c>
      <c r="AS44" s="226" cm="1">
        <f t="array" ref="AS44">IFERROR(SUM(VLOOKUP($A44,'預算A1 BIM'!$A$151:$BB$220,{32},0)),0)</f>
        <v>960</v>
      </c>
      <c r="AT44" s="226">
        <f t="shared" si="69"/>
        <v>2884</v>
      </c>
      <c r="AU44" s="157"/>
      <c r="AV44" s="226" cm="1">
        <f t="array" ref="AV44">IFERROR(SUM(VLOOKUP($A44,'預算A1 BIM'!$A$77:$BB$143,{33},0)),0)+AY44</f>
        <v>1924</v>
      </c>
      <c r="AW44" s="226" cm="1">
        <f t="array" ref="AW44">IFERROR(SUM(VLOOKUP($A44,'預算A1 BIM'!$A$151:$BB$220,{33},0)),0)-AY44</f>
        <v>959</v>
      </c>
      <c r="AX44" s="226">
        <f t="shared" si="70"/>
        <v>2883</v>
      </c>
      <c r="AY44" s="157"/>
      <c r="AZ44" s="226" cm="1">
        <f t="array" ref="AZ44">IFERROR(SUM(VLOOKUP($A44,'預算A1 BIM'!$A$77:$BB$143,{34},0)),0)+BC44</f>
        <v>1924</v>
      </c>
      <c r="BA44" s="226" cm="1">
        <f t="array" ref="BA44">IFERROR(SUM(VLOOKUP($A44,'預算A1 BIM'!$A$151:$BB$220,{34},0)),0)-BC44</f>
        <v>959</v>
      </c>
      <c r="BB44" s="226">
        <f t="shared" si="105"/>
        <v>2883</v>
      </c>
      <c r="BC44" s="157"/>
      <c r="BD44" s="226" cm="1">
        <f t="array" ref="BD44">IFERROR(SUM(VLOOKUP($A44,'預算A1 BIM'!$A$77:$BB$143,{35},0)),0)+BG44</f>
        <v>1924</v>
      </c>
      <c r="BE44" s="226" cm="1">
        <f t="array" ref="BE44">IFERROR(SUM(VLOOKUP($A44,'預算A1 BIM'!$A$151:$BB$220,{35},0)),0)-BG44</f>
        <v>959</v>
      </c>
      <c r="BF44" s="226">
        <f t="shared" si="72"/>
        <v>2883</v>
      </c>
      <c r="BG44" s="157"/>
      <c r="BH44" s="226" cm="1">
        <f t="array" ref="BH44">IFERROR(SUM(VLOOKUP($A44,'預算A1 BIM'!$A$77:$BB$143,{36},0)),0)+BK44</f>
        <v>11924</v>
      </c>
      <c r="BI44" s="226" cm="1">
        <f t="array" ref="BI44">IFERROR(SUM(VLOOKUP($A44,'預算A1 BIM'!$A$151:$BB$220,{36},0)),0)-BK44</f>
        <v>5944</v>
      </c>
      <c r="BJ44" s="226">
        <f t="shared" si="73"/>
        <v>17868</v>
      </c>
      <c r="BK44" s="157"/>
      <c r="BL44" s="226">
        <f>SUMIF($P$4:$BK$4,$BL$4,$P44:$BK$65)</f>
        <v>56886</v>
      </c>
      <c r="BM44" s="226">
        <f>SUMIF($P$4:$BK$4,$BM$4,$P44:$BK$65)</f>
        <v>28358</v>
      </c>
      <c r="BN44" s="226">
        <f t="shared" si="74"/>
        <v>85244</v>
      </c>
      <c r="BO44" s="157">
        <f>SUMIF($P$4:$BK$4,$BO$4,$P44:$BK$65)</f>
        <v>0</v>
      </c>
      <c r="BP44" s="226">
        <f t="shared" si="75"/>
        <v>1154539</v>
      </c>
      <c r="BQ44" s="226">
        <f t="shared" si="76"/>
        <v>575559</v>
      </c>
      <c r="BR44" s="226">
        <f t="shared" si="77"/>
        <v>1730098</v>
      </c>
      <c r="BS44" s="226">
        <f t="shared" si="78"/>
        <v>0</v>
      </c>
      <c r="BT44" s="226" cm="1">
        <f t="array" ref="BT44">IFERROR(SUM(VLOOKUP($A44,'預算A1 BIM'!$A$77:$BB$143,{39},0)),0)+BW44</f>
        <v>10496</v>
      </c>
      <c r="BU44" s="226" cm="1">
        <f t="array" ref="BU44">IFERROR(SUM(VLOOKUP($A44,'預算A1 BIM'!$A$151:$BB$220,{39},0)),0)-BW44</f>
        <v>5233</v>
      </c>
      <c r="BV44" s="226">
        <f t="shared" si="79"/>
        <v>15729</v>
      </c>
      <c r="BW44" s="157"/>
      <c r="BX44" s="226">
        <f t="shared" si="80"/>
        <v>1165035</v>
      </c>
      <c r="BY44" s="157">
        <f t="shared" si="81"/>
        <v>580792</v>
      </c>
      <c r="BZ44" s="226">
        <f t="shared" si="82"/>
        <v>1745827</v>
      </c>
      <c r="CA44" s="157">
        <f t="shared" si="83"/>
        <v>0</v>
      </c>
      <c r="CB44" s="226" cm="1">
        <f t="array" ref="CB44">IFERROR(SUM(VLOOKUP($A44,'預算A1 BIM'!$A$77:$BB$143,{40},0)),0)+CE44</f>
        <v>0</v>
      </c>
      <c r="CC44" s="226" cm="1">
        <f t="array" ref="CC44">IFERROR(SUM(VLOOKUP($A44,'預算A1 BIM'!$A$151:$BB$220,{40},0)),0)-CE44</f>
        <v>0</v>
      </c>
      <c r="CD44" s="226">
        <f t="shared" si="84"/>
        <v>0</v>
      </c>
      <c r="CE44" s="157"/>
      <c r="CF44" s="226">
        <f t="shared" si="85"/>
        <v>1165035</v>
      </c>
      <c r="CG44" s="226">
        <f t="shared" si="86"/>
        <v>580792</v>
      </c>
      <c r="CH44" s="226">
        <f t="shared" si="87"/>
        <v>1745827</v>
      </c>
      <c r="CI44" s="226">
        <f t="shared" si="88"/>
        <v>0</v>
      </c>
      <c r="CJ44" s="226" cm="1">
        <f t="array" ref="CJ44">IFERROR(SUM(VLOOKUP($A44,'預算A1 BIM'!$A$77:$BB$143,{41},0)),0)+CM44</f>
        <v>0</v>
      </c>
      <c r="CK44" s="226" cm="1">
        <f t="array" ref="CK44">IFERROR(SUM(VLOOKUP($A44,'預算A1 BIM'!$A$151:$BB$220,{41},0)),0)-CM44</f>
        <v>0</v>
      </c>
      <c r="CL44" s="226">
        <f t="shared" si="89"/>
        <v>0</v>
      </c>
      <c r="CM44" s="157"/>
      <c r="CN44" s="226">
        <f t="shared" si="90"/>
        <v>1165035</v>
      </c>
      <c r="CO44" s="226">
        <f t="shared" si="91"/>
        <v>580792</v>
      </c>
      <c r="CP44" s="226">
        <f t="shared" si="92"/>
        <v>1745827</v>
      </c>
      <c r="CQ44" s="226">
        <f t="shared" si="93"/>
        <v>0</v>
      </c>
      <c r="CR44" s="226" cm="1">
        <f t="array" ref="CR44">IFERROR(SUM(VLOOKUP($A44,'預算A1 BIM'!$A$77:$BB$143,{42},0)),0)+CU44</f>
        <v>0</v>
      </c>
      <c r="CS44" s="226" cm="1">
        <f t="array" ref="CS44">IFERROR(SUM(VLOOKUP($A44,'預算A1 BIM'!$A$151:$BB$220,{42},0)),0)-CU44</f>
        <v>0</v>
      </c>
      <c r="CT44" s="226">
        <f t="shared" si="108"/>
        <v>0</v>
      </c>
      <c r="CU44" s="157"/>
      <c r="CV44" s="226">
        <f t="shared" si="95"/>
        <v>1165035</v>
      </c>
      <c r="CW44" s="226">
        <f t="shared" si="96"/>
        <v>580792</v>
      </c>
      <c r="CX44" s="226">
        <f t="shared" si="97"/>
        <v>1745827</v>
      </c>
      <c r="CY44" s="226">
        <f t="shared" si="98"/>
        <v>0</v>
      </c>
    </row>
    <row r="45" spans="1:103" outlineLevel="1">
      <c r="A45" s="175" t="s">
        <v>694</v>
      </c>
      <c r="B45" s="172" t="s">
        <v>454</v>
      </c>
      <c r="C45" s="169" t="s">
        <v>1037</v>
      </c>
      <c r="D45" s="225">
        <f>IFERROR(VLOOKUP(A45,'202608收入成本表'!A:Y,23,0),0)</f>
        <v>1171182</v>
      </c>
      <c r="E45" s="225">
        <f>IFERROR(VLOOKUP(A45,'202608收入成本表'!A:Z,24,0),0)</f>
        <v>868818</v>
      </c>
      <c r="F45" s="226">
        <f t="shared" si="57"/>
        <v>2040000</v>
      </c>
      <c r="G45" s="226"/>
      <c r="H45" s="226" cm="1">
        <f t="array" ref="H45">IFERROR(SUM(VLOOKUP(A45,'預算A1 BIM'!$A$77:$BB$143,{19,20,21,22},0)),0)</f>
        <v>323471</v>
      </c>
      <c r="I45" s="226" cm="1">
        <f t="array" ref="I45">IFERROR(SUM(VLOOKUP(A45,'預算A1 BIM'!$A$151:$BB$220,{19,20,21,22},0)),0)</f>
        <v>-170152</v>
      </c>
      <c r="J45" s="226">
        <f>SUM(H45:I45)</f>
        <v>153319</v>
      </c>
      <c r="K45" s="226">
        <f>-VLOOKUP(A45,'2026FCST%'!A:AC,27,FALSE)</f>
        <v>0</v>
      </c>
      <c r="L45" s="226">
        <f t="shared" si="59"/>
        <v>1494653</v>
      </c>
      <c r="M45" s="226">
        <f t="shared" si="60"/>
        <v>698666</v>
      </c>
      <c r="N45" s="226">
        <f t="shared" si="61"/>
        <v>2193319</v>
      </c>
      <c r="O45" s="226">
        <f t="shared" si="99"/>
        <v>0</v>
      </c>
      <c r="P45" s="226" cm="1">
        <f t="array" ref="P45">IFERROR(SUM(VLOOKUP($A45,'預算A1 BIM'!$A$77:$BB$143,{25},0)),0)+S45</f>
        <v>110363</v>
      </c>
      <c r="Q45" s="226" cm="1">
        <f t="array" ref="Q45">IFERROR(SUM(VLOOKUP($A45,'預算A1 BIM'!$A$151:$BB$220,{25},0)),0)</f>
        <v>51589</v>
      </c>
      <c r="R45" s="226">
        <f t="shared" si="62"/>
        <v>161952</v>
      </c>
      <c r="S45" s="157"/>
      <c r="T45" s="226" cm="1">
        <f t="array" ref="T45">IFERROR(SUM(VLOOKUP($A45,'預算A1 BIM'!$A$77:$BB$143,{26},0)),0)+W45</f>
        <v>62385</v>
      </c>
      <c r="U45" s="226" cm="1">
        <f t="array" ref="U45">IFERROR(SUM(VLOOKUP($A45,'預算A1 BIM'!$A$151:$BB$220,{26},0)),0)</f>
        <v>29161</v>
      </c>
      <c r="V45" s="226">
        <f t="shared" si="106"/>
        <v>91546</v>
      </c>
      <c r="W45" s="157"/>
      <c r="X45" s="226" cm="1">
        <f t="array" ref="X45">IFERROR(SUM(VLOOKUP($A45,'預算A1 BIM'!$A$77:$BB$143,{27},0)),0)+AA45</f>
        <v>135889</v>
      </c>
      <c r="Y45" s="226" cm="1">
        <f t="array" ref="Y45">IFERROR(SUM(VLOOKUP($A45,'預算A1 BIM'!$A$151:$BB$220,{27},0)),0)</f>
        <v>63521</v>
      </c>
      <c r="Z45" s="226">
        <f t="shared" si="107"/>
        <v>199410</v>
      </c>
      <c r="AA45" s="226"/>
      <c r="AB45" s="226" cm="1">
        <f t="array" ref="AB45">IFERROR(SUM(VLOOKUP($A45,'預算A1 BIM'!$A$77:$BB$143,{28},0)),0)+AE45</f>
        <v>114191</v>
      </c>
      <c r="AC45" s="226" cm="1">
        <f t="array" ref="AC45">IFERROR(SUM(VLOOKUP($A45,'預算A1 BIM'!$A$151:$BB$220,{28},0)),0)</f>
        <v>53378</v>
      </c>
      <c r="AD45" s="226">
        <f t="shared" si="101"/>
        <v>167569</v>
      </c>
      <c r="AE45" s="157"/>
      <c r="AF45" s="226" cm="1">
        <f t="array" ref="AF45">IFERROR(SUM(VLOOKUP($A45,'預算A1 BIM'!$A$77:$BB$143,{29},0)),0)+AI45</f>
        <v>129343</v>
      </c>
      <c r="AG45" s="226" cm="1">
        <f t="array" ref="AG45">IFERROR(SUM(VLOOKUP($A45,'預算A1 BIM'!$A$151:$BB$220,{29},0)),0)</f>
        <v>60460</v>
      </c>
      <c r="AH45" s="226">
        <f t="shared" si="103"/>
        <v>189803</v>
      </c>
      <c r="AI45" s="157"/>
      <c r="AJ45" s="226" cm="1">
        <f t="array" ref="AJ45">IFERROR(SUM(VLOOKUP($A45,'預算A1 BIM'!$A$77:$BB$143,{30},0)),0)+AM45</f>
        <v>125315</v>
      </c>
      <c r="AK45" s="226" cm="1">
        <f t="array" ref="AK45">IFERROR(SUM(VLOOKUP($A45,'預算A1 BIM'!$A$151:$BB$220,{30},0)),0)</f>
        <v>58578</v>
      </c>
      <c r="AL45" s="226">
        <f t="shared" si="104"/>
        <v>183893</v>
      </c>
      <c r="AM45" s="157"/>
      <c r="AN45" s="226" cm="1">
        <f t="array" ref="AN45">IFERROR(SUM(VLOOKUP($A45,'預算A1 BIM'!$A$77:$BB$143,{31},0)),0)+AQ45</f>
        <v>120899</v>
      </c>
      <c r="AO45" s="226" cm="1">
        <f t="array" ref="AO45">IFERROR(SUM(VLOOKUP($A45,'預算A1 BIM'!$A$151:$BB$220,{31},0)),0)</f>
        <v>56513</v>
      </c>
      <c r="AP45" s="226">
        <f t="shared" si="68"/>
        <v>177412</v>
      </c>
      <c r="AQ45" s="157"/>
      <c r="AR45" s="226" cm="1">
        <f t="array" ref="AR45">IFERROR(SUM(VLOOKUP($A45,'預算A1 BIM'!$A$77:$BB$143,{32},0)),0)+AU45</f>
        <v>121712</v>
      </c>
      <c r="AS45" s="226" cm="1">
        <f t="array" ref="AS45">IFERROR(SUM(VLOOKUP($A45,'預算A1 BIM'!$A$151:$BB$220,{32},0)),0)</f>
        <v>56894</v>
      </c>
      <c r="AT45" s="226">
        <f t="shared" si="69"/>
        <v>178606</v>
      </c>
      <c r="AU45" s="157"/>
      <c r="AV45" s="226" cm="1">
        <f t="array" ref="AV45">IFERROR(SUM(VLOOKUP($A45,'預算A1 BIM'!$A$77:$BB$143,{33},0)),0)+AY45</f>
        <v>61901</v>
      </c>
      <c r="AW45" s="226" cm="1">
        <f t="array" ref="AW45">IFERROR(SUM(VLOOKUP($A45,'預算A1 BIM'!$A$151:$BB$220,{33},0)),0)-AY45</f>
        <v>28935</v>
      </c>
      <c r="AX45" s="226">
        <f t="shared" si="70"/>
        <v>90836</v>
      </c>
      <c r="AY45" s="157"/>
      <c r="AZ45" s="226" cm="1">
        <f t="array" ref="AZ45">IFERROR(SUM(VLOOKUP($A45,'預算A1 BIM'!$A$77:$BB$143,{34},0)),0)+BC45</f>
        <v>69794</v>
      </c>
      <c r="BA45" s="226" cm="1">
        <f t="array" ref="BA45">IFERROR(SUM(VLOOKUP($A45,'預算A1 BIM'!$A$151:$BB$220,{34},0)),0)-BC45</f>
        <v>32625</v>
      </c>
      <c r="BB45" s="226">
        <f t="shared" si="105"/>
        <v>102419</v>
      </c>
      <c r="BC45" s="157"/>
      <c r="BD45" s="226" cm="1">
        <f t="array" ref="BD45">IFERROR(SUM(VLOOKUP($A45,'預算A1 BIM'!$A$77:$BB$143,{35},0)),0)+BG45</f>
        <v>66161</v>
      </c>
      <c r="BE45" s="226" cm="1">
        <f t="array" ref="BE45">IFERROR(SUM(VLOOKUP($A45,'預算A1 BIM'!$A$151:$BB$220,{35},0)),0)-BG45</f>
        <v>30926</v>
      </c>
      <c r="BF45" s="226">
        <f t="shared" si="72"/>
        <v>97087</v>
      </c>
      <c r="BG45" s="157"/>
      <c r="BH45" s="226" cm="1">
        <f t="array" ref="BH45">IFERROR(SUM(VLOOKUP($A45,'預算A1 BIM'!$A$77:$BB$143,{36},0)),0)+BK45</f>
        <v>10770</v>
      </c>
      <c r="BI45" s="226" cm="1">
        <f t="array" ref="BI45">IFERROR(SUM(VLOOKUP($A45,'預算A1 BIM'!$A$151:$BB$220,{36},0)),0)-BK45</f>
        <v>5035</v>
      </c>
      <c r="BJ45" s="226">
        <f t="shared" si="73"/>
        <v>15805</v>
      </c>
      <c r="BK45" s="157"/>
      <c r="BL45" s="226">
        <f>SUMIF($P$4:$BK$4,$BL$4,$P45:$BK$65)</f>
        <v>1128723</v>
      </c>
      <c r="BM45" s="226">
        <f>SUMIF($P$4:$BK$4,$BM$4,$P45:$BK$65)</f>
        <v>527615</v>
      </c>
      <c r="BN45" s="226">
        <f t="shared" si="74"/>
        <v>1656338</v>
      </c>
      <c r="BO45" s="157">
        <f>SUMIF($P$4:$BK$4,$BO$4,$P45:$BK$65)</f>
        <v>0</v>
      </c>
      <c r="BP45" s="226">
        <f t="shared" si="75"/>
        <v>2623376</v>
      </c>
      <c r="BQ45" s="226">
        <f t="shared" si="76"/>
        <v>1226281</v>
      </c>
      <c r="BR45" s="226">
        <f t="shared" si="77"/>
        <v>3849657</v>
      </c>
      <c r="BS45" s="226">
        <f t="shared" si="78"/>
        <v>0</v>
      </c>
      <c r="BT45" s="226" cm="1">
        <f t="array" ref="BT45">IFERROR(SUM(VLOOKUP($A45,'預算A1 BIM'!$A$77:$BB$143,{39},0)),0)+BW45</f>
        <v>22381</v>
      </c>
      <c r="BU45" s="226" cm="1">
        <f t="array" ref="BU45">IFERROR(SUM(VLOOKUP($A45,'預算A1 BIM'!$A$151:$BB$220,{39},0)),0)-BW45</f>
        <v>10462</v>
      </c>
      <c r="BV45" s="226">
        <f t="shared" si="79"/>
        <v>32843</v>
      </c>
      <c r="BW45" s="157"/>
      <c r="BX45" s="226">
        <f t="shared" si="80"/>
        <v>2645757</v>
      </c>
      <c r="BY45" s="157">
        <f t="shared" si="81"/>
        <v>1236743</v>
      </c>
      <c r="BZ45" s="226">
        <f t="shared" si="82"/>
        <v>3882500</v>
      </c>
      <c r="CA45" s="157">
        <f t="shared" si="83"/>
        <v>0</v>
      </c>
      <c r="CB45" s="226" cm="1">
        <f t="array" ref="CB45">IFERROR(SUM(VLOOKUP($A45,'預算A1 BIM'!$A$77:$BB$143,{40},0)),0)+CE45</f>
        <v>0</v>
      </c>
      <c r="CC45" s="226" cm="1">
        <f t="array" ref="CC45">IFERROR(SUM(VLOOKUP($A45,'預算A1 BIM'!$A$151:$BB$220,{40},0)),0)-CE45</f>
        <v>0</v>
      </c>
      <c r="CD45" s="226">
        <f t="shared" si="84"/>
        <v>0</v>
      </c>
      <c r="CE45" s="157"/>
      <c r="CF45" s="226">
        <f t="shared" si="85"/>
        <v>2645757</v>
      </c>
      <c r="CG45" s="226">
        <f t="shared" si="86"/>
        <v>1236743</v>
      </c>
      <c r="CH45" s="226">
        <f t="shared" si="87"/>
        <v>3882500</v>
      </c>
      <c r="CI45" s="226">
        <f t="shared" si="88"/>
        <v>0</v>
      </c>
      <c r="CJ45" s="226" cm="1">
        <f t="array" ref="CJ45">IFERROR(SUM(VLOOKUP($A45,'預算A1 BIM'!$A$77:$BB$143,{41},0)),0)+CM45</f>
        <v>0</v>
      </c>
      <c r="CK45" s="226" cm="1">
        <f t="array" ref="CK45">IFERROR(SUM(VLOOKUP($A45,'預算A1 BIM'!$A$151:$BB$220,{41},0)),0)-CM45</f>
        <v>0</v>
      </c>
      <c r="CL45" s="226">
        <f t="shared" si="89"/>
        <v>0</v>
      </c>
      <c r="CM45" s="157"/>
      <c r="CN45" s="226">
        <f t="shared" si="90"/>
        <v>2645757</v>
      </c>
      <c r="CO45" s="226">
        <f t="shared" si="91"/>
        <v>1236743</v>
      </c>
      <c r="CP45" s="226">
        <f t="shared" si="92"/>
        <v>3882500</v>
      </c>
      <c r="CQ45" s="226">
        <f t="shared" si="93"/>
        <v>0</v>
      </c>
      <c r="CR45" s="226" cm="1">
        <f t="array" ref="CR45">IFERROR(SUM(VLOOKUP($A45,'預算A1 BIM'!$A$77:$BB$143,{42},0)),0)+CU45</f>
        <v>0</v>
      </c>
      <c r="CS45" s="226" cm="1">
        <f t="array" ref="CS45">IFERROR(SUM(VLOOKUP($A45,'預算A1 BIM'!$A$151:$BB$220,{42},0)),0)-CU45</f>
        <v>0</v>
      </c>
      <c r="CT45" s="226">
        <f t="shared" si="108"/>
        <v>0</v>
      </c>
      <c r="CU45" s="157"/>
      <c r="CV45" s="226">
        <f t="shared" si="95"/>
        <v>2645757</v>
      </c>
      <c r="CW45" s="226">
        <f t="shared" si="96"/>
        <v>1236743</v>
      </c>
      <c r="CX45" s="226">
        <f t="shared" si="97"/>
        <v>3882500</v>
      </c>
      <c r="CY45" s="226">
        <f t="shared" si="98"/>
        <v>0</v>
      </c>
    </row>
    <row r="46" spans="1:103" outlineLevel="1">
      <c r="A46" s="175" t="s">
        <v>695</v>
      </c>
      <c r="B46" s="172" t="s">
        <v>696</v>
      </c>
      <c r="C46" s="169" t="s">
        <v>1037</v>
      </c>
      <c r="D46" s="225">
        <f>IFERROR(VLOOKUP(A46,'202608收入成本表'!A:Y,23,0),0)</f>
        <v>798510</v>
      </c>
      <c r="E46" s="225">
        <f>IFERROR(VLOOKUP(A46,'202608收入成本表'!A:Z,24,0),0)</f>
        <v>596490</v>
      </c>
      <c r="F46" s="226">
        <f t="shared" si="57"/>
        <v>1395000</v>
      </c>
      <c r="G46" s="226"/>
      <c r="H46" s="226" cm="1">
        <f t="array" ref="H46">IFERROR(SUM(VLOOKUP(A46,'預算A1 BIM'!$A$77:$BB$143,{19,20,21,22},0)),0)</f>
        <v>343680</v>
      </c>
      <c r="I46" s="226" cm="1">
        <f t="array" ref="I46">IFERROR(SUM(VLOOKUP(A46,'預算A1 BIM'!$A$151:$BB$220,{19,20,21,22},0)),0)</f>
        <v>-75892</v>
      </c>
      <c r="J46" s="226">
        <f t="shared" si="58"/>
        <v>267788</v>
      </c>
      <c r="K46" s="226">
        <f>-VLOOKUP(A46,'2026FCST%'!A:AC,27,FALSE)</f>
        <v>0</v>
      </c>
      <c r="L46" s="226">
        <f t="shared" si="59"/>
        <v>1142190</v>
      </c>
      <c r="M46" s="226">
        <f t="shared" si="60"/>
        <v>520598</v>
      </c>
      <c r="N46" s="226">
        <f t="shared" si="61"/>
        <v>1662788</v>
      </c>
      <c r="O46" s="226">
        <f t="shared" si="99"/>
        <v>0</v>
      </c>
      <c r="P46" s="226" cm="1">
        <f t="array" ref="P46">IFERROR(SUM(VLOOKUP($A46,'預算A1 BIM'!$A$77:$BB$143,{25},0)),0)+S46</f>
        <v>70313</v>
      </c>
      <c r="Q46" s="226" cm="1">
        <f t="array" ref="Q46">IFERROR(SUM(VLOOKUP($A46,'預算A1 BIM'!$A$151:$BB$220,{25},0)),0)</f>
        <v>32048</v>
      </c>
      <c r="R46" s="226">
        <f t="shared" si="62"/>
        <v>102361</v>
      </c>
      <c r="S46" s="157"/>
      <c r="T46" s="226" cm="1">
        <f t="array" ref="T46">IFERROR(SUM(VLOOKUP($A46,'預算A1 BIM'!$A$77:$BB$143,{26},0)),0)+W46</f>
        <v>53838</v>
      </c>
      <c r="U46" s="226" cm="1">
        <f t="array" ref="U46">IFERROR(SUM(VLOOKUP($A46,'預算A1 BIM'!$A$151:$BB$220,{26},0)),0)</f>
        <v>24539</v>
      </c>
      <c r="V46" s="226">
        <f t="shared" si="106"/>
        <v>78377</v>
      </c>
      <c r="W46" s="157"/>
      <c r="X46" s="226" cm="1">
        <f t="array" ref="X46">IFERROR(SUM(VLOOKUP($A46,'預算A1 BIM'!$A$77:$BB$143,{27},0)),0)+AA46</f>
        <v>89903</v>
      </c>
      <c r="Y46" s="226" cm="1">
        <f t="array" ref="Y46">IFERROR(SUM(VLOOKUP($A46,'預算A1 BIM'!$A$151:$BB$220,{27},0)),0)</f>
        <v>40976</v>
      </c>
      <c r="Z46" s="226">
        <f t="shared" si="107"/>
        <v>130879</v>
      </c>
      <c r="AA46" s="226"/>
      <c r="AB46" s="226" cm="1">
        <f t="array" ref="AB46">IFERROR(SUM(VLOOKUP($A46,'預算A1 BIM'!$A$77:$BB$143,{28},0)),0)+AE46</f>
        <v>72143</v>
      </c>
      <c r="AC46" s="226" cm="1">
        <f t="array" ref="AC46">IFERROR(SUM(VLOOKUP($A46,'預算A1 BIM'!$A$151:$BB$220,{28},0)),0)</f>
        <v>32882</v>
      </c>
      <c r="AD46" s="226">
        <f t="shared" si="101"/>
        <v>105025</v>
      </c>
      <c r="AE46" s="157"/>
      <c r="AF46" s="226" cm="1">
        <f t="array" ref="AF46">IFERROR(SUM(VLOOKUP($A46,'預算A1 BIM'!$A$77:$BB$143,{29},0)),0)+AI46</f>
        <v>78204</v>
      </c>
      <c r="AG46" s="226" cm="1">
        <f t="array" ref="AG46">IFERROR(SUM(VLOOKUP($A46,'預算A1 BIM'!$A$151:$BB$220,{29},0)),0)</f>
        <v>35645</v>
      </c>
      <c r="AH46" s="226">
        <f t="shared" si="103"/>
        <v>113849</v>
      </c>
      <c r="AI46" s="157"/>
      <c r="AJ46" s="226" cm="1">
        <f t="array" ref="AJ46">IFERROR(SUM(VLOOKUP($A46,'預算A1 BIM'!$A$77:$BB$143,{30},0)),0)+AM46</f>
        <v>83267</v>
      </c>
      <c r="AK46" s="226" cm="1">
        <f t="array" ref="AK46">IFERROR(SUM(VLOOKUP($A46,'預算A1 BIM'!$A$151:$BB$220,{30},0)),0)</f>
        <v>37952</v>
      </c>
      <c r="AL46" s="226">
        <f t="shared" si="104"/>
        <v>121219</v>
      </c>
      <c r="AM46" s="157"/>
      <c r="AN46" s="226" cm="1">
        <f t="array" ref="AN46">IFERROR(SUM(VLOOKUP($A46,'預算A1 BIM'!$A$77:$BB$143,{31},0)),0)+AQ46</f>
        <v>66053</v>
      </c>
      <c r="AO46" s="226" cm="1">
        <f t="array" ref="AO46">IFERROR(SUM(VLOOKUP($A46,'預算A1 BIM'!$A$151:$BB$220,{31},0)),0)</f>
        <v>30106</v>
      </c>
      <c r="AP46" s="226">
        <f t="shared" si="68"/>
        <v>96159</v>
      </c>
      <c r="AQ46" s="157"/>
      <c r="AR46" s="226" cm="1">
        <f t="array" ref="AR46">IFERROR(SUM(VLOOKUP($A46,'預算A1 BIM'!$A$77:$BB$143,{32},0)),0)+AU46</f>
        <v>32487</v>
      </c>
      <c r="AS46" s="226" cm="1">
        <f t="array" ref="AS46">IFERROR(SUM(VLOOKUP($A46,'預算A1 BIM'!$A$151:$BB$220,{32},0)),0)</f>
        <v>14808</v>
      </c>
      <c r="AT46" s="226">
        <f t="shared" si="69"/>
        <v>47295</v>
      </c>
      <c r="AU46" s="157"/>
      <c r="AV46" s="226" cm="1">
        <f t="array" ref="AV46">IFERROR(SUM(VLOOKUP($A46,'預算A1 BIM'!$A$77:$BB$143,{33},0)),0)+AY46</f>
        <v>29534</v>
      </c>
      <c r="AW46" s="226" cm="1">
        <f t="array" ref="AW46">IFERROR(SUM(VLOOKUP($A46,'預算A1 BIM'!$A$151:$BB$220,{33},0)),0)-AY46</f>
        <v>13461</v>
      </c>
      <c r="AX46" s="226">
        <f t="shared" si="70"/>
        <v>42995</v>
      </c>
      <c r="AY46" s="157"/>
      <c r="AZ46" s="226" cm="1">
        <f t="array" ref="AZ46">IFERROR(SUM(VLOOKUP($A46,'預算A1 BIM'!$A$77:$BB$143,{34},0)),0)+BC46</f>
        <v>37427</v>
      </c>
      <c r="BA46" s="226" cm="1">
        <f t="array" ref="BA46">IFERROR(SUM(VLOOKUP($A46,'預算A1 BIM'!$A$151:$BB$220,{34},0)),0)-BC46</f>
        <v>17059</v>
      </c>
      <c r="BB46" s="226">
        <f t="shared" si="105"/>
        <v>54486</v>
      </c>
      <c r="BC46" s="157"/>
      <c r="BD46" s="226" cm="1">
        <f t="array" ref="BD46">IFERROR(SUM(VLOOKUP($A46,'預算A1 BIM'!$A$77:$BB$143,{35},0)),0)+BG46</f>
        <v>21658</v>
      </c>
      <c r="BE46" s="226" cm="1">
        <f t="array" ref="BE46">IFERROR(SUM(VLOOKUP($A46,'預算A1 BIM'!$A$151:$BB$220,{35},0)),0)-BG46</f>
        <v>9871</v>
      </c>
      <c r="BF46" s="226">
        <f t="shared" si="72"/>
        <v>31529</v>
      </c>
      <c r="BG46" s="157"/>
      <c r="BH46" s="226" cm="1">
        <f t="array" ref="BH46">IFERROR(SUM(VLOOKUP($A46,'預算A1 BIM'!$A$77:$BB$143,{36},0)),0)+BK46</f>
        <v>32643</v>
      </c>
      <c r="BI46" s="226" cm="1">
        <f t="array" ref="BI46">IFERROR(SUM(VLOOKUP($A46,'預算A1 BIM'!$A$151:$BB$220,{36},0)),0)-BK46</f>
        <v>14879</v>
      </c>
      <c r="BJ46" s="226">
        <f t="shared" si="73"/>
        <v>47522</v>
      </c>
      <c r="BK46" s="157"/>
      <c r="BL46" s="226">
        <f>SUMIF($P$4:$BK$4,$BL$4,$P46:$BK$65)</f>
        <v>667470</v>
      </c>
      <c r="BM46" s="226">
        <f>SUMIF($P$4:$BK$4,$BM$4,$P46:$BK$65)</f>
        <v>304226</v>
      </c>
      <c r="BN46" s="226">
        <f t="shared" si="74"/>
        <v>971696</v>
      </c>
      <c r="BO46" s="157">
        <f>SUMIF($P$4:$BK$4,$BO$4,$P46:$BK$65)</f>
        <v>0</v>
      </c>
      <c r="BP46" s="226">
        <f t="shared" si="75"/>
        <v>1809660</v>
      </c>
      <c r="BQ46" s="226">
        <f t="shared" si="76"/>
        <v>824824</v>
      </c>
      <c r="BR46" s="226">
        <f t="shared" si="77"/>
        <v>2634484</v>
      </c>
      <c r="BS46" s="226">
        <f t="shared" si="78"/>
        <v>0</v>
      </c>
      <c r="BT46" s="226" cm="1">
        <f t="array" ref="BT46">IFERROR(SUM(VLOOKUP($A46,'預算A1 BIM'!$A$77:$BB$143,{39},0)),0)+BW46</f>
        <v>0</v>
      </c>
      <c r="BU46" s="226" cm="1">
        <f t="array" ref="BU46">IFERROR(SUM(VLOOKUP($A46,'預算A1 BIM'!$A$151:$BB$220,{39},0)),0)-BW46</f>
        <v>0</v>
      </c>
      <c r="BV46" s="226">
        <f t="shared" si="79"/>
        <v>0</v>
      </c>
      <c r="BW46" s="157"/>
      <c r="BX46" s="226">
        <f t="shared" si="80"/>
        <v>1809660</v>
      </c>
      <c r="BY46" s="157">
        <f t="shared" si="81"/>
        <v>824824</v>
      </c>
      <c r="BZ46" s="226">
        <f t="shared" si="82"/>
        <v>2634484</v>
      </c>
      <c r="CA46" s="157">
        <f t="shared" si="83"/>
        <v>0</v>
      </c>
      <c r="CB46" s="226" cm="1">
        <f t="array" ref="CB46">IFERROR(SUM(VLOOKUP($A46,'預算A1 BIM'!$A$77:$BB$143,{40},0)),0)+CE46</f>
        <v>0</v>
      </c>
      <c r="CC46" s="226" cm="1">
        <f t="array" ref="CC46">IFERROR(SUM(VLOOKUP($A46,'預算A1 BIM'!$A$151:$BB$220,{40},0)),0)-CE46</f>
        <v>0</v>
      </c>
      <c r="CD46" s="226">
        <f t="shared" si="84"/>
        <v>0</v>
      </c>
      <c r="CE46" s="157"/>
      <c r="CF46" s="226">
        <f t="shared" si="85"/>
        <v>1809660</v>
      </c>
      <c r="CG46" s="226">
        <f t="shared" si="86"/>
        <v>824824</v>
      </c>
      <c r="CH46" s="226">
        <f t="shared" si="87"/>
        <v>2634484</v>
      </c>
      <c r="CI46" s="226">
        <f t="shared" si="88"/>
        <v>0</v>
      </c>
      <c r="CJ46" s="226" cm="1">
        <f t="array" ref="CJ46">IFERROR(SUM(VLOOKUP($A46,'預算A1 BIM'!$A$77:$BB$143,{41},0)),0)+CM46</f>
        <v>0</v>
      </c>
      <c r="CK46" s="226" cm="1">
        <f t="array" ref="CK46">IFERROR(SUM(VLOOKUP($A46,'預算A1 BIM'!$A$151:$BB$220,{41},0)),0)-CM46</f>
        <v>0</v>
      </c>
      <c r="CL46" s="226">
        <f t="shared" si="89"/>
        <v>0</v>
      </c>
      <c r="CM46" s="157"/>
      <c r="CN46" s="226">
        <f t="shared" si="90"/>
        <v>1809660</v>
      </c>
      <c r="CO46" s="226">
        <f t="shared" si="91"/>
        <v>824824</v>
      </c>
      <c r="CP46" s="226">
        <f t="shared" si="92"/>
        <v>2634484</v>
      </c>
      <c r="CQ46" s="226">
        <f t="shared" si="93"/>
        <v>0</v>
      </c>
      <c r="CR46" s="226" cm="1">
        <f t="array" ref="CR46">IFERROR(SUM(VLOOKUP($A46,'預算A1 BIM'!$A$77:$BB$143,{42},0)),0)+CU46</f>
        <v>0</v>
      </c>
      <c r="CS46" s="226" cm="1">
        <f t="array" ref="CS46">IFERROR(SUM(VLOOKUP($A46,'預算A1 BIM'!$A$151:$BB$220,{42},0)),0)-CU46</f>
        <v>0</v>
      </c>
      <c r="CT46" s="226">
        <f t="shared" si="108"/>
        <v>0</v>
      </c>
      <c r="CU46" s="157"/>
      <c r="CV46" s="226">
        <f t="shared" si="95"/>
        <v>1809660</v>
      </c>
      <c r="CW46" s="226">
        <f t="shared" si="96"/>
        <v>824824</v>
      </c>
      <c r="CX46" s="226">
        <f t="shared" si="97"/>
        <v>2634484</v>
      </c>
      <c r="CY46" s="226">
        <f t="shared" si="98"/>
        <v>0</v>
      </c>
    </row>
    <row r="47" spans="1:103" outlineLevel="1">
      <c r="A47" s="175" t="s">
        <v>697</v>
      </c>
      <c r="B47" s="172" t="s">
        <v>698</v>
      </c>
      <c r="C47" s="169" t="s">
        <v>1037</v>
      </c>
      <c r="D47" s="225">
        <f>IFERROR(VLOOKUP(A47,'202608收入成本表'!A:Y,23,0),0)</f>
        <v>348603</v>
      </c>
      <c r="E47" s="225">
        <f>IFERROR(VLOOKUP(A47,'202608收入成本表'!A:Z,24,0),0)</f>
        <v>185397</v>
      </c>
      <c r="F47" s="226">
        <f t="shared" si="57"/>
        <v>534000</v>
      </c>
      <c r="G47" s="226"/>
      <c r="H47" s="226" cm="1">
        <f t="array" ref="H47">IFERROR(SUM(VLOOKUP(A47,'預算A1 BIM'!$A$77:$BB$143,{19,20,21,22},0)),0)</f>
        <v>341157</v>
      </c>
      <c r="I47" s="226" cm="1">
        <f t="array" ref="I47">IFERROR(SUM(VLOOKUP(A47,'預算A1 BIM'!$A$151:$BB$220,{19,20,21,22},0)),0)</f>
        <v>128836</v>
      </c>
      <c r="J47" s="226">
        <f t="shared" si="58"/>
        <v>469993</v>
      </c>
      <c r="K47" s="226">
        <f>-VLOOKUP(A47,'2026FCST%'!A:AC,27,FALSE)</f>
        <v>0</v>
      </c>
      <c r="L47" s="226">
        <f t="shared" si="59"/>
        <v>689760</v>
      </c>
      <c r="M47" s="226">
        <f t="shared" si="60"/>
        <v>314233</v>
      </c>
      <c r="N47" s="226">
        <f t="shared" si="61"/>
        <v>1003993</v>
      </c>
      <c r="O47" s="226">
        <f t="shared" si="99"/>
        <v>0</v>
      </c>
      <c r="P47" s="226" cm="1">
        <f t="array" ref="P47">IFERROR(SUM(VLOOKUP($A47,'預算A1 BIM'!$A$77:$BB$143,{25},0)),0)+S47</f>
        <v>110698</v>
      </c>
      <c r="Q47" s="226" cm="1">
        <f t="array" ref="Q47">IFERROR(SUM(VLOOKUP($A47,'預算A1 BIM'!$A$151:$BB$220,{25},0)),0)</f>
        <v>50430</v>
      </c>
      <c r="R47" s="226">
        <f t="shared" si="62"/>
        <v>161128</v>
      </c>
      <c r="S47" s="157"/>
      <c r="T47" s="226" cm="1">
        <f t="array" ref="T47">IFERROR(SUM(VLOOKUP($A47,'預算A1 BIM'!$A$77:$BB$143,{26},0)),0)+W47</f>
        <v>78471</v>
      </c>
      <c r="U47" s="226" cm="1">
        <f t="array" ref="U47">IFERROR(SUM(VLOOKUP($A47,'預算A1 BIM'!$A$151:$BB$220,{26},0)),0)</f>
        <v>35749</v>
      </c>
      <c r="V47" s="226">
        <f t="shared" si="106"/>
        <v>114220</v>
      </c>
      <c r="W47" s="157"/>
      <c r="X47" s="226" cm="1">
        <f t="array" ref="X47">IFERROR(SUM(VLOOKUP($A47,'預算A1 BIM'!$A$77:$BB$143,{27},0)),0)+AA47</f>
        <v>136239</v>
      </c>
      <c r="Y47" s="226" cm="1">
        <f t="array" ref="Y47">IFERROR(SUM(VLOOKUP($A47,'預算A1 BIM'!$A$151:$BB$220,{27},0)),0)</f>
        <v>62066</v>
      </c>
      <c r="Z47" s="226">
        <f t="shared" si="107"/>
        <v>198305</v>
      </c>
      <c r="AA47" s="226"/>
      <c r="AB47" s="226" cm="1">
        <f t="array" ref="AB47">IFERROR(SUM(VLOOKUP($A47,'預算A1 BIM'!$A$77:$BB$143,{28},0)),0)+AE47</f>
        <v>114541</v>
      </c>
      <c r="AC47" s="226" cm="1">
        <f t="array" ref="AC47">IFERROR(SUM(VLOOKUP($A47,'預算A1 BIM'!$A$151:$BB$220,{28},0)),0)</f>
        <v>52181</v>
      </c>
      <c r="AD47" s="226">
        <f t="shared" si="101"/>
        <v>166722</v>
      </c>
      <c r="AE47" s="157"/>
      <c r="AF47" s="226" cm="1">
        <f t="array" ref="AF47">IFERROR(SUM(VLOOKUP($A47,'預算A1 BIM'!$A$77:$BB$143,{29},0)),0)+AI47</f>
        <v>129693</v>
      </c>
      <c r="AG47" s="226" cm="1">
        <f t="array" ref="AG47">IFERROR(SUM(VLOOKUP($A47,'預算A1 BIM'!$A$151:$BB$220,{29},0)),0)</f>
        <v>59084</v>
      </c>
      <c r="AH47" s="226">
        <f t="shared" si="103"/>
        <v>188777</v>
      </c>
      <c r="AI47" s="157"/>
      <c r="AJ47" s="226" cm="1">
        <f t="array" ref="AJ47">IFERROR(SUM(VLOOKUP($A47,'預算A1 BIM'!$A$77:$BB$143,{30},0)),0)+AM47</f>
        <v>11051</v>
      </c>
      <c r="AK47" s="226" cm="1">
        <f t="array" ref="AK47">IFERROR(SUM(VLOOKUP($A47,'預算A1 BIM'!$A$151:$BB$220,{30},0)),0)</f>
        <v>5035</v>
      </c>
      <c r="AL47" s="226">
        <f t="shared" si="104"/>
        <v>16086</v>
      </c>
      <c r="AM47" s="157"/>
      <c r="AN47" s="226" cm="1">
        <f t="array" ref="AN47">IFERROR(SUM(VLOOKUP($A47,'預算A1 BIM'!$A$77:$BB$143,{31},0)),0)+AQ47</f>
        <v>1051</v>
      </c>
      <c r="AO47" s="226" cm="1">
        <f t="array" ref="AO47">IFERROR(SUM(VLOOKUP($A47,'預算A1 BIM'!$A$151:$BB$220,{31},0)),0)</f>
        <v>479</v>
      </c>
      <c r="AP47" s="226">
        <f t="shared" si="68"/>
        <v>1530</v>
      </c>
      <c r="AQ47" s="157"/>
      <c r="AR47" s="226" cm="1">
        <f t="array" ref="AR47">IFERROR(SUM(VLOOKUP($A47,'預算A1 BIM'!$A$77:$BB$143,{32},0)),0)+AU47</f>
        <v>1154</v>
      </c>
      <c r="AS47" s="226" cm="1">
        <f t="array" ref="AS47">IFERROR(SUM(VLOOKUP($A47,'預算A1 BIM'!$A$151:$BB$220,{32},0)),0)</f>
        <v>525</v>
      </c>
      <c r="AT47" s="226">
        <f t="shared" si="69"/>
        <v>1679</v>
      </c>
      <c r="AU47" s="157"/>
      <c r="AV47" s="226" cm="1">
        <f t="array" ref="AV47">IFERROR(SUM(VLOOKUP($A47,'預算A1 BIM'!$A$77:$BB$143,{33},0)),0)+AY47</f>
        <v>1154</v>
      </c>
      <c r="AW47" s="226" cm="1">
        <f t="array" ref="AW47">IFERROR(SUM(VLOOKUP($A47,'預算A1 BIM'!$A$151:$BB$220,{33},0)),0)-AY47</f>
        <v>526</v>
      </c>
      <c r="AX47" s="226">
        <f t="shared" si="70"/>
        <v>1680</v>
      </c>
      <c r="AY47" s="157"/>
      <c r="AZ47" s="226" cm="1">
        <f t="array" ref="AZ47">IFERROR(SUM(VLOOKUP($A47,'預算A1 BIM'!$A$77:$BB$143,{34},0)),0)+BC47</f>
        <v>9047</v>
      </c>
      <c r="BA47" s="226" cm="1">
        <f t="array" ref="BA47">IFERROR(SUM(VLOOKUP($A47,'預算A1 BIM'!$A$151:$BB$220,{34},0)),0)-BC47</f>
        <v>4122</v>
      </c>
      <c r="BB47" s="226">
        <f t="shared" si="105"/>
        <v>13169</v>
      </c>
      <c r="BC47" s="157"/>
      <c r="BD47" s="226" cm="1">
        <f t="array" ref="BD47">IFERROR(SUM(VLOOKUP($A47,'預算A1 BIM'!$A$77:$BB$143,{35},0)),0)+BG47</f>
        <v>1154</v>
      </c>
      <c r="BE47" s="226" cm="1">
        <f t="array" ref="BE47">IFERROR(SUM(VLOOKUP($A47,'預算A1 BIM'!$A$151:$BB$220,{35},0)),0)-BG47</f>
        <v>525</v>
      </c>
      <c r="BF47" s="226">
        <f t="shared" si="72"/>
        <v>1679</v>
      </c>
      <c r="BG47" s="157"/>
      <c r="BH47" s="226" cm="1">
        <f t="array" ref="BH47">IFERROR(SUM(VLOOKUP($A47,'預算A1 BIM'!$A$77:$BB$143,{36},0)),0)+BK47</f>
        <v>11154</v>
      </c>
      <c r="BI47" s="226" cm="1">
        <f t="array" ref="BI47">IFERROR(SUM(VLOOKUP($A47,'預算A1 BIM'!$A$151:$BB$220,{36},0)),0)-BK47</f>
        <v>5082</v>
      </c>
      <c r="BJ47" s="226">
        <f t="shared" si="73"/>
        <v>16236</v>
      </c>
      <c r="BK47" s="157"/>
      <c r="BL47" s="226">
        <f>SUMIF($P$4:$BK$4,$BL$4,$P47:$BK$65)</f>
        <v>605407</v>
      </c>
      <c r="BM47" s="226">
        <f>SUMIF($P$4:$BK$4,$BM$4,$P47:$BK$65)</f>
        <v>275804</v>
      </c>
      <c r="BN47" s="226">
        <f t="shared" si="74"/>
        <v>881211</v>
      </c>
      <c r="BO47" s="157">
        <f>SUMIF($P$4:$BK$4,$BO$4,$P47:$BK$65)</f>
        <v>0</v>
      </c>
      <c r="BP47" s="226">
        <f t="shared" si="75"/>
        <v>1295167</v>
      </c>
      <c r="BQ47" s="226">
        <f t="shared" si="76"/>
        <v>590037</v>
      </c>
      <c r="BR47" s="226">
        <f t="shared" si="77"/>
        <v>1885204</v>
      </c>
      <c r="BS47" s="226">
        <f t="shared" si="78"/>
        <v>0</v>
      </c>
      <c r="BT47" s="226" cm="1">
        <f t="array" ref="BT47">IFERROR(SUM(VLOOKUP($A47,'預算A1 BIM'!$A$77:$BB$143,{39},0)),0)+BW47</f>
        <v>0</v>
      </c>
      <c r="BU47" s="226" cm="1">
        <f t="array" ref="BU47">IFERROR(SUM(VLOOKUP($A47,'預算A1 BIM'!$A$151:$BB$220,{39},0)),0)-BW47</f>
        <v>0</v>
      </c>
      <c r="BV47" s="226">
        <f t="shared" si="79"/>
        <v>0</v>
      </c>
      <c r="BW47" s="157"/>
      <c r="BX47" s="226">
        <f t="shared" si="80"/>
        <v>1295167</v>
      </c>
      <c r="BY47" s="157">
        <f t="shared" si="81"/>
        <v>590037</v>
      </c>
      <c r="BZ47" s="226">
        <f t="shared" si="82"/>
        <v>1885204</v>
      </c>
      <c r="CA47" s="157">
        <f t="shared" si="83"/>
        <v>0</v>
      </c>
      <c r="CB47" s="226" cm="1">
        <f t="array" ref="CB47">IFERROR(SUM(VLOOKUP($A47,'預算A1 BIM'!$A$77:$BB$143,{40},0)),0)+CE47</f>
        <v>0</v>
      </c>
      <c r="CC47" s="226" cm="1">
        <f t="array" ref="CC47">IFERROR(SUM(VLOOKUP($A47,'預算A1 BIM'!$A$151:$BB$220,{40},0)),0)-CE47</f>
        <v>0</v>
      </c>
      <c r="CD47" s="226">
        <f t="shared" si="84"/>
        <v>0</v>
      </c>
      <c r="CE47" s="157"/>
      <c r="CF47" s="226">
        <f t="shared" si="85"/>
        <v>1295167</v>
      </c>
      <c r="CG47" s="226">
        <f t="shared" si="86"/>
        <v>590037</v>
      </c>
      <c r="CH47" s="226">
        <f t="shared" si="87"/>
        <v>1885204</v>
      </c>
      <c r="CI47" s="226">
        <f t="shared" si="88"/>
        <v>0</v>
      </c>
      <c r="CJ47" s="226" cm="1">
        <f t="array" ref="CJ47">IFERROR(SUM(VLOOKUP($A47,'預算A1 BIM'!$A$77:$BB$143,{41},0)),0)+CM47</f>
        <v>0</v>
      </c>
      <c r="CK47" s="226" cm="1">
        <f t="array" ref="CK47">IFERROR(SUM(VLOOKUP($A47,'預算A1 BIM'!$A$151:$BB$220,{41},0)),0)-CM47</f>
        <v>0</v>
      </c>
      <c r="CL47" s="226">
        <f t="shared" si="89"/>
        <v>0</v>
      </c>
      <c r="CM47" s="157"/>
      <c r="CN47" s="226">
        <f t="shared" si="90"/>
        <v>1295167</v>
      </c>
      <c r="CO47" s="226">
        <f t="shared" si="91"/>
        <v>590037</v>
      </c>
      <c r="CP47" s="226">
        <f t="shared" si="92"/>
        <v>1885204</v>
      </c>
      <c r="CQ47" s="226">
        <f t="shared" si="93"/>
        <v>0</v>
      </c>
      <c r="CR47" s="226" cm="1">
        <f t="array" ref="CR47">IFERROR(SUM(VLOOKUP($A47,'預算A1 BIM'!$A$77:$BB$143,{42},0)),0)+CU47</f>
        <v>0</v>
      </c>
      <c r="CS47" s="226" cm="1">
        <f t="array" ref="CS47">IFERROR(SUM(VLOOKUP($A47,'預算A1 BIM'!$A$151:$BB$220,{42},0)),0)-CU47</f>
        <v>0</v>
      </c>
      <c r="CT47" s="226">
        <f t="shared" si="108"/>
        <v>0</v>
      </c>
      <c r="CU47" s="157"/>
      <c r="CV47" s="226">
        <f t="shared" si="95"/>
        <v>1295167</v>
      </c>
      <c r="CW47" s="226">
        <f t="shared" si="96"/>
        <v>590037</v>
      </c>
      <c r="CX47" s="226">
        <f t="shared" si="97"/>
        <v>1885204</v>
      </c>
      <c r="CY47" s="226">
        <f t="shared" si="98"/>
        <v>0</v>
      </c>
    </row>
    <row r="48" spans="1:103" outlineLevel="1">
      <c r="A48" s="175" t="s">
        <v>699</v>
      </c>
      <c r="B48" s="172" t="s">
        <v>700</v>
      </c>
      <c r="C48" s="169" t="s">
        <v>1037</v>
      </c>
      <c r="D48" s="225">
        <f>IFERROR(VLOOKUP(A48,'202608收入成本表'!A:Y,23,0),0)</f>
        <v>297617</v>
      </c>
      <c r="E48" s="225">
        <f>IFERROR(VLOOKUP(A48,'202608收入成本表'!A:Z,24,0),0)</f>
        <v>-137617</v>
      </c>
      <c r="F48" s="226">
        <f t="shared" si="57"/>
        <v>160000</v>
      </c>
      <c r="G48" s="226"/>
      <c r="H48" s="226" cm="1">
        <f t="array" ref="H48">IFERROR(SUM(VLOOKUP(A48,'預算A1 BIM'!$A$77:$BB$143,{19,20,21,22},0)),0)</f>
        <v>270974</v>
      </c>
      <c r="I48" s="226" cm="1">
        <f t="array" ref="I48">IFERROR(SUM(VLOOKUP(A48,'預算A1 BIM'!$A$151:$BB$220,{19,20,21,22},0)),0)</f>
        <v>248471</v>
      </c>
      <c r="J48" s="226">
        <f t="shared" si="58"/>
        <v>519445</v>
      </c>
      <c r="K48" s="226">
        <f>-VLOOKUP(A48,'2026FCST%'!A:AC,27,FALSE)</f>
        <v>0</v>
      </c>
      <c r="L48" s="226">
        <f t="shared" si="59"/>
        <v>568591</v>
      </c>
      <c r="M48" s="226">
        <f t="shared" si="60"/>
        <v>110854</v>
      </c>
      <c r="N48" s="226">
        <f t="shared" si="61"/>
        <v>679445</v>
      </c>
      <c r="O48" s="226">
        <f t="shared" si="99"/>
        <v>0</v>
      </c>
      <c r="P48" s="226" cm="1">
        <f t="array" ref="P48">IFERROR(SUM(VLOOKUP($A48,'預算A1 BIM'!$A$77:$BB$143,{25},0)),0)+S48</f>
        <v>110698</v>
      </c>
      <c r="Q48" s="226" cm="1">
        <f t="array" ref="Q48">IFERROR(SUM(VLOOKUP($A48,'預算A1 BIM'!$A$151:$BB$220,{25},0)),0)</f>
        <v>21581</v>
      </c>
      <c r="R48" s="226">
        <f t="shared" si="62"/>
        <v>132279</v>
      </c>
      <c r="S48" s="157"/>
      <c r="T48" s="226" cm="1">
        <f t="array" ref="T48">IFERROR(SUM(VLOOKUP($A48,'預算A1 BIM'!$A$77:$BB$143,{26},0)),0)+W48</f>
        <v>78471</v>
      </c>
      <c r="U48" s="226" cm="1">
        <f t="array" ref="U48">IFERROR(SUM(VLOOKUP($A48,'預算A1 BIM'!$A$151:$BB$220,{26},0)),0)</f>
        <v>15299</v>
      </c>
      <c r="V48" s="226">
        <f t="shared" si="106"/>
        <v>93770</v>
      </c>
      <c r="W48" s="157"/>
      <c r="X48" s="226" cm="1">
        <f t="array" ref="X48">IFERROR(SUM(VLOOKUP($A48,'預算A1 BIM'!$A$77:$BB$143,{27},0)),0)+AA48</f>
        <v>203500</v>
      </c>
      <c r="Y48" s="226" cm="1">
        <f t="array" ref="Y48">IFERROR(SUM(VLOOKUP($A48,'預算A1 BIM'!$A$151:$BB$220,{27},0)),0)</f>
        <v>39675</v>
      </c>
      <c r="Z48" s="226">
        <f t="shared" si="107"/>
        <v>243175</v>
      </c>
      <c r="AA48" s="226"/>
      <c r="AB48" s="226" cm="1">
        <f t="array" ref="AB48">IFERROR(SUM(VLOOKUP($A48,'預算A1 BIM'!$A$77:$BB$143,{28},0)),0)+AE48</f>
        <v>176346</v>
      </c>
      <c r="AC48" s="226" cm="1">
        <f t="array" ref="AC48">IFERROR(SUM(VLOOKUP($A48,'預算A1 BIM'!$A$151:$BB$220,{28},0)),0)</f>
        <v>34381</v>
      </c>
      <c r="AD48" s="226">
        <f t="shared" si="101"/>
        <v>210727</v>
      </c>
      <c r="AE48" s="157"/>
      <c r="AF48" s="226" cm="1">
        <f t="array" ref="AF48">IFERROR(SUM(VLOOKUP($A48,'預算A1 BIM'!$A$77:$BB$143,{29},0)),0)+AI48</f>
        <v>191498</v>
      </c>
      <c r="AG48" s="226" cm="1">
        <f t="array" ref="AG48">IFERROR(SUM(VLOOKUP($A48,'預算A1 BIM'!$A$151:$BB$220,{29},0)),0)</f>
        <v>37335</v>
      </c>
      <c r="AH48" s="226">
        <f t="shared" si="103"/>
        <v>228833</v>
      </c>
      <c r="AI48" s="157"/>
      <c r="AJ48" s="226" cm="1">
        <f t="array" ref="AJ48">IFERROR(SUM(VLOOKUP($A48,'預算A1 BIM'!$A$77:$BB$143,{30},0)),0)+AM48</f>
        <v>188595</v>
      </c>
      <c r="AK48" s="226" cm="1">
        <f t="array" ref="AK48">IFERROR(SUM(VLOOKUP($A48,'預算A1 BIM'!$A$151:$BB$220,{30},0)),0)</f>
        <v>36768</v>
      </c>
      <c r="AL48" s="226">
        <f t="shared" si="104"/>
        <v>225363</v>
      </c>
      <c r="AM48" s="157"/>
      <c r="AN48" s="226" cm="1">
        <f t="array" ref="AN48">IFERROR(SUM(VLOOKUP($A48,'預算A1 BIM'!$A$77:$BB$143,{31},0)),0)+AQ48</f>
        <v>121249</v>
      </c>
      <c r="AO48" s="226" cm="1">
        <f t="array" ref="AO48">IFERROR(SUM(VLOOKUP($A48,'預算A1 BIM'!$A$151:$BB$220,{31},0)),0)</f>
        <v>23639</v>
      </c>
      <c r="AP48" s="226">
        <f t="shared" si="68"/>
        <v>144888</v>
      </c>
      <c r="AQ48" s="157"/>
      <c r="AR48" s="226" cm="1">
        <f t="array" ref="AR48">IFERROR(SUM(VLOOKUP($A48,'預算A1 BIM'!$A$77:$BB$143,{32},0)),0)+AU48</f>
        <v>122096</v>
      </c>
      <c r="AS48" s="226" cm="1">
        <f t="array" ref="AS48">IFERROR(SUM(VLOOKUP($A48,'預算A1 BIM'!$A$151:$BB$220,{32},0)),0)</f>
        <v>23804</v>
      </c>
      <c r="AT48" s="226">
        <f t="shared" si="69"/>
        <v>145900</v>
      </c>
      <c r="AU48" s="157"/>
      <c r="AV48" s="226" cm="1">
        <f t="array" ref="AV48">IFERROR(SUM(VLOOKUP($A48,'預算A1 BIM'!$A$77:$BB$143,{33},0)),0)+AY48</f>
        <v>111508</v>
      </c>
      <c r="AW48" s="226" cm="1">
        <f t="array" ref="AW48">IFERROR(SUM(VLOOKUP($A48,'預算A1 BIM'!$A$151:$BB$220,{33},0)),0)-AY48</f>
        <v>21740</v>
      </c>
      <c r="AX48" s="226">
        <f t="shared" si="70"/>
        <v>133248</v>
      </c>
      <c r="AY48" s="157"/>
      <c r="AZ48" s="226" cm="1">
        <f t="array" ref="AZ48">IFERROR(SUM(VLOOKUP($A48,'預算A1 BIM'!$A$77:$BB$143,{34},0)),0)+BC48</f>
        <v>119401</v>
      </c>
      <c r="BA48" s="226" cm="1">
        <f t="array" ref="BA48">IFERROR(SUM(VLOOKUP($A48,'預算A1 BIM'!$A$151:$BB$220,{34},0)),0)-BC48</f>
        <v>23279</v>
      </c>
      <c r="BB48" s="226">
        <f t="shared" si="105"/>
        <v>142680</v>
      </c>
      <c r="BC48" s="157"/>
      <c r="BD48" s="226" cm="1">
        <f t="array" ref="BD48">IFERROR(SUM(VLOOKUP($A48,'預算A1 BIM'!$A$77:$BB$143,{35},0)),0)+BG48</f>
        <v>120690</v>
      </c>
      <c r="BE48" s="226" cm="1">
        <f t="array" ref="BE48">IFERROR(SUM(VLOOKUP($A48,'預算A1 BIM'!$A$151:$BB$220,{35},0)),0)-BG48</f>
        <v>23530</v>
      </c>
      <c r="BF48" s="226">
        <f t="shared" si="72"/>
        <v>144220</v>
      </c>
      <c r="BG48" s="157"/>
      <c r="BH48" s="226" cm="1">
        <f t="array" ref="BH48">IFERROR(SUM(VLOOKUP($A48,'預算A1 BIM'!$A$77:$BB$143,{36},0)),0)+BK48</f>
        <v>147596</v>
      </c>
      <c r="BI48" s="226" cm="1">
        <f t="array" ref="BI48">IFERROR(SUM(VLOOKUP($A48,'預算A1 BIM'!$A$151:$BB$220,{36},0)),0)-BK48</f>
        <v>28775</v>
      </c>
      <c r="BJ48" s="226">
        <f t="shared" si="73"/>
        <v>176371</v>
      </c>
      <c r="BK48" s="157"/>
      <c r="BL48" s="226">
        <f>SUMIF($P$4:$BK$4,$BL$4,$P48:$BK$65)</f>
        <v>1691648</v>
      </c>
      <c r="BM48" s="226">
        <f>SUMIF($P$4:$BK$4,$BM$4,$P48:$BK$65)</f>
        <v>329806</v>
      </c>
      <c r="BN48" s="226">
        <f t="shared" si="74"/>
        <v>2021454</v>
      </c>
      <c r="BO48" s="157">
        <f>SUMIF($P$4:$BK$4,$BO$4,$P48:$BK$65)</f>
        <v>0</v>
      </c>
      <c r="BP48" s="226">
        <f t="shared" si="75"/>
        <v>2260239</v>
      </c>
      <c r="BQ48" s="226">
        <f t="shared" si="76"/>
        <v>440660</v>
      </c>
      <c r="BR48" s="226">
        <f t="shared" si="77"/>
        <v>2700899</v>
      </c>
      <c r="BS48" s="226">
        <f t="shared" si="78"/>
        <v>0</v>
      </c>
      <c r="BT48" s="226" cm="1">
        <f t="array" ref="BT48">IFERROR(SUM(VLOOKUP($A48,'預算A1 BIM'!$A$77:$BB$143,{39},0)),0)+BW48</f>
        <v>278009</v>
      </c>
      <c r="BU48" s="226" cm="1">
        <f t="array" ref="BU48">IFERROR(SUM(VLOOKUP($A48,'預算A1 BIM'!$A$151:$BB$220,{39},0)),0)-BW48</f>
        <v>54201</v>
      </c>
      <c r="BV48" s="226">
        <f t="shared" si="79"/>
        <v>332210</v>
      </c>
      <c r="BW48" s="157"/>
      <c r="BX48" s="226">
        <f t="shared" si="80"/>
        <v>2538248</v>
      </c>
      <c r="BY48" s="157">
        <f t="shared" si="81"/>
        <v>494861</v>
      </c>
      <c r="BZ48" s="226">
        <f t="shared" si="82"/>
        <v>3033109</v>
      </c>
      <c r="CA48" s="157">
        <f t="shared" si="83"/>
        <v>0</v>
      </c>
      <c r="CB48" s="226" cm="1">
        <f t="array" ref="CB48">IFERROR(SUM(VLOOKUP($A48,'預算A1 BIM'!$A$77:$BB$143,{40},0)),0)+CE48</f>
        <v>28822</v>
      </c>
      <c r="CC48" s="226" cm="1">
        <f t="array" ref="CC48">IFERROR(SUM(VLOOKUP($A48,'預算A1 BIM'!$A$151:$BB$220,{40},0)),0)-CE48</f>
        <v>5620</v>
      </c>
      <c r="CD48" s="226">
        <f t="shared" si="84"/>
        <v>34442</v>
      </c>
      <c r="CE48" s="157"/>
      <c r="CF48" s="226">
        <f t="shared" si="85"/>
        <v>2567070</v>
      </c>
      <c r="CG48" s="226">
        <f t="shared" si="86"/>
        <v>500481</v>
      </c>
      <c r="CH48" s="226">
        <f t="shared" si="87"/>
        <v>3067551</v>
      </c>
      <c r="CI48" s="226">
        <f t="shared" si="88"/>
        <v>0</v>
      </c>
      <c r="CJ48" s="226" cm="1">
        <f t="array" ref="CJ48">IFERROR(SUM(VLOOKUP($A48,'預算A1 BIM'!$A$77:$BB$143,{41},0)),0)+CM48</f>
        <v>0</v>
      </c>
      <c r="CK48" s="226" cm="1">
        <f t="array" ref="CK48">IFERROR(SUM(VLOOKUP($A48,'預算A1 BIM'!$A$151:$BB$220,{41},0)),0)-CM48</f>
        <v>0</v>
      </c>
      <c r="CL48" s="226">
        <f t="shared" si="89"/>
        <v>0</v>
      </c>
      <c r="CM48" s="157"/>
      <c r="CN48" s="226">
        <f t="shared" si="90"/>
        <v>2567070</v>
      </c>
      <c r="CO48" s="226">
        <f t="shared" si="91"/>
        <v>500481</v>
      </c>
      <c r="CP48" s="226">
        <f t="shared" si="92"/>
        <v>3067551</v>
      </c>
      <c r="CQ48" s="226">
        <f t="shared" si="93"/>
        <v>0</v>
      </c>
      <c r="CR48" s="226" cm="1">
        <f t="array" ref="CR48">IFERROR(SUM(VLOOKUP($A48,'預算A1 BIM'!$A$77:$BB$143,{42},0)),0)+CU48</f>
        <v>0</v>
      </c>
      <c r="CS48" s="226" cm="1">
        <f t="array" ref="CS48">IFERROR(SUM(VLOOKUP($A48,'預算A1 BIM'!$A$151:$BB$220,{42},0)),0)-CU48</f>
        <v>0</v>
      </c>
      <c r="CT48" s="226">
        <f t="shared" si="108"/>
        <v>0</v>
      </c>
      <c r="CU48" s="157"/>
      <c r="CV48" s="226">
        <f t="shared" si="95"/>
        <v>2567070</v>
      </c>
      <c r="CW48" s="226">
        <f t="shared" si="96"/>
        <v>500481</v>
      </c>
      <c r="CX48" s="226">
        <f t="shared" si="97"/>
        <v>3067551</v>
      </c>
      <c r="CY48" s="226">
        <f t="shared" si="98"/>
        <v>0</v>
      </c>
    </row>
    <row r="49" spans="1:185" outlineLevel="1">
      <c r="A49" s="175" t="s">
        <v>701</v>
      </c>
      <c r="B49" s="172" t="s">
        <v>702</v>
      </c>
      <c r="C49" s="169" t="s">
        <v>1037</v>
      </c>
      <c r="D49" s="225">
        <f>IFERROR(VLOOKUP(A49,'202608收入成本表'!A:Y,23,0),0)</f>
        <v>435393</v>
      </c>
      <c r="E49" s="225">
        <f>IFERROR(VLOOKUP(A49,'202608收入成本表'!A:Z,24,0),0)</f>
        <v>-435393</v>
      </c>
      <c r="F49" s="226">
        <f t="shared" si="57"/>
        <v>0</v>
      </c>
      <c r="G49" s="226"/>
      <c r="H49" s="226" cm="1">
        <f t="array" ref="H49">IFERROR(SUM(VLOOKUP(A49,'預算A1 BIM'!$A$77:$BB$143,{19,20,21,22},0)),0)</f>
        <v>200533</v>
      </c>
      <c r="I49" s="226" cm="1">
        <f t="array" ref="I49">IFERROR(SUM(VLOOKUP(A49,'預算A1 BIM'!$A$151:$BB$220,{19,20,21,22},0)),0)</f>
        <v>710103</v>
      </c>
      <c r="J49" s="226">
        <f t="shared" si="58"/>
        <v>910636</v>
      </c>
      <c r="K49" s="226">
        <f>-VLOOKUP(A49,'2026FCST%'!A:AC,27,FALSE)</f>
        <v>0</v>
      </c>
      <c r="L49" s="226">
        <f t="shared" si="59"/>
        <v>635926</v>
      </c>
      <c r="M49" s="226">
        <f t="shared" si="60"/>
        <v>274710</v>
      </c>
      <c r="N49" s="226">
        <f t="shared" si="61"/>
        <v>910636</v>
      </c>
      <c r="O49" s="226">
        <f t="shared" si="99"/>
        <v>0</v>
      </c>
      <c r="P49" s="226" cm="1">
        <f t="array" ref="P49">IFERROR(SUM(VLOOKUP($A49,'預算A1 BIM'!$A$77:$BB$143,{25},0)),0)+S49</f>
        <v>111369</v>
      </c>
      <c r="Q49" s="226" cm="1">
        <f t="array" ref="Q49">IFERROR(SUM(VLOOKUP($A49,'預算A1 BIM'!$A$151:$BB$220,{25},0)),0)</f>
        <v>48110</v>
      </c>
      <c r="R49" s="226">
        <f t="shared" si="62"/>
        <v>159479</v>
      </c>
      <c r="S49" s="157"/>
      <c r="T49" s="226" cm="1">
        <f t="array" ref="T49">IFERROR(SUM(VLOOKUP($A49,'預算A1 BIM'!$A$77:$BB$143,{26},0)),0)+W49</f>
        <v>79142</v>
      </c>
      <c r="U49" s="226" cm="1">
        <f t="array" ref="U49">IFERROR(SUM(VLOOKUP($A49,'預算A1 BIM'!$A$151:$BB$220,{26},0)),0)</f>
        <v>34188</v>
      </c>
      <c r="V49" s="226">
        <f t="shared" si="106"/>
        <v>113330</v>
      </c>
      <c r="W49" s="157"/>
      <c r="X49" s="226" cm="1">
        <f t="array" ref="X49">IFERROR(SUM(VLOOKUP($A49,'預算A1 BIM'!$A$77:$BB$143,{27},0)),0)+AA49</f>
        <v>136940</v>
      </c>
      <c r="Y49" s="226" cm="1">
        <f t="array" ref="Y49">IFERROR(SUM(VLOOKUP($A49,'預算A1 BIM'!$A$151:$BB$220,{27},0)),0)</f>
        <v>59156</v>
      </c>
      <c r="Z49" s="226">
        <f t="shared" si="107"/>
        <v>196096</v>
      </c>
      <c r="AA49" s="226"/>
      <c r="AB49" s="226" cm="1">
        <f t="array" ref="AB49">IFERROR(SUM(VLOOKUP($A49,'預算A1 BIM'!$A$77:$BB$143,{28},0)),0)+AE49</f>
        <v>115242</v>
      </c>
      <c r="AC49" s="226" cm="1">
        <f t="array" ref="AC49">IFERROR(SUM(VLOOKUP($A49,'預算A1 BIM'!$A$151:$BB$220,{28},0)),0)</f>
        <v>49783</v>
      </c>
      <c r="AD49" s="226">
        <f t="shared" ref="AD49:AD57" si="109">SUM(AB49:AC49)</f>
        <v>165025</v>
      </c>
      <c r="AE49" s="157"/>
      <c r="AF49" s="226" cm="1">
        <f t="array" ref="AF49">IFERROR(SUM(VLOOKUP($A49,'預算A1 BIM'!$A$77:$BB$143,{29},0)),0)+AI49</f>
        <v>130394</v>
      </c>
      <c r="AG49" s="226" cm="1">
        <f t="array" ref="AG49">IFERROR(SUM(VLOOKUP($A49,'預算A1 BIM'!$A$151:$BB$220,{29},0)),0)</f>
        <v>56328</v>
      </c>
      <c r="AH49" s="226">
        <f t="shared" si="103"/>
        <v>186722</v>
      </c>
      <c r="AI49" s="157"/>
      <c r="AJ49" s="226" cm="1">
        <f t="array" ref="AJ49">IFERROR(SUM(VLOOKUP($A49,'預算A1 BIM'!$A$77:$BB$143,{30},0)),0)+AM49</f>
        <v>136366</v>
      </c>
      <c r="AK49" s="226" cm="1">
        <f t="array" ref="AK49">IFERROR(SUM(VLOOKUP($A49,'預算A1 BIM'!$A$151:$BB$220,{30},0)),0)</f>
        <v>58908</v>
      </c>
      <c r="AL49" s="226">
        <f t="shared" si="104"/>
        <v>195274</v>
      </c>
      <c r="AM49" s="157"/>
      <c r="AN49" s="226" cm="1">
        <f t="array" ref="AN49">IFERROR(SUM(VLOOKUP($A49,'預算A1 BIM'!$A$77:$BB$143,{31},0)),0)+AQ49</f>
        <v>121950</v>
      </c>
      <c r="AO49" s="226" cm="1">
        <f t="array" ref="AO49">IFERROR(SUM(VLOOKUP($A49,'預算A1 BIM'!$A$151:$BB$220,{31},0)),0)</f>
        <v>52681</v>
      </c>
      <c r="AP49" s="226">
        <f t="shared" si="68"/>
        <v>174631</v>
      </c>
      <c r="AQ49" s="157"/>
      <c r="AR49" s="226" cm="1">
        <f t="array" ref="AR49">IFERROR(SUM(VLOOKUP($A49,'預算A1 BIM'!$A$77:$BB$143,{32},0)),0)+AU49</f>
        <v>122866</v>
      </c>
      <c r="AS49" s="226" cm="1">
        <f t="array" ref="AS49">IFERROR(SUM(VLOOKUP($A49,'預算A1 BIM'!$A$151:$BB$220,{32},0)),0)</f>
        <v>53076</v>
      </c>
      <c r="AT49" s="226">
        <f t="shared" si="69"/>
        <v>175942</v>
      </c>
      <c r="AU49" s="157"/>
      <c r="AV49" s="226" cm="1">
        <f t="array" ref="AV49">IFERROR(SUM(VLOOKUP($A49,'預算A1 BIM'!$A$77:$BB$143,{33},0)),0)+AY49</f>
        <v>112278</v>
      </c>
      <c r="AW49" s="226" cm="1">
        <f t="array" ref="AW49">IFERROR(SUM(VLOOKUP($A49,'預算A1 BIM'!$A$151:$BB$220,{33},0)),0)-AY49</f>
        <v>48503</v>
      </c>
      <c r="AX49" s="226">
        <f t="shared" si="70"/>
        <v>160781</v>
      </c>
      <c r="AY49" s="157"/>
      <c r="AZ49" s="226" cm="1">
        <f t="array" ref="AZ49">IFERROR(SUM(VLOOKUP($A49,'預算A1 BIM'!$A$77:$BB$143,{34},0)),0)+BC49</f>
        <v>128063</v>
      </c>
      <c r="BA49" s="226" cm="1">
        <f t="array" ref="BA49">IFERROR(SUM(VLOOKUP($A49,'預算A1 BIM'!$A$151:$BB$220,{34},0)),0)-BC49</f>
        <v>55321</v>
      </c>
      <c r="BB49" s="226">
        <f t="shared" si="105"/>
        <v>183384</v>
      </c>
      <c r="BC49" s="157"/>
      <c r="BD49" s="226" cm="1">
        <f t="array" ref="BD49">IFERROR(SUM(VLOOKUP($A49,'預算A1 BIM'!$A$77:$BB$143,{35},0)),0)+BG49</f>
        <v>121460</v>
      </c>
      <c r="BE49" s="226" cm="1">
        <f t="array" ref="BE49">IFERROR(SUM(VLOOKUP($A49,'預算A1 BIM'!$A$151:$BB$220,{35},0)),0)-BG49</f>
        <v>52469</v>
      </c>
      <c r="BF49" s="226">
        <f t="shared" si="72"/>
        <v>173929</v>
      </c>
      <c r="BG49" s="157"/>
      <c r="BH49" s="226" cm="1">
        <f t="array" ref="BH49">IFERROR(SUM(VLOOKUP($A49,'預算A1 BIM'!$A$77:$BB$143,{36},0)),0)+BK49</f>
        <v>158366</v>
      </c>
      <c r="BI49" s="226" cm="1">
        <f t="array" ref="BI49">IFERROR(SUM(VLOOKUP($A49,'預算A1 BIM'!$A$151:$BB$220,{36},0)),0)-BK49</f>
        <v>68411</v>
      </c>
      <c r="BJ49" s="226">
        <f t="shared" si="73"/>
        <v>226777</v>
      </c>
      <c r="BK49" s="157"/>
      <c r="BL49" s="226">
        <f>SUMIF($P$4:$BK$4,$BL$4,$P49:$BK$65)</f>
        <v>1474436</v>
      </c>
      <c r="BM49" s="226">
        <f>SUMIF($P$4:$BK$4,$BM$4,$P49:$BK$65)</f>
        <v>636934</v>
      </c>
      <c r="BN49" s="226">
        <f t="shared" si="74"/>
        <v>2111370</v>
      </c>
      <c r="BO49" s="157">
        <f>SUMIF($P$4:$BK$4,$BO$4,$P49:$BK$65)</f>
        <v>0</v>
      </c>
      <c r="BP49" s="226">
        <f t="shared" si="75"/>
        <v>2110362</v>
      </c>
      <c r="BQ49" s="226">
        <f t="shared" si="76"/>
        <v>911644</v>
      </c>
      <c r="BR49" s="226">
        <f t="shared" si="77"/>
        <v>3022006</v>
      </c>
      <c r="BS49" s="226">
        <f t="shared" si="78"/>
        <v>0</v>
      </c>
      <c r="BT49" s="226" cm="1">
        <f t="array" ref="BT49">IFERROR(SUM(VLOOKUP($A49,'預算A1 BIM'!$A$77:$BB$143,{39},0)),0)+BW49</f>
        <v>1522567</v>
      </c>
      <c r="BU49" s="226" cm="1">
        <f t="array" ref="BU49">IFERROR(SUM(VLOOKUP($A49,'預算A1 BIM'!$A$151:$BB$220,{39},0)),0)-BW49</f>
        <v>657726</v>
      </c>
      <c r="BV49" s="226">
        <f t="shared" si="79"/>
        <v>2180293</v>
      </c>
      <c r="BW49" s="157"/>
      <c r="BX49" s="226">
        <f t="shared" si="80"/>
        <v>3632929</v>
      </c>
      <c r="BY49" s="157">
        <f t="shared" si="81"/>
        <v>1569370</v>
      </c>
      <c r="BZ49" s="226">
        <f t="shared" si="82"/>
        <v>5202299</v>
      </c>
      <c r="CA49" s="157">
        <f t="shared" si="83"/>
        <v>0</v>
      </c>
      <c r="CB49" s="226" cm="1">
        <f t="array" ref="CB49">IFERROR(SUM(VLOOKUP($A49,'預算A1 BIM'!$A$77:$BB$143,{40},0)),0)+CE49</f>
        <v>1596953</v>
      </c>
      <c r="CC49" s="226" cm="1">
        <f t="array" ref="CC49">IFERROR(SUM(VLOOKUP($A49,'預算A1 BIM'!$A$151:$BB$220,{40},0)),0)-CE49</f>
        <v>689860</v>
      </c>
      <c r="CD49" s="226">
        <f t="shared" si="84"/>
        <v>2286813</v>
      </c>
      <c r="CE49" s="157"/>
      <c r="CF49" s="226">
        <f t="shared" si="85"/>
        <v>5229882</v>
      </c>
      <c r="CG49" s="226">
        <f t="shared" si="86"/>
        <v>2259230</v>
      </c>
      <c r="CH49" s="226">
        <f t="shared" si="87"/>
        <v>7489112</v>
      </c>
      <c r="CI49" s="226">
        <f t="shared" si="88"/>
        <v>0</v>
      </c>
      <c r="CJ49" s="226" cm="1">
        <f t="array" ref="CJ49">IFERROR(SUM(VLOOKUP($A49,'預算A1 BIM'!$A$77:$BB$143,{41},0)),0)+CM49</f>
        <v>230296</v>
      </c>
      <c r="CK49" s="226" cm="1">
        <f t="array" ref="CK49">IFERROR(SUM(VLOOKUP($A49,'預算A1 BIM'!$A$151:$BB$220,{41},0)),0)-CM49</f>
        <v>99484</v>
      </c>
      <c r="CL49" s="226">
        <f t="shared" si="89"/>
        <v>329780</v>
      </c>
      <c r="CM49" s="157"/>
      <c r="CN49" s="226">
        <f t="shared" si="90"/>
        <v>5460178</v>
      </c>
      <c r="CO49" s="226">
        <f t="shared" si="91"/>
        <v>2358714</v>
      </c>
      <c r="CP49" s="226">
        <f t="shared" si="92"/>
        <v>7818892</v>
      </c>
      <c r="CQ49" s="226">
        <f t="shared" si="93"/>
        <v>0</v>
      </c>
      <c r="CR49" s="226" cm="1">
        <f t="array" ref="CR49">IFERROR(SUM(VLOOKUP($A49,'預算A1 BIM'!$A$77:$BB$143,{42},0)),0)+CU49</f>
        <v>0</v>
      </c>
      <c r="CS49" s="226" cm="1">
        <f t="array" ref="CS49">IFERROR(SUM(VLOOKUP($A49,'預算A1 BIM'!$A$151:$BB$220,{42},0)),0)-CU49</f>
        <v>0</v>
      </c>
      <c r="CT49" s="226">
        <f t="shared" si="108"/>
        <v>0</v>
      </c>
      <c r="CU49" s="157"/>
      <c r="CV49" s="226">
        <f t="shared" si="95"/>
        <v>5460178</v>
      </c>
      <c r="CW49" s="226">
        <f t="shared" si="96"/>
        <v>2358714</v>
      </c>
      <c r="CX49" s="226">
        <f t="shared" si="97"/>
        <v>7818892</v>
      </c>
      <c r="CY49" s="226">
        <f t="shared" si="98"/>
        <v>0</v>
      </c>
    </row>
    <row r="50" spans="1:185" outlineLevel="1">
      <c r="A50" s="175" t="s">
        <v>703</v>
      </c>
      <c r="B50" s="172" t="s">
        <v>704</v>
      </c>
      <c r="C50" s="169" t="s">
        <v>1037</v>
      </c>
      <c r="D50" s="225">
        <f>IFERROR(VLOOKUP(A50,'202608收入成本表'!A:Y,23,0),0)</f>
        <v>80974</v>
      </c>
      <c r="E50" s="225">
        <f>IFERROR(VLOOKUP(A50,'202608收入成本表'!A:Z,24,0),0)</f>
        <v>-80974</v>
      </c>
      <c r="F50" s="226">
        <f t="shared" si="57"/>
        <v>0</v>
      </c>
      <c r="G50" s="226"/>
      <c r="H50" s="226" cm="1">
        <f t="array" ref="H50">IFERROR(SUM(VLOOKUP(A50,'預算A1 BIM'!$A$77:$BB$143,{19,20,21,22},0)),0)</f>
        <v>195479</v>
      </c>
      <c r="I50" s="226" cm="1">
        <f t="array" ref="I50">IFERROR(SUM(VLOOKUP(A50,'預算A1 BIM'!$A$151:$BB$220,{19,20,21,22},0)),0)</f>
        <v>190810</v>
      </c>
      <c r="J50" s="226">
        <f t="shared" si="58"/>
        <v>386289</v>
      </c>
      <c r="K50" s="226">
        <f>-VLOOKUP(A50,'2026FCST%'!A:AC,27,FALSE)</f>
        <v>0</v>
      </c>
      <c r="L50" s="226">
        <f t="shared" si="59"/>
        <v>276453</v>
      </c>
      <c r="M50" s="226">
        <f t="shared" si="60"/>
        <v>109836</v>
      </c>
      <c r="N50" s="226">
        <f t="shared" si="61"/>
        <v>386289</v>
      </c>
      <c r="O50" s="226">
        <f t="shared" si="99"/>
        <v>0</v>
      </c>
      <c r="P50" s="226" cm="1">
        <f t="array" ref="P50">IFERROR(SUM(VLOOKUP($A50,'預算A1 BIM'!$A$77:$BB$143,{25},0)),0)+S50</f>
        <v>60469</v>
      </c>
      <c r="Q50" s="226" cm="1">
        <f t="array" ref="Q50">IFERROR(SUM(VLOOKUP($A50,'預算A1 BIM'!$A$151:$BB$220,{25},0)),0)</f>
        <v>24025</v>
      </c>
      <c r="R50" s="226">
        <f t="shared" si="62"/>
        <v>84494</v>
      </c>
      <c r="S50" s="157"/>
      <c r="T50" s="226" cm="1">
        <f t="array" ref="T50">IFERROR(SUM(VLOOKUP($A50,'預算A1 BIM'!$A$77:$BB$143,{26},0)),0)+W50</f>
        <v>31503</v>
      </c>
      <c r="U50" s="226" cm="1">
        <f t="array" ref="U50">IFERROR(SUM(VLOOKUP($A50,'預算A1 BIM'!$A$151:$BB$220,{26},0)),0)</f>
        <v>12516</v>
      </c>
      <c r="V50" s="226">
        <f t="shared" si="106"/>
        <v>44019</v>
      </c>
      <c r="W50" s="157"/>
      <c r="X50" s="226" cm="1">
        <f t="array" ref="X50">IFERROR(SUM(VLOOKUP($A50,'預算A1 BIM'!$A$77:$BB$143,{27},0)),0)+AA50</f>
        <v>67260</v>
      </c>
      <c r="Y50" s="226" cm="1">
        <f t="array" ref="Y50">IFERROR(SUM(VLOOKUP($A50,'預算A1 BIM'!$A$151:$BB$220,{27},0)),0)</f>
        <v>26723</v>
      </c>
      <c r="Z50" s="226">
        <f t="shared" si="107"/>
        <v>93983</v>
      </c>
      <c r="AA50" s="226"/>
      <c r="AB50" s="226" cm="1">
        <f t="array" ref="AB50">IFERROR(SUM(VLOOKUP($A50,'預算A1 BIM'!$A$77:$BB$143,{28},0)),0)+AE50</f>
        <v>61806</v>
      </c>
      <c r="AC50" s="226" cm="1">
        <f t="array" ref="AC50">IFERROR(SUM(VLOOKUP($A50,'預算A1 BIM'!$A$151:$BB$220,{28},0)),0)</f>
        <v>24556</v>
      </c>
      <c r="AD50" s="226">
        <f t="shared" si="109"/>
        <v>86362</v>
      </c>
      <c r="AE50" s="157"/>
      <c r="AF50" s="226" cm="1">
        <f t="array" ref="AF50">IFERROR(SUM(VLOOKUP($A50,'預算A1 BIM'!$A$77:$BB$143,{29},0)),0)+AI50</f>
        <v>76958</v>
      </c>
      <c r="AG50" s="226" cm="1">
        <f t="array" ref="AG50">IFERROR(SUM(VLOOKUP($A50,'預算A1 BIM'!$A$151:$BB$220,{29},0)),0)</f>
        <v>30576</v>
      </c>
      <c r="AH50" s="226">
        <f t="shared" si="103"/>
        <v>107534</v>
      </c>
      <c r="AI50" s="157"/>
      <c r="AJ50" s="226" cm="1">
        <f t="array" ref="AJ50">IFERROR(SUM(VLOOKUP($A50,'預算A1 BIM'!$A$77:$BB$143,{30},0)),0)+AM50</f>
        <v>72930</v>
      </c>
      <c r="AK50" s="226" cm="1">
        <f t="array" ref="AK50">IFERROR(SUM(VLOOKUP($A50,'預算A1 BIM'!$A$151:$BB$220,{30},0)),0)</f>
        <v>28975</v>
      </c>
      <c r="AL50" s="226">
        <f t="shared" si="104"/>
        <v>101905</v>
      </c>
      <c r="AM50" s="157"/>
      <c r="AN50" s="226" cm="1">
        <f t="array" ref="AN50">IFERROR(SUM(VLOOKUP($A50,'預算A1 BIM'!$A$77:$BB$143,{31},0)),0)+AQ50</f>
        <v>0</v>
      </c>
      <c r="AO50" s="226" cm="1">
        <f t="array" ref="AO50">IFERROR(SUM(VLOOKUP($A50,'預算A1 BIM'!$A$151:$BB$220,{31},0)),0)</f>
        <v>0</v>
      </c>
      <c r="AP50" s="226">
        <f t="shared" si="68"/>
        <v>0</v>
      </c>
      <c r="AQ50" s="157"/>
      <c r="AR50" s="226" cm="1">
        <f t="array" ref="AR50">IFERROR(SUM(VLOOKUP($A50,'預算A1 BIM'!$A$77:$BB$143,{32},0)),0)+AU50</f>
        <v>0</v>
      </c>
      <c r="AS50" s="226" cm="1">
        <f t="array" ref="AS50">IFERROR(SUM(VLOOKUP($A50,'預算A1 BIM'!$A$151:$BB$220,{32},0)),0)</f>
        <v>0</v>
      </c>
      <c r="AT50" s="226">
        <f t="shared" si="69"/>
        <v>0</v>
      </c>
      <c r="AU50" s="157"/>
      <c r="AV50" s="226" cm="1">
        <f t="array" ref="AV50">IFERROR(SUM(VLOOKUP($A50,'預算A1 BIM'!$A$77:$BB$143,{33},0)),0)+AY50</f>
        <v>0</v>
      </c>
      <c r="AW50" s="226" cm="1">
        <f t="array" ref="AW50">IFERROR(SUM(VLOOKUP($A50,'預算A1 BIM'!$A$151:$BB$220,{33},0)),0)-AY50</f>
        <v>0</v>
      </c>
      <c r="AX50" s="226">
        <f t="shared" si="70"/>
        <v>0</v>
      </c>
      <c r="AY50" s="157"/>
      <c r="AZ50" s="226" cm="1">
        <f t="array" ref="AZ50">IFERROR(SUM(VLOOKUP($A50,'預算A1 BIM'!$A$77:$BB$143,{34},0)),0)+BC50</f>
        <v>7893</v>
      </c>
      <c r="BA50" s="226" cm="1">
        <f t="array" ref="BA50">IFERROR(SUM(VLOOKUP($A50,'預算A1 BIM'!$A$151:$BB$220,{34},0)),0)-BC50</f>
        <v>3136</v>
      </c>
      <c r="BB50" s="226">
        <f t="shared" si="105"/>
        <v>11029</v>
      </c>
      <c r="BC50" s="157"/>
      <c r="BD50" s="226" cm="1">
        <f t="array" ref="BD50">IFERROR(SUM(VLOOKUP($A50,'預算A1 BIM'!$A$77:$BB$143,{35},0)),0)+BG50</f>
        <v>0</v>
      </c>
      <c r="BE50" s="226" cm="1">
        <f t="array" ref="BE50">IFERROR(SUM(VLOOKUP($A50,'預算A1 BIM'!$A$151:$BB$220,{35},0)),0)-BG50</f>
        <v>0</v>
      </c>
      <c r="BF50" s="226">
        <f t="shared" si="72"/>
        <v>0</v>
      </c>
      <c r="BG50" s="157"/>
      <c r="BH50" s="226" cm="1">
        <f t="array" ref="BH50">IFERROR(SUM(VLOOKUP($A50,'預算A1 BIM'!$A$77:$BB$143,{36},0)),0)+BK50</f>
        <v>10000</v>
      </c>
      <c r="BI50" s="226" cm="1">
        <f t="array" ref="BI50">IFERROR(SUM(VLOOKUP($A50,'預算A1 BIM'!$A$151:$BB$220,{36},0)),0)-BK50</f>
        <v>3973</v>
      </c>
      <c r="BJ50" s="226">
        <f t="shared" si="73"/>
        <v>13973</v>
      </c>
      <c r="BK50" s="157"/>
      <c r="BL50" s="226">
        <f>SUMIF($P$4:$BK$4,$BL$4,$P50:$BK$65)</f>
        <v>388819</v>
      </c>
      <c r="BM50" s="226">
        <f>SUMIF($P$4:$BK$4,$BM$4,$P50:$BK$65)</f>
        <v>154480</v>
      </c>
      <c r="BN50" s="226">
        <f t="shared" si="74"/>
        <v>543299</v>
      </c>
      <c r="BO50" s="157">
        <f>SUMIF($P$4:$BK$4,$BO$4,$P50:$BK$65)</f>
        <v>0</v>
      </c>
      <c r="BP50" s="226">
        <f t="shared" si="75"/>
        <v>665272</v>
      </c>
      <c r="BQ50" s="226">
        <f t="shared" si="76"/>
        <v>264316</v>
      </c>
      <c r="BR50" s="226">
        <f t="shared" si="77"/>
        <v>929588</v>
      </c>
      <c r="BS50" s="226">
        <f t="shared" si="78"/>
        <v>0</v>
      </c>
      <c r="BT50" s="226" cm="1">
        <f t="array" ref="BT50">IFERROR(SUM(VLOOKUP($A50,'預算A1 BIM'!$A$77:$BB$143,{39},0)),0)+BW50</f>
        <v>123616</v>
      </c>
      <c r="BU50" s="226" cm="1">
        <f t="array" ref="BU50">IFERROR(SUM(VLOOKUP($A50,'預算A1 BIM'!$A$151:$BB$220,{39},0)),0)-BW50</f>
        <v>49113</v>
      </c>
      <c r="BV50" s="226">
        <f t="shared" si="79"/>
        <v>172729</v>
      </c>
      <c r="BW50" s="157"/>
      <c r="BX50" s="226">
        <f t="shared" si="80"/>
        <v>788888</v>
      </c>
      <c r="BY50" s="157">
        <f t="shared" si="81"/>
        <v>313429</v>
      </c>
      <c r="BZ50" s="226">
        <f t="shared" si="82"/>
        <v>1102317</v>
      </c>
      <c r="CA50" s="157">
        <f t="shared" si="83"/>
        <v>0</v>
      </c>
      <c r="CB50" s="226" cm="1">
        <f t="array" ref="CB50">IFERROR(SUM(VLOOKUP($A50,'預算A1 BIM'!$A$77:$BB$143,{40},0)),0)+CE50</f>
        <v>0</v>
      </c>
      <c r="CC50" s="226" cm="1">
        <f t="array" ref="CC50">IFERROR(SUM(VLOOKUP($A50,'預算A1 BIM'!$A$151:$BB$220,{40},0)),0)-CE50</f>
        <v>0</v>
      </c>
      <c r="CD50" s="226">
        <f t="shared" si="84"/>
        <v>0</v>
      </c>
      <c r="CE50" s="157"/>
      <c r="CF50" s="226">
        <f t="shared" si="85"/>
        <v>788888</v>
      </c>
      <c r="CG50" s="226">
        <f t="shared" si="86"/>
        <v>313429</v>
      </c>
      <c r="CH50" s="226">
        <f t="shared" si="87"/>
        <v>1102317</v>
      </c>
      <c r="CI50" s="226">
        <f t="shared" si="88"/>
        <v>0</v>
      </c>
      <c r="CJ50" s="226" cm="1">
        <f t="array" ref="CJ50">IFERROR(SUM(VLOOKUP($A50,'預算A1 BIM'!$A$77:$BB$143,{41},0)),0)+CM50</f>
        <v>0</v>
      </c>
      <c r="CK50" s="226" cm="1">
        <f t="array" ref="CK50">IFERROR(SUM(VLOOKUP($A50,'預算A1 BIM'!$A$151:$BB$220,{41},0)),0)-CM50</f>
        <v>0</v>
      </c>
      <c r="CL50" s="226">
        <f t="shared" si="89"/>
        <v>0</v>
      </c>
      <c r="CM50" s="157"/>
      <c r="CN50" s="226">
        <f t="shared" si="90"/>
        <v>788888</v>
      </c>
      <c r="CO50" s="226">
        <f t="shared" si="91"/>
        <v>313429</v>
      </c>
      <c r="CP50" s="226">
        <f t="shared" si="92"/>
        <v>1102317</v>
      </c>
      <c r="CQ50" s="226">
        <f t="shared" si="93"/>
        <v>0</v>
      </c>
      <c r="CR50" s="226" cm="1">
        <f t="array" ref="CR50">IFERROR(SUM(VLOOKUP($A50,'預算A1 BIM'!$A$77:$BB$143,{42},0)),0)+CU50</f>
        <v>0</v>
      </c>
      <c r="CS50" s="226" cm="1">
        <f t="array" ref="CS50">IFERROR(SUM(VLOOKUP($A50,'預算A1 BIM'!$A$151:$BB$220,{42},0)),0)-CU50</f>
        <v>0</v>
      </c>
      <c r="CT50" s="226">
        <f t="shared" si="108"/>
        <v>0</v>
      </c>
      <c r="CU50" s="157"/>
      <c r="CV50" s="226">
        <f t="shared" si="95"/>
        <v>788888</v>
      </c>
      <c r="CW50" s="226">
        <f t="shared" si="96"/>
        <v>313429</v>
      </c>
      <c r="CX50" s="226">
        <f t="shared" si="97"/>
        <v>1102317</v>
      </c>
      <c r="CY50" s="226">
        <f t="shared" si="98"/>
        <v>0</v>
      </c>
    </row>
    <row r="51" spans="1:185" outlineLevel="1">
      <c r="A51" s="175" t="s">
        <v>710</v>
      </c>
      <c r="B51" s="172" t="s">
        <v>711</v>
      </c>
      <c r="C51" s="169" t="s">
        <v>1037</v>
      </c>
      <c r="D51" s="225">
        <f>IFERROR(VLOOKUP(A51,'202608收入成本表'!A:Y,23,0),0)</f>
        <v>0</v>
      </c>
      <c r="E51" s="225">
        <f>IFERROR(VLOOKUP(A51,'202608收入成本表'!A:Z,24,0),0)</f>
        <v>0</v>
      </c>
      <c r="F51" s="226">
        <f t="shared" si="57"/>
        <v>0</v>
      </c>
      <c r="G51" s="226"/>
      <c r="H51" s="226" cm="1">
        <f t="array" ref="H51">IFERROR(SUM(VLOOKUP(A51,'預算A1 BIM'!$A$77:$BB$143,{19,20,21,22},0)),0)</f>
        <v>0</v>
      </c>
      <c r="I51" s="226" cm="1">
        <f t="array" ref="I51">IFERROR(SUM(VLOOKUP(A51,'預算A1 BIM'!$A$151:$BB$220,{19,20,21,22},0)),0)</f>
        <v>0</v>
      </c>
      <c r="J51" s="226">
        <f t="shared" si="58"/>
        <v>0</v>
      </c>
      <c r="K51" s="226">
        <f>-VLOOKUP(A51,'2026FCST%'!A:AC,27,FALSE)</f>
        <v>0</v>
      </c>
      <c r="L51" s="226">
        <f t="shared" si="59"/>
        <v>0</v>
      </c>
      <c r="M51" s="226">
        <f t="shared" si="60"/>
        <v>0</v>
      </c>
      <c r="N51" s="226">
        <f t="shared" si="61"/>
        <v>0</v>
      </c>
      <c r="O51" s="226">
        <f t="shared" si="99"/>
        <v>0</v>
      </c>
      <c r="P51" s="226" cm="1">
        <f t="array" ref="P51">IFERROR(SUM(VLOOKUP($A51,'預算A1 BIM'!$A$77:$BB$143,{25},0)),0)+S51</f>
        <v>0</v>
      </c>
      <c r="Q51" s="226" cm="1">
        <f t="array" ref="Q51">IFERROR(SUM(VLOOKUP($A51,'預算A1 BIM'!$A$151:$BB$220,{25},0)),0)</f>
        <v>0</v>
      </c>
      <c r="R51" s="226">
        <f t="shared" si="62"/>
        <v>0</v>
      </c>
      <c r="S51" s="157"/>
      <c r="T51" s="226" cm="1">
        <f t="array" ref="T51">IFERROR(SUM(VLOOKUP($A51,'預算A1 BIM'!$A$77:$BB$143,{26},0)),0)+W51</f>
        <v>0</v>
      </c>
      <c r="U51" s="226" cm="1">
        <f t="array" ref="U51">IFERROR(SUM(VLOOKUP($A51,'預算A1 BIM'!$A$151:$BB$220,{26},0)),0)</f>
        <v>0</v>
      </c>
      <c r="V51" s="226">
        <f t="shared" si="106"/>
        <v>0</v>
      </c>
      <c r="W51" s="157"/>
      <c r="X51" s="226" cm="1">
        <f t="array" ref="X51">IFERROR(SUM(VLOOKUP($A51,'預算A1 BIM'!$A$77:$BB$143,{27},0)),0)+AA51</f>
        <v>0</v>
      </c>
      <c r="Y51" s="226" cm="1">
        <f t="array" ref="Y51">IFERROR(SUM(VLOOKUP($A51,'預算A1 BIM'!$A$151:$BB$220,{27},0)),0)</f>
        <v>0</v>
      </c>
      <c r="Z51" s="226">
        <f t="shared" si="107"/>
        <v>0</v>
      </c>
      <c r="AA51" s="226"/>
      <c r="AB51" s="226" cm="1">
        <f t="array" ref="AB51">IFERROR(SUM(VLOOKUP($A51,'預算A1 BIM'!$A$77:$BB$143,{28},0)),0)+AE51</f>
        <v>0</v>
      </c>
      <c r="AC51" s="226" cm="1">
        <f t="array" ref="AC51">IFERROR(SUM(VLOOKUP($A51,'預算A1 BIM'!$A$151:$BB$220,{28},0)),0)</f>
        <v>0</v>
      </c>
      <c r="AD51" s="226">
        <f t="shared" si="109"/>
        <v>0</v>
      </c>
      <c r="AE51" s="157"/>
      <c r="AF51" s="226" cm="1">
        <f t="array" ref="AF51">IFERROR(SUM(VLOOKUP($A51,'預算A1 BIM'!$A$77:$BB$143,{29},0)),0)+AI51</f>
        <v>0</v>
      </c>
      <c r="AG51" s="226" cm="1">
        <f t="array" ref="AG51">IFERROR(SUM(VLOOKUP($A51,'預算A1 BIM'!$A$151:$BB$220,{29},0)),0)</f>
        <v>0</v>
      </c>
      <c r="AH51" s="226">
        <f t="shared" si="103"/>
        <v>0</v>
      </c>
      <c r="AI51" s="157"/>
      <c r="AJ51" s="226" cm="1">
        <f t="array" ref="AJ51">IFERROR(SUM(VLOOKUP($A51,'預算A1 BIM'!$A$77:$BB$143,{30},0)),0)+AM51</f>
        <v>0</v>
      </c>
      <c r="AK51" s="226" cm="1">
        <f t="array" ref="AK51">IFERROR(SUM(VLOOKUP($A51,'預算A1 BIM'!$A$151:$BB$220,{30},0)),0)</f>
        <v>0</v>
      </c>
      <c r="AL51" s="226">
        <f t="shared" si="104"/>
        <v>0</v>
      </c>
      <c r="AM51" s="157"/>
      <c r="AN51" s="226" cm="1">
        <f t="array" ref="AN51">IFERROR(SUM(VLOOKUP($A51,'預算A1 BIM'!$A$77:$BB$143,{31},0)),0)+AQ51</f>
        <v>0</v>
      </c>
      <c r="AO51" s="226" cm="1">
        <f t="array" ref="AO51">IFERROR(SUM(VLOOKUP($A51,'預算A1 BIM'!$A$151:$BB$220,{31},0)),0)</f>
        <v>0</v>
      </c>
      <c r="AP51" s="226">
        <f t="shared" si="68"/>
        <v>0</v>
      </c>
      <c r="AQ51" s="157"/>
      <c r="AR51" s="226" cm="1">
        <f t="array" ref="AR51">IFERROR(SUM(VLOOKUP($A51,'預算A1 BIM'!$A$77:$BB$143,{32},0)),0)+AU51</f>
        <v>0</v>
      </c>
      <c r="AS51" s="226" cm="1">
        <f t="array" ref="AS51">IFERROR(SUM(VLOOKUP($A51,'預算A1 BIM'!$A$151:$BB$220,{32},0)),0)</f>
        <v>0</v>
      </c>
      <c r="AT51" s="226">
        <f t="shared" si="69"/>
        <v>0</v>
      </c>
      <c r="AU51" s="157"/>
      <c r="AV51" s="226" cm="1">
        <f t="array" ref="AV51">IFERROR(SUM(VLOOKUP($A51,'預算A1 BIM'!$A$77:$BB$143,{33},0)),0)+AY51</f>
        <v>0</v>
      </c>
      <c r="AW51" s="226" cm="1">
        <f t="array" ref="AW51">IFERROR(SUM(VLOOKUP($A51,'預算A1 BIM'!$A$151:$BB$220,{33},0)),0)-AY51</f>
        <v>0</v>
      </c>
      <c r="AX51" s="226">
        <f t="shared" si="70"/>
        <v>0</v>
      </c>
      <c r="AY51" s="157"/>
      <c r="AZ51" s="226" cm="1">
        <f t="array" ref="AZ51">IFERROR(SUM(VLOOKUP($A51,'預算A1 BIM'!$A$77:$BB$143,{34},0)),0)+BC51</f>
        <v>0</v>
      </c>
      <c r="BA51" s="226" cm="1">
        <f t="array" ref="BA51">IFERROR(SUM(VLOOKUP($A51,'預算A1 BIM'!$A$151:$BB$220,{34},0)),0)-BC51</f>
        <v>0</v>
      </c>
      <c r="BB51" s="226">
        <f t="shared" si="105"/>
        <v>0</v>
      </c>
      <c r="BC51" s="157"/>
      <c r="BD51" s="226" cm="1">
        <f t="array" ref="BD51">IFERROR(SUM(VLOOKUP($A51,'預算A1 BIM'!$A$77:$BB$143,{35},0)),0)+BG51</f>
        <v>0</v>
      </c>
      <c r="BE51" s="226" cm="1">
        <f t="array" ref="BE51">IFERROR(SUM(VLOOKUP($A51,'預算A1 BIM'!$A$151:$BB$220,{35},0)),0)-BG51</f>
        <v>0</v>
      </c>
      <c r="BF51" s="226">
        <f t="shared" si="72"/>
        <v>0</v>
      </c>
      <c r="BG51" s="157"/>
      <c r="BH51" s="226" cm="1">
        <f t="array" ref="BH51">IFERROR(SUM(VLOOKUP($A51,'預算A1 BIM'!$A$77:$BB$143,{36},0)),0)+BK51</f>
        <v>0</v>
      </c>
      <c r="BI51" s="226" cm="1">
        <f t="array" ref="BI51">IFERROR(SUM(VLOOKUP($A51,'預算A1 BIM'!$A$151:$BB$220,{36},0)),0)-BK51</f>
        <v>0</v>
      </c>
      <c r="BJ51" s="226">
        <f t="shared" ref="BJ51:BJ57" si="110">SUM(BH51:BI51)</f>
        <v>0</v>
      </c>
      <c r="BK51" s="157"/>
      <c r="BL51" s="226">
        <f>SUMIF($P$4:$BK$4,$BL$4,$P51:$BK$65)</f>
        <v>0</v>
      </c>
      <c r="BM51" s="226">
        <f>SUMIF($P$4:$BK$4,$BM$4,$P51:$BK$65)</f>
        <v>0</v>
      </c>
      <c r="BN51" s="226">
        <f t="shared" si="74"/>
        <v>0</v>
      </c>
      <c r="BO51" s="157">
        <f>SUMIF($P$4:$BK$4,$BO$4,$P51:$BK$65)</f>
        <v>0</v>
      </c>
      <c r="BP51" s="226">
        <f t="shared" si="75"/>
        <v>0</v>
      </c>
      <c r="BQ51" s="226">
        <f t="shared" si="76"/>
        <v>0</v>
      </c>
      <c r="BR51" s="226">
        <f t="shared" si="77"/>
        <v>0</v>
      </c>
      <c r="BS51" s="226">
        <f t="shared" si="78"/>
        <v>0</v>
      </c>
      <c r="BT51" s="226" cm="1">
        <f t="array" ref="BT51">IFERROR(SUM(VLOOKUP($A51,'預算A1 BIM'!$A$77:$BB$143,{39},0)),0)+BW51</f>
        <v>0</v>
      </c>
      <c r="BU51" s="226" cm="1">
        <f t="array" ref="BU51">IFERROR(SUM(VLOOKUP($A51,'預算A1 BIM'!$A$151:$BB$220,{39},0)),0)-BW51</f>
        <v>0</v>
      </c>
      <c r="BV51" s="226">
        <f t="shared" si="79"/>
        <v>0</v>
      </c>
      <c r="BW51" s="157"/>
      <c r="BX51" s="226">
        <f t="shared" si="80"/>
        <v>0</v>
      </c>
      <c r="BY51" s="157">
        <f t="shared" si="81"/>
        <v>0</v>
      </c>
      <c r="BZ51" s="226">
        <f t="shared" si="82"/>
        <v>0</v>
      </c>
      <c r="CA51" s="157">
        <f t="shared" si="83"/>
        <v>0</v>
      </c>
      <c r="CB51" s="226" cm="1">
        <f t="array" ref="CB51">IFERROR(SUM(VLOOKUP($A51,'預算A1 BIM'!$A$77:$BB$143,{40},0)),0)+CE51</f>
        <v>0</v>
      </c>
      <c r="CC51" s="226" cm="1">
        <f t="array" ref="CC51">IFERROR(SUM(VLOOKUP($A51,'預算A1 BIM'!$A$151:$BB$220,{40},0)),0)-CE51</f>
        <v>0</v>
      </c>
      <c r="CD51" s="226">
        <f t="shared" si="84"/>
        <v>0</v>
      </c>
      <c r="CE51" s="157"/>
      <c r="CF51" s="226">
        <f t="shared" si="85"/>
        <v>0</v>
      </c>
      <c r="CG51" s="226">
        <f t="shared" si="86"/>
        <v>0</v>
      </c>
      <c r="CH51" s="226">
        <f t="shared" si="87"/>
        <v>0</v>
      </c>
      <c r="CI51" s="226">
        <f t="shared" si="88"/>
        <v>0</v>
      </c>
      <c r="CJ51" s="226" cm="1">
        <f t="array" ref="CJ51">IFERROR(SUM(VLOOKUP($A51,'預算A1 BIM'!$A$77:$BB$143,{41},0)),0)+CM51</f>
        <v>0</v>
      </c>
      <c r="CK51" s="226" cm="1">
        <f t="array" ref="CK51">IFERROR(SUM(VLOOKUP($A51,'預算A1 BIM'!$A$151:$BB$220,{41},0)),0)-CM51</f>
        <v>0</v>
      </c>
      <c r="CL51" s="226">
        <f t="shared" si="89"/>
        <v>0</v>
      </c>
      <c r="CM51" s="157"/>
      <c r="CN51" s="226">
        <f t="shared" si="90"/>
        <v>0</v>
      </c>
      <c r="CO51" s="226">
        <f t="shared" si="91"/>
        <v>0</v>
      </c>
      <c r="CP51" s="226">
        <f t="shared" si="92"/>
        <v>0</v>
      </c>
      <c r="CQ51" s="226">
        <f t="shared" si="93"/>
        <v>0</v>
      </c>
      <c r="CR51" s="226" cm="1">
        <f t="array" ref="CR51">IFERROR(SUM(VLOOKUP($A51,'預算A1 BIM'!$A$77:$BB$143,{42},0)),0)+CU51</f>
        <v>0</v>
      </c>
      <c r="CS51" s="226" cm="1">
        <f t="array" ref="CS51">IFERROR(SUM(VLOOKUP($A51,'預算A1 BIM'!$A$151:$BB$220,{42},0)),0)-CU51</f>
        <v>0</v>
      </c>
      <c r="CT51" s="226">
        <f t="shared" si="108"/>
        <v>0</v>
      </c>
      <c r="CU51" s="157"/>
      <c r="CV51" s="226">
        <f t="shared" si="95"/>
        <v>0</v>
      </c>
      <c r="CW51" s="226">
        <f t="shared" si="96"/>
        <v>0</v>
      </c>
      <c r="CX51" s="226">
        <f t="shared" si="97"/>
        <v>0</v>
      </c>
      <c r="CY51" s="226">
        <f t="shared" si="98"/>
        <v>0</v>
      </c>
    </row>
    <row r="52" spans="1:185" outlineLevel="1">
      <c r="A52" s="175" t="s">
        <v>712</v>
      </c>
      <c r="B52" s="156" t="s">
        <v>711</v>
      </c>
      <c r="C52" s="169" t="s">
        <v>1037</v>
      </c>
      <c r="D52" s="225">
        <f>IFERROR(VLOOKUP(A52,'202608收入成本表'!A:Y,23,0),0)</f>
        <v>0</v>
      </c>
      <c r="E52" s="225">
        <f>IFERROR(VLOOKUP(A52,'202608收入成本表'!A:Z,24,0),0)</f>
        <v>0</v>
      </c>
      <c r="F52" s="226">
        <f t="shared" si="57"/>
        <v>0</v>
      </c>
      <c r="G52" s="226"/>
      <c r="H52" s="226" cm="1">
        <f t="array" ref="H52">IFERROR(SUM(VLOOKUP(A52,'預算A1 BIM'!$A$77:$BB$143,{19,20,21,22},0)),0)</f>
        <v>0</v>
      </c>
      <c r="I52" s="226" cm="1">
        <f t="array" ref="I52">IFERROR(SUM(VLOOKUP(A52,'預算A1 BIM'!$A$151:$BB$220,{19,20,21,22},0)),0)</f>
        <v>0</v>
      </c>
      <c r="J52" s="226">
        <f t="shared" si="58"/>
        <v>0</v>
      </c>
      <c r="K52" s="226">
        <f>-VLOOKUP(A52,'2026FCST%'!A:AC,27,FALSE)</f>
        <v>0</v>
      </c>
      <c r="L52" s="226">
        <f t="shared" si="59"/>
        <v>0</v>
      </c>
      <c r="M52" s="226">
        <f t="shared" si="60"/>
        <v>0</v>
      </c>
      <c r="N52" s="226">
        <f t="shared" si="61"/>
        <v>0</v>
      </c>
      <c r="O52" s="226">
        <f t="shared" si="99"/>
        <v>0</v>
      </c>
      <c r="P52" s="226" cm="1">
        <f t="array" ref="P52">IFERROR(SUM(VLOOKUP($A52,'預算A1 BIM'!$A$77:$BB$143,{25},0)),0)+S52</f>
        <v>0</v>
      </c>
      <c r="Q52" s="226" cm="1">
        <f t="array" ref="Q52">IFERROR(SUM(VLOOKUP($A52,'預算A1 BIM'!$A$151:$BB$220,{25},0)),0)</f>
        <v>0</v>
      </c>
      <c r="R52" s="226">
        <f t="shared" si="62"/>
        <v>0</v>
      </c>
      <c r="S52" s="157"/>
      <c r="T52" s="226" cm="1">
        <f t="array" ref="T52">IFERROR(SUM(VLOOKUP($A52,'預算A1 BIM'!$A$77:$BB$143,{26},0)),0)+W52</f>
        <v>0</v>
      </c>
      <c r="U52" s="226" cm="1">
        <f t="array" ref="U52">IFERROR(SUM(VLOOKUP($A52,'預算A1 BIM'!$A$151:$BB$220,{26},0)),0)</f>
        <v>0</v>
      </c>
      <c r="V52" s="226">
        <f t="shared" si="106"/>
        <v>0</v>
      </c>
      <c r="W52" s="157"/>
      <c r="X52" s="226" cm="1">
        <f t="array" ref="X52">IFERROR(SUM(VLOOKUP($A52,'預算A1 BIM'!$A$77:$BB$143,{27},0)),0)+AA52</f>
        <v>0</v>
      </c>
      <c r="Y52" s="226" cm="1">
        <f t="array" ref="Y52">IFERROR(SUM(VLOOKUP($A52,'預算A1 BIM'!$A$151:$BB$220,{27},0)),0)</f>
        <v>0</v>
      </c>
      <c r="Z52" s="226">
        <f t="shared" si="107"/>
        <v>0</v>
      </c>
      <c r="AA52" s="226"/>
      <c r="AB52" s="226" cm="1">
        <f t="array" ref="AB52">IFERROR(SUM(VLOOKUP($A52,'預算A1 BIM'!$A$77:$BB$143,{28},0)),0)+AE52</f>
        <v>0</v>
      </c>
      <c r="AC52" s="226" cm="1">
        <f t="array" ref="AC52">IFERROR(SUM(VLOOKUP($A52,'預算A1 BIM'!$A$151:$BB$220,{28},0)),0)</f>
        <v>0</v>
      </c>
      <c r="AD52" s="226">
        <f t="shared" si="109"/>
        <v>0</v>
      </c>
      <c r="AE52" s="157"/>
      <c r="AF52" s="226" cm="1">
        <f t="array" ref="AF52">IFERROR(SUM(VLOOKUP($A52,'預算A1 BIM'!$A$77:$BB$143,{29},0)),0)+AI52</f>
        <v>0</v>
      </c>
      <c r="AG52" s="226" cm="1">
        <f t="array" ref="AG52">IFERROR(SUM(VLOOKUP($A52,'預算A1 BIM'!$A$151:$BB$220,{29},0)),0)</f>
        <v>0</v>
      </c>
      <c r="AH52" s="226">
        <f t="shared" si="103"/>
        <v>0</v>
      </c>
      <c r="AI52" s="157"/>
      <c r="AJ52" s="226" cm="1">
        <f t="array" ref="AJ52">IFERROR(SUM(VLOOKUP($A52,'預算A1 BIM'!$A$77:$BB$143,{30},0)),0)+AM52</f>
        <v>0</v>
      </c>
      <c r="AK52" s="226" cm="1">
        <f t="array" ref="AK52">IFERROR(SUM(VLOOKUP($A52,'預算A1 BIM'!$A$151:$BB$220,{30},0)),0)</f>
        <v>0</v>
      </c>
      <c r="AL52" s="226">
        <f t="shared" si="104"/>
        <v>0</v>
      </c>
      <c r="AM52" s="157"/>
      <c r="AN52" s="226" cm="1">
        <f t="array" ref="AN52">IFERROR(SUM(VLOOKUP($A52,'預算A1 BIM'!$A$77:$BB$143,{31},0)),0)+AQ52</f>
        <v>0</v>
      </c>
      <c r="AO52" s="226" cm="1">
        <f t="array" ref="AO52">IFERROR(SUM(VLOOKUP($A52,'預算A1 BIM'!$A$151:$BB$220,{31},0)),0)</f>
        <v>0</v>
      </c>
      <c r="AP52" s="226">
        <f t="shared" si="68"/>
        <v>0</v>
      </c>
      <c r="AQ52" s="157"/>
      <c r="AR52" s="226" cm="1">
        <f t="array" ref="AR52">IFERROR(SUM(VLOOKUP($A52,'預算A1 BIM'!$A$77:$BB$143,{32},0)),0)+AU52</f>
        <v>0</v>
      </c>
      <c r="AS52" s="226" cm="1">
        <f t="array" ref="AS52">IFERROR(SUM(VLOOKUP($A52,'預算A1 BIM'!$A$151:$BB$220,{32},0)),0)</f>
        <v>0</v>
      </c>
      <c r="AT52" s="226">
        <f t="shared" si="69"/>
        <v>0</v>
      </c>
      <c r="AU52" s="157"/>
      <c r="AV52" s="226" cm="1">
        <f t="array" ref="AV52">IFERROR(SUM(VLOOKUP($A52,'預算A1 BIM'!$A$77:$BB$143,{33},0)),0)+AY52</f>
        <v>0</v>
      </c>
      <c r="AW52" s="226" cm="1">
        <f t="array" ref="AW52">IFERROR(SUM(VLOOKUP($A52,'預算A1 BIM'!$A$151:$BB$220,{33},0)),0)-AY52</f>
        <v>0</v>
      </c>
      <c r="AX52" s="226">
        <f t="shared" si="70"/>
        <v>0</v>
      </c>
      <c r="AY52" s="157"/>
      <c r="AZ52" s="226" cm="1">
        <f t="array" ref="AZ52">IFERROR(SUM(VLOOKUP($A52,'預算A1 BIM'!$A$77:$BB$143,{34},0)),0)+BC52</f>
        <v>0</v>
      </c>
      <c r="BA52" s="226" cm="1">
        <f t="array" ref="BA52">IFERROR(SUM(VLOOKUP($A52,'預算A1 BIM'!$A$151:$BB$220,{34},0)),0)-BC52</f>
        <v>0</v>
      </c>
      <c r="BB52" s="226">
        <f t="shared" si="105"/>
        <v>0</v>
      </c>
      <c r="BC52" s="157"/>
      <c r="BD52" s="226" cm="1">
        <f t="array" ref="BD52">IFERROR(SUM(VLOOKUP($A52,'預算A1 BIM'!$A$77:$BB$143,{35},0)),0)+BG52</f>
        <v>0</v>
      </c>
      <c r="BE52" s="226" cm="1">
        <f t="array" ref="BE52">IFERROR(SUM(VLOOKUP($A52,'預算A1 BIM'!$A$151:$BB$220,{35},0)),0)-BG52</f>
        <v>0</v>
      </c>
      <c r="BF52" s="226">
        <f t="shared" si="72"/>
        <v>0</v>
      </c>
      <c r="BG52" s="157"/>
      <c r="BH52" s="226" cm="1">
        <f t="array" ref="BH52">IFERROR(SUM(VLOOKUP($A52,'預算A1 BIM'!$A$77:$BB$143,{36},0)),0)+BK52</f>
        <v>0</v>
      </c>
      <c r="BI52" s="226" cm="1">
        <f t="array" ref="BI52">IFERROR(SUM(VLOOKUP($A52,'預算A1 BIM'!$A$151:$BB$220,{36},0)),0)-BK52</f>
        <v>0</v>
      </c>
      <c r="BJ52" s="226">
        <f t="shared" si="110"/>
        <v>0</v>
      </c>
      <c r="BK52" s="157"/>
      <c r="BL52" s="226">
        <f>SUMIF($P$4:$BK$4,$BL$4,$P52:$BK$65)</f>
        <v>0</v>
      </c>
      <c r="BM52" s="226">
        <f>SUMIF($P$4:$BK$4,$BM$4,$P52:$BK$65)</f>
        <v>0</v>
      </c>
      <c r="BN52" s="226">
        <f t="shared" si="74"/>
        <v>0</v>
      </c>
      <c r="BO52" s="157">
        <f>SUMIF($P$4:$BK$4,$BO$4,$P52:$BK$65)</f>
        <v>0</v>
      </c>
      <c r="BP52" s="226">
        <f t="shared" si="75"/>
        <v>0</v>
      </c>
      <c r="BQ52" s="226">
        <f t="shared" si="76"/>
        <v>0</v>
      </c>
      <c r="BR52" s="226">
        <f t="shared" si="77"/>
        <v>0</v>
      </c>
      <c r="BS52" s="226">
        <f t="shared" si="78"/>
        <v>0</v>
      </c>
      <c r="BT52" s="226" cm="1">
        <f t="array" ref="BT52">IFERROR(SUM(VLOOKUP($A52,'預算A1 BIM'!$A$77:$BB$143,{39},0)),0)+BW52</f>
        <v>0</v>
      </c>
      <c r="BU52" s="226" cm="1">
        <f t="array" ref="BU52">IFERROR(SUM(VLOOKUP($A52,'預算A1 BIM'!$A$151:$BB$220,{39},0)),0)-BW52</f>
        <v>0</v>
      </c>
      <c r="BV52" s="226">
        <f t="shared" si="79"/>
        <v>0</v>
      </c>
      <c r="BW52" s="157"/>
      <c r="BX52" s="226">
        <f t="shared" si="80"/>
        <v>0</v>
      </c>
      <c r="BY52" s="157">
        <f t="shared" si="81"/>
        <v>0</v>
      </c>
      <c r="BZ52" s="226">
        <f t="shared" si="82"/>
        <v>0</v>
      </c>
      <c r="CA52" s="157">
        <f t="shared" si="83"/>
        <v>0</v>
      </c>
      <c r="CB52" s="226" cm="1">
        <f t="array" ref="CB52">IFERROR(SUM(VLOOKUP($A52,'預算A1 BIM'!$A$77:$BB$143,{40},0)),0)+CE52</f>
        <v>0</v>
      </c>
      <c r="CC52" s="226" cm="1">
        <f t="array" ref="CC52">IFERROR(SUM(VLOOKUP($A52,'預算A1 BIM'!$A$151:$BB$220,{40},0)),0)-CE52</f>
        <v>0</v>
      </c>
      <c r="CD52" s="226">
        <f t="shared" si="84"/>
        <v>0</v>
      </c>
      <c r="CE52" s="157"/>
      <c r="CF52" s="226">
        <f t="shared" si="85"/>
        <v>0</v>
      </c>
      <c r="CG52" s="226">
        <f t="shared" si="86"/>
        <v>0</v>
      </c>
      <c r="CH52" s="226">
        <f t="shared" si="87"/>
        <v>0</v>
      </c>
      <c r="CI52" s="226">
        <f t="shared" si="88"/>
        <v>0</v>
      </c>
      <c r="CJ52" s="226" cm="1">
        <f t="array" ref="CJ52">IFERROR(SUM(VLOOKUP($A52,'預算A1 BIM'!$A$77:$BB$143,{41},0)),0)+CM52</f>
        <v>0</v>
      </c>
      <c r="CK52" s="226" cm="1">
        <f t="array" ref="CK52">IFERROR(SUM(VLOOKUP($A52,'預算A1 BIM'!$A$151:$BB$220,{41},0)),0)-CM52</f>
        <v>0</v>
      </c>
      <c r="CL52" s="226">
        <f t="shared" si="89"/>
        <v>0</v>
      </c>
      <c r="CM52" s="157"/>
      <c r="CN52" s="226">
        <f t="shared" si="90"/>
        <v>0</v>
      </c>
      <c r="CO52" s="226">
        <f t="shared" si="91"/>
        <v>0</v>
      </c>
      <c r="CP52" s="226">
        <f t="shared" si="92"/>
        <v>0</v>
      </c>
      <c r="CQ52" s="226">
        <f t="shared" si="93"/>
        <v>0</v>
      </c>
      <c r="CR52" s="226" cm="1">
        <f t="array" ref="CR52">IFERROR(SUM(VLOOKUP($A52,'預算A1 BIM'!$A$77:$BB$143,{42},0)),0)+CU52</f>
        <v>0</v>
      </c>
      <c r="CS52" s="226" cm="1">
        <f t="array" ref="CS52">IFERROR(SUM(VLOOKUP($A52,'預算A1 BIM'!$A$151:$BB$220,{42},0)),0)-CU52</f>
        <v>0</v>
      </c>
      <c r="CT52" s="226">
        <f t="shared" si="108"/>
        <v>0</v>
      </c>
      <c r="CU52" s="157"/>
      <c r="CV52" s="226">
        <f t="shared" si="95"/>
        <v>0</v>
      </c>
      <c r="CW52" s="226">
        <f t="shared" si="96"/>
        <v>0</v>
      </c>
      <c r="CX52" s="226">
        <f t="shared" si="97"/>
        <v>0</v>
      </c>
      <c r="CY52" s="226">
        <f t="shared" si="98"/>
        <v>0</v>
      </c>
    </row>
    <row r="53" spans="1:185" outlineLevel="1">
      <c r="A53" s="175" t="s">
        <v>713</v>
      </c>
      <c r="B53" s="172" t="s">
        <v>714</v>
      </c>
      <c r="C53" s="169" t="s">
        <v>1037</v>
      </c>
      <c r="D53" s="225">
        <f>IFERROR(VLOOKUP(A53,'202608收入成本表'!A:Y,23,0),0)</f>
        <v>0</v>
      </c>
      <c r="E53" s="225">
        <f>IFERROR(VLOOKUP(A53,'202608收入成本表'!A:Z,24,0),0)</f>
        <v>0</v>
      </c>
      <c r="F53" s="226">
        <f t="shared" si="57"/>
        <v>0</v>
      </c>
      <c r="G53" s="226"/>
      <c r="H53" s="226" cm="1">
        <f t="array" ref="H53">IFERROR(SUM(VLOOKUP(A53,'預算A1 BIM'!$A$77:$BB$143,{19,20,21,22},0)),0)</f>
        <v>0</v>
      </c>
      <c r="I53" s="226" cm="1">
        <f t="array" ref="I53">IFERROR(SUM(VLOOKUP(A53,'預算A1 BIM'!$A$151:$BB$220,{19,20,21,22},0)),0)</f>
        <v>0</v>
      </c>
      <c r="J53" s="226">
        <f t="shared" si="58"/>
        <v>0</v>
      </c>
      <c r="K53" s="226">
        <f>-VLOOKUP(A53,'2026FCST%'!A:AC,27,FALSE)</f>
        <v>0</v>
      </c>
      <c r="L53" s="226">
        <f t="shared" si="59"/>
        <v>0</v>
      </c>
      <c r="M53" s="226">
        <f t="shared" si="60"/>
        <v>0</v>
      </c>
      <c r="N53" s="226">
        <f t="shared" si="61"/>
        <v>0</v>
      </c>
      <c r="O53" s="226">
        <f t="shared" si="99"/>
        <v>0</v>
      </c>
      <c r="P53" s="226" cm="1">
        <f t="array" ref="P53">IFERROR(SUM(VLOOKUP($A53,'預算A1 BIM'!$A$77:$BB$143,{25},0)),0)+S53</f>
        <v>173514</v>
      </c>
      <c r="Q53" s="226" cm="1">
        <f t="array" ref="Q53">IFERROR(SUM(VLOOKUP($A53,'預算A1 BIM'!$A$151:$BB$220,{25},0)),0)</f>
        <v>65677</v>
      </c>
      <c r="R53" s="226">
        <f t="shared" si="62"/>
        <v>239191</v>
      </c>
      <c r="S53" s="157"/>
      <c r="T53" s="226" cm="1">
        <f t="array" ref="T53">IFERROR(SUM(VLOOKUP($A53,'預算A1 BIM'!$A$77:$BB$143,{26},0)),0)+W53</f>
        <v>96570</v>
      </c>
      <c r="U53" s="226" cm="1">
        <f t="array" ref="U53">IFERROR(SUM(VLOOKUP($A53,'預算A1 BIM'!$A$151:$BB$220,{26},0)),0)</f>
        <v>36553</v>
      </c>
      <c r="V53" s="226">
        <f t="shared" si="106"/>
        <v>133123</v>
      </c>
      <c r="W53" s="157"/>
      <c r="X53" s="226" cm="1">
        <f t="array" ref="X53">IFERROR(SUM(VLOOKUP($A53,'預算A1 BIM'!$A$77:$BB$143,{27},0)),0)+AA53</f>
        <v>375104</v>
      </c>
      <c r="Y53" s="226" cm="1">
        <f t="array" ref="Y53">IFERROR(SUM(VLOOKUP($A53,'預算A1 BIM'!$A$151:$BB$220,{27},0)),0)</f>
        <v>141982</v>
      </c>
      <c r="Z53" s="226">
        <f t="shared" si="107"/>
        <v>517086</v>
      </c>
      <c r="AA53" s="226"/>
      <c r="AB53" s="226" cm="1">
        <f t="array" ref="AB53">IFERROR(SUM(VLOOKUP($A53,'預算A1 BIM'!$A$77:$BB$143,{28},0)),0)+AE53</f>
        <v>570951</v>
      </c>
      <c r="AC53" s="226" cm="1">
        <f t="array" ref="AC53">IFERROR(SUM(VLOOKUP($A53,'預算A1 BIM'!$A$151:$BB$220,{28},0)),0)</f>
        <v>216112</v>
      </c>
      <c r="AD53" s="226">
        <f t="shared" si="109"/>
        <v>787063</v>
      </c>
      <c r="AE53" s="157"/>
      <c r="AF53" s="226" cm="1">
        <f t="array" ref="AF53">IFERROR(SUM(VLOOKUP($A53,'預算A1 BIM'!$A$77:$BB$143,{29},0)),0)+AI53</f>
        <v>882610</v>
      </c>
      <c r="AG53" s="226" cm="1">
        <f t="array" ref="AG53">IFERROR(SUM(VLOOKUP($A53,'預算A1 BIM'!$A$151:$BB$220,{29},0)),0)</f>
        <v>334079</v>
      </c>
      <c r="AH53" s="226">
        <f t="shared" si="103"/>
        <v>1216689</v>
      </c>
      <c r="AI53" s="157"/>
      <c r="AJ53" s="226" cm="1">
        <f t="array" ref="AJ53">IFERROR(SUM(VLOOKUP($A53,'預算A1 BIM'!$A$77:$BB$143,{30},0)),0)+AM53</f>
        <v>854118</v>
      </c>
      <c r="AK53" s="226" cm="1">
        <f t="array" ref="AK53">IFERROR(SUM(VLOOKUP($A53,'預算A1 BIM'!$A$151:$BB$220,{30},0)),0)</f>
        <v>323295</v>
      </c>
      <c r="AL53" s="226">
        <f t="shared" si="104"/>
        <v>1177413</v>
      </c>
      <c r="AM53" s="157"/>
      <c r="AN53" s="226" cm="1">
        <f t="array" ref="AN53">IFERROR(SUM(VLOOKUP($A53,'預算A1 BIM'!$A$77:$BB$143,{31},0)),0)+AQ53</f>
        <v>965086</v>
      </c>
      <c r="AO53" s="226" cm="1">
        <f t="array" ref="AO53">IFERROR(SUM(VLOOKUP($A53,'預算A1 BIM'!$A$151:$BB$220,{31},0)),0)</f>
        <v>365297</v>
      </c>
      <c r="AP53" s="226">
        <f t="shared" si="68"/>
        <v>1330383</v>
      </c>
      <c r="AQ53" s="157"/>
      <c r="AR53" s="226" cm="1">
        <f t="array" ref="AR53">IFERROR(SUM(VLOOKUP($A53,'預算A1 BIM'!$A$77:$BB$143,{32},0)),0)+AU53</f>
        <v>971386</v>
      </c>
      <c r="AS53" s="226" cm="1">
        <f t="array" ref="AS53">IFERROR(SUM(VLOOKUP($A53,'預算A1 BIM'!$A$151:$BB$220,{32},0)),0)</f>
        <v>367682</v>
      </c>
      <c r="AT53" s="226">
        <f t="shared" si="69"/>
        <v>1339068</v>
      </c>
      <c r="AU53" s="157"/>
      <c r="AV53" s="226" cm="1">
        <f t="array" ref="AV53">IFERROR(SUM(VLOOKUP($A53,'預算A1 BIM'!$A$77:$BB$143,{33},0)),0)+AY53</f>
        <v>997029</v>
      </c>
      <c r="AW53" s="226" cm="1">
        <f t="array" ref="AW53">IFERROR(SUM(VLOOKUP($A53,'預算A1 BIM'!$A$151:$BB$220,{33},0)),0)-AY53</f>
        <v>377388</v>
      </c>
      <c r="AX53" s="226">
        <f t="shared" si="70"/>
        <v>1374417</v>
      </c>
      <c r="AY53" s="157"/>
      <c r="AZ53" s="226" cm="1">
        <f t="array" ref="AZ53">IFERROR(SUM(VLOOKUP($A53,'預算A1 BIM'!$A$77:$BB$143,{34},0)),0)+BC53</f>
        <v>886675</v>
      </c>
      <c r="BA53" s="226" cm="1">
        <f t="array" ref="BA53">IFERROR(SUM(VLOOKUP($A53,'預算A1 BIM'!$A$151:$BB$220,{34},0)),0)-BC53</f>
        <v>335618</v>
      </c>
      <c r="BB53" s="226">
        <f t="shared" si="105"/>
        <v>1222293</v>
      </c>
      <c r="BC53" s="157"/>
      <c r="BD53" s="226" cm="1">
        <f t="array" ref="BD53">IFERROR(SUM(VLOOKUP($A53,'預算A1 BIM'!$A$77:$BB$143,{35},0)),0)+BG53</f>
        <v>1079677</v>
      </c>
      <c r="BE53" s="226" cm="1">
        <f t="array" ref="BE53">IFERROR(SUM(VLOOKUP($A53,'預算A1 BIM'!$A$151:$BB$220,{35},0)),0)-BG53</f>
        <v>408672</v>
      </c>
      <c r="BF53" s="226">
        <f t="shared" ref="BF53:BF57" si="111">SUM(BD53:BE53)</f>
        <v>1488349</v>
      </c>
      <c r="BG53" s="157"/>
      <c r="BH53" s="226" cm="1">
        <f t="array" ref="BH53">IFERROR(SUM(VLOOKUP($A53,'預算A1 BIM'!$A$77:$BB$143,{36},0)),0)+BK53</f>
        <v>1259930</v>
      </c>
      <c r="BI53" s="226" cm="1">
        <f t="array" ref="BI53">IFERROR(SUM(VLOOKUP($A53,'預算A1 BIM'!$A$151:$BB$220,{36},0)),0)-BK53</f>
        <v>476899</v>
      </c>
      <c r="BJ53" s="226">
        <f t="shared" si="110"/>
        <v>1736829</v>
      </c>
      <c r="BK53" s="157"/>
      <c r="BL53" s="226">
        <f>SUMIF($P$4:$BK$4,$BL$4,$P53:$BK$65)</f>
        <v>9112650</v>
      </c>
      <c r="BM53" s="226">
        <f>SUMIF($P$4:$BK$4,$BM$4,$P53:$BK$65)</f>
        <v>3449254</v>
      </c>
      <c r="BN53" s="226">
        <f t="shared" si="74"/>
        <v>12561904</v>
      </c>
      <c r="BO53" s="157">
        <f>SUMIF($P$4:$BK$4,$BO$4,$P53:$BK$65)</f>
        <v>0</v>
      </c>
      <c r="BP53" s="226">
        <f t="shared" si="75"/>
        <v>9112650</v>
      </c>
      <c r="BQ53" s="226">
        <f t="shared" si="76"/>
        <v>3449254</v>
      </c>
      <c r="BR53" s="226">
        <f t="shared" si="77"/>
        <v>12561904</v>
      </c>
      <c r="BS53" s="226">
        <f t="shared" si="78"/>
        <v>0</v>
      </c>
      <c r="BT53" s="226" cm="1">
        <f t="array" ref="BT53">IFERROR(SUM(VLOOKUP($A53,'預算A1 BIM'!$A$77:$BB$143,{39},0)),0)+BW53</f>
        <v>8115267</v>
      </c>
      <c r="BU53" s="226" cm="1">
        <f t="array" ref="BU53">IFERROR(SUM(VLOOKUP($A53,'預算A1 BIM'!$A$151:$BB$220,{39},0)),0)-BW53</f>
        <v>3071733</v>
      </c>
      <c r="BV53" s="226">
        <f t="shared" si="79"/>
        <v>11187000</v>
      </c>
      <c r="BW53" s="157"/>
      <c r="BX53" s="226">
        <f t="shared" si="80"/>
        <v>17227917</v>
      </c>
      <c r="BY53" s="157">
        <f t="shared" si="81"/>
        <v>6520987</v>
      </c>
      <c r="BZ53" s="226">
        <f t="shared" si="82"/>
        <v>23748904</v>
      </c>
      <c r="CA53" s="157">
        <f t="shared" si="83"/>
        <v>0</v>
      </c>
      <c r="CB53" s="226" cm="1">
        <f t="array" ref="CB53">IFERROR(SUM(VLOOKUP($A53,'預算A1 BIM'!$A$77:$BB$143,{40},0)),0)+CE53</f>
        <v>9219793</v>
      </c>
      <c r="CC53" s="226" cm="1">
        <f t="array" ref="CC53">IFERROR(SUM(VLOOKUP($A53,'預算A1 BIM'!$A$151:$BB$220,{40},0)),0)-CE53</f>
        <v>3489809</v>
      </c>
      <c r="CD53" s="226">
        <f t="shared" ref="CD53:CD57" si="112">SUM(CB53:CC53)</f>
        <v>12709602</v>
      </c>
      <c r="CE53" s="157"/>
      <c r="CF53" s="226">
        <f t="shared" si="85"/>
        <v>26447710</v>
      </c>
      <c r="CG53" s="226">
        <f t="shared" si="86"/>
        <v>10010796</v>
      </c>
      <c r="CH53" s="226">
        <f t="shared" si="87"/>
        <v>36458506</v>
      </c>
      <c r="CI53" s="226">
        <f t="shared" si="88"/>
        <v>0</v>
      </c>
      <c r="CJ53" s="226" cm="1">
        <f t="array" ref="CJ53">IFERROR(SUM(VLOOKUP($A53,'預算A1 BIM'!$A$77:$BB$143,{41},0)),0)+CM53</f>
        <v>4186987</v>
      </c>
      <c r="CK53" s="226" cm="1">
        <f t="array" ref="CK53">IFERROR(SUM(VLOOKUP($A53,'預算A1 BIM'!$A$151:$BB$220,{41},0)),0)-CM53</f>
        <v>1584828</v>
      </c>
      <c r="CL53" s="226">
        <f t="shared" si="89"/>
        <v>5771815</v>
      </c>
      <c r="CM53" s="157"/>
      <c r="CN53" s="226">
        <f t="shared" si="90"/>
        <v>30634697</v>
      </c>
      <c r="CO53" s="226">
        <f t="shared" si="91"/>
        <v>11595624</v>
      </c>
      <c r="CP53" s="226">
        <f t="shared" si="92"/>
        <v>42230321</v>
      </c>
      <c r="CQ53" s="226">
        <f t="shared" si="93"/>
        <v>0</v>
      </c>
      <c r="CR53" s="226" cm="1">
        <f t="array" ref="CR53">IFERROR(SUM(VLOOKUP($A53,'預算A1 BIM'!$A$77:$BB$143,{42},0)),0)+CU53</f>
        <v>2527854</v>
      </c>
      <c r="CS53" s="226" cm="1">
        <f t="array" ref="CS53">IFERROR(SUM(VLOOKUP($A53,'預算A1 BIM'!$A$151:$BB$220,{42},0)),0)-CU53</f>
        <v>956825</v>
      </c>
      <c r="CT53" s="226">
        <f t="shared" si="108"/>
        <v>3484679</v>
      </c>
      <c r="CU53" s="157"/>
      <c r="CV53" s="226">
        <f t="shared" si="95"/>
        <v>33162551</v>
      </c>
      <c r="CW53" s="226">
        <f t="shared" si="96"/>
        <v>12552449</v>
      </c>
      <c r="CX53" s="226">
        <f t="shared" si="97"/>
        <v>45715000</v>
      </c>
      <c r="CY53" s="226">
        <f t="shared" si="98"/>
        <v>0</v>
      </c>
    </row>
    <row r="54" spans="1:185" outlineLevel="1">
      <c r="A54" s="175" t="s">
        <v>715</v>
      </c>
      <c r="B54" s="156" t="s">
        <v>716</v>
      </c>
      <c r="C54" s="169" t="s">
        <v>1037</v>
      </c>
      <c r="D54" s="225">
        <f>IFERROR(VLOOKUP(A54,'202608收入成本表'!A:Y,23,0),0)</f>
        <v>0</v>
      </c>
      <c r="E54" s="225">
        <f>IFERROR(VLOOKUP(A54,'202608收入成本表'!A:Z,24,0),0)</f>
        <v>0</v>
      </c>
      <c r="F54" s="226">
        <f t="shared" ref="F54:F57" si="113">SUM(D54:E54)</f>
        <v>0</v>
      </c>
      <c r="G54" s="226"/>
      <c r="H54" s="226" cm="1">
        <f t="array" ref="H54">IFERROR(SUM(VLOOKUP(A54,'預算A1 BIM'!$A$77:$BB$143,{19,20,21,22},0)),0)</f>
        <v>0</v>
      </c>
      <c r="I54" s="226" cm="1">
        <f t="array" ref="I54">IFERROR(SUM(VLOOKUP(A54,'預算A1 BIM'!$A$151:$BB$220,{19,20,21,22},0)),0)</f>
        <v>0</v>
      </c>
      <c r="J54" s="226">
        <f t="shared" si="58"/>
        <v>0</v>
      </c>
      <c r="K54" s="226">
        <f>-VLOOKUP(A54,'2026FCST%'!A:AC,27,FALSE)</f>
        <v>0</v>
      </c>
      <c r="L54" s="226">
        <f t="shared" si="59"/>
        <v>0</v>
      </c>
      <c r="M54" s="226">
        <f t="shared" si="60"/>
        <v>0</v>
      </c>
      <c r="N54" s="226">
        <f t="shared" si="61"/>
        <v>0</v>
      </c>
      <c r="O54" s="226">
        <f>+G54+K54</f>
        <v>0</v>
      </c>
      <c r="P54" s="226" cm="1">
        <f t="array" ref="P54">IFERROR(SUM(VLOOKUP($A54,'預算A1 BIM'!$A$77:$BB$143,{25},0)),0)+S54</f>
        <v>0</v>
      </c>
      <c r="Q54" s="226" cm="1">
        <f t="array" ref="Q54">IFERROR(SUM(VLOOKUP($A54,'預算A1 BIM'!$A$151:$BB$220,{25},0)),0)</f>
        <v>0</v>
      </c>
      <c r="R54" s="226">
        <f t="shared" si="62"/>
        <v>0</v>
      </c>
      <c r="S54" s="157"/>
      <c r="T54" s="226" cm="1">
        <f t="array" ref="T54">IFERROR(SUM(VLOOKUP($A54,'預算A1 BIM'!$A$77:$BB$143,{26},0)),0)+W54</f>
        <v>0</v>
      </c>
      <c r="U54" s="226" cm="1">
        <f t="array" ref="U54">IFERROR(SUM(VLOOKUP($A54,'預算A1 BIM'!$A$151:$BB$220,{26},0)),0)</f>
        <v>0</v>
      </c>
      <c r="V54" s="226">
        <f t="shared" si="106"/>
        <v>0</v>
      </c>
      <c r="W54" s="157"/>
      <c r="X54" s="226" cm="1">
        <f t="array" ref="X54">IFERROR(SUM(VLOOKUP($A54,'預算A1 BIM'!$A$77:$BB$143,{27},0)),0)+AA54</f>
        <v>0</v>
      </c>
      <c r="Y54" s="226" cm="1">
        <f t="array" ref="Y54">IFERROR(SUM(VLOOKUP($A54,'預算A1 BIM'!$A$151:$BB$220,{27},0)),0)</f>
        <v>0</v>
      </c>
      <c r="Z54" s="226">
        <f t="shared" si="107"/>
        <v>0</v>
      </c>
      <c r="AA54" s="226"/>
      <c r="AB54" s="226" cm="1">
        <f t="array" ref="AB54">IFERROR(SUM(VLOOKUP($A54,'預算A1 BIM'!$A$77:$BB$143,{28},0)),0)+AE54</f>
        <v>0</v>
      </c>
      <c r="AC54" s="226" cm="1">
        <f t="array" ref="AC54">IFERROR(SUM(VLOOKUP($A54,'預算A1 BIM'!$A$151:$BB$220,{28},0)),0)</f>
        <v>0</v>
      </c>
      <c r="AD54" s="226">
        <f t="shared" si="109"/>
        <v>0</v>
      </c>
      <c r="AE54" s="157"/>
      <c r="AF54" s="226" cm="1">
        <f t="array" ref="AF54">IFERROR(SUM(VLOOKUP($A54,'預算A1 BIM'!$A$77:$BB$143,{29},0)),0)+AI54</f>
        <v>0</v>
      </c>
      <c r="AG54" s="226" cm="1">
        <f t="array" ref="AG54">IFERROR(SUM(VLOOKUP($A54,'預算A1 BIM'!$A$151:$BB$220,{29},0)),0)</f>
        <v>0</v>
      </c>
      <c r="AH54" s="226">
        <f t="shared" si="103"/>
        <v>0</v>
      </c>
      <c r="AI54" s="157"/>
      <c r="AJ54" s="226" cm="1">
        <f t="array" ref="AJ54">IFERROR(SUM(VLOOKUP($A54,'預算A1 BIM'!$A$77:$BB$143,{30},0)),0)+AM54</f>
        <v>0</v>
      </c>
      <c r="AK54" s="226" cm="1">
        <f t="array" ref="AK54">IFERROR(SUM(VLOOKUP($A54,'預算A1 BIM'!$A$151:$BB$220,{30},0)),0)</f>
        <v>0</v>
      </c>
      <c r="AL54" s="226">
        <f t="shared" si="104"/>
        <v>0</v>
      </c>
      <c r="AM54" s="157"/>
      <c r="AN54" s="226" cm="1">
        <f t="array" ref="AN54">IFERROR(SUM(VLOOKUP($A54,'預算A1 BIM'!$A$77:$BB$143,{31},0)),0)+AQ54</f>
        <v>0</v>
      </c>
      <c r="AO54" s="226" cm="1">
        <f t="array" ref="AO54">IFERROR(SUM(VLOOKUP($A54,'預算A1 BIM'!$A$151:$BB$220,{31},0)),0)</f>
        <v>0</v>
      </c>
      <c r="AP54" s="226">
        <f t="shared" si="68"/>
        <v>0</v>
      </c>
      <c r="AQ54" s="157"/>
      <c r="AR54" s="226" cm="1">
        <f t="array" ref="AR54">IFERROR(SUM(VLOOKUP($A54,'預算A1 BIM'!$A$77:$BB$143,{32},0)),0)+AU54</f>
        <v>0</v>
      </c>
      <c r="AS54" s="226" cm="1">
        <f t="array" ref="AS54">IFERROR(SUM(VLOOKUP($A54,'預算A1 BIM'!$A$151:$BB$220,{32},0)),0)</f>
        <v>0</v>
      </c>
      <c r="AT54" s="226">
        <f t="shared" si="69"/>
        <v>0</v>
      </c>
      <c r="AU54" s="157"/>
      <c r="AV54" s="226" cm="1">
        <f t="array" ref="AV54">IFERROR(SUM(VLOOKUP($A54,'預算A1 BIM'!$A$77:$BB$143,{33},0)),0)+AY54</f>
        <v>0</v>
      </c>
      <c r="AW54" s="226" cm="1">
        <f t="array" ref="AW54">IFERROR(SUM(VLOOKUP($A54,'預算A1 BIM'!$A$151:$BB$220,{33},0)),0)-AY54</f>
        <v>0</v>
      </c>
      <c r="AX54" s="226">
        <f t="shared" si="70"/>
        <v>0</v>
      </c>
      <c r="AY54" s="157"/>
      <c r="AZ54" s="226" cm="1">
        <f t="array" ref="AZ54">IFERROR(SUM(VLOOKUP($A54,'預算A1 BIM'!$A$77:$BB$143,{34},0)),0)+BC54</f>
        <v>0</v>
      </c>
      <c r="BA54" s="226" cm="1">
        <f t="array" ref="BA54">IFERROR(SUM(VLOOKUP($A54,'預算A1 BIM'!$A$151:$BB$220,{34},0)),0)-BC54</f>
        <v>0</v>
      </c>
      <c r="BB54" s="226">
        <f t="shared" si="105"/>
        <v>0</v>
      </c>
      <c r="BC54" s="157"/>
      <c r="BD54" s="226" cm="1">
        <f t="array" ref="BD54">IFERROR(SUM(VLOOKUP($A54,'預算A1 BIM'!$A$77:$BB$143,{35},0)),0)+BG54</f>
        <v>0</v>
      </c>
      <c r="BE54" s="226" cm="1">
        <f t="array" ref="BE54">IFERROR(SUM(VLOOKUP($A54,'預算A1 BIM'!$A$151:$BB$220,{35},0)),0)-BG54</f>
        <v>0</v>
      </c>
      <c r="BF54" s="226">
        <f t="shared" si="111"/>
        <v>0</v>
      </c>
      <c r="BG54" s="157"/>
      <c r="BH54" s="226" cm="1">
        <f t="array" ref="BH54">IFERROR(SUM(VLOOKUP($A54,'預算A1 BIM'!$A$77:$BB$143,{36},0)),0)+BK54</f>
        <v>0</v>
      </c>
      <c r="BI54" s="226" cm="1">
        <f t="array" ref="BI54">IFERROR(SUM(VLOOKUP($A54,'預算A1 BIM'!$A$151:$BB$220,{36},0)),0)-BK54</f>
        <v>0</v>
      </c>
      <c r="BJ54" s="226">
        <f t="shared" si="110"/>
        <v>0</v>
      </c>
      <c r="BK54" s="157"/>
      <c r="BL54" s="226">
        <f>SUMIF($P$4:$BK$4,$BL$4,$P54:$BK$65)</f>
        <v>0</v>
      </c>
      <c r="BM54" s="226">
        <f>SUMIF($P$4:$BK$4,$BM$4,$P54:$BK$65)</f>
        <v>0</v>
      </c>
      <c r="BN54" s="226">
        <f t="shared" si="74"/>
        <v>0</v>
      </c>
      <c r="BO54" s="157">
        <f>SUMIF($P$4:$BK$4,$BO$4,$P54:$BK$65)</f>
        <v>0</v>
      </c>
      <c r="BP54" s="226">
        <f t="shared" si="75"/>
        <v>0</v>
      </c>
      <c r="BQ54" s="226">
        <f t="shared" si="76"/>
        <v>0</v>
      </c>
      <c r="BR54" s="226">
        <f t="shared" si="77"/>
        <v>0</v>
      </c>
      <c r="BS54" s="226">
        <f t="shared" si="78"/>
        <v>0</v>
      </c>
      <c r="BT54" s="226" cm="1">
        <f t="array" ref="BT54">IFERROR(SUM(VLOOKUP($A54,'預算A1 BIM'!$A$77:$BB$143,{39},0)),0)+BW54</f>
        <v>8413388</v>
      </c>
      <c r="BU54" s="226" cm="1">
        <f t="array" ref="BU54">IFERROR(SUM(VLOOKUP($A54,'預算A1 BIM'!$A$151:$BB$220,{39},0)),0)-BW54</f>
        <v>3172482</v>
      </c>
      <c r="BV54" s="226">
        <f t="shared" si="79"/>
        <v>11585870</v>
      </c>
      <c r="BW54" s="157"/>
      <c r="BX54" s="226">
        <f t="shared" si="80"/>
        <v>8413388</v>
      </c>
      <c r="BY54" s="157">
        <f t="shared" si="81"/>
        <v>3172482</v>
      </c>
      <c r="BZ54" s="226">
        <f t="shared" si="82"/>
        <v>11585870</v>
      </c>
      <c r="CA54" s="157">
        <f t="shared" si="83"/>
        <v>0</v>
      </c>
      <c r="CB54" s="226" cm="1">
        <f t="array" ref="CB54">IFERROR(SUM(VLOOKUP($A54,'預算A1 BIM'!$A$77:$BB$143,{40},0)),0)+CE54</f>
        <v>5644786</v>
      </c>
      <c r="CC54" s="226" cm="1">
        <f t="array" ref="CC54">IFERROR(SUM(VLOOKUP($A54,'預算A1 BIM'!$A$151:$BB$220,{40},0)),0)-CE54</f>
        <v>2128511</v>
      </c>
      <c r="CD54" s="226">
        <f t="shared" si="112"/>
        <v>7773297</v>
      </c>
      <c r="CE54" s="157"/>
      <c r="CF54" s="226">
        <f t="shared" si="85"/>
        <v>14058174</v>
      </c>
      <c r="CG54" s="226">
        <f t="shared" si="86"/>
        <v>5300993</v>
      </c>
      <c r="CH54" s="226">
        <f t="shared" si="87"/>
        <v>19359167</v>
      </c>
      <c r="CI54" s="226">
        <f t="shared" si="88"/>
        <v>0</v>
      </c>
      <c r="CJ54" s="226" cm="1">
        <f t="array" ref="CJ54">IFERROR(SUM(VLOOKUP($A54,'預算A1 BIM'!$A$77:$BB$143,{41},0)),0)+CM54</f>
        <v>6988689</v>
      </c>
      <c r="CK54" s="226" cm="1">
        <f t="array" ref="CK54">IFERROR(SUM(VLOOKUP($A54,'預算A1 BIM'!$A$151:$BB$220,{41},0)),0)-CM54</f>
        <v>2635263</v>
      </c>
      <c r="CL54" s="226">
        <f t="shared" si="89"/>
        <v>9623952</v>
      </c>
      <c r="CM54" s="157"/>
      <c r="CN54" s="226">
        <f t="shared" si="90"/>
        <v>21046863</v>
      </c>
      <c r="CO54" s="226">
        <f t="shared" si="91"/>
        <v>7936256</v>
      </c>
      <c r="CP54" s="226">
        <f t="shared" si="92"/>
        <v>28983119</v>
      </c>
      <c r="CQ54" s="226">
        <f t="shared" si="93"/>
        <v>0</v>
      </c>
      <c r="CR54" s="226" cm="1">
        <f t="array" ref="CR54">IFERROR(SUM(VLOOKUP($A54,'預算A1 BIM'!$A$77:$BB$143,{42},0)),0)+CU54</f>
        <v>5845348</v>
      </c>
      <c r="CS54" s="226" cm="1">
        <f t="array" ref="CS54">IFERROR(SUM(VLOOKUP($A54,'預算A1 BIM'!$A$151:$BB$220,{42},0)),0)-CU54</f>
        <v>2204138</v>
      </c>
      <c r="CT54" s="226">
        <f t="shared" si="108"/>
        <v>8049486</v>
      </c>
      <c r="CU54" s="157"/>
      <c r="CV54" s="226">
        <f t="shared" si="95"/>
        <v>26892211</v>
      </c>
      <c r="CW54" s="226">
        <f t="shared" si="96"/>
        <v>10140394</v>
      </c>
      <c r="CX54" s="226">
        <f t="shared" si="97"/>
        <v>37032605</v>
      </c>
      <c r="CY54" s="226">
        <f t="shared" si="98"/>
        <v>0</v>
      </c>
    </row>
    <row r="55" spans="1:185" outlineLevel="1">
      <c r="A55" s="175" t="s">
        <v>717</v>
      </c>
      <c r="B55" s="172" t="s">
        <v>718</v>
      </c>
      <c r="C55" s="169" t="s">
        <v>1037</v>
      </c>
      <c r="D55" s="225">
        <f>IFERROR(VLOOKUP(A55,'202608收入成本表'!A:Y,23,0),0)</f>
        <v>0</v>
      </c>
      <c r="E55" s="225">
        <f>IFERROR(VLOOKUP(A55,'202608收入成本表'!A:Z,24,0),0)</f>
        <v>0</v>
      </c>
      <c r="F55" s="226">
        <f t="shared" si="113"/>
        <v>0</v>
      </c>
      <c r="G55" s="226"/>
      <c r="H55" s="226" cm="1">
        <f t="array" ref="H55">IFERROR(SUM(VLOOKUP(A55,'預算A1 BIM'!$A$77:$BB$143,{19,20,21,22},0)),0)</f>
        <v>0</v>
      </c>
      <c r="I55" s="226" cm="1">
        <f t="array" ref="I55">IFERROR(SUM(VLOOKUP(A55,'預算A1 BIM'!$A$151:$BB$220,{19,20,21,22},0)),0)</f>
        <v>0</v>
      </c>
      <c r="J55" s="226">
        <f t="shared" si="58"/>
        <v>0</v>
      </c>
      <c r="K55" s="226">
        <f>-VLOOKUP(A55,'2026FCST%'!A:AC,27,FALSE)</f>
        <v>0</v>
      </c>
      <c r="L55" s="226">
        <f t="shared" si="59"/>
        <v>0</v>
      </c>
      <c r="M55" s="226">
        <f t="shared" si="60"/>
        <v>0</v>
      </c>
      <c r="N55" s="226">
        <f t="shared" si="61"/>
        <v>0</v>
      </c>
      <c r="O55" s="226">
        <f t="shared" si="99"/>
        <v>0</v>
      </c>
      <c r="P55" s="226" cm="1">
        <f t="array" ref="P55">IFERROR(SUM(VLOOKUP($A55,'預算A1 BIM'!$A$77:$BB$143,{25},0)),0)+S55</f>
        <v>0</v>
      </c>
      <c r="Q55" s="226" cm="1">
        <f t="array" ref="Q55">IFERROR(SUM(VLOOKUP($A55,'預算A1 BIM'!$A$151:$BB$220,{25},0)),0)</f>
        <v>0</v>
      </c>
      <c r="R55" s="226">
        <f t="shared" si="62"/>
        <v>0</v>
      </c>
      <c r="S55" s="157"/>
      <c r="T55" s="226" cm="1">
        <f t="array" ref="T55">IFERROR(SUM(VLOOKUP($A55,'預算A1 BIM'!$A$77:$BB$143,{26},0)),0)+W55</f>
        <v>0</v>
      </c>
      <c r="U55" s="226" cm="1">
        <f t="array" ref="U55">IFERROR(SUM(VLOOKUP($A55,'預算A1 BIM'!$A$151:$BB$220,{26},0)),0)</f>
        <v>0</v>
      </c>
      <c r="V55" s="226">
        <f t="shared" si="106"/>
        <v>0</v>
      </c>
      <c r="W55" s="157"/>
      <c r="X55" s="226" cm="1">
        <f t="array" ref="X55">IFERROR(SUM(VLOOKUP($A55,'預算A1 BIM'!$A$77:$BB$143,{27},0)),0)+AA55</f>
        <v>0</v>
      </c>
      <c r="Y55" s="226" cm="1">
        <f t="array" ref="Y55">IFERROR(SUM(VLOOKUP($A55,'預算A1 BIM'!$A$151:$BB$220,{27},0)),0)</f>
        <v>0</v>
      </c>
      <c r="Z55" s="226">
        <f t="shared" si="107"/>
        <v>0</v>
      </c>
      <c r="AA55" s="226"/>
      <c r="AB55" s="226" cm="1">
        <f t="array" ref="AB55">IFERROR(SUM(VLOOKUP($A55,'預算A1 BIM'!$A$77:$BB$143,{28},0)),0)+AE55</f>
        <v>0</v>
      </c>
      <c r="AC55" s="226" cm="1">
        <f t="array" ref="AC55">IFERROR(SUM(VLOOKUP($A55,'預算A1 BIM'!$A$151:$BB$220,{28},0)),0)</f>
        <v>0</v>
      </c>
      <c r="AD55" s="226">
        <f t="shared" si="109"/>
        <v>0</v>
      </c>
      <c r="AE55" s="157"/>
      <c r="AF55" s="226" cm="1">
        <f t="array" ref="AF55">IFERROR(SUM(VLOOKUP($A55,'預算A1 BIM'!$A$77:$BB$143,{29},0)),0)+AI55</f>
        <v>0</v>
      </c>
      <c r="AG55" s="226" cm="1">
        <f t="array" ref="AG55">IFERROR(SUM(VLOOKUP($A55,'預算A1 BIM'!$A$151:$BB$220,{29},0)),0)</f>
        <v>0</v>
      </c>
      <c r="AH55" s="226">
        <f t="shared" si="103"/>
        <v>0</v>
      </c>
      <c r="AI55" s="157"/>
      <c r="AJ55" s="226" cm="1">
        <f t="array" ref="AJ55">IFERROR(SUM(VLOOKUP($A55,'預算A1 BIM'!$A$77:$BB$143,{30},0)),0)+AM55</f>
        <v>0</v>
      </c>
      <c r="AK55" s="226" cm="1">
        <f t="array" ref="AK55">IFERROR(SUM(VLOOKUP($A55,'預算A1 BIM'!$A$151:$BB$220,{30},0)),0)</f>
        <v>0</v>
      </c>
      <c r="AL55" s="226">
        <f t="shared" si="104"/>
        <v>0</v>
      </c>
      <c r="AM55" s="157"/>
      <c r="AN55" s="226" cm="1">
        <f t="array" ref="AN55">IFERROR(SUM(VLOOKUP($A55,'預算A1 BIM'!$A$77:$BB$143,{31},0)),0)+AQ55</f>
        <v>0</v>
      </c>
      <c r="AO55" s="226" cm="1">
        <f t="array" ref="AO55">IFERROR(SUM(VLOOKUP($A55,'預算A1 BIM'!$A$151:$BB$220,{31},0)),0)</f>
        <v>0</v>
      </c>
      <c r="AP55" s="226">
        <f t="shared" si="68"/>
        <v>0</v>
      </c>
      <c r="AQ55" s="157"/>
      <c r="AR55" s="226" cm="1">
        <f t="array" ref="AR55">IFERROR(SUM(VLOOKUP($A55,'預算A1 BIM'!$A$77:$BB$143,{32},0)),0)+AU55</f>
        <v>0</v>
      </c>
      <c r="AS55" s="226" cm="1">
        <f t="array" ref="AS55">IFERROR(SUM(VLOOKUP($A55,'預算A1 BIM'!$A$151:$BB$220,{32},0)),0)</f>
        <v>0</v>
      </c>
      <c r="AT55" s="226">
        <f t="shared" si="69"/>
        <v>0</v>
      </c>
      <c r="AU55" s="157"/>
      <c r="AV55" s="226" cm="1">
        <f t="array" ref="AV55">IFERROR(SUM(VLOOKUP($A55,'預算A1 BIM'!$A$77:$BB$143,{33},0)),0)+AY55</f>
        <v>0</v>
      </c>
      <c r="AW55" s="226" cm="1">
        <f t="array" ref="AW55">IFERROR(SUM(VLOOKUP($A55,'預算A1 BIM'!$A$151:$BB$220,{33},0)),0)-AY55</f>
        <v>0</v>
      </c>
      <c r="AX55" s="226">
        <f t="shared" si="70"/>
        <v>0</v>
      </c>
      <c r="AY55" s="157"/>
      <c r="AZ55" s="226" cm="1">
        <f t="array" ref="AZ55">IFERROR(SUM(VLOOKUP($A55,'預算A1 BIM'!$A$77:$BB$143,{34},0)),0)+BC55</f>
        <v>0</v>
      </c>
      <c r="BA55" s="226" cm="1">
        <f t="array" ref="BA55">IFERROR(SUM(VLOOKUP($A55,'預算A1 BIM'!$A$151:$BB$220,{34},0)),0)-BC55</f>
        <v>0</v>
      </c>
      <c r="BB55" s="226">
        <f t="shared" si="105"/>
        <v>0</v>
      </c>
      <c r="BC55" s="157"/>
      <c r="BD55" s="226" cm="1">
        <f t="array" ref="BD55">IFERROR(SUM(VLOOKUP($A55,'預算A1 BIM'!$A$77:$BB$143,{35},0)),0)+BG55</f>
        <v>0</v>
      </c>
      <c r="BE55" s="226" cm="1">
        <f t="array" ref="BE55">IFERROR(SUM(VLOOKUP($A55,'預算A1 BIM'!$A$151:$BB$220,{35},0)),0)-BG55</f>
        <v>0</v>
      </c>
      <c r="BF55" s="226">
        <f t="shared" si="111"/>
        <v>0</v>
      </c>
      <c r="BG55" s="157"/>
      <c r="BH55" s="226" cm="1">
        <f t="array" ref="BH55">IFERROR(SUM(VLOOKUP($A55,'預算A1 BIM'!$A$77:$BB$143,{36},0)),0)+BK55</f>
        <v>0</v>
      </c>
      <c r="BI55" s="226" cm="1">
        <f t="array" ref="BI55">IFERROR(SUM(VLOOKUP($A55,'預算A1 BIM'!$A$151:$BB$220,{36},0)),0)-BK55</f>
        <v>0</v>
      </c>
      <c r="BJ55" s="226">
        <f t="shared" si="110"/>
        <v>0</v>
      </c>
      <c r="BK55" s="157"/>
      <c r="BL55" s="226">
        <f>SUMIF($P$4:$BK$4,$BL$4,$P55:$BK$65)</f>
        <v>0</v>
      </c>
      <c r="BM55" s="226">
        <f>SUMIF($P$4:$BK$4,$BM$4,$P55:$BK$65)</f>
        <v>0</v>
      </c>
      <c r="BN55" s="226">
        <f t="shared" si="74"/>
        <v>0</v>
      </c>
      <c r="BO55" s="157">
        <f>SUMIF($P$4:$BK$4,$BO$4,$P55:$BK$65)</f>
        <v>0</v>
      </c>
      <c r="BP55" s="226">
        <f t="shared" si="75"/>
        <v>0</v>
      </c>
      <c r="BQ55" s="226">
        <f t="shared" si="76"/>
        <v>0</v>
      </c>
      <c r="BR55" s="226">
        <f t="shared" si="77"/>
        <v>0</v>
      </c>
      <c r="BS55" s="226">
        <f t="shared" si="78"/>
        <v>0</v>
      </c>
      <c r="BT55" s="226" cm="1">
        <f t="array" ref="BT55">IFERROR(SUM(VLOOKUP($A55,'預算A1 BIM'!$A$77:$BB$143,{39},0)),0)+BW55</f>
        <v>0</v>
      </c>
      <c r="BU55" s="226" cm="1">
        <f t="array" ref="BU55">IFERROR(SUM(VLOOKUP($A55,'預算A1 BIM'!$A$151:$BB$220,{39},0)),0)-BW55</f>
        <v>0</v>
      </c>
      <c r="BV55" s="226">
        <f t="shared" si="79"/>
        <v>0</v>
      </c>
      <c r="BW55" s="157"/>
      <c r="BX55" s="226">
        <f t="shared" si="80"/>
        <v>0</v>
      </c>
      <c r="BY55" s="157">
        <f t="shared" si="81"/>
        <v>0</v>
      </c>
      <c r="BZ55" s="226">
        <f t="shared" si="82"/>
        <v>0</v>
      </c>
      <c r="CA55" s="157">
        <f t="shared" si="83"/>
        <v>0</v>
      </c>
      <c r="CB55" s="226" cm="1">
        <f t="array" ref="CB55">IFERROR(SUM(VLOOKUP($A55,'預算A1 BIM'!$A$77:$BB$143,{40},0)),0)+CE55</f>
        <v>5560576</v>
      </c>
      <c r="CC55" s="226" cm="1">
        <f t="array" ref="CC55">IFERROR(SUM(VLOOKUP($A55,'預算A1 BIM'!$A$151:$BB$220,{40},0)),0)-CE55</f>
        <v>2113410</v>
      </c>
      <c r="CD55" s="226">
        <f t="shared" si="112"/>
        <v>7673986</v>
      </c>
      <c r="CE55" s="157"/>
      <c r="CF55" s="226">
        <f t="shared" si="85"/>
        <v>5560576</v>
      </c>
      <c r="CG55" s="226">
        <f t="shared" si="86"/>
        <v>2113410</v>
      </c>
      <c r="CH55" s="226">
        <f t="shared" si="87"/>
        <v>7673986</v>
      </c>
      <c r="CI55" s="226">
        <f t="shared" si="88"/>
        <v>0</v>
      </c>
      <c r="CJ55" s="226" cm="1">
        <f t="array" ref="CJ55">IFERROR(SUM(VLOOKUP($A55,'預算A1 BIM'!$A$77:$BB$143,{41},0)),0)+CM55</f>
        <v>7288688</v>
      </c>
      <c r="CK55" s="226" cm="1">
        <f t="array" ref="CK55">IFERROR(SUM(VLOOKUP($A55,'預算A1 BIM'!$A$151:$BB$220,{41},0)),0)-CM55</f>
        <v>2770213</v>
      </c>
      <c r="CL55" s="226">
        <f t="shared" si="89"/>
        <v>10058901</v>
      </c>
      <c r="CM55" s="157"/>
      <c r="CN55" s="226">
        <f t="shared" si="90"/>
        <v>12849264</v>
      </c>
      <c r="CO55" s="226">
        <f t="shared" si="91"/>
        <v>4883623</v>
      </c>
      <c r="CP55" s="226">
        <f t="shared" si="92"/>
        <v>17732887</v>
      </c>
      <c r="CQ55" s="226">
        <f t="shared" si="93"/>
        <v>0</v>
      </c>
      <c r="CR55" s="226" cm="1">
        <f t="array" ref="CR55">IFERROR(SUM(VLOOKUP($A55,'預算A1 BIM'!$A$77:$BB$143,{42},0)),0)+CU55</f>
        <v>7258684</v>
      </c>
      <c r="CS55" s="226" cm="1">
        <f t="array" ref="CS55">IFERROR(SUM(VLOOKUP($A55,'預算A1 BIM'!$A$151:$BB$220,{42},0)),0)-CU55</f>
        <v>2758810</v>
      </c>
      <c r="CT55" s="226">
        <f t="shared" si="108"/>
        <v>10017494</v>
      </c>
      <c r="CU55" s="157"/>
      <c r="CV55" s="226">
        <f t="shared" si="95"/>
        <v>20107948</v>
      </c>
      <c r="CW55" s="226">
        <f t="shared" si="96"/>
        <v>7642433</v>
      </c>
      <c r="CX55" s="226">
        <f t="shared" si="97"/>
        <v>27750381</v>
      </c>
      <c r="CY55" s="226">
        <f t="shared" si="98"/>
        <v>0</v>
      </c>
    </row>
    <row r="56" spans="1:185" outlineLevel="1">
      <c r="A56" s="175" t="s">
        <v>719</v>
      </c>
      <c r="B56" s="156" t="s">
        <v>720</v>
      </c>
      <c r="C56" s="169" t="s">
        <v>1037</v>
      </c>
      <c r="D56" s="225">
        <f>IFERROR(VLOOKUP(A56,'202608收入成本表'!A:Y,23,0),0)</f>
        <v>0</v>
      </c>
      <c r="E56" s="225">
        <f>IFERROR(VLOOKUP(A56,'202608收入成本表'!A:Z,24,0),0)</f>
        <v>0</v>
      </c>
      <c r="F56" s="226">
        <f t="shared" si="113"/>
        <v>0</v>
      </c>
      <c r="G56" s="226"/>
      <c r="H56" s="226" cm="1">
        <f t="array" ref="H56">IFERROR(SUM(VLOOKUP(A56,'預算A1 BIM'!$A$77:$BB$143,{19,20,21,22},0)),0)</f>
        <v>0</v>
      </c>
      <c r="I56" s="226" cm="1">
        <f t="array" ref="I56">IFERROR(SUM(VLOOKUP(A56,'預算A1 BIM'!$A$151:$BB$220,{19,20,21,22},0)),0)</f>
        <v>0</v>
      </c>
      <c r="J56" s="226">
        <f t="shared" si="58"/>
        <v>0</v>
      </c>
      <c r="K56" s="226">
        <f>-VLOOKUP(A56,'2026FCST%'!A:AC,27,FALSE)</f>
        <v>0</v>
      </c>
      <c r="L56" s="226">
        <f t="shared" si="59"/>
        <v>0</v>
      </c>
      <c r="M56" s="226">
        <f t="shared" si="60"/>
        <v>0</v>
      </c>
      <c r="N56" s="226">
        <f t="shared" si="61"/>
        <v>0</v>
      </c>
      <c r="O56" s="226">
        <f t="shared" si="99"/>
        <v>0</v>
      </c>
      <c r="P56" s="226" cm="1">
        <f t="array" ref="P56">IFERROR(SUM(VLOOKUP($A56,'預算A1 BIM'!$A$77:$BB$143,{25},0)),0)+S56</f>
        <v>0</v>
      </c>
      <c r="Q56" s="226" cm="1">
        <f t="array" ref="Q56">IFERROR(SUM(VLOOKUP($A56,'預算A1 BIM'!$A$151:$BB$220,{25},0)),0)</f>
        <v>0</v>
      </c>
      <c r="R56" s="226">
        <f t="shared" si="62"/>
        <v>0</v>
      </c>
      <c r="S56" s="157"/>
      <c r="T56" s="226" cm="1">
        <f t="array" ref="T56">IFERROR(SUM(VLOOKUP($A56,'預算A1 BIM'!$A$77:$BB$143,{26},0)),0)+W56</f>
        <v>0</v>
      </c>
      <c r="U56" s="226" cm="1">
        <f t="array" ref="U56">IFERROR(SUM(VLOOKUP($A56,'預算A1 BIM'!$A$151:$BB$220,{26},0)),0)</f>
        <v>0</v>
      </c>
      <c r="V56" s="226">
        <f t="shared" si="106"/>
        <v>0</v>
      </c>
      <c r="W56" s="157"/>
      <c r="X56" s="226" cm="1">
        <f t="array" ref="X56">IFERROR(SUM(VLOOKUP($A56,'預算A1 BIM'!$A$77:$BB$143,{27},0)),0)+AA56</f>
        <v>0</v>
      </c>
      <c r="Y56" s="226" cm="1">
        <f t="array" ref="Y56">IFERROR(SUM(VLOOKUP($A56,'預算A1 BIM'!$A$151:$BB$220,{27},0)),0)</f>
        <v>0</v>
      </c>
      <c r="Z56" s="226">
        <f t="shared" si="107"/>
        <v>0</v>
      </c>
      <c r="AA56" s="226"/>
      <c r="AB56" s="226" cm="1">
        <f t="array" ref="AB56">IFERROR(SUM(VLOOKUP($A56,'預算A1 BIM'!$A$77:$BB$143,{28},0)),0)+AE56</f>
        <v>0</v>
      </c>
      <c r="AC56" s="226" cm="1">
        <f t="array" ref="AC56">IFERROR(SUM(VLOOKUP($A56,'預算A1 BIM'!$A$151:$BB$220,{28},0)),0)</f>
        <v>0</v>
      </c>
      <c r="AD56" s="226">
        <f t="shared" si="109"/>
        <v>0</v>
      </c>
      <c r="AE56" s="157"/>
      <c r="AF56" s="226" cm="1">
        <f t="array" ref="AF56">IFERROR(SUM(VLOOKUP($A56,'預算A1 BIM'!$A$77:$BB$143,{29},0)),0)+AI56</f>
        <v>0</v>
      </c>
      <c r="AG56" s="226" cm="1">
        <f t="array" ref="AG56">IFERROR(SUM(VLOOKUP($A56,'預算A1 BIM'!$A$151:$BB$220,{29},0)),0)</f>
        <v>0</v>
      </c>
      <c r="AH56" s="226">
        <f t="shared" si="103"/>
        <v>0</v>
      </c>
      <c r="AI56" s="157"/>
      <c r="AJ56" s="226" cm="1">
        <f t="array" ref="AJ56">IFERROR(SUM(VLOOKUP($A56,'預算A1 BIM'!$A$77:$BB$143,{30},0)),0)+AM56</f>
        <v>0</v>
      </c>
      <c r="AK56" s="226" cm="1">
        <f t="array" ref="AK56">IFERROR(SUM(VLOOKUP($A56,'預算A1 BIM'!$A$151:$BB$220,{30},0)),0)</f>
        <v>0</v>
      </c>
      <c r="AL56" s="226">
        <f t="shared" si="104"/>
        <v>0</v>
      </c>
      <c r="AM56" s="157"/>
      <c r="AN56" s="226" cm="1">
        <f t="array" ref="AN56">IFERROR(SUM(VLOOKUP($A56,'預算A1 BIM'!$A$77:$BB$143,{31},0)),0)+AQ56</f>
        <v>0</v>
      </c>
      <c r="AO56" s="226" cm="1">
        <f t="array" ref="AO56">IFERROR(SUM(VLOOKUP($A56,'預算A1 BIM'!$A$151:$BB$220,{31},0)),0)</f>
        <v>0</v>
      </c>
      <c r="AP56" s="226">
        <f t="shared" si="68"/>
        <v>0</v>
      </c>
      <c r="AQ56" s="157"/>
      <c r="AR56" s="226" cm="1">
        <f t="array" ref="AR56">IFERROR(SUM(VLOOKUP($A56,'預算A1 BIM'!$A$77:$BB$143,{32},0)),0)+AU56</f>
        <v>0</v>
      </c>
      <c r="AS56" s="226" cm="1">
        <f t="array" ref="AS56">IFERROR(SUM(VLOOKUP($A56,'預算A1 BIM'!$A$151:$BB$220,{32},0)),0)</f>
        <v>0</v>
      </c>
      <c r="AT56" s="226">
        <f t="shared" si="69"/>
        <v>0</v>
      </c>
      <c r="AU56" s="157"/>
      <c r="AV56" s="226" cm="1">
        <f t="array" ref="AV56">IFERROR(SUM(VLOOKUP($A56,'預算A1 BIM'!$A$77:$BB$143,{33},0)),0)+AY56</f>
        <v>0</v>
      </c>
      <c r="AW56" s="226" cm="1">
        <f t="array" ref="AW56">IFERROR(SUM(VLOOKUP($A56,'預算A1 BIM'!$A$151:$BB$220,{33},0)),0)-AY56</f>
        <v>0</v>
      </c>
      <c r="AX56" s="226">
        <f t="shared" si="70"/>
        <v>0</v>
      </c>
      <c r="AY56" s="157"/>
      <c r="AZ56" s="226" cm="1">
        <f t="array" ref="AZ56">IFERROR(SUM(VLOOKUP($A56,'預算A1 BIM'!$A$77:$BB$143,{34},0)),0)+BC56</f>
        <v>0</v>
      </c>
      <c r="BA56" s="226" cm="1">
        <f t="array" ref="BA56">IFERROR(SUM(VLOOKUP($A56,'預算A1 BIM'!$A$151:$BB$220,{34},0)),0)-BC56</f>
        <v>0</v>
      </c>
      <c r="BB56" s="226">
        <f t="shared" si="105"/>
        <v>0</v>
      </c>
      <c r="BC56" s="157"/>
      <c r="BD56" s="226" cm="1">
        <f t="array" ref="BD56">IFERROR(SUM(VLOOKUP($A56,'預算A1 BIM'!$A$77:$BB$143,{35},0)),0)+BG56</f>
        <v>0</v>
      </c>
      <c r="BE56" s="226" cm="1">
        <f t="array" ref="BE56">IFERROR(SUM(VLOOKUP($A56,'預算A1 BIM'!$A$151:$BB$220,{35},0)),0)-BG56</f>
        <v>0</v>
      </c>
      <c r="BF56" s="226">
        <f t="shared" si="111"/>
        <v>0</v>
      </c>
      <c r="BG56" s="157"/>
      <c r="BH56" s="226" cm="1">
        <f t="array" ref="BH56">IFERROR(SUM(VLOOKUP($A56,'預算A1 BIM'!$A$77:$BB$143,{36},0)),0)+BK56</f>
        <v>0</v>
      </c>
      <c r="BI56" s="226" cm="1">
        <f t="array" ref="BI56">IFERROR(SUM(VLOOKUP($A56,'預算A1 BIM'!$A$151:$BB$220,{36},0)),0)-BK56</f>
        <v>0</v>
      </c>
      <c r="BJ56" s="226">
        <f t="shared" si="110"/>
        <v>0</v>
      </c>
      <c r="BK56" s="157"/>
      <c r="BL56" s="226">
        <f>SUMIF($P$4:$BK$4,$BL$4,$P56:$BK$65)</f>
        <v>0</v>
      </c>
      <c r="BM56" s="226">
        <f>SUMIF($P$4:$BK$4,$BM$4,$P56:$BK$65)</f>
        <v>0</v>
      </c>
      <c r="BN56" s="226">
        <f t="shared" si="74"/>
        <v>0</v>
      </c>
      <c r="BO56" s="157">
        <f>SUMIF($P$4:$BK$4,$BO$4,$P56:$BK$65)</f>
        <v>0</v>
      </c>
      <c r="BP56" s="226">
        <f t="shared" si="75"/>
        <v>0</v>
      </c>
      <c r="BQ56" s="226">
        <f t="shared" si="76"/>
        <v>0</v>
      </c>
      <c r="BR56" s="226">
        <f t="shared" si="77"/>
        <v>0</v>
      </c>
      <c r="BS56" s="226">
        <f t="shared" si="78"/>
        <v>0</v>
      </c>
      <c r="BT56" s="226" cm="1">
        <f t="array" ref="BT56">IFERROR(SUM(VLOOKUP($A56,'預算A1 BIM'!$A$77:$BB$143,{39},0)),0)+BW56</f>
        <v>0</v>
      </c>
      <c r="BU56" s="226" cm="1">
        <f t="array" ref="BU56">IFERROR(SUM(VLOOKUP($A56,'預算A1 BIM'!$A$151:$BB$220,{39},0)),0)-BW56</f>
        <v>0</v>
      </c>
      <c r="BV56" s="226">
        <f t="shared" si="79"/>
        <v>0</v>
      </c>
      <c r="BW56" s="157"/>
      <c r="BX56" s="226">
        <f t="shared" si="80"/>
        <v>0</v>
      </c>
      <c r="BY56" s="157">
        <f t="shared" si="81"/>
        <v>0</v>
      </c>
      <c r="BZ56" s="226">
        <f t="shared" si="82"/>
        <v>0</v>
      </c>
      <c r="CA56" s="157">
        <f t="shared" si="83"/>
        <v>0</v>
      </c>
      <c r="CB56" s="226" cm="1">
        <f t="array" ref="CB56">IFERROR(SUM(VLOOKUP($A56,'預算A1 BIM'!$A$77:$BB$143,{40},0)),0)+CE56</f>
        <v>0</v>
      </c>
      <c r="CC56" s="226" cm="1">
        <f t="array" ref="CC56">IFERROR(SUM(VLOOKUP($A56,'預算A1 BIM'!$A$151:$BB$220,{40},0)),0)-CE56</f>
        <v>0</v>
      </c>
      <c r="CD56" s="226">
        <f t="shared" si="112"/>
        <v>0</v>
      </c>
      <c r="CE56" s="157"/>
      <c r="CF56" s="226">
        <f t="shared" si="85"/>
        <v>0</v>
      </c>
      <c r="CG56" s="226">
        <f t="shared" si="86"/>
        <v>0</v>
      </c>
      <c r="CH56" s="226">
        <f t="shared" si="87"/>
        <v>0</v>
      </c>
      <c r="CI56" s="226">
        <f t="shared" si="88"/>
        <v>0</v>
      </c>
      <c r="CJ56" s="226" cm="1">
        <f t="array" ref="CJ56">IFERROR(SUM(VLOOKUP($A56,'預算A1 BIM'!$A$77:$BB$143,{41},0)),0)+CM56</f>
        <v>8548364</v>
      </c>
      <c r="CK56" s="226" cm="1">
        <f t="array" ref="CK56">IFERROR(SUM(VLOOKUP($A56,'預算A1 BIM'!$A$151:$BB$220,{41},0)),0)-CM56</f>
        <v>3101905</v>
      </c>
      <c r="CL56" s="226">
        <f t="shared" si="89"/>
        <v>11650269</v>
      </c>
      <c r="CM56" s="157"/>
      <c r="CN56" s="226">
        <f t="shared" si="90"/>
        <v>8548364</v>
      </c>
      <c r="CO56" s="226">
        <f t="shared" si="91"/>
        <v>3101905</v>
      </c>
      <c r="CP56" s="226">
        <f t="shared" si="92"/>
        <v>11650269</v>
      </c>
      <c r="CQ56" s="226">
        <f t="shared" si="93"/>
        <v>0</v>
      </c>
      <c r="CR56" s="226" cm="1">
        <f t="array" ref="CR56">IFERROR(SUM(VLOOKUP($A56,'預算A1 BIM'!$A$77:$BB$143,{42},0)),0)+CU56</f>
        <v>7558684</v>
      </c>
      <c r="CS56" s="226" cm="1">
        <f t="array" ref="CS56">IFERROR(SUM(VLOOKUP($A56,'預算A1 BIM'!$A$151:$BB$220,{42},0)),0)-CU56</f>
        <v>2742784</v>
      </c>
      <c r="CT56" s="226">
        <f t="shared" si="108"/>
        <v>10301468</v>
      </c>
      <c r="CU56" s="157"/>
      <c r="CV56" s="226">
        <f t="shared" si="95"/>
        <v>16107048</v>
      </c>
      <c r="CW56" s="226">
        <f t="shared" si="96"/>
        <v>5844689</v>
      </c>
      <c r="CX56" s="226">
        <f t="shared" si="97"/>
        <v>21951737</v>
      </c>
      <c r="CY56" s="226">
        <f t="shared" si="98"/>
        <v>0</v>
      </c>
    </row>
    <row r="57" spans="1:185" s="174" customFormat="1" outlineLevel="1">
      <c r="A57" s="175" t="s">
        <v>721</v>
      </c>
      <c r="B57" s="172" t="s">
        <v>722</v>
      </c>
      <c r="C57" s="169" t="s">
        <v>1037</v>
      </c>
      <c r="D57" s="225">
        <f>IFERROR(VLOOKUP(A57,'202608收入成本表'!A:Y,23,0),0)</f>
        <v>0</v>
      </c>
      <c r="E57" s="225">
        <f>IFERROR(VLOOKUP(A57,'202608收入成本表'!A:Z,24,0),0)</f>
        <v>0</v>
      </c>
      <c r="F57" s="226">
        <f t="shared" si="113"/>
        <v>0</v>
      </c>
      <c r="G57" s="226"/>
      <c r="H57" s="226" cm="1">
        <f t="array" ref="H57">IFERROR(SUM(VLOOKUP(A57,'預算A1 BIM'!$A$77:$BB$143,{19,20,21,22},0)),0)</f>
        <v>0</v>
      </c>
      <c r="I57" s="226" cm="1">
        <f t="array" ref="I57">IFERROR(SUM(VLOOKUP(A57,'預算A1 BIM'!$A$151:$BB$220,{19,20,21,22},0)),0)</f>
        <v>0</v>
      </c>
      <c r="J57" s="226">
        <f t="shared" si="58"/>
        <v>0</v>
      </c>
      <c r="K57" s="226">
        <f>-VLOOKUP(A57,'2026FCST%'!A:AC,27,FALSE)</f>
        <v>0</v>
      </c>
      <c r="L57" s="226">
        <f t="shared" si="59"/>
        <v>0</v>
      </c>
      <c r="M57" s="226">
        <f t="shared" si="60"/>
        <v>0</v>
      </c>
      <c r="N57" s="226">
        <f t="shared" si="61"/>
        <v>0</v>
      </c>
      <c r="O57" s="226">
        <f t="shared" si="99"/>
        <v>0</v>
      </c>
      <c r="P57" s="226" cm="1">
        <f t="array" ref="P57">IFERROR(SUM(VLOOKUP($A57,'預算A1 BIM'!$A$77:$BB$143,{25},0)),0)+S57</f>
        <v>0</v>
      </c>
      <c r="Q57" s="226" cm="1">
        <f t="array" ref="Q57">IFERROR(SUM(VLOOKUP($A57,'預算A1 BIM'!$A$151:$BB$220,{25},0)),0)</f>
        <v>0</v>
      </c>
      <c r="R57" s="226">
        <f t="shared" si="62"/>
        <v>0</v>
      </c>
      <c r="S57" s="157"/>
      <c r="T57" s="226" cm="1">
        <f t="array" ref="T57">IFERROR(SUM(VLOOKUP($A57,'預算A1 BIM'!$A$77:$BB$143,{26},0)),0)+W57</f>
        <v>0</v>
      </c>
      <c r="U57" s="226" cm="1">
        <f t="array" ref="U57">IFERROR(SUM(VLOOKUP($A57,'預算A1 BIM'!$A$151:$BB$220,{26},0)),0)</f>
        <v>0</v>
      </c>
      <c r="V57" s="226">
        <f t="shared" si="106"/>
        <v>0</v>
      </c>
      <c r="W57" s="157"/>
      <c r="X57" s="226" cm="1">
        <f t="array" ref="X57">IFERROR(SUM(VLOOKUP($A57,'預算A1 BIM'!$A$77:$BB$143,{27},0)),0)+AA57</f>
        <v>0</v>
      </c>
      <c r="Y57" s="226" cm="1">
        <f t="array" ref="Y57">IFERROR(SUM(VLOOKUP($A57,'預算A1 BIM'!$A$151:$BB$220,{27},0)),0)</f>
        <v>0</v>
      </c>
      <c r="Z57" s="226">
        <f t="shared" si="107"/>
        <v>0</v>
      </c>
      <c r="AA57" s="226"/>
      <c r="AB57" s="226" cm="1">
        <f t="array" ref="AB57">IFERROR(SUM(VLOOKUP($A57,'預算A1 BIM'!$A$77:$BB$143,{28},0)),0)+AE57</f>
        <v>0</v>
      </c>
      <c r="AC57" s="226" cm="1">
        <f t="array" ref="AC57">IFERROR(SUM(VLOOKUP($A57,'預算A1 BIM'!$A$151:$BB$220,{28},0)),0)</f>
        <v>0</v>
      </c>
      <c r="AD57" s="226">
        <f t="shared" si="109"/>
        <v>0</v>
      </c>
      <c r="AE57" s="157"/>
      <c r="AF57" s="226" cm="1">
        <f t="array" ref="AF57">IFERROR(SUM(VLOOKUP($A57,'預算A1 BIM'!$A$77:$BB$143,{29},0)),0)+AI57</f>
        <v>0</v>
      </c>
      <c r="AG57" s="226" cm="1">
        <f t="array" ref="AG57">IFERROR(SUM(VLOOKUP($A57,'預算A1 BIM'!$A$151:$BB$220,{29},0)),0)</f>
        <v>0</v>
      </c>
      <c r="AH57" s="226">
        <f t="shared" si="103"/>
        <v>0</v>
      </c>
      <c r="AI57" s="157"/>
      <c r="AJ57" s="226" cm="1">
        <f t="array" ref="AJ57">IFERROR(SUM(VLOOKUP($A57,'預算A1 BIM'!$A$77:$BB$143,{30},0)),0)+AM57</f>
        <v>0</v>
      </c>
      <c r="AK57" s="226" cm="1">
        <f t="array" ref="AK57">IFERROR(SUM(VLOOKUP($A57,'預算A1 BIM'!$A$151:$BB$220,{30},0)),0)</f>
        <v>0</v>
      </c>
      <c r="AL57" s="226">
        <f t="shared" si="104"/>
        <v>0</v>
      </c>
      <c r="AM57" s="157"/>
      <c r="AN57" s="226" cm="1">
        <f t="array" ref="AN57">IFERROR(SUM(VLOOKUP($A57,'預算A1 BIM'!$A$77:$BB$143,{31},0)),0)+AQ57</f>
        <v>0</v>
      </c>
      <c r="AO57" s="226" cm="1">
        <f t="array" ref="AO57">IFERROR(SUM(VLOOKUP($A57,'預算A1 BIM'!$A$151:$BB$220,{31},0)),0)</f>
        <v>0</v>
      </c>
      <c r="AP57" s="226">
        <f t="shared" si="68"/>
        <v>0</v>
      </c>
      <c r="AQ57" s="157"/>
      <c r="AR57" s="226" cm="1">
        <f t="array" ref="AR57">IFERROR(SUM(VLOOKUP($A57,'預算A1 BIM'!$A$77:$BB$143,{32},0)),0)+AU57</f>
        <v>0</v>
      </c>
      <c r="AS57" s="226" cm="1">
        <f t="array" ref="AS57">IFERROR(SUM(VLOOKUP($A57,'預算A1 BIM'!$A$151:$BB$220,{32},0)),0)</f>
        <v>0</v>
      </c>
      <c r="AT57" s="226">
        <f t="shared" si="69"/>
        <v>0</v>
      </c>
      <c r="AU57" s="157"/>
      <c r="AV57" s="226" cm="1">
        <f t="array" ref="AV57">IFERROR(SUM(VLOOKUP($A57,'預算A1 BIM'!$A$77:$BB$143,{33},0)),0)+AY57</f>
        <v>0</v>
      </c>
      <c r="AW57" s="226" cm="1">
        <f t="array" ref="AW57">IFERROR(SUM(VLOOKUP($A57,'預算A1 BIM'!$A$151:$BB$220,{33},0)),0)-AY57</f>
        <v>0</v>
      </c>
      <c r="AX57" s="226">
        <f t="shared" si="70"/>
        <v>0</v>
      </c>
      <c r="AY57" s="157"/>
      <c r="AZ57" s="226" cm="1">
        <f t="array" ref="AZ57">IFERROR(SUM(VLOOKUP($A57,'預算A1 BIM'!$A$77:$BB$143,{34},0)),0)+BC57</f>
        <v>0</v>
      </c>
      <c r="BA57" s="226" cm="1">
        <f t="array" ref="BA57">IFERROR(SUM(VLOOKUP($A57,'預算A1 BIM'!$A$151:$BB$220,{34},0)),0)-BC57</f>
        <v>0</v>
      </c>
      <c r="BB57" s="226">
        <f t="shared" si="105"/>
        <v>0</v>
      </c>
      <c r="BC57" s="157"/>
      <c r="BD57" s="226" cm="1">
        <f t="array" ref="BD57">IFERROR(SUM(VLOOKUP($A57,'預算A1 BIM'!$A$77:$BB$143,{35},0)),0)+BG57</f>
        <v>0</v>
      </c>
      <c r="BE57" s="226" cm="1">
        <f t="array" ref="BE57">IFERROR(SUM(VLOOKUP($A57,'預算A1 BIM'!$A$151:$BB$220,{35},0)),0)-BG57</f>
        <v>0</v>
      </c>
      <c r="BF57" s="226">
        <f t="shared" si="111"/>
        <v>0</v>
      </c>
      <c r="BG57" s="157"/>
      <c r="BH57" s="226" cm="1">
        <f t="array" ref="BH57">IFERROR(SUM(VLOOKUP($A57,'預算A1 BIM'!$A$77:$BB$143,{36},0)),0)+BK57</f>
        <v>0</v>
      </c>
      <c r="BI57" s="226" cm="1">
        <f t="array" ref="BI57">IFERROR(SUM(VLOOKUP($A57,'預算A1 BIM'!$A$151:$BB$220,{36},0)),0)-BK57</f>
        <v>0</v>
      </c>
      <c r="BJ57" s="226">
        <f t="shared" si="110"/>
        <v>0</v>
      </c>
      <c r="BK57" s="157"/>
      <c r="BL57" s="226">
        <f>SUMIF($P$4:$BK$4,$BL$4,$P57:$BK$65)</f>
        <v>0</v>
      </c>
      <c r="BM57" s="226">
        <f>SUMIF($P$4:$BK$4,$BM$4,$P57:$BK$65)</f>
        <v>0</v>
      </c>
      <c r="BN57" s="226">
        <f t="shared" si="74"/>
        <v>0</v>
      </c>
      <c r="BO57" s="157">
        <f>SUMIF($P$4:$BK$4,$BO$4,$P57:$BK$65)</f>
        <v>0</v>
      </c>
      <c r="BP57" s="226">
        <f t="shared" si="75"/>
        <v>0</v>
      </c>
      <c r="BQ57" s="226">
        <f t="shared" si="76"/>
        <v>0</v>
      </c>
      <c r="BR57" s="226">
        <f t="shared" si="77"/>
        <v>0</v>
      </c>
      <c r="BS57" s="226">
        <f t="shared" si="78"/>
        <v>0</v>
      </c>
      <c r="BT57" s="226" cm="1">
        <f t="array" ref="BT57">IFERROR(SUM(VLOOKUP($A57,'預算A1 BIM'!$A$77:$BB$143,{39},0)),0)+BW57</f>
        <v>0</v>
      </c>
      <c r="BU57" s="226" cm="1">
        <f t="array" ref="BU57">IFERROR(SUM(VLOOKUP($A57,'預算A1 BIM'!$A$151:$BB$220,{39},0)),0)-BW57</f>
        <v>0</v>
      </c>
      <c r="BV57" s="226">
        <f t="shared" si="79"/>
        <v>0</v>
      </c>
      <c r="BW57" s="157"/>
      <c r="BX57" s="226">
        <f t="shared" si="80"/>
        <v>0</v>
      </c>
      <c r="BY57" s="157">
        <f t="shared" si="81"/>
        <v>0</v>
      </c>
      <c r="BZ57" s="226">
        <f t="shared" si="82"/>
        <v>0</v>
      </c>
      <c r="CA57" s="157">
        <f t="shared" si="83"/>
        <v>0</v>
      </c>
      <c r="CB57" s="226" cm="1">
        <f t="array" ref="CB57">IFERROR(SUM(VLOOKUP($A57,'預算A1 BIM'!$A$77:$BB$143,{40},0)),0)+CE57</f>
        <v>0</v>
      </c>
      <c r="CC57" s="226" cm="1">
        <f t="array" ref="CC57">IFERROR(SUM(VLOOKUP($A57,'預算A1 BIM'!$A$151:$BB$220,{40},0)),0)-CE57</f>
        <v>0</v>
      </c>
      <c r="CD57" s="226">
        <f t="shared" si="112"/>
        <v>0</v>
      </c>
      <c r="CE57" s="157"/>
      <c r="CF57" s="226">
        <f t="shared" si="85"/>
        <v>0</v>
      </c>
      <c r="CG57" s="226">
        <f t="shared" si="86"/>
        <v>0</v>
      </c>
      <c r="CH57" s="226">
        <f t="shared" si="87"/>
        <v>0</v>
      </c>
      <c r="CI57" s="226">
        <f t="shared" si="88"/>
        <v>0</v>
      </c>
      <c r="CJ57" s="226" cm="1">
        <f t="array" ref="CJ57">IFERROR(SUM(VLOOKUP($A57,'預算A1 BIM'!$A$77:$BB$143,{41},0)),0)+CM57</f>
        <v>0</v>
      </c>
      <c r="CK57" s="226" cm="1">
        <f t="array" ref="CK57">IFERROR(SUM(VLOOKUP($A57,'預算A1 BIM'!$A$151:$BB$220,{41},0)),0)-CM57</f>
        <v>0</v>
      </c>
      <c r="CL57" s="226">
        <f t="shared" si="89"/>
        <v>0</v>
      </c>
      <c r="CM57" s="157"/>
      <c r="CN57" s="226">
        <f t="shared" si="90"/>
        <v>0</v>
      </c>
      <c r="CO57" s="226">
        <f t="shared" si="91"/>
        <v>0</v>
      </c>
      <c r="CP57" s="226">
        <f t="shared" si="92"/>
        <v>0</v>
      </c>
      <c r="CQ57" s="226">
        <f t="shared" si="93"/>
        <v>0</v>
      </c>
      <c r="CR57" s="226" cm="1">
        <f t="array" ref="CR57">IFERROR(SUM(VLOOKUP($A57,'預算A1 BIM'!$A$77:$BB$143,{42},0)),0)+CU57</f>
        <v>6065348</v>
      </c>
      <c r="CS57" s="226" cm="1">
        <f t="array" ref="CS57">IFERROR(SUM(VLOOKUP($A57,'預算A1 BIM'!$A$151:$BB$220,{42},0)),0)-CU57</f>
        <v>2307704</v>
      </c>
      <c r="CT57" s="226">
        <f t="shared" si="108"/>
        <v>8373052</v>
      </c>
      <c r="CU57" s="157"/>
      <c r="CV57" s="226">
        <f t="shared" si="95"/>
        <v>6065348</v>
      </c>
      <c r="CW57" s="226">
        <f t="shared" si="96"/>
        <v>2307704</v>
      </c>
      <c r="CX57" s="226">
        <f t="shared" si="97"/>
        <v>8373052</v>
      </c>
      <c r="CY57" s="226">
        <f t="shared" si="98"/>
        <v>0</v>
      </c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</row>
    <row r="58" spans="1:185" ht="21" customHeight="1" outlineLevel="1">
      <c r="A58" s="228"/>
      <c r="B58" s="229" t="s">
        <v>1967</v>
      </c>
      <c r="C58" s="229"/>
      <c r="D58" s="230">
        <f t="shared" ref="D58:AE58" si="114">SUM(D30:D57)</f>
        <v>62376306</v>
      </c>
      <c r="E58" s="230">
        <f t="shared" si="114"/>
        <v>39193564</v>
      </c>
      <c r="F58" s="230">
        <f t="shared" si="114"/>
        <v>101569870</v>
      </c>
      <c r="G58" s="230">
        <f t="shared" si="114"/>
        <v>0</v>
      </c>
      <c r="H58" s="230">
        <f t="shared" si="114"/>
        <v>7043609</v>
      </c>
      <c r="I58" s="230">
        <f t="shared" si="114"/>
        <v>-2826834</v>
      </c>
      <c r="J58" s="230">
        <f t="shared" si="114"/>
        <v>4216775</v>
      </c>
      <c r="K58" s="230">
        <f t="shared" si="114"/>
        <v>-36698</v>
      </c>
      <c r="L58" s="230">
        <f t="shared" si="114"/>
        <v>69419915</v>
      </c>
      <c r="M58" s="230">
        <f t="shared" si="114"/>
        <v>36366730</v>
      </c>
      <c r="N58" s="230">
        <f t="shared" si="114"/>
        <v>105786645</v>
      </c>
      <c r="O58" s="230">
        <f t="shared" si="114"/>
        <v>-36698</v>
      </c>
      <c r="P58" s="230">
        <f t="shared" si="114"/>
        <v>1749009</v>
      </c>
      <c r="Q58" s="230">
        <f t="shared" si="114"/>
        <v>777388</v>
      </c>
      <c r="R58" s="230">
        <f t="shared" si="114"/>
        <v>2526397</v>
      </c>
      <c r="S58" s="230">
        <f t="shared" si="114"/>
        <v>10232</v>
      </c>
      <c r="T58" s="230">
        <f t="shared" si="114"/>
        <v>1031805</v>
      </c>
      <c r="U58" s="230">
        <f t="shared" si="114"/>
        <v>456543</v>
      </c>
      <c r="V58" s="230">
        <f t="shared" si="114"/>
        <v>1488348</v>
      </c>
      <c r="W58" s="230">
        <f t="shared" si="114"/>
        <v>2232</v>
      </c>
      <c r="X58" s="230">
        <f t="shared" si="114"/>
        <v>3301994</v>
      </c>
      <c r="Y58" s="230">
        <f t="shared" si="114"/>
        <v>1216747</v>
      </c>
      <c r="Z58" s="230">
        <f t="shared" si="114"/>
        <v>4518741</v>
      </c>
      <c r="AA58" s="230">
        <f t="shared" si="114"/>
        <v>3209</v>
      </c>
      <c r="AB58" s="230">
        <f t="shared" si="114"/>
        <v>2259547</v>
      </c>
      <c r="AC58" s="230">
        <f t="shared" si="114"/>
        <v>818265</v>
      </c>
      <c r="AD58" s="230">
        <f t="shared" si="114"/>
        <v>3077812</v>
      </c>
      <c r="AE58" s="230">
        <f t="shared" si="114"/>
        <v>0</v>
      </c>
      <c r="AF58" s="230">
        <f t="shared" ref="AF58:AI58" si="115">SUM(AF30:AF57)</f>
        <v>2362701</v>
      </c>
      <c r="AG58" s="230">
        <f t="shared" si="115"/>
        <v>910029</v>
      </c>
      <c r="AH58" s="230">
        <f t="shared" si="115"/>
        <v>3272730</v>
      </c>
      <c r="AI58" s="230">
        <f t="shared" si="115"/>
        <v>0</v>
      </c>
      <c r="AJ58" s="230">
        <f t="shared" ref="AJ58:AM58" si="116">SUM(AJ30:AJ57)</f>
        <v>2149454</v>
      </c>
      <c r="AK58" s="230">
        <f t="shared" si="116"/>
        <v>800233</v>
      </c>
      <c r="AL58" s="230">
        <f t="shared" si="116"/>
        <v>2949687</v>
      </c>
      <c r="AM58" s="230">
        <f t="shared" si="116"/>
        <v>0</v>
      </c>
      <c r="AN58" s="230">
        <f t="shared" ref="AN58:AQ58" si="117">SUM(AN30:AN57)</f>
        <v>2401861</v>
      </c>
      <c r="AO58" s="230">
        <f t="shared" si="117"/>
        <v>837343</v>
      </c>
      <c r="AP58" s="230">
        <f t="shared" si="117"/>
        <v>3239204</v>
      </c>
      <c r="AQ58" s="230">
        <f t="shared" si="117"/>
        <v>0</v>
      </c>
      <c r="AR58" s="230">
        <f t="shared" ref="AR58:AY58" si="118">SUM(AR30:AR57)</f>
        <v>1980203</v>
      </c>
      <c r="AS58" s="230">
        <f t="shared" si="118"/>
        <v>726504</v>
      </c>
      <c r="AT58" s="230">
        <f t="shared" si="118"/>
        <v>2706707</v>
      </c>
      <c r="AU58" s="230">
        <f t="shared" si="118"/>
        <v>0</v>
      </c>
      <c r="AV58" s="230">
        <f t="shared" si="118"/>
        <v>1850259</v>
      </c>
      <c r="AW58" s="230">
        <f t="shared" si="118"/>
        <v>677664</v>
      </c>
      <c r="AX58" s="230">
        <f t="shared" si="118"/>
        <v>2527923</v>
      </c>
      <c r="AY58" s="230">
        <f t="shared" si="118"/>
        <v>0</v>
      </c>
      <c r="AZ58" s="230">
        <f t="shared" ref="AZ58:BK58" si="119">SUM(AZ30:AZ57)</f>
        <v>2363994</v>
      </c>
      <c r="BA58" s="230">
        <f t="shared" si="119"/>
        <v>839924</v>
      </c>
      <c r="BB58" s="230">
        <f t="shared" si="119"/>
        <v>3203918</v>
      </c>
      <c r="BC58" s="230">
        <f t="shared" si="119"/>
        <v>746</v>
      </c>
      <c r="BD58" s="230">
        <f t="shared" si="119"/>
        <v>2088494</v>
      </c>
      <c r="BE58" s="230">
        <f t="shared" si="119"/>
        <v>775525</v>
      </c>
      <c r="BF58" s="230">
        <f t="shared" si="119"/>
        <v>2864019</v>
      </c>
      <c r="BG58" s="230">
        <f t="shared" si="119"/>
        <v>0</v>
      </c>
      <c r="BH58" s="230">
        <f t="shared" si="119"/>
        <v>2453160</v>
      </c>
      <c r="BI58" s="230">
        <f t="shared" si="119"/>
        <v>900962</v>
      </c>
      <c r="BJ58" s="230">
        <f t="shared" si="119"/>
        <v>3354122</v>
      </c>
      <c r="BK58" s="230">
        <f t="shared" si="119"/>
        <v>0</v>
      </c>
      <c r="BL58" s="230">
        <f t="shared" ref="BL58:BO58" si="120">SUM(BL30:BL57)</f>
        <v>25992481</v>
      </c>
      <c r="BM58" s="230">
        <f t="shared" si="120"/>
        <v>9737127</v>
      </c>
      <c r="BN58" s="230">
        <f t="shared" si="120"/>
        <v>35729608</v>
      </c>
      <c r="BO58" s="230">
        <f t="shared" si="120"/>
        <v>16419</v>
      </c>
      <c r="BP58" s="230">
        <f t="shared" ref="BP58:CU58" si="121">SUM(BP30:BP57)</f>
        <v>95412396</v>
      </c>
      <c r="BQ58" s="230">
        <f t="shared" si="121"/>
        <v>46103857</v>
      </c>
      <c r="BR58" s="230">
        <f t="shared" si="121"/>
        <v>141516253</v>
      </c>
      <c r="BS58" s="230">
        <f t="shared" si="121"/>
        <v>-20279</v>
      </c>
      <c r="BT58" s="230">
        <f t="shared" si="121"/>
        <v>26961924</v>
      </c>
      <c r="BU58" s="230">
        <f t="shared" si="121"/>
        <v>9470410</v>
      </c>
      <c r="BV58" s="230">
        <f t="shared" si="121"/>
        <v>36432334</v>
      </c>
      <c r="BW58" s="230">
        <f t="shared" si="121"/>
        <v>0</v>
      </c>
      <c r="BX58" s="230">
        <f>SUM(BX30:BX57)</f>
        <v>122374320</v>
      </c>
      <c r="BY58" s="230">
        <f t="shared" si="121"/>
        <v>55574267</v>
      </c>
      <c r="BZ58" s="230">
        <f t="shared" si="121"/>
        <v>177948587</v>
      </c>
      <c r="CA58" s="230">
        <f t="shared" si="121"/>
        <v>-20279</v>
      </c>
      <c r="CB58" s="230">
        <f t="shared" si="121"/>
        <v>27970275</v>
      </c>
      <c r="CC58" s="230">
        <f t="shared" si="121"/>
        <v>10000055</v>
      </c>
      <c r="CD58" s="230">
        <f t="shared" si="121"/>
        <v>37970330</v>
      </c>
      <c r="CE58" s="230">
        <f t="shared" si="121"/>
        <v>0</v>
      </c>
      <c r="CF58" s="230">
        <f t="shared" si="121"/>
        <v>150344595</v>
      </c>
      <c r="CG58" s="230">
        <f t="shared" si="121"/>
        <v>65574322</v>
      </c>
      <c r="CH58" s="230">
        <f t="shared" si="121"/>
        <v>215918917</v>
      </c>
      <c r="CI58" s="230">
        <f t="shared" si="121"/>
        <v>-20279</v>
      </c>
      <c r="CJ58" s="230">
        <f t="shared" ref="CJ58:CM58" si="122">SUM(CJ30:CJ57)</f>
        <v>28412276</v>
      </c>
      <c r="CK58" s="230">
        <f t="shared" si="122"/>
        <v>10482076</v>
      </c>
      <c r="CL58" s="230">
        <f t="shared" si="122"/>
        <v>38894352</v>
      </c>
      <c r="CM58" s="230">
        <f t="shared" si="122"/>
        <v>0</v>
      </c>
      <c r="CN58" s="230">
        <f t="shared" si="121"/>
        <v>178756871</v>
      </c>
      <c r="CO58" s="230">
        <f t="shared" si="121"/>
        <v>76056398</v>
      </c>
      <c r="CP58" s="230">
        <f t="shared" si="121"/>
        <v>254813269</v>
      </c>
      <c r="CQ58" s="230">
        <f t="shared" si="121"/>
        <v>-20279</v>
      </c>
      <c r="CR58" s="230">
        <f t="shared" si="121"/>
        <v>29255918</v>
      </c>
      <c r="CS58" s="230">
        <f t="shared" si="121"/>
        <v>10970261</v>
      </c>
      <c r="CT58" s="230">
        <f t="shared" si="121"/>
        <v>40226179</v>
      </c>
      <c r="CU58" s="230">
        <f t="shared" si="121"/>
        <v>0</v>
      </c>
      <c r="CV58" s="230">
        <f t="shared" ref="CV58:CY58" si="123">SUM(CV30:CV57)</f>
        <v>208012789</v>
      </c>
      <c r="CW58" s="230">
        <f t="shared" si="123"/>
        <v>87026659</v>
      </c>
      <c r="CX58" s="230">
        <f t="shared" si="123"/>
        <v>295039448</v>
      </c>
      <c r="CY58" s="230">
        <f t="shared" si="123"/>
        <v>-20279</v>
      </c>
    </row>
    <row r="59" spans="1:185" ht="16.5" customHeight="1" outlineLevel="1">
      <c r="A59" s="175" t="s">
        <v>647</v>
      </c>
      <c r="B59" s="169" t="s">
        <v>648</v>
      </c>
      <c r="C59" s="169" t="s">
        <v>2514</v>
      </c>
      <c r="D59" s="225">
        <f>IFERROR(VLOOKUP(A59,'202608收入成本表'!A:Y,23,0),0)</f>
        <v>672383</v>
      </c>
      <c r="E59" s="225">
        <f>IFERROR(VLOOKUP(A59,'202608收入成本表'!A:Z,24,0),0)</f>
        <v>-672383</v>
      </c>
      <c r="F59" s="226">
        <f>SUM(D59:E59)</f>
        <v>0</v>
      </c>
      <c r="G59" s="226"/>
      <c r="H59" s="226" cm="1">
        <f t="array" ref="H59">IFERROR(SUM(VLOOKUP(A59,'預算A1 BIM'!$A$77:$BB$143,{19,20,21,22},0)),0)</f>
        <v>173139</v>
      </c>
      <c r="I59" s="226" cm="1">
        <f t="array" ref="I59">IFERROR(SUM(VLOOKUP(A59,'預算A1 BIM'!$A$151:$BB$220,{19,20,21,22},0)),0)</f>
        <v>614361</v>
      </c>
      <c r="J59" s="226">
        <f>SUM(H59:I59)</f>
        <v>787500</v>
      </c>
      <c r="K59" s="226">
        <f>VLOOKUP(A59,'2026FCST%'!A:AC,27,FALSE)</f>
        <v>0</v>
      </c>
      <c r="L59" s="226">
        <f t="shared" ref="L59:M63" si="124">+D59+H59</f>
        <v>845522</v>
      </c>
      <c r="M59" s="226">
        <f t="shared" si="124"/>
        <v>-58022</v>
      </c>
      <c r="N59" s="226">
        <f>SUM(L59:M59)</f>
        <v>787500</v>
      </c>
      <c r="O59" s="226">
        <f>+G59+K59</f>
        <v>0</v>
      </c>
      <c r="P59" s="226" cm="1">
        <f t="array" ref="P59">IFERROR(SUM(VLOOKUP($A59,'預算A1 BIM'!$A$77:$BB$143,{25},0)),0)+S59</f>
        <v>23824</v>
      </c>
      <c r="Q59" s="226" cm="1">
        <f t="array" ref="Q59">IFERROR(SUM(VLOOKUP($A59,'預算A1 BIM'!$A$151:$BB$220,{25},0)),0)</f>
        <v>5676</v>
      </c>
      <c r="R59" s="226">
        <f>SUM(P59:Q59)</f>
        <v>29500</v>
      </c>
      <c r="S59" s="226"/>
      <c r="T59" s="226" cm="1">
        <f t="array" ref="T59">IFERROR(SUM(VLOOKUP($A59,'預算A1 BIM'!$A$77:$BB$143,{26},0)),0)+W59</f>
        <v>23824</v>
      </c>
      <c r="U59" s="226" cm="1">
        <f t="array" ref="U59">IFERROR(SUM(VLOOKUP($A59,'預算A1 BIM'!$A$151:$BB$220,{26},0)),0)</f>
        <v>5676</v>
      </c>
      <c r="V59" s="226">
        <f t="shared" ref="V59:V60" si="125">SUM(T59:U59)</f>
        <v>29500</v>
      </c>
      <c r="W59" s="226"/>
      <c r="X59" s="226" cm="1">
        <f t="array" ref="X59">IFERROR(SUM(VLOOKUP($A59,'預算A1 BIM'!$A$77:$BB$143,{27},0)),0)+AA59</f>
        <v>23824</v>
      </c>
      <c r="Y59" s="226" cm="1">
        <f t="array" ref="Y59">IFERROR(SUM(VLOOKUP($A59,'預算A1 BIM'!$A$151:$BB$220,{27},0)),0)</f>
        <v>5676</v>
      </c>
      <c r="Z59" s="226">
        <f t="shared" ref="Z59:Z61" si="126">SUM(X59:Y59)</f>
        <v>29500</v>
      </c>
      <c r="AA59" s="226"/>
      <c r="AB59" s="226" cm="1">
        <f t="array" ref="AB59">IFERROR(SUM(VLOOKUP($A59,'預算A1 BIM'!$A$77:$BB$143,{28},0)),0)+AE59</f>
        <v>23824</v>
      </c>
      <c r="AC59" s="226" cm="1">
        <f t="array" ref="AC59">IFERROR(SUM(VLOOKUP($A59,'預算A1 BIM'!$A$151:$BB$220,{28},0)),0)</f>
        <v>5676</v>
      </c>
      <c r="AD59" s="226">
        <f t="shared" ref="AD59:AD61" si="127">SUM(AB59:AC59)</f>
        <v>29500</v>
      </c>
      <c r="AE59" s="157"/>
      <c r="AF59" s="226" cm="1">
        <f t="array" ref="AF59">IFERROR(SUM(VLOOKUP($A59,'預算A1 BIM'!$A$77:$BB$143,{29},0)),0)+AI59</f>
        <v>23824</v>
      </c>
      <c r="AG59" s="226" cm="1">
        <f t="array" ref="AG59">IFERROR(SUM(VLOOKUP($A59,'預算A1 BIM'!$A$151:$BB$220,{29},0)),0)</f>
        <v>5676</v>
      </c>
      <c r="AH59" s="226">
        <f t="shared" ref="AH59:AH63" si="128">SUM(AF59:AG59)</f>
        <v>29500</v>
      </c>
      <c r="AI59" s="157"/>
      <c r="AJ59" s="226" cm="1">
        <f t="array" ref="AJ59">IFERROR(SUM(VLOOKUP($A59,'預算A1 BIM'!$A$77:$BB$143,{30},0)),0)+AM59</f>
        <v>23824</v>
      </c>
      <c r="AK59" s="226" cm="1">
        <f t="array" ref="AK59">IFERROR(SUM(VLOOKUP($A59,'預算A1 BIM'!$A$151:$BB$220,{30},0)),0)</f>
        <v>5676</v>
      </c>
      <c r="AL59" s="226">
        <f t="shared" ref="AL59:AL63" si="129">SUM(AJ59:AK59)</f>
        <v>29500</v>
      </c>
      <c r="AM59" s="157"/>
      <c r="AN59" s="226" cm="1">
        <f t="array" ref="AN59">IFERROR(SUM(VLOOKUP($A59,'預算A1 BIM'!$A$77:$BB$143,{31},0)),0)+AQ59</f>
        <v>23824</v>
      </c>
      <c r="AO59" s="226" cm="1">
        <f t="array" ref="AO59">IFERROR(SUM(VLOOKUP($A59,'預算A1 BIM'!$A$151:$BB$220,{31},0)),0)</f>
        <v>5676</v>
      </c>
      <c r="AP59" s="226">
        <f t="shared" si="68"/>
        <v>29500</v>
      </c>
      <c r="AQ59" s="157"/>
      <c r="AR59" s="226" cm="1">
        <f t="array" ref="AR59">IFERROR(SUM(VLOOKUP($A59,'預算A1 BIM'!$A$77:$BB$143,{32},0)),0)+AU59</f>
        <v>23824</v>
      </c>
      <c r="AS59" s="226" cm="1">
        <f t="array" ref="AS59">IFERROR(SUM(VLOOKUP($A59,'預算A1 BIM'!$A$151:$BB$220,{32},0)),0)</f>
        <v>5676</v>
      </c>
      <c r="AT59" s="226">
        <f t="shared" ref="AT59:AT60" si="130">SUM(AR59:AS59)</f>
        <v>29500</v>
      </c>
      <c r="AU59" s="157"/>
      <c r="AV59" s="226" cm="1">
        <f t="array" ref="AV59">IFERROR(SUM(VLOOKUP($A59,'預算A1 BIM'!$A$77:$BB$143,{33},0)),0)+AY59</f>
        <v>23824</v>
      </c>
      <c r="AW59" s="226" cm="1">
        <f t="array" ref="AW59">IFERROR(SUM(VLOOKUP($A59,'預算A1 BIM'!$A$151:$BB$220,{33},0)),0)</f>
        <v>5676</v>
      </c>
      <c r="AX59" s="226">
        <f t="shared" ref="AX59:AX63" si="131">SUM(AV59:AW59)</f>
        <v>29500</v>
      </c>
      <c r="AY59" s="157"/>
      <c r="AZ59" s="226" cm="1">
        <f t="array" ref="AZ59">IFERROR(SUM(VLOOKUP($A59,'預算A1 BIM'!$A$77:$BB$143,{34},0)),0)+BC59</f>
        <v>23824</v>
      </c>
      <c r="BA59" s="226" cm="1">
        <f t="array" ref="BA59">IFERROR(SUM(VLOOKUP($A59,'預算A1 BIM'!$A$151:$BB$220,{34},0)),0)-BC59</f>
        <v>5676</v>
      </c>
      <c r="BB59" s="226">
        <f t="shared" ref="BB59" si="132">SUM(AZ59:BA59)</f>
        <v>29500</v>
      </c>
      <c r="BC59" s="157"/>
      <c r="BD59" s="226" cm="1">
        <f t="array" ref="BD59">IFERROR(SUM(VLOOKUP($A59,'預算A1 BIM'!$A$77:$BB$143,{35},0)),0)+BG59</f>
        <v>23824</v>
      </c>
      <c r="BE59" s="226" cm="1">
        <f t="array" ref="BE59">IFERROR(SUM(VLOOKUP($A59,'預算A1 BIM'!$A$151:$BB$220,{35},0)),0)-BG59</f>
        <v>5676</v>
      </c>
      <c r="BF59" s="226">
        <f t="shared" ref="BF59:BF63" si="133">SUM(BD59:BE59)</f>
        <v>29500</v>
      </c>
      <c r="BG59" s="157"/>
      <c r="BH59" s="226" cm="1">
        <f t="array" ref="BH59">IFERROR(SUM(VLOOKUP($A59,'預算A1 BIM'!$A$77:$BB$143,{36},0)),0)+BK59</f>
        <v>23824</v>
      </c>
      <c r="BI59" s="226" cm="1">
        <f t="array" ref="BI59">IFERROR(SUM(VLOOKUP($A59,'預算A1 BIM'!$A$151:$BB$220,{36},0)),0)-BK59</f>
        <v>5676</v>
      </c>
      <c r="BJ59" s="226">
        <f t="shared" ref="BJ59:BJ60" si="134">SUM(BH59:BI59)</f>
        <v>29500</v>
      </c>
      <c r="BK59" s="157"/>
      <c r="BL59" s="226">
        <f>SUMIF($P$4:$BK$4,$BL$4,$P59:$BK$65)</f>
        <v>285888</v>
      </c>
      <c r="BM59" s="226">
        <f>SUMIF($P$4:$BK$4,$BM$4,$P59:$BK$65)</f>
        <v>68112</v>
      </c>
      <c r="BN59" s="226">
        <f t="shared" si="74"/>
        <v>354000</v>
      </c>
      <c r="BO59" s="157">
        <f>SUMIF($P$4:$BK$4,$BO$4,$P22:$BK$65)</f>
        <v>0</v>
      </c>
      <c r="BP59" s="226">
        <f t="shared" ref="BP59:BQ63" si="135">+L59+BL59</f>
        <v>1131410</v>
      </c>
      <c r="BQ59" s="226">
        <f t="shared" si="135"/>
        <v>10090</v>
      </c>
      <c r="BR59" s="226">
        <f>SUM(BP59:BQ59)</f>
        <v>1141500</v>
      </c>
      <c r="BS59" s="226">
        <f>+O59+BO59</f>
        <v>0</v>
      </c>
      <c r="BT59" s="226" cm="1">
        <f t="array" ref="BT59">IFERROR(SUM(VLOOKUP($A59,'預算A1 BIM'!$A$77:$BB$143,{39},0)),0)+BW59</f>
        <v>810222</v>
      </c>
      <c r="BU59" s="226" cm="1">
        <f t="array" ref="BU59">IFERROR(SUM(VLOOKUP($A59,'預算A1 BIM'!$A$151:$BB$220,{39},0)),0)-BW59</f>
        <v>239778</v>
      </c>
      <c r="BV59" s="226">
        <f t="shared" ref="BV59:BV63" si="136">SUM(BT59:BU59)</f>
        <v>1050000</v>
      </c>
      <c r="BW59" s="157"/>
      <c r="BX59" s="226">
        <f t="shared" ref="BX59:BY63" si="137">+BP59+BT59</f>
        <v>1941632</v>
      </c>
      <c r="BY59" s="157">
        <f t="shared" si="137"/>
        <v>249868</v>
      </c>
      <c r="BZ59" s="226">
        <f>SUM(BX59:BY59)</f>
        <v>2191500</v>
      </c>
      <c r="CA59" s="157">
        <f>+BS59+BW59</f>
        <v>0</v>
      </c>
      <c r="CB59" s="226" cm="1">
        <f t="array" ref="CB59">IFERROR(SUM(VLOOKUP($A59,'預算A1 BIM'!$A$77:$BB$143,{40},0)),0)+CE59</f>
        <v>848298</v>
      </c>
      <c r="CC59" s="226" cm="1">
        <f t="array" ref="CC59">IFERROR(SUM(VLOOKUP($A59,'預算A1 BIM'!$A$151:$BB$220,{40},0)),0)-CE59</f>
        <v>261702</v>
      </c>
      <c r="CD59" s="226">
        <f t="shared" ref="CD59:CD60" si="138">SUM(CB59:CC59)</f>
        <v>1110000</v>
      </c>
      <c r="CE59" s="157"/>
      <c r="CF59" s="226">
        <f t="shared" ref="CF59:CG63" si="139">+BX59+CB59</f>
        <v>2789930</v>
      </c>
      <c r="CG59" s="226">
        <f t="shared" si="139"/>
        <v>511570</v>
      </c>
      <c r="CH59" s="226">
        <f>SUM(CF59:CG59)</f>
        <v>3301500</v>
      </c>
      <c r="CI59" s="226">
        <f>+CA59+CE59</f>
        <v>0</v>
      </c>
      <c r="CJ59" s="226" cm="1">
        <f t="array" ref="CJ59">IFERROR(SUM(VLOOKUP($A59,'預算A1 BIM'!$A$77:$BB$143,{41},0)),0)+CM59</f>
        <v>316840</v>
      </c>
      <c r="CK59" s="226" cm="1">
        <f t="array" ref="CK59">IFERROR(SUM(VLOOKUP($A59,'預算A1 BIM'!$A$151:$BB$220,{41},0)),0)-CM59</f>
        <v>1280660</v>
      </c>
      <c r="CL59" s="226">
        <f t="shared" ref="CL59:CL63" si="140">SUM(CJ59:CK59)</f>
        <v>1597500</v>
      </c>
      <c r="CM59" s="157"/>
      <c r="CN59" s="226">
        <f t="shared" ref="CN59:CO63" si="141">+CF59+CJ59</f>
        <v>3106770</v>
      </c>
      <c r="CO59" s="226">
        <f t="shared" si="141"/>
        <v>1792230</v>
      </c>
      <c r="CP59" s="226">
        <f>SUM(CN59:CO59)</f>
        <v>4899000</v>
      </c>
      <c r="CQ59" s="226">
        <f>+CI59+CM59</f>
        <v>0</v>
      </c>
      <c r="CR59" s="226" cm="1">
        <f t="array" ref="CR59">IFERROR(SUM(VLOOKUP($A59,'預算A1 BIM'!$A$77:$BB$143,{42},0)),0)+CU59</f>
        <v>60000</v>
      </c>
      <c r="CS59" s="226" cm="1">
        <f t="array" ref="CS59">IFERROR(SUM(VLOOKUP($A59,'預算A1 BIM'!$A$151:$BB$220,{42},0)),0)-CU59</f>
        <v>-60000</v>
      </c>
      <c r="CT59" s="226">
        <f t="shared" ref="CT59:CT63" si="142">SUM(CR59:CS59)</f>
        <v>0</v>
      </c>
      <c r="CU59" s="157"/>
      <c r="CV59" s="226">
        <f t="shared" ref="CV59:CW63" si="143">+CN59+CR59</f>
        <v>3166770</v>
      </c>
      <c r="CW59" s="226">
        <f t="shared" si="143"/>
        <v>1732230</v>
      </c>
      <c r="CX59" s="226">
        <f>SUM(CV59:CW59)</f>
        <v>4899000</v>
      </c>
      <c r="CY59" s="226">
        <f>+CQ59+CU59</f>
        <v>0</v>
      </c>
    </row>
    <row r="60" spans="1:185" s="1401" customFormat="1" ht="15" customHeight="1" outlineLevel="1">
      <c r="A60" s="1397" t="s">
        <v>649</v>
      </c>
      <c r="B60" s="1404" t="s">
        <v>2035</v>
      </c>
      <c r="C60" s="1404" t="s">
        <v>1962</v>
      </c>
      <c r="D60" s="1399">
        <f>IFERROR(VLOOKUP(A60,'202608收入成本表'!A:Y,23,0),0)</f>
        <v>39200</v>
      </c>
      <c r="E60" s="1399">
        <f>IFERROR(VLOOKUP(A60,'202608收入成本表'!A:Z,24,0),0)</f>
        <v>13300</v>
      </c>
      <c r="F60" s="1400">
        <f>SUM(D60:E60)</f>
        <v>52500</v>
      </c>
      <c r="G60" s="1400"/>
      <c r="H60" s="1400" cm="1">
        <f t="array" ref="H60">IFERROR(SUM(VLOOKUP(A60,'預算A1 BIM'!$A$77:$BB$143,{19,20,21,22},0)),0)</f>
        <v>0</v>
      </c>
      <c r="I60" s="1400" cm="1">
        <f t="array" ref="I60">IFERROR(SUM(VLOOKUP(A60,'預算A1 BIM'!$A$151:$BB$220,{19,20,21,22},0)),0)</f>
        <v>0</v>
      </c>
      <c r="J60" s="1400">
        <f>SUM(H60:I60)</f>
        <v>0</v>
      </c>
      <c r="K60" s="1400">
        <f>VLOOKUP(A60,'2026FCST%'!A:AC,27,FALSE)</f>
        <v>0</v>
      </c>
      <c r="L60" s="1400">
        <f t="shared" si="124"/>
        <v>39200</v>
      </c>
      <c r="M60" s="1400">
        <f t="shared" si="124"/>
        <v>13300</v>
      </c>
      <c r="N60" s="1400">
        <f>SUM(L60:M60)</f>
        <v>52500</v>
      </c>
      <c r="O60" s="1400">
        <f>+G60+K60</f>
        <v>0</v>
      </c>
      <c r="P60" s="226" cm="1">
        <f t="array" ref="P60">IFERROR(SUM(VLOOKUP($A60,'預算A1 BIM'!$A$77:$BB$143,{25},0)),0)+S60</f>
        <v>0</v>
      </c>
      <c r="Q60" s="226" cm="1">
        <f t="array" ref="Q60">IFERROR(SUM(VLOOKUP($A60,'預算A1 BIM'!$A$151:$BB$220,{25},0)),0)</f>
        <v>0</v>
      </c>
      <c r="R60" s="1400">
        <f>SUM(P60:Q60)</f>
        <v>0</v>
      </c>
      <c r="S60" s="1400"/>
      <c r="T60" s="226" cm="1">
        <f t="array" ref="T60">IFERROR(SUM(VLOOKUP($A60,'預算A1 BIM'!$A$77:$BB$143,{26},0)),0)+W60</f>
        <v>0</v>
      </c>
      <c r="U60" s="226" cm="1">
        <f t="array" ref="U60">IFERROR(SUM(VLOOKUP($A60,'預算A1 BIM'!$A$151:$BB$220,{26},0)),0)</f>
        <v>0</v>
      </c>
      <c r="V60" s="226">
        <f t="shared" si="125"/>
        <v>0</v>
      </c>
      <c r="W60" s="1400"/>
      <c r="X60" s="226" cm="1">
        <f t="array" ref="X60">IFERROR(SUM(VLOOKUP($A60,'預算A1 BIM'!$A$77:$BB$143,{27},0)),0)+AA60</f>
        <v>0</v>
      </c>
      <c r="Y60" s="226" cm="1">
        <f t="array" ref="Y60">IFERROR(SUM(VLOOKUP($A60,'預算A1 BIM'!$A$151:$BB$220,{27},0)),0)</f>
        <v>0</v>
      </c>
      <c r="Z60" s="226">
        <f t="shared" si="126"/>
        <v>0</v>
      </c>
      <c r="AA60" s="226"/>
      <c r="AB60" s="226" cm="1">
        <f t="array" ref="AB60">IFERROR(SUM(VLOOKUP($A60,'預算A1 BIM'!$A$77:$BB$143,{28},0)),0)+AE60</f>
        <v>0</v>
      </c>
      <c r="AC60" s="226" cm="1">
        <f t="array" ref="AC60">IFERROR(SUM(VLOOKUP($A60,'預算A1 BIM'!$A$151:$BB$220,{28},0)),0)</f>
        <v>0</v>
      </c>
      <c r="AD60" s="226">
        <f t="shared" si="127"/>
        <v>0</v>
      </c>
      <c r="AE60" s="1397"/>
      <c r="AF60" s="226" cm="1">
        <f t="array" ref="AF60">IFERROR(SUM(VLOOKUP($A60,'預算A1 BIM'!$A$77:$BB$143,{29},0)),0)+AI60</f>
        <v>0</v>
      </c>
      <c r="AG60" s="226" cm="1">
        <f t="array" ref="AG60">IFERROR(SUM(VLOOKUP($A60,'預算A1 BIM'!$A$151:$BB$220,{29},0)),0)</f>
        <v>0</v>
      </c>
      <c r="AH60" s="226">
        <f t="shared" si="128"/>
        <v>0</v>
      </c>
      <c r="AI60" s="1397"/>
      <c r="AJ60" s="226" cm="1">
        <f t="array" ref="AJ60">IFERROR(SUM(VLOOKUP($A60,'預算A1 BIM'!$A$77:$BB$143,{30},0)),0)+AM60</f>
        <v>0</v>
      </c>
      <c r="AK60" s="226" cm="1">
        <f t="array" ref="AK60">IFERROR(SUM(VLOOKUP($A60,'預算A1 BIM'!$A$151:$BB$220,{30},0)),0)</f>
        <v>0</v>
      </c>
      <c r="AL60" s="226">
        <f t="shared" si="129"/>
        <v>0</v>
      </c>
      <c r="AM60" s="1397"/>
      <c r="AN60" s="226" cm="1">
        <f t="array" ref="AN60">IFERROR(SUM(VLOOKUP($A60,'預算A1 BIM'!$A$77:$BB$143,{31},0)),0)+AQ60</f>
        <v>0</v>
      </c>
      <c r="AO60" s="226" cm="1">
        <f t="array" ref="AO60">IFERROR(SUM(VLOOKUP($A60,'預算A1 BIM'!$A$151:$BB$220,{31},0)),0)</f>
        <v>0</v>
      </c>
      <c r="AP60" s="226">
        <f t="shared" si="68"/>
        <v>0</v>
      </c>
      <c r="AQ60" s="1397"/>
      <c r="AR60" s="226" cm="1">
        <f t="array" ref="AR60">IFERROR(SUM(VLOOKUP($A60,'預算A1 BIM'!$A$77:$BB$143,{32},0)),0)+AU60</f>
        <v>0</v>
      </c>
      <c r="AS60" s="226" cm="1">
        <f t="array" ref="AS60">IFERROR(SUM(VLOOKUP($A60,'預算A1 BIM'!$A$151:$BB$220,{32},0)),0)</f>
        <v>0</v>
      </c>
      <c r="AT60" s="226">
        <f t="shared" si="130"/>
        <v>0</v>
      </c>
      <c r="AU60" s="1397"/>
      <c r="AV60" s="226" cm="1">
        <f t="array" ref="AV60">IFERROR(SUM(VLOOKUP($A60,'預算A1 BIM'!$A$77:$BB$143,{33},0)),0)+AY60</f>
        <v>0</v>
      </c>
      <c r="AW60" s="226" cm="1">
        <f t="array" ref="AW60">IFERROR(SUM(VLOOKUP($A60,'預算A1 BIM'!$A$151:$BB$220,{33},0)),0)</f>
        <v>0</v>
      </c>
      <c r="AX60" s="226">
        <f t="shared" si="131"/>
        <v>0</v>
      </c>
      <c r="AY60" s="1397"/>
      <c r="AZ60" s="226" cm="1">
        <f t="array" ref="AZ60">IFERROR(SUM(VLOOKUP($A60,'預算A1 BIM'!$A$77:$BB$143,{34},0)),0)+BC60</f>
        <v>0</v>
      </c>
      <c r="BA60" s="226" cm="1">
        <f t="array" ref="BA60">IFERROR(SUM(VLOOKUP($A60,'預算A1 BIM'!$A$151:$BB$220,{34},0)),0)-BC60</f>
        <v>0</v>
      </c>
      <c r="BB60" s="226">
        <f t="shared" ref="BB60:BB63" si="144">SUM(AZ60:BA60)</f>
        <v>0</v>
      </c>
      <c r="BC60" s="1397"/>
      <c r="BD60" s="226" cm="1">
        <f t="array" ref="BD60">IFERROR(SUM(VLOOKUP($A60,'預算A1 BIM'!$A$77:$BB$143,{35},0)),0)+BG60</f>
        <v>0</v>
      </c>
      <c r="BE60" s="226" cm="1">
        <f t="array" ref="BE60">IFERROR(SUM(VLOOKUP($A60,'預算A1 BIM'!$A$151:$BB$220,{35},0)),0)-BG60</f>
        <v>0</v>
      </c>
      <c r="BF60" s="226">
        <f t="shared" si="133"/>
        <v>0</v>
      </c>
      <c r="BG60" s="157"/>
      <c r="BH60" s="226" cm="1">
        <f t="array" ref="BH60">IFERROR(SUM(VLOOKUP($A60,'預算A1 BIM'!$A$77:$BB$143,{36},0)),0)+BK60</f>
        <v>0</v>
      </c>
      <c r="BI60" s="226" cm="1">
        <f t="array" ref="BI60">IFERROR(SUM(VLOOKUP($A60,'預算A1 BIM'!$A$151:$BB$220,{36},0)),0)-BK60</f>
        <v>0</v>
      </c>
      <c r="BJ60" s="226">
        <f t="shared" si="134"/>
        <v>0</v>
      </c>
      <c r="BK60" s="157"/>
      <c r="BL60" s="226">
        <f>SUMIF($P$4:$BK$4,$BL$4,$P60:$BK$65)</f>
        <v>0</v>
      </c>
      <c r="BM60" s="226">
        <f>SUMIF($P$4:$BK$4,$BM$4,$P60:$BK$65)</f>
        <v>0</v>
      </c>
      <c r="BN60" s="226">
        <f t="shared" si="74"/>
        <v>0</v>
      </c>
      <c r="BO60" s="1397">
        <f>SUMIF($P$4:$BK$4,$BO$4,$P60:$BK$65)</f>
        <v>0</v>
      </c>
      <c r="BP60" s="1400">
        <f t="shared" si="135"/>
        <v>39200</v>
      </c>
      <c r="BQ60" s="1400">
        <f t="shared" si="135"/>
        <v>13300</v>
      </c>
      <c r="BR60" s="1400">
        <f>SUM(BP60:BQ60)</f>
        <v>52500</v>
      </c>
      <c r="BS60" s="1400">
        <f>+O60+BO60</f>
        <v>0</v>
      </c>
      <c r="BT60" s="226" cm="1">
        <f t="array" ref="BT60">IFERROR(SUM(VLOOKUP($A60,'預算A1 BIM'!$A$77:$BB$143,{39},0)),0)+BW60</f>
        <v>0</v>
      </c>
      <c r="BU60" s="226" cm="1">
        <f t="array" ref="BU60">IFERROR(SUM(VLOOKUP($A60,'預算A1 BIM'!$A$151:$BB$220,{39},0)),0)-BW60</f>
        <v>0</v>
      </c>
      <c r="BV60" s="226">
        <f t="shared" si="136"/>
        <v>0</v>
      </c>
      <c r="BW60" s="157"/>
      <c r="BX60" s="1400">
        <f t="shared" si="137"/>
        <v>39200</v>
      </c>
      <c r="BY60" s="1397">
        <f t="shared" si="137"/>
        <v>13300</v>
      </c>
      <c r="BZ60" s="1400">
        <f>SUM(BX60:BY60)</f>
        <v>52500</v>
      </c>
      <c r="CA60" s="1397">
        <f>+BS60+BW60</f>
        <v>0</v>
      </c>
      <c r="CB60" s="226" cm="1">
        <f t="array" ref="CB60">IFERROR(SUM(VLOOKUP($A60,'預算A1 BIM'!$A$77:$BB$143,{40},0)),0)+CE60</f>
        <v>0</v>
      </c>
      <c r="CC60" s="226" cm="1">
        <f t="array" ref="CC60">IFERROR(SUM(VLOOKUP($A60,'預算A1 BIM'!$A$151:$BB$220,{40},0)),0)-CE60</f>
        <v>0</v>
      </c>
      <c r="CD60" s="226">
        <f t="shared" si="138"/>
        <v>0</v>
      </c>
      <c r="CE60" s="1397"/>
      <c r="CF60" s="1400">
        <f t="shared" si="139"/>
        <v>39200</v>
      </c>
      <c r="CG60" s="1400">
        <f t="shared" si="139"/>
        <v>13300</v>
      </c>
      <c r="CH60" s="1400">
        <f>SUM(CF60:CG60)</f>
        <v>52500</v>
      </c>
      <c r="CI60" s="1400">
        <f>+CA60+CE60</f>
        <v>0</v>
      </c>
      <c r="CJ60" s="226" cm="1">
        <f t="array" ref="CJ60">IFERROR(SUM(VLOOKUP($A60,'預算A1 BIM'!$A$77:$BB$143,{41},0)),0)+CM60</f>
        <v>0</v>
      </c>
      <c r="CK60" s="226" cm="1">
        <f t="array" ref="CK60">IFERROR(SUM(VLOOKUP($A60,'預算A1 BIM'!$A$151:$BB$220,{41},0)),0)-CM60</f>
        <v>0</v>
      </c>
      <c r="CL60" s="226">
        <f t="shared" si="140"/>
        <v>0</v>
      </c>
      <c r="CM60" s="1397"/>
      <c r="CN60" s="1400">
        <f t="shared" si="141"/>
        <v>39200</v>
      </c>
      <c r="CO60" s="1400">
        <f t="shared" si="141"/>
        <v>13300</v>
      </c>
      <c r="CP60" s="1400">
        <f>SUM(CN60:CO60)</f>
        <v>52500</v>
      </c>
      <c r="CQ60" s="1400">
        <f>+CI60+CM60</f>
        <v>0</v>
      </c>
      <c r="CR60" s="226" cm="1">
        <f t="array" ref="CR60">IFERROR(SUM(VLOOKUP($A60,'預算A1 BIM'!$A$77:$BB$143,{42},0)),0)+CU60</f>
        <v>0</v>
      </c>
      <c r="CS60" s="226" cm="1">
        <f t="array" ref="CS60">IFERROR(SUM(VLOOKUP($A60,'預算A1 BIM'!$A$151:$BB$220,{42},0)),0)-CU60</f>
        <v>0</v>
      </c>
      <c r="CT60" s="226">
        <f t="shared" si="142"/>
        <v>0</v>
      </c>
      <c r="CU60" s="157"/>
      <c r="CV60" s="1400">
        <f t="shared" si="143"/>
        <v>39200</v>
      </c>
      <c r="CW60" s="1400">
        <f t="shared" si="143"/>
        <v>13300</v>
      </c>
      <c r="CX60" s="1400">
        <f>SUM(CV60:CW60)</f>
        <v>52500</v>
      </c>
      <c r="CY60" s="1400">
        <f>+CQ60+CU60</f>
        <v>0</v>
      </c>
    </row>
    <row r="61" spans="1:185" ht="15" customHeight="1" outlineLevel="1">
      <c r="A61" s="175" t="s">
        <v>651</v>
      </c>
      <c r="B61" s="172" t="s">
        <v>652</v>
      </c>
      <c r="C61" s="172" t="s">
        <v>1976</v>
      </c>
      <c r="D61" s="225">
        <f>IFERROR(VLOOKUP(A61,'202608收入成本表'!A:Y,23,0),0)</f>
        <v>367169</v>
      </c>
      <c r="E61" s="225">
        <f>IFERROR(VLOOKUP(A61,'202608收入成本表'!A:Z,24,0),0)</f>
        <v>-367169</v>
      </c>
      <c r="F61" s="226">
        <f>SUM(D61:E61)</f>
        <v>0</v>
      </c>
      <c r="G61" s="226"/>
      <c r="H61" s="226" cm="1">
        <f t="array" ref="H61">IFERROR(SUM(VLOOKUP(A61,'預算A1 BIM'!$A$77:$BB$143,{19,20,21,22},0)),0)</f>
        <v>112321</v>
      </c>
      <c r="I61" s="226" cm="1">
        <f t="array" ref="I61">IFERROR(SUM(VLOOKUP(A61,'預算A1 BIM'!$A$151:$BB$220,{19,20,21,22},0)),0)</f>
        <v>1087679</v>
      </c>
      <c r="J61" s="226">
        <f>SUM(H61:I61)</f>
        <v>1200000</v>
      </c>
      <c r="K61" s="226">
        <f>VLOOKUP(A61,'2026FCST%'!A:AC,27,FALSE)</f>
        <v>0</v>
      </c>
      <c r="L61" s="226">
        <f t="shared" si="124"/>
        <v>479490</v>
      </c>
      <c r="M61" s="226">
        <f t="shared" si="124"/>
        <v>720510</v>
      </c>
      <c r="N61" s="226">
        <f>SUM(L61:M61)</f>
        <v>1200000</v>
      </c>
      <c r="O61" s="226">
        <f>+G61+K61</f>
        <v>0</v>
      </c>
      <c r="P61" s="226" cm="1">
        <f t="array" ref="P61">IFERROR(SUM(VLOOKUP($A61,'預算A1 BIM'!$A$77:$BB$143,{25},0)),0)+S61</f>
        <v>59561</v>
      </c>
      <c r="Q61" s="226" cm="1">
        <f t="array" ref="Q61">IFERROR(SUM(VLOOKUP($A61,'預算A1 BIM'!$A$151:$BB$220,{25},0)),0)</f>
        <v>-59561</v>
      </c>
      <c r="R61" s="226">
        <f>SUM(P61:Q61)</f>
        <v>0</v>
      </c>
      <c r="S61" s="226"/>
      <c r="T61" s="226" cm="1">
        <f t="array" ref="T61">IFERROR(SUM(VLOOKUP($A61,'預算A1 BIM'!$A$77:$BB$143,{26},0)),0)+W61</f>
        <v>59561</v>
      </c>
      <c r="U61" s="226" cm="1">
        <f t="array" ref="U61">IFERROR(SUM(VLOOKUP($A61,'預算A1 BIM'!$A$151:$BB$220,{26},0)),0)</f>
        <v>-59561</v>
      </c>
      <c r="V61" s="226">
        <f t="shared" ref="V61:V62" si="145">SUM(T61:U61)</f>
        <v>0</v>
      </c>
      <c r="W61" s="226"/>
      <c r="X61" s="226" cm="1">
        <f t="array" ref="X61">IFERROR(SUM(VLOOKUP($A61,'預算A1 BIM'!$A$77:$BB$143,{27},0)),0)+AA61</f>
        <v>59561</v>
      </c>
      <c r="Y61" s="226" cm="1">
        <f t="array" ref="Y61">IFERROR(SUM(VLOOKUP($A61,'預算A1 BIM'!$A$151:$BB$220,{27},0)),0)</f>
        <v>-59561</v>
      </c>
      <c r="Z61" s="226">
        <f t="shared" si="126"/>
        <v>0</v>
      </c>
      <c r="AA61" s="226"/>
      <c r="AB61" s="226" cm="1">
        <f t="array" ref="AB61">IFERROR(SUM(VLOOKUP($A61,'預算A1 BIM'!$A$77:$BB$143,{28},0)),0)+AE61</f>
        <v>59561</v>
      </c>
      <c r="AC61" s="226" cm="1">
        <f t="array" ref="AC61">IFERROR(SUM(VLOOKUP($A61,'預算A1 BIM'!$A$151:$BB$220,{28},0)),0)</f>
        <v>-59561</v>
      </c>
      <c r="AD61" s="226">
        <f t="shared" si="127"/>
        <v>0</v>
      </c>
      <c r="AE61" s="157"/>
      <c r="AF61" s="226" cm="1">
        <f t="array" ref="AF61">IFERROR(SUM(VLOOKUP($A61,'預算A1 BIM'!$A$77:$BB$143,{29},0)),0)+AI61</f>
        <v>59561</v>
      </c>
      <c r="AG61" s="226" cm="1">
        <f t="array" ref="AG61">IFERROR(SUM(VLOOKUP($A61,'預算A1 BIM'!$A$151:$BB$220,{29},0)),0)</f>
        <v>-59561</v>
      </c>
      <c r="AH61" s="226">
        <f t="shared" si="128"/>
        <v>0</v>
      </c>
      <c r="AI61" s="157"/>
      <c r="AJ61" s="226" cm="1">
        <f t="array" ref="AJ61">IFERROR(SUM(VLOOKUP($A61,'預算A1 BIM'!$A$77:$BB$143,{30},0)),0)+AM61</f>
        <v>59561</v>
      </c>
      <c r="AK61" s="226" cm="1">
        <f t="array" ref="AK61">IFERROR(SUM(VLOOKUP($A61,'預算A1 BIM'!$A$151:$BB$220,{30},0)),0)</f>
        <v>-59561</v>
      </c>
      <c r="AL61" s="226">
        <f t="shared" si="129"/>
        <v>0</v>
      </c>
      <c r="AM61" s="157"/>
      <c r="AN61" s="226" cm="1">
        <f t="array" ref="AN61">IFERROR(SUM(VLOOKUP($A61,'預算A1 BIM'!$A$77:$BB$143,{31},0)),0)+AQ61</f>
        <v>59561</v>
      </c>
      <c r="AO61" s="226" cm="1">
        <f t="array" ref="AO61">IFERROR(SUM(VLOOKUP($A61,'預算A1 BIM'!$A$151:$BB$220,{31},0)),0)</f>
        <v>-59561</v>
      </c>
      <c r="AP61" s="226">
        <f t="shared" si="68"/>
        <v>0</v>
      </c>
      <c r="AQ61" s="157"/>
      <c r="AR61" s="226" cm="1">
        <f t="array" ref="AR61">IFERROR(SUM(VLOOKUP($A61,'預算A1 BIM'!$A$77:$BB$143,{31},0)),0)+AU61</f>
        <v>59561</v>
      </c>
      <c r="AS61" s="226" cm="1">
        <f t="array" ref="AS61">IFERROR(SUM(VLOOKUP($A61,'預算A1 BIM'!$A$151:$BB$220,{31},0)),0)</f>
        <v>-59561</v>
      </c>
      <c r="AT61" s="226">
        <f t="shared" ref="AT61:AT63" si="146">SUM(AR61:AS61)</f>
        <v>0</v>
      </c>
      <c r="AU61" s="157"/>
      <c r="AV61" s="226" cm="1">
        <f t="array" ref="AV61">IFERROR(SUM(VLOOKUP($A61,'預算A1 BIM'!$A$77:$BB$143,{33},0)),0)+AY61</f>
        <v>59561</v>
      </c>
      <c r="AW61" s="226" cm="1">
        <f t="array" ref="AW61">IFERROR(SUM(VLOOKUP($A61,'預算A1 BIM'!$A$151:$BB$220,{33},0)),0)</f>
        <v>-59561</v>
      </c>
      <c r="AX61" s="226">
        <f t="shared" si="131"/>
        <v>0</v>
      </c>
      <c r="AY61" s="157"/>
      <c r="AZ61" s="226" cm="1">
        <f t="array" ref="AZ61">IFERROR(SUM(VLOOKUP($A61,'預算A1 BIM'!$A$77:$BB$143,{34},0)),0)+BC61</f>
        <v>59561</v>
      </c>
      <c r="BA61" s="226" cm="1">
        <f t="array" ref="BA61">IFERROR(SUM(VLOOKUP($A61,'預算A1 BIM'!$A$151:$BB$220,{34},0)),0)-BC61</f>
        <v>-59561</v>
      </c>
      <c r="BB61" s="226">
        <f t="shared" si="144"/>
        <v>0</v>
      </c>
      <c r="BC61" s="157"/>
      <c r="BD61" s="226" cm="1">
        <f t="array" ref="BD61">IFERROR(SUM(VLOOKUP($A61,'預算A1 BIM'!$A$77:$BB$143,{35},0)),0)+BG61</f>
        <v>59561</v>
      </c>
      <c r="BE61" s="226" cm="1">
        <f t="array" ref="BE61">IFERROR(SUM(VLOOKUP($A61,'預算A1 BIM'!$A$151:$BB$220,{35},0)),0)-BG61</f>
        <v>-59561</v>
      </c>
      <c r="BF61" s="226">
        <f t="shared" si="133"/>
        <v>0</v>
      </c>
      <c r="BG61" s="157"/>
      <c r="BH61" s="226" cm="1">
        <f t="array" ref="BH61">IFERROR(SUM(VLOOKUP($A61,'預算A1 BIM'!$A$77:$BB$143,{36},0)),0)+BK61</f>
        <v>59561</v>
      </c>
      <c r="BI61" s="226" cm="1">
        <f t="array" ref="BI61">IFERROR(SUM(VLOOKUP($A61,'預算A1 BIM'!$A$151:$BB$220,{36},0)),0)-BK61</f>
        <v>1140439</v>
      </c>
      <c r="BJ61" s="226">
        <f t="shared" ref="BJ61:BJ63" si="147">SUM(BH61:BI61)</f>
        <v>1200000</v>
      </c>
      <c r="BK61" s="157"/>
      <c r="BL61" s="226">
        <f>SUMIF($P$4:$BK$4,$BL$4,$P61:$BK$65)</f>
        <v>714732</v>
      </c>
      <c r="BM61" s="226">
        <f>SUMIF($P$4:$BK$4,$BM$4,$P61:$BK$65)</f>
        <v>485268</v>
      </c>
      <c r="BN61" s="226">
        <f t="shared" si="74"/>
        <v>1200000</v>
      </c>
      <c r="BO61" s="157">
        <f>SUMIF($P$4:$BK$4,$BO$4,$P61:$BK$65)</f>
        <v>0</v>
      </c>
      <c r="BP61" s="226">
        <f t="shared" si="135"/>
        <v>1194222</v>
      </c>
      <c r="BQ61" s="226">
        <f t="shared" si="135"/>
        <v>1205778</v>
      </c>
      <c r="BR61" s="226">
        <f>SUM(BP61:BQ61)</f>
        <v>2400000</v>
      </c>
      <c r="BS61" s="226">
        <f>+O61+BO61</f>
        <v>0</v>
      </c>
      <c r="BT61" s="226" cm="1">
        <f t="array" ref="BT61">IFERROR(SUM(VLOOKUP($A61,'預算A1 BIM'!$A$77:$BB$143,{39},0)),0)+BW61</f>
        <v>300088</v>
      </c>
      <c r="BU61" s="226" cm="1">
        <f t="array" ref="BU61">IFERROR(SUM(VLOOKUP($A61,'預算A1 BIM'!$A$151:$BB$220,{39},0)),0)-BW61</f>
        <v>119912</v>
      </c>
      <c r="BV61" s="226">
        <f t="shared" si="136"/>
        <v>420000</v>
      </c>
      <c r="BW61" s="157"/>
      <c r="BX61" s="226">
        <f t="shared" si="137"/>
        <v>1494310</v>
      </c>
      <c r="BY61" s="157">
        <f t="shared" si="137"/>
        <v>1325690</v>
      </c>
      <c r="BZ61" s="226">
        <f>SUM(BX61:BY61)</f>
        <v>2820000</v>
      </c>
      <c r="CA61" s="157">
        <f>+BS61+BW61</f>
        <v>0</v>
      </c>
      <c r="CB61" s="226" cm="1">
        <f t="array" ref="CB61">IFERROR(SUM(VLOOKUP($A61,'預算A1 BIM'!$A$77:$BB$143,{40},0)),0)+CE61</f>
        <v>240431</v>
      </c>
      <c r="CC61" s="226" cm="1">
        <f t="array" ref="CC61">IFERROR(SUM(VLOOKUP($A61,'預算A1 BIM'!$A$151:$BB$220,{40},0)),0)-CE61</f>
        <v>581069</v>
      </c>
      <c r="CD61" s="226">
        <f t="shared" ref="CD61:CD63" si="148">SUM(CB61:CC61)</f>
        <v>821500</v>
      </c>
      <c r="CE61" s="157"/>
      <c r="CF61" s="226">
        <f t="shared" si="139"/>
        <v>1734741</v>
      </c>
      <c r="CG61" s="226">
        <f t="shared" si="139"/>
        <v>1906759</v>
      </c>
      <c r="CH61" s="226">
        <f>SUM(CF61:CG61)</f>
        <v>3641500</v>
      </c>
      <c r="CI61" s="226">
        <f>+CA61+CE61</f>
        <v>0</v>
      </c>
      <c r="CJ61" s="226" cm="1">
        <f t="array" ref="CJ61">IFERROR(SUM(VLOOKUP($A61,'預算A1 BIM'!$A$77:$BB$143,{41},0)),0)+CM61</f>
        <v>0</v>
      </c>
      <c r="CK61" s="226" cm="1">
        <f t="array" ref="CK61">IFERROR(SUM(VLOOKUP($A61,'預算A1 BIM'!$A$151:$BB$220,{41},0)),0)-CM61</f>
        <v>0</v>
      </c>
      <c r="CL61" s="226">
        <f t="shared" si="140"/>
        <v>0</v>
      </c>
      <c r="CM61" s="157"/>
      <c r="CN61" s="226">
        <f t="shared" si="141"/>
        <v>1734741</v>
      </c>
      <c r="CO61" s="226">
        <f t="shared" si="141"/>
        <v>1906759</v>
      </c>
      <c r="CP61" s="226">
        <f>SUM(CN61:CO61)</f>
        <v>3641500</v>
      </c>
      <c r="CQ61" s="226">
        <f>+CI61+CM61</f>
        <v>0</v>
      </c>
      <c r="CR61" s="226" cm="1">
        <f t="array" ref="CR61">IFERROR(SUM(VLOOKUP($A61,'預算A1 BIM'!$A$77:$BB$143,{42},0)),0)+CU61</f>
        <v>0</v>
      </c>
      <c r="CS61" s="226" cm="1">
        <f t="array" ref="CS61">IFERROR(SUM(VLOOKUP($A61,'預算A1 BIM'!$A$151:$BB$220,{42},0)),0)-CU61</f>
        <v>0</v>
      </c>
      <c r="CT61" s="226">
        <f t="shared" si="142"/>
        <v>0</v>
      </c>
      <c r="CU61" s="157"/>
      <c r="CV61" s="226">
        <f t="shared" si="143"/>
        <v>1734741</v>
      </c>
      <c r="CW61" s="226">
        <f t="shared" si="143"/>
        <v>1906759</v>
      </c>
      <c r="CX61" s="226">
        <f>SUM(CV61:CW61)</f>
        <v>3641500</v>
      </c>
      <c r="CY61" s="226">
        <f>+CQ61+CU61</f>
        <v>0</v>
      </c>
    </row>
    <row r="62" spans="1:185" outlineLevel="1">
      <c r="A62" s="175" t="s">
        <v>705</v>
      </c>
      <c r="B62" s="172" t="s">
        <v>706</v>
      </c>
      <c r="C62" s="169" t="s">
        <v>2514</v>
      </c>
      <c r="D62" s="225">
        <f>IFERROR(VLOOKUP(A62,'202608收入成本表'!A:Y,23,0),0)</f>
        <v>365186</v>
      </c>
      <c r="E62" s="225">
        <f>IFERROR(VLOOKUP(A62,'202608收入成本表'!A:Z,24,0),0)</f>
        <v>-365186</v>
      </c>
      <c r="F62" s="226">
        <f>SUM(D62:E62)</f>
        <v>0</v>
      </c>
      <c r="G62" s="226"/>
      <c r="H62" s="226" cm="1">
        <f t="array" ref="H62">IFERROR(SUM(VLOOKUP(A62,'預算A1 BIM'!$A$77:$BB$143,{19,20,21,22},0)),0)</f>
        <v>0</v>
      </c>
      <c r="I62" s="226" cm="1">
        <f t="array" ref="I62">IFERROR(SUM(VLOOKUP(A62,'預算A1 BIM'!$A$151:$BB$220,{19,20,21,22},0)),0)</f>
        <v>480000</v>
      </c>
      <c r="J62" s="226">
        <f>SUM(H62:I62)</f>
        <v>480000</v>
      </c>
      <c r="K62" s="226">
        <f>VLOOKUP(A62,'2026FCST%'!A:AC,27,FALSE)</f>
        <v>0</v>
      </c>
      <c r="L62" s="226">
        <f t="shared" si="124"/>
        <v>365186</v>
      </c>
      <c r="M62" s="226">
        <f t="shared" si="124"/>
        <v>114814</v>
      </c>
      <c r="N62" s="226">
        <f>SUM(L62:M62)</f>
        <v>480000</v>
      </c>
      <c r="O62" s="226">
        <f>+G62+K62</f>
        <v>0</v>
      </c>
      <c r="P62" s="226" cm="1">
        <f t="array" ref="P62">IFERROR(SUM(VLOOKUP($A62,'預算A1 BIM'!$A$77:$BB$143,{25},0)),0)+S62</f>
        <v>219383</v>
      </c>
      <c r="Q62" s="226" cm="1">
        <f t="array" ref="Q62">IFERROR(SUM(VLOOKUP($A62,'預算A1 BIM'!$A$151:$BB$220,{25},0)),0)</f>
        <v>-219383</v>
      </c>
      <c r="R62" s="226">
        <f>SUM(P62:Q62)</f>
        <v>0</v>
      </c>
      <c r="S62" s="226"/>
      <c r="T62" s="226" cm="1">
        <f t="array" ref="T62">IFERROR(SUM(VLOOKUP($A62,'預算A1 BIM'!$A$77:$BB$143,{26},0)),0)+W62</f>
        <v>186432</v>
      </c>
      <c r="U62" s="226" cm="1">
        <f t="array" ref="U62">IFERROR(SUM(VLOOKUP($A62,'預算A1 BIM'!$A$151:$BB$220,{26},0)),0)</f>
        <v>-186432</v>
      </c>
      <c r="V62" s="226">
        <f t="shared" si="145"/>
        <v>0</v>
      </c>
      <c r="W62" s="226"/>
      <c r="X62" s="226" cm="1">
        <f t="array" ref="X62">IFERROR(SUM(VLOOKUP($A62,'預算A1 BIM'!$A$77:$BB$143,{27},0)),0)+AA62</f>
        <v>247734</v>
      </c>
      <c r="Y62" s="226" cm="1">
        <f t="array" ref="Y62">IFERROR(SUM(VLOOKUP($A62,'預算A1 BIM'!$A$151:$BB$220,{27},0)),0)</f>
        <v>-247734</v>
      </c>
      <c r="Z62" s="226">
        <f t="shared" ref="Z62:Z63" si="149">SUM(X62:Y62)</f>
        <v>0</v>
      </c>
      <c r="AA62" s="226"/>
      <c r="AB62" s="226" cm="1">
        <f t="array" ref="AB62">IFERROR(SUM(VLOOKUP($A62,'預算A1 BIM'!$A$77:$BB$143,{28},0)),0)+AE62</f>
        <v>226979</v>
      </c>
      <c r="AC62" s="226" cm="1">
        <f t="array" ref="AC62">IFERROR(SUM(VLOOKUP($A62,'預算A1 BIM'!$A$151:$BB$220,{28},0)),0)</f>
        <v>1038021</v>
      </c>
      <c r="AD62" s="226">
        <f t="shared" ref="AD62:AD63" si="150">SUM(AB62:AC62)</f>
        <v>1265000</v>
      </c>
      <c r="AE62" s="157"/>
      <c r="AF62" s="226" cm="1">
        <f t="array" ref="AF62">IFERROR(SUM(VLOOKUP($A62,'預算A1 BIM'!$A$77:$BB$143,{29},0)),0)+AI62</f>
        <v>113490</v>
      </c>
      <c r="AG62" s="226" cm="1">
        <f t="array" ref="AG62">IFERROR(SUM(VLOOKUP($A62,'預算A1 BIM'!$A$151:$BB$220,{29},0)),0)</f>
        <v>-113490</v>
      </c>
      <c r="AH62" s="226">
        <f t="shared" si="128"/>
        <v>0</v>
      </c>
      <c r="AI62" s="157"/>
      <c r="AJ62" s="226" cm="1">
        <f t="array" ref="AJ62">IFERROR(SUM(VLOOKUP($A62,'預算A1 BIM'!$A$77:$BB$143,{30},0)),0)+AM62</f>
        <v>0</v>
      </c>
      <c r="AK62" s="226" cm="1">
        <f t="array" ref="AK62">IFERROR(SUM(VLOOKUP($A62,'預算A1 BIM'!$A$151:$BB$220,{30},0)),0)</f>
        <v>0</v>
      </c>
      <c r="AL62" s="226">
        <f t="shared" si="129"/>
        <v>0</v>
      </c>
      <c r="AM62" s="157"/>
      <c r="AN62" s="226" cm="1">
        <f t="array" ref="AN62">IFERROR(SUM(VLOOKUP($A62,'預算A1 BIM'!$A$77:$BB$143,{31},0)),0)+AQ62</f>
        <v>0</v>
      </c>
      <c r="AO62" s="226" cm="1">
        <f t="array" ref="AO62">IFERROR(SUM(VLOOKUP($A62,'預算A1 BIM'!$A$151:$BB$220,{31},0)),0)</f>
        <v>0</v>
      </c>
      <c r="AP62" s="226">
        <f t="shared" si="68"/>
        <v>0</v>
      </c>
      <c r="AQ62" s="157"/>
      <c r="AR62" s="226" cm="1">
        <f t="array" ref="AR62">IFERROR(SUM(VLOOKUP($A62,'預算A1 BIM'!$A$77:$BB$143,{31},0)),0)+AU62</f>
        <v>0</v>
      </c>
      <c r="AS62" s="226" cm="1">
        <f t="array" ref="AS62">IFERROR(SUM(VLOOKUP($A62,'預算A1 BIM'!$A$151:$BB$220,{31},0)),0)</f>
        <v>0</v>
      </c>
      <c r="AT62" s="226">
        <f t="shared" si="146"/>
        <v>0</v>
      </c>
      <c r="AU62" s="157"/>
      <c r="AV62" s="226" cm="1">
        <f t="array" ref="AV62">IFERROR(SUM(VLOOKUP($A62,'預算A1 BIM'!$A$77:$BB$143,{33},0)),0)+AY62</f>
        <v>0</v>
      </c>
      <c r="AW62" s="226" cm="1">
        <f t="array" ref="AW62">IFERROR(SUM(VLOOKUP($A62,'預算A1 BIM'!$A$151:$BB$220,{33},0)),0)</f>
        <v>0</v>
      </c>
      <c r="AX62" s="226">
        <f t="shared" si="131"/>
        <v>0</v>
      </c>
      <c r="AY62" s="157"/>
      <c r="AZ62" s="226" cm="1">
        <f t="array" ref="AZ62">IFERROR(SUM(VLOOKUP($A62,'預算A1 BIM'!$A$77:$BB$143,{34},0)),0)+BC62</f>
        <v>0</v>
      </c>
      <c r="BA62" s="226" cm="1">
        <f t="array" ref="BA62">IFERROR(SUM(VLOOKUP($A62,'預算A1 BIM'!$A$151:$BB$220,{34},0)),0)-BC62</f>
        <v>0</v>
      </c>
      <c r="BB62" s="226">
        <f t="shared" si="144"/>
        <v>0</v>
      </c>
      <c r="BC62" s="157"/>
      <c r="BD62" s="226" cm="1">
        <f t="array" ref="BD62">IFERROR(SUM(VLOOKUP($A62,'預算A1 BIM'!$A$77:$BB$143,{35},0)),0)+BG62</f>
        <v>0</v>
      </c>
      <c r="BE62" s="226" cm="1">
        <f t="array" ref="BE62">IFERROR(SUM(VLOOKUP($A62,'預算A1 BIM'!$A$151:$BB$220,{35},0)),0)-BG62</f>
        <v>0</v>
      </c>
      <c r="BF62" s="226">
        <f t="shared" si="133"/>
        <v>0</v>
      </c>
      <c r="BG62" s="157"/>
      <c r="BH62" s="226" cm="1">
        <f t="array" ref="BH62">IFERROR(SUM(VLOOKUP($A62,'預算A1 BIM'!$A$77:$BB$143,{36},0)),0)+BK62</f>
        <v>0</v>
      </c>
      <c r="BI62" s="226" cm="1">
        <f t="array" ref="BI62">IFERROR(SUM(VLOOKUP($A62,'預算A1 BIM'!$A$151:$BB$220,{36},0)),0)-BK62</f>
        <v>0</v>
      </c>
      <c r="BJ62" s="226">
        <f t="shared" si="147"/>
        <v>0</v>
      </c>
      <c r="BK62" s="157"/>
      <c r="BL62" s="226">
        <f>SUMIF($P$4:$BK$4,$BL$4,$P62:$BK$65)</f>
        <v>994018</v>
      </c>
      <c r="BM62" s="226">
        <f>SUMIF($P$4:$BK$4,$BM$4,$P62:$BK$65)</f>
        <v>270982</v>
      </c>
      <c r="BN62" s="226">
        <f t="shared" si="74"/>
        <v>1265000</v>
      </c>
      <c r="BO62" s="157">
        <f>SUMIF($P$4:$BK$4,$BO$4,$P51:$BK$65)</f>
        <v>0</v>
      </c>
      <c r="BP62" s="226">
        <f t="shared" si="135"/>
        <v>1359204</v>
      </c>
      <c r="BQ62" s="226">
        <f t="shared" si="135"/>
        <v>385796</v>
      </c>
      <c r="BR62" s="226">
        <f>SUM(BP62:BQ62)</f>
        <v>1745000</v>
      </c>
      <c r="BS62" s="226">
        <f>+O62+BO62</f>
        <v>0</v>
      </c>
      <c r="BT62" s="226" cm="1">
        <f t="array" ref="BT62">IFERROR(SUM(VLOOKUP($A62,'預算A1 BIM'!$A$77:$BB$143,{39},0)),0)+BW62</f>
        <v>0</v>
      </c>
      <c r="BU62" s="226" cm="1">
        <f t="array" ref="BU62">IFERROR(SUM(VLOOKUP($A62,'預算A1 BIM'!$A$151:$BB$220,{39},0)),0)-BW62</f>
        <v>0</v>
      </c>
      <c r="BV62" s="226">
        <f t="shared" si="136"/>
        <v>0</v>
      </c>
      <c r="BW62" s="157"/>
      <c r="BX62" s="226">
        <f t="shared" si="137"/>
        <v>1359204</v>
      </c>
      <c r="BY62" s="157">
        <f t="shared" si="137"/>
        <v>385796</v>
      </c>
      <c r="BZ62" s="226">
        <f>SUM(BX62:BY62)</f>
        <v>1745000</v>
      </c>
      <c r="CA62" s="157">
        <f>+BS62+BW62</f>
        <v>0</v>
      </c>
      <c r="CB62" s="226" cm="1">
        <f t="array" ref="CB62">IFERROR(SUM(VLOOKUP($A62,'預算A1 BIM'!$A$77:$BB$143,{40},0)),0)+CE62</f>
        <v>0</v>
      </c>
      <c r="CC62" s="226" cm="1">
        <f t="array" ref="CC62">IFERROR(SUM(VLOOKUP($A62,'預算A1 BIM'!$A$151:$BB$220,{40},0)),0)-CE62</f>
        <v>0</v>
      </c>
      <c r="CD62" s="226">
        <f t="shared" si="148"/>
        <v>0</v>
      </c>
      <c r="CE62" s="157"/>
      <c r="CF62" s="226">
        <f t="shared" si="139"/>
        <v>1359204</v>
      </c>
      <c r="CG62" s="226">
        <f t="shared" si="139"/>
        <v>385796</v>
      </c>
      <c r="CH62" s="226">
        <f>SUM(CF62:CG62)</f>
        <v>1745000</v>
      </c>
      <c r="CI62" s="226">
        <f>+CA62+CE62</f>
        <v>0</v>
      </c>
      <c r="CJ62" s="226" cm="1">
        <f t="array" ref="CJ62">IFERROR(SUM(VLOOKUP($A62,'預算A1 BIM'!$A$77:$BB$143,{41},0)),0)+CM62</f>
        <v>0</v>
      </c>
      <c r="CK62" s="226" cm="1">
        <f t="array" ref="CK62">IFERROR(SUM(VLOOKUP($A62,'預算A1 BIM'!$A$151:$BB$220,{41},0)),0)-CM62</f>
        <v>0</v>
      </c>
      <c r="CL62" s="226">
        <f t="shared" si="140"/>
        <v>0</v>
      </c>
      <c r="CM62" s="157"/>
      <c r="CN62" s="226">
        <f t="shared" si="141"/>
        <v>1359204</v>
      </c>
      <c r="CO62" s="226">
        <f t="shared" si="141"/>
        <v>385796</v>
      </c>
      <c r="CP62" s="226">
        <f>SUM(CN62:CO62)</f>
        <v>1745000</v>
      </c>
      <c r="CQ62" s="226">
        <f>+CI62+CM62</f>
        <v>0</v>
      </c>
      <c r="CR62" s="226" cm="1">
        <f t="array" ref="CR62">IFERROR(SUM(VLOOKUP($A62,'預算A1 BIM'!$A$77:$BB$143,{42},0)),0)+CU62</f>
        <v>0</v>
      </c>
      <c r="CS62" s="226" cm="1">
        <f t="array" ref="CS62">IFERROR(SUM(VLOOKUP($A62,'預算A1 BIM'!$A$151:$BB$220,{42},0)),0)-CU62</f>
        <v>0</v>
      </c>
      <c r="CT62" s="226">
        <f t="shared" si="142"/>
        <v>0</v>
      </c>
      <c r="CU62" s="157"/>
      <c r="CV62" s="226">
        <f t="shared" si="143"/>
        <v>1359204</v>
      </c>
      <c r="CW62" s="226">
        <f t="shared" si="143"/>
        <v>385796</v>
      </c>
      <c r="CX62" s="226">
        <f>SUM(CV62:CW62)</f>
        <v>1745000</v>
      </c>
      <c r="CY62" s="226">
        <f>+CQ62+CU62</f>
        <v>0</v>
      </c>
    </row>
    <row r="63" spans="1:185" outlineLevel="1">
      <c r="A63" s="175" t="s">
        <v>707</v>
      </c>
      <c r="B63" s="172" t="s">
        <v>708</v>
      </c>
      <c r="C63" s="172" t="s">
        <v>1976</v>
      </c>
      <c r="D63" s="225">
        <f>IFERROR(VLOOKUP(A63,'202608收入成本表'!A:Y,23,0),0)</f>
        <v>921123</v>
      </c>
      <c r="E63" s="225">
        <f>IFERROR(VLOOKUP(A63,'202608收入成本表'!A:Z,24,0),0)</f>
        <v>-761123</v>
      </c>
      <c r="F63" s="226">
        <f>SUM(D63:E63)</f>
        <v>160000</v>
      </c>
      <c r="G63" s="226"/>
      <c r="H63" s="226" cm="1">
        <f t="array" ref="H63">IFERROR(SUM(VLOOKUP(A63,'預算A1 BIM'!$A$77:$BB$143,{19,20,21,22},0)),0)</f>
        <v>613257</v>
      </c>
      <c r="I63" s="226" cm="1">
        <f t="array" ref="I63">IFERROR(SUM(VLOOKUP(A63,'預算A1 BIM'!$A$151:$BB$220,{19,20,21,22},0)),0)</f>
        <v>346743</v>
      </c>
      <c r="J63" s="226">
        <f>SUM(H63:I63)</f>
        <v>960000</v>
      </c>
      <c r="K63" s="226">
        <f>VLOOKUP(A63,'2026FCST%'!A:AC,27,FALSE)</f>
        <v>0</v>
      </c>
      <c r="L63" s="226">
        <f t="shared" si="124"/>
        <v>1534380</v>
      </c>
      <c r="M63" s="226">
        <f t="shared" si="124"/>
        <v>-414380</v>
      </c>
      <c r="N63" s="226">
        <f>SUM(L63:M63)</f>
        <v>1120000</v>
      </c>
      <c r="O63" s="226">
        <f>+G63+K63</f>
        <v>0</v>
      </c>
      <c r="P63" s="226" cm="1">
        <f t="array" ref="P63">IFERROR(SUM(VLOOKUP($A63,'預算A1 BIM'!$A$77:$BB$143,{25},0)),0)+S63</f>
        <v>0</v>
      </c>
      <c r="Q63" s="226" cm="1">
        <f t="array" ref="Q63">IFERROR(SUM(VLOOKUP($A63,'預算A1 BIM'!$A$151:$BB$220,{25},0)),0)</f>
        <v>0</v>
      </c>
      <c r="R63" s="226">
        <f>SUM(P63:Q63)</f>
        <v>0</v>
      </c>
      <c r="S63" s="226"/>
      <c r="T63" s="226" cm="1">
        <f t="array" ref="T63">IFERROR(SUM(VLOOKUP($A63,'預算A1 BIM'!$A$77:$BB$143,{26},0)),0)+W63</f>
        <v>0</v>
      </c>
      <c r="U63" s="226" cm="1">
        <f t="array" ref="U63">IFERROR(SUM(VLOOKUP($A63,'預算A1 BIM'!$A$151:$BB$220,{26},0)),0)</f>
        <v>0</v>
      </c>
      <c r="V63" s="226">
        <f t="shared" ref="V63" si="151">SUM(T63:U63)</f>
        <v>0</v>
      </c>
      <c r="W63" s="226"/>
      <c r="X63" s="226" cm="1">
        <f t="array" ref="X63">IFERROR(SUM(VLOOKUP($A63,'預算A1 BIM'!$A$77:$BB$143,{27},0)),0)+AA63</f>
        <v>0</v>
      </c>
      <c r="Y63" s="226" cm="1">
        <f t="array" ref="Y63">IFERROR(SUM(VLOOKUP($A63,'預算A1 BIM'!$A$151:$BB$220,{27},0)),0)</f>
        <v>0</v>
      </c>
      <c r="Z63" s="226">
        <f t="shared" si="149"/>
        <v>0</v>
      </c>
      <c r="AA63" s="226"/>
      <c r="AB63" s="226" cm="1">
        <f t="array" ref="AB63">IFERROR(SUM(VLOOKUP($A63,'預算A1 BIM'!$A$77:$BB$143,{28},0)),0)+AE63</f>
        <v>0</v>
      </c>
      <c r="AC63" s="226" cm="1">
        <f t="array" ref="AC63">IFERROR(SUM(VLOOKUP($A63,'預算A1 BIM'!$A$151:$BB$220,{28},0)),0)</f>
        <v>0</v>
      </c>
      <c r="AD63" s="226">
        <f t="shared" si="150"/>
        <v>0</v>
      </c>
      <c r="AE63" s="157"/>
      <c r="AF63" s="226" cm="1">
        <f t="array" ref="AF63">IFERROR(SUM(VLOOKUP($A63,'預算A1 BIM'!$A$77:$BB$143,{29},0)),0)+AI63</f>
        <v>0</v>
      </c>
      <c r="AG63" s="226" cm="1">
        <f t="array" ref="AG63">IFERROR(SUM(VLOOKUP($A63,'預算A1 BIM'!$A$151:$BB$220,{29},0)),0)</f>
        <v>0</v>
      </c>
      <c r="AH63" s="226">
        <f t="shared" si="128"/>
        <v>0</v>
      </c>
      <c r="AI63" s="157"/>
      <c r="AJ63" s="226" cm="1">
        <f t="array" ref="AJ63">IFERROR(SUM(VLOOKUP($A63,'預算A1 BIM'!$A$77:$BB$143,{30},0)),0)+AM63</f>
        <v>20000</v>
      </c>
      <c r="AK63" s="226" cm="1">
        <f t="array" ref="AK63">IFERROR(SUM(VLOOKUP($A63,'預算A1 BIM'!$A$151:$BB$220,{30},0)),0)</f>
        <v>-20000</v>
      </c>
      <c r="AL63" s="226">
        <f t="shared" si="129"/>
        <v>0</v>
      </c>
      <c r="AM63" s="157"/>
      <c r="AN63" s="226" cm="1">
        <f t="array" ref="AN63">IFERROR(SUM(VLOOKUP($A63,'預算A1 BIM'!$A$77:$BB$143,{31},0)),0)+AQ63</f>
        <v>0</v>
      </c>
      <c r="AO63" s="226" cm="1">
        <f t="array" ref="AO63">IFERROR(SUM(VLOOKUP($A63,'預算A1 BIM'!$A$151:$BB$220,{31},0)),0)</f>
        <v>0</v>
      </c>
      <c r="AP63" s="226">
        <f t="shared" si="68"/>
        <v>0</v>
      </c>
      <c r="AQ63" s="157"/>
      <c r="AR63" s="226" cm="1">
        <f t="array" ref="AR63">IFERROR(SUM(VLOOKUP($A63,'預算A1 BIM'!$A$77:$BB$143,{31},0)),0)+AU63</f>
        <v>0</v>
      </c>
      <c r="AS63" s="226" cm="1">
        <f t="array" ref="AS63">IFERROR(SUM(VLOOKUP($A63,'預算A1 BIM'!$A$151:$BB$220,{31},0)),0)</f>
        <v>0</v>
      </c>
      <c r="AT63" s="226">
        <f t="shared" si="146"/>
        <v>0</v>
      </c>
      <c r="AU63" s="157"/>
      <c r="AV63" s="226" cm="1">
        <f t="array" ref="AV63">IFERROR(SUM(VLOOKUP($A63,'預算A1 BIM'!$A$77:$BB$143,{33},0)),0)+AY63</f>
        <v>0</v>
      </c>
      <c r="AW63" s="226" cm="1">
        <f t="array" ref="AW63">IFERROR(SUM(VLOOKUP($A63,'預算A1 BIM'!$A$151:$BB$220,{33},0)),0)</f>
        <v>0</v>
      </c>
      <c r="AX63" s="226">
        <f t="shared" si="131"/>
        <v>0</v>
      </c>
      <c r="AY63" s="157"/>
      <c r="AZ63" s="226" cm="1">
        <f t="array" ref="AZ63">IFERROR(SUM(VLOOKUP($A63,'預算A1 BIM'!$A$77:$BB$143,{34},0)),0)+BC63</f>
        <v>110353</v>
      </c>
      <c r="BA63" s="226" cm="1">
        <f t="array" ref="BA63">IFERROR(SUM(VLOOKUP($A63,'預算A1 BIM'!$A$151:$BB$220,{34},0)),0)-BC63</f>
        <v>64647</v>
      </c>
      <c r="BB63" s="226">
        <f t="shared" si="144"/>
        <v>175000</v>
      </c>
      <c r="BC63" s="157"/>
      <c r="BD63" s="226" cm="1">
        <f t="array" ref="BD63">IFERROR(SUM(VLOOKUP($A63,'預算A1 BIM'!$A$77:$BB$143,{35},0)),0)+BG63</f>
        <v>0</v>
      </c>
      <c r="BE63" s="226" cm="1">
        <f t="array" ref="BE63">IFERROR(SUM(VLOOKUP($A63,'預算A1 BIM'!$A$151:$BB$220,{35},0)),0)-BG63</f>
        <v>0</v>
      </c>
      <c r="BF63" s="226">
        <f t="shared" si="133"/>
        <v>0</v>
      </c>
      <c r="BG63" s="157"/>
      <c r="BH63" s="226" cm="1">
        <f t="array" ref="BH63">IFERROR(SUM(VLOOKUP($A63,'預算A1 BIM'!$A$77:$BB$143,{36},0)),0)+BK63</f>
        <v>20000</v>
      </c>
      <c r="BI63" s="226" cm="1">
        <f t="array" ref="BI63">IFERROR(SUM(VLOOKUP($A63,'預算A1 BIM'!$A$151:$BB$220,{36},0)),0)-BK63</f>
        <v>-20000</v>
      </c>
      <c r="BJ63" s="226">
        <f t="shared" si="147"/>
        <v>0</v>
      </c>
      <c r="BK63" s="157"/>
      <c r="BL63" s="226">
        <f>SUMIF($P$4:$BK$4,$BL$4,$P63:$BK$65)</f>
        <v>150353</v>
      </c>
      <c r="BM63" s="226">
        <f>SUMIF($P$4:$BK$4,$BM$4,$P63:$BK$65)</f>
        <v>24647</v>
      </c>
      <c r="BN63" s="226">
        <f t="shared" si="74"/>
        <v>175000</v>
      </c>
      <c r="BO63" s="157">
        <f>SUMIF($P$4:$BK$4,$BO$4,$P63:$BK$65)</f>
        <v>0</v>
      </c>
      <c r="BP63" s="226">
        <f t="shared" si="135"/>
        <v>1684733</v>
      </c>
      <c r="BQ63" s="226">
        <f t="shared" si="135"/>
        <v>-389733</v>
      </c>
      <c r="BR63" s="226">
        <f>SUM(BP63:BQ63)</f>
        <v>1295000</v>
      </c>
      <c r="BS63" s="226">
        <f>+O63+BO63</f>
        <v>0</v>
      </c>
      <c r="BT63" s="226" cm="1">
        <f t="array" ref="BT63">IFERROR(SUM(VLOOKUP($A63,'預算A1 BIM'!$A$77:$BB$143,{39},0)),0)+BW63</f>
        <v>0</v>
      </c>
      <c r="BU63" s="226" cm="1">
        <f t="array" ref="BU63">IFERROR(SUM(VLOOKUP($A63,'預算A1 BIM'!$A$151:$BB$220,{39},0)),0)-BW63</f>
        <v>0</v>
      </c>
      <c r="BV63" s="226">
        <f t="shared" si="136"/>
        <v>0</v>
      </c>
      <c r="BW63" s="157"/>
      <c r="BX63" s="226">
        <f t="shared" si="137"/>
        <v>1684733</v>
      </c>
      <c r="BY63" s="157">
        <f t="shared" si="137"/>
        <v>-389733</v>
      </c>
      <c r="BZ63" s="226">
        <f>SUM(BX63:BY63)</f>
        <v>1295000</v>
      </c>
      <c r="CA63" s="157">
        <f>+BS63+BW63</f>
        <v>0</v>
      </c>
      <c r="CB63" s="226" cm="1">
        <f t="array" ref="CB63">IFERROR(SUM(VLOOKUP($A63,'預算A1 BIM'!$A$77:$BB$143,{40},0)),0)+CE63</f>
        <v>0</v>
      </c>
      <c r="CC63" s="226" cm="1">
        <f t="array" ref="CC63">IFERROR(SUM(VLOOKUP($A63,'預算A1 BIM'!$A$151:$BB$220,{40},0)),0)-CE63</f>
        <v>0</v>
      </c>
      <c r="CD63" s="226">
        <f t="shared" si="148"/>
        <v>0</v>
      </c>
      <c r="CE63" s="157"/>
      <c r="CF63" s="226">
        <f t="shared" si="139"/>
        <v>1684733</v>
      </c>
      <c r="CG63" s="226">
        <f t="shared" si="139"/>
        <v>-389733</v>
      </c>
      <c r="CH63" s="226">
        <f>SUM(CF63:CG63)</f>
        <v>1295000</v>
      </c>
      <c r="CI63" s="226">
        <f>+CA63+CE63</f>
        <v>0</v>
      </c>
      <c r="CJ63" s="226" cm="1">
        <f t="array" ref="CJ63">IFERROR(SUM(VLOOKUP($A63,'預算A1 BIM'!$A$77:$BB$143,{41},0)),0)+CM63</f>
        <v>0</v>
      </c>
      <c r="CK63" s="226" cm="1">
        <f t="array" ref="CK63">IFERROR(SUM(VLOOKUP($A63,'預算A1 BIM'!$A$151:$BB$220,{41},0)),0)-CM63</f>
        <v>0</v>
      </c>
      <c r="CL63" s="226">
        <f t="shared" si="140"/>
        <v>0</v>
      </c>
      <c r="CM63" s="157"/>
      <c r="CN63" s="226">
        <f t="shared" si="141"/>
        <v>1684733</v>
      </c>
      <c r="CO63" s="226">
        <f t="shared" si="141"/>
        <v>-389733</v>
      </c>
      <c r="CP63" s="226">
        <f>SUM(CN63:CO63)</f>
        <v>1295000</v>
      </c>
      <c r="CQ63" s="226">
        <f>+CI63+CM63</f>
        <v>0</v>
      </c>
      <c r="CR63" s="226" cm="1">
        <f t="array" ref="CR63">IFERROR(SUM(VLOOKUP($A63,'預算A1 BIM'!$A$77:$BB$143,{42},0)),0)+CU63</f>
        <v>0</v>
      </c>
      <c r="CS63" s="226" cm="1">
        <f t="array" ref="CS63">IFERROR(SUM(VLOOKUP($A63,'預算A1 BIM'!$A$151:$BB$220,{42},0)),0)-CU63</f>
        <v>0</v>
      </c>
      <c r="CT63" s="226">
        <f t="shared" si="142"/>
        <v>0</v>
      </c>
      <c r="CU63" s="157"/>
      <c r="CV63" s="226">
        <f t="shared" si="143"/>
        <v>1684733</v>
      </c>
      <c r="CW63" s="226">
        <f t="shared" si="143"/>
        <v>-389733</v>
      </c>
      <c r="CX63" s="226">
        <f>SUM(CV63:CW63)</f>
        <v>1295000</v>
      </c>
      <c r="CY63" s="226">
        <f>+CQ63+CU63</f>
        <v>0</v>
      </c>
    </row>
    <row r="64" spans="1:185" ht="21" customHeight="1" outlineLevel="1">
      <c r="A64" s="228"/>
      <c r="B64" s="229" t="s">
        <v>1964</v>
      </c>
      <c r="C64" s="229"/>
      <c r="D64" s="230">
        <f>SUM(D59:D63)</f>
        <v>2365061</v>
      </c>
      <c r="E64" s="230">
        <f t="shared" ref="E64:BP64" si="152">SUM(E59:E63)</f>
        <v>-2152561</v>
      </c>
      <c r="F64" s="230">
        <f>SUM(F59:F63)</f>
        <v>212500</v>
      </c>
      <c r="G64" s="230">
        <f t="shared" si="152"/>
        <v>0</v>
      </c>
      <c r="H64" s="230">
        <f t="shared" si="152"/>
        <v>898717</v>
      </c>
      <c r="I64" s="230">
        <f t="shared" si="152"/>
        <v>2528783</v>
      </c>
      <c r="J64" s="230">
        <f t="shared" si="152"/>
        <v>3427500</v>
      </c>
      <c r="K64" s="230">
        <f t="shared" si="152"/>
        <v>0</v>
      </c>
      <c r="L64" s="230">
        <f t="shared" si="152"/>
        <v>3263778</v>
      </c>
      <c r="M64" s="230">
        <f t="shared" si="152"/>
        <v>376222</v>
      </c>
      <c r="N64" s="230">
        <f t="shared" si="152"/>
        <v>3640000</v>
      </c>
      <c r="O64" s="230">
        <f t="shared" si="152"/>
        <v>0</v>
      </c>
      <c r="P64" s="230">
        <f t="shared" si="152"/>
        <v>302768</v>
      </c>
      <c r="Q64" s="230">
        <f t="shared" si="152"/>
        <v>-273268</v>
      </c>
      <c r="R64" s="230">
        <f t="shared" si="152"/>
        <v>29500</v>
      </c>
      <c r="S64" s="230">
        <f t="shared" si="152"/>
        <v>0</v>
      </c>
      <c r="T64" s="230">
        <f t="shared" si="152"/>
        <v>269817</v>
      </c>
      <c r="U64" s="230">
        <f t="shared" si="152"/>
        <v>-240317</v>
      </c>
      <c r="V64" s="230">
        <f t="shared" si="152"/>
        <v>29500</v>
      </c>
      <c r="W64" s="230">
        <f t="shared" si="152"/>
        <v>0</v>
      </c>
      <c r="X64" s="230">
        <f t="shared" si="152"/>
        <v>331119</v>
      </c>
      <c r="Y64" s="230">
        <f t="shared" si="152"/>
        <v>-301619</v>
      </c>
      <c r="Z64" s="230">
        <f t="shared" si="152"/>
        <v>29500</v>
      </c>
      <c r="AA64" s="230">
        <f t="shared" si="152"/>
        <v>0</v>
      </c>
      <c r="AB64" s="230">
        <f t="shared" si="152"/>
        <v>310364</v>
      </c>
      <c r="AC64" s="230">
        <f t="shared" si="152"/>
        <v>984136</v>
      </c>
      <c r="AD64" s="230">
        <f t="shared" si="152"/>
        <v>1294500</v>
      </c>
      <c r="AE64" s="230">
        <f t="shared" si="152"/>
        <v>0</v>
      </c>
      <c r="AF64" s="230">
        <f t="shared" ref="AF64:AI64" si="153">SUM(AF59:AF63)</f>
        <v>196875</v>
      </c>
      <c r="AG64" s="230">
        <f t="shared" si="153"/>
        <v>-167375</v>
      </c>
      <c r="AH64" s="230">
        <f t="shared" si="153"/>
        <v>29500</v>
      </c>
      <c r="AI64" s="230">
        <f t="shared" si="153"/>
        <v>0</v>
      </c>
      <c r="AJ64" s="230">
        <f t="shared" ref="AJ64:AM64" si="154">SUM(AJ59:AJ63)</f>
        <v>103385</v>
      </c>
      <c r="AK64" s="230">
        <f t="shared" si="154"/>
        <v>-73885</v>
      </c>
      <c r="AL64" s="230">
        <f t="shared" si="154"/>
        <v>29500</v>
      </c>
      <c r="AM64" s="230">
        <f t="shared" si="154"/>
        <v>0</v>
      </c>
      <c r="AN64" s="230">
        <f t="shared" ref="AN64:AQ64" si="155">SUM(AN59:AN63)</f>
        <v>83385</v>
      </c>
      <c r="AO64" s="230">
        <f t="shared" si="155"/>
        <v>-53885</v>
      </c>
      <c r="AP64" s="230">
        <f t="shared" si="155"/>
        <v>29500</v>
      </c>
      <c r="AQ64" s="230">
        <f t="shared" si="155"/>
        <v>0</v>
      </c>
      <c r="AR64" s="230">
        <f t="shared" ref="AR64:AY64" si="156">SUM(AR59:AR63)</f>
        <v>83385</v>
      </c>
      <c r="AS64" s="230">
        <f t="shared" si="156"/>
        <v>-53885</v>
      </c>
      <c r="AT64" s="230">
        <f t="shared" si="156"/>
        <v>29500</v>
      </c>
      <c r="AU64" s="230">
        <f t="shared" si="156"/>
        <v>0</v>
      </c>
      <c r="AV64" s="230">
        <f t="shared" si="156"/>
        <v>83385</v>
      </c>
      <c r="AW64" s="230">
        <f t="shared" si="156"/>
        <v>-53885</v>
      </c>
      <c r="AX64" s="230">
        <f t="shared" si="156"/>
        <v>29500</v>
      </c>
      <c r="AY64" s="230">
        <f t="shared" si="156"/>
        <v>0</v>
      </c>
      <c r="AZ64" s="230">
        <f t="shared" ref="AZ64:BK64" si="157">SUM(AZ59:AZ63)</f>
        <v>193738</v>
      </c>
      <c r="BA64" s="230">
        <f t="shared" si="157"/>
        <v>10762</v>
      </c>
      <c r="BB64" s="230">
        <f t="shared" si="157"/>
        <v>204500</v>
      </c>
      <c r="BC64" s="230">
        <f t="shared" si="157"/>
        <v>0</v>
      </c>
      <c r="BD64" s="230">
        <f t="shared" si="157"/>
        <v>83385</v>
      </c>
      <c r="BE64" s="230">
        <f t="shared" si="157"/>
        <v>-53885</v>
      </c>
      <c r="BF64" s="230">
        <f t="shared" si="157"/>
        <v>29500</v>
      </c>
      <c r="BG64" s="230">
        <f t="shared" si="157"/>
        <v>0</v>
      </c>
      <c r="BH64" s="230">
        <f t="shared" si="157"/>
        <v>103385</v>
      </c>
      <c r="BI64" s="230">
        <f t="shared" si="157"/>
        <v>1126115</v>
      </c>
      <c r="BJ64" s="230">
        <f t="shared" si="157"/>
        <v>1229500</v>
      </c>
      <c r="BK64" s="230">
        <f t="shared" si="157"/>
        <v>0</v>
      </c>
      <c r="BL64" s="230">
        <f t="shared" si="152"/>
        <v>2144991</v>
      </c>
      <c r="BM64" s="230">
        <f t="shared" si="152"/>
        <v>849009</v>
      </c>
      <c r="BN64" s="230">
        <f t="shared" si="152"/>
        <v>2994000</v>
      </c>
      <c r="BO64" s="230">
        <f t="shared" si="152"/>
        <v>0</v>
      </c>
      <c r="BP64" s="230">
        <f t="shared" si="152"/>
        <v>5408769</v>
      </c>
      <c r="BQ64" s="230">
        <f t="shared" ref="BQ64:CY64" si="158">SUM(BQ59:BQ63)</f>
        <v>1225231</v>
      </c>
      <c r="BR64" s="230">
        <f t="shared" si="158"/>
        <v>6634000</v>
      </c>
      <c r="BS64" s="230">
        <f t="shared" si="158"/>
        <v>0</v>
      </c>
      <c r="BT64" s="230">
        <f t="shared" si="158"/>
        <v>1110310</v>
      </c>
      <c r="BU64" s="230">
        <f t="shared" si="158"/>
        <v>359690</v>
      </c>
      <c r="BV64" s="230">
        <f t="shared" si="158"/>
        <v>1470000</v>
      </c>
      <c r="BW64" s="230">
        <f t="shared" si="158"/>
        <v>0</v>
      </c>
      <c r="BX64" s="230">
        <f>SUM(BX59:BX63)</f>
        <v>6519079</v>
      </c>
      <c r="BY64" s="230">
        <f t="shared" si="158"/>
        <v>1584921</v>
      </c>
      <c r="BZ64" s="230">
        <f t="shared" si="158"/>
        <v>8104000</v>
      </c>
      <c r="CA64" s="230">
        <f t="shared" si="158"/>
        <v>0</v>
      </c>
      <c r="CB64" s="230">
        <f t="shared" si="158"/>
        <v>1088729</v>
      </c>
      <c r="CC64" s="230">
        <f t="shared" si="158"/>
        <v>842771</v>
      </c>
      <c r="CD64" s="230">
        <f t="shared" si="158"/>
        <v>1931500</v>
      </c>
      <c r="CE64" s="230">
        <f t="shared" si="158"/>
        <v>0</v>
      </c>
      <c r="CF64" s="230">
        <f t="shared" si="158"/>
        <v>7607808</v>
      </c>
      <c r="CG64" s="230">
        <f t="shared" si="158"/>
        <v>2427692</v>
      </c>
      <c r="CH64" s="230">
        <f t="shared" si="158"/>
        <v>10035500</v>
      </c>
      <c r="CI64" s="230">
        <f t="shared" si="158"/>
        <v>0</v>
      </c>
      <c r="CJ64" s="230">
        <f t="shared" ref="CJ64:CM64" si="159">SUM(CJ59:CJ63)</f>
        <v>316840</v>
      </c>
      <c r="CK64" s="230">
        <f t="shared" si="159"/>
        <v>1280660</v>
      </c>
      <c r="CL64" s="230">
        <f t="shared" si="159"/>
        <v>1597500</v>
      </c>
      <c r="CM64" s="230">
        <f t="shared" si="159"/>
        <v>0</v>
      </c>
      <c r="CN64" s="230">
        <f t="shared" si="158"/>
        <v>7924648</v>
      </c>
      <c r="CO64" s="230">
        <f t="shared" si="158"/>
        <v>3708352</v>
      </c>
      <c r="CP64" s="230">
        <f t="shared" si="158"/>
        <v>11633000</v>
      </c>
      <c r="CQ64" s="230">
        <f t="shared" si="158"/>
        <v>0</v>
      </c>
      <c r="CR64" s="230">
        <f t="shared" si="158"/>
        <v>60000</v>
      </c>
      <c r="CS64" s="230">
        <f t="shared" si="158"/>
        <v>-60000</v>
      </c>
      <c r="CT64" s="230">
        <f t="shared" si="158"/>
        <v>0</v>
      </c>
      <c r="CU64" s="230">
        <f t="shared" si="158"/>
        <v>0</v>
      </c>
      <c r="CV64" s="230">
        <f t="shared" si="158"/>
        <v>7984648</v>
      </c>
      <c r="CW64" s="230">
        <f t="shared" si="158"/>
        <v>3648352</v>
      </c>
      <c r="CX64" s="230">
        <f t="shared" si="158"/>
        <v>11633000</v>
      </c>
      <c r="CY64" s="230">
        <f t="shared" si="158"/>
        <v>0</v>
      </c>
    </row>
    <row r="65" spans="1:103" ht="21" customHeight="1" outlineLevel="1">
      <c r="A65" s="228"/>
      <c r="B65" s="229" t="s">
        <v>1963</v>
      </c>
      <c r="C65" s="229"/>
      <c r="D65" s="230">
        <f>IFERROR(VLOOKUP($A65,#REF!,#REF!,0),0)</f>
        <v>0</v>
      </c>
      <c r="E65" s="230">
        <f>IFERROR(VLOOKUP($A65,#REF!,#REF!,0),0)</f>
        <v>0</v>
      </c>
      <c r="F65" s="230">
        <f t="shared" ref="F65" si="160">SUM(D65:E65)</f>
        <v>0</v>
      </c>
      <c r="G65" s="230">
        <f>IFERROR(VLOOKUP($A65,#REF!,#REF!,0),0)</f>
        <v>0</v>
      </c>
      <c r="H65" s="230">
        <f>-K66</f>
        <v>278313</v>
      </c>
      <c r="I65" s="230">
        <f>K66</f>
        <v>-278313</v>
      </c>
      <c r="J65" s="230">
        <f t="shared" ref="J65" si="161">SUM(H65:I65)</f>
        <v>0</v>
      </c>
      <c r="K65" s="230"/>
      <c r="L65" s="230">
        <f t="shared" ref="L65" si="162">+D65+H65</f>
        <v>278313</v>
      </c>
      <c r="M65" s="230">
        <f t="shared" ref="M65" si="163">+E65+I65</f>
        <v>-278313</v>
      </c>
      <c r="N65" s="230">
        <f t="shared" ref="N65" si="164">SUM(L65:M65)</f>
        <v>0</v>
      </c>
      <c r="O65" s="230">
        <f t="shared" ref="O65" si="165">+G65+K65</f>
        <v>0</v>
      </c>
      <c r="P65" s="230">
        <f>-S66</f>
        <v>-20613</v>
      </c>
      <c r="Q65" s="230">
        <f>S66</f>
        <v>20613</v>
      </c>
      <c r="R65" s="230">
        <f t="shared" ref="R65" si="166">SUM(P65:Q65)</f>
        <v>0</v>
      </c>
      <c r="S65" s="230"/>
      <c r="T65" s="230">
        <f>-W66</f>
        <v>-8132</v>
      </c>
      <c r="U65" s="230">
        <f>W66</f>
        <v>8132</v>
      </c>
      <c r="V65" s="230">
        <f t="shared" ref="V65" si="167">SUM(T65:U65)</f>
        <v>0</v>
      </c>
      <c r="W65" s="230"/>
      <c r="X65" s="230">
        <f>-AA66</f>
        <v>-9110</v>
      </c>
      <c r="Y65" s="230">
        <f>AA66</f>
        <v>9110</v>
      </c>
      <c r="Z65" s="230">
        <f t="shared" ref="Z65" si="168">SUM(X65:Y65)</f>
        <v>0</v>
      </c>
      <c r="AA65" s="230"/>
      <c r="AB65" s="230">
        <f>-AE66</f>
        <v>-22493</v>
      </c>
      <c r="AC65" s="230">
        <f>AE66</f>
        <v>22493</v>
      </c>
      <c r="AD65" s="230">
        <f t="shared" ref="AD65" si="169">SUM(AB65:AC65)</f>
        <v>0</v>
      </c>
      <c r="AE65" s="230"/>
      <c r="AF65" s="230">
        <f>-AI66</f>
        <v>-22492</v>
      </c>
      <c r="AG65" s="230">
        <f>AI66</f>
        <v>22492</v>
      </c>
      <c r="AH65" s="230">
        <f t="shared" ref="AH65" si="170">SUM(AF65:AG65)</f>
        <v>0</v>
      </c>
      <c r="AI65" s="230"/>
      <c r="AJ65" s="230">
        <f>-AM66</f>
        <v>-22493</v>
      </c>
      <c r="AK65" s="230">
        <f>AM66</f>
        <v>22493</v>
      </c>
      <c r="AL65" s="230">
        <f t="shared" ref="AL65" si="171">SUM(AJ65:AK65)</f>
        <v>0</v>
      </c>
      <c r="AM65" s="230"/>
      <c r="AN65" s="230">
        <f>-AQ66</f>
        <v>-24118</v>
      </c>
      <c r="AO65" s="230">
        <f>AQ66</f>
        <v>24118</v>
      </c>
      <c r="AP65" s="230">
        <f t="shared" ref="AP65" si="172">SUM(AN65:AO65)</f>
        <v>0</v>
      </c>
      <c r="AQ65" s="230"/>
      <c r="AR65" s="230">
        <f t="shared" ref="AR65" si="173">-AU66</f>
        <v>-26937</v>
      </c>
      <c r="AS65" s="230">
        <f t="shared" ref="AS65" si="174">AU66</f>
        <v>26937</v>
      </c>
      <c r="AT65" s="230">
        <f t="shared" ref="AT65" si="175">SUM(AR65:AS65)</f>
        <v>0</v>
      </c>
      <c r="AU65" s="230"/>
      <c r="AV65" s="230">
        <f t="shared" ref="AV65" si="176">-AY66</f>
        <v>-26936</v>
      </c>
      <c r="AW65" s="230">
        <f t="shared" ref="AW65" si="177">AY66</f>
        <v>26936</v>
      </c>
      <c r="AX65" s="230">
        <f t="shared" ref="AX65" si="178">SUM(AV65:AW65)</f>
        <v>0</v>
      </c>
      <c r="AY65" s="230"/>
      <c r="AZ65" s="230">
        <f t="shared" ref="AZ65" si="179">-BC66</f>
        <v>-27682</v>
      </c>
      <c r="BA65" s="230">
        <f t="shared" ref="BA65" si="180">BC66</f>
        <v>27682</v>
      </c>
      <c r="BB65" s="230">
        <f t="shared" ref="BB65" si="181">SUM(AZ65:BA65)</f>
        <v>0</v>
      </c>
      <c r="BC65" s="230"/>
      <c r="BD65" s="230">
        <f t="shared" ref="BD65" si="182">-BG66</f>
        <v>-16810</v>
      </c>
      <c r="BE65" s="230">
        <f t="shared" ref="BE65" si="183">BG66</f>
        <v>16810</v>
      </c>
      <c r="BF65" s="230">
        <f t="shared" ref="BF65" si="184">SUM(BD65:BE65)</f>
        <v>0</v>
      </c>
      <c r="BG65" s="230"/>
      <c r="BH65" s="230">
        <f t="shared" ref="BH65" si="185">-BK66</f>
        <v>-30218</v>
      </c>
      <c r="BI65" s="230">
        <f t="shared" ref="BI65" si="186">BK66</f>
        <v>30218</v>
      </c>
      <c r="BJ65" s="230">
        <f t="shared" ref="BJ65" si="187">SUM(BH65:BI65)</f>
        <v>0</v>
      </c>
      <c r="BK65" s="230"/>
      <c r="BL65" s="230">
        <f>SUMIF($P$4:$BK$4,$BL$4,$P65:$BK$65)</f>
        <v>-258034</v>
      </c>
      <c r="BM65" s="230">
        <f>SUMIF($P$4:$BK$4,$BM$4,$P65:$BK$65)</f>
        <v>258034</v>
      </c>
      <c r="BN65" s="230">
        <f t="shared" ref="BN65" si="188">SUM(BL65:BM65)</f>
        <v>0</v>
      </c>
      <c r="BO65" s="230">
        <f>SUMIF($P$4:$BK$4,$BO$4,$P65:$BK$65)</f>
        <v>0</v>
      </c>
      <c r="BP65" s="230">
        <f t="shared" ref="BP65" si="189">+L65+BL65</f>
        <v>20279</v>
      </c>
      <c r="BQ65" s="230">
        <f t="shared" ref="BQ65" si="190">+M65+BM65</f>
        <v>-20279</v>
      </c>
      <c r="BR65" s="230">
        <f t="shared" ref="BR65" si="191">SUM(BP65:BQ65)</f>
        <v>0</v>
      </c>
      <c r="BS65" s="230">
        <f t="shared" ref="BS65" si="192">+O65+BO65</f>
        <v>0</v>
      </c>
      <c r="BT65" s="230">
        <f t="shared" ref="BT65" si="193">-BW66</f>
        <v>0</v>
      </c>
      <c r="BU65" s="230">
        <f t="shared" ref="BU65" si="194">BW66</f>
        <v>0</v>
      </c>
      <c r="BV65" s="230">
        <f t="shared" ref="BV65" si="195">SUM(BT65:BU65)</f>
        <v>0</v>
      </c>
      <c r="BW65" s="230"/>
      <c r="BX65" s="230">
        <f t="shared" ref="BX65" si="196">+BP65+BT65</f>
        <v>20279</v>
      </c>
      <c r="BY65" s="230">
        <f t="shared" ref="BY65" si="197">+BQ65+BU65</f>
        <v>-20279</v>
      </c>
      <c r="BZ65" s="230">
        <f t="shared" ref="BZ65" si="198">SUM(BX65:BY65)</f>
        <v>0</v>
      </c>
      <c r="CA65" s="230">
        <f t="shared" ref="CA65" si="199">+BS65+BW65</f>
        <v>0</v>
      </c>
      <c r="CB65" s="230">
        <f>IFERROR(VLOOKUP($A65,'A4 23 FCST'!$1:$1048576,14,0),0)</f>
        <v>0</v>
      </c>
      <c r="CC65" s="230">
        <f>IFERROR(VLOOKUP($A65,'A4 23 FCST'!$1:$1048576,15,0),0)</f>
        <v>0</v>
      </c>
      <c r="CD65" s="230">
        <f t="shared" ref="CD65" si="200">SUM(CB65:CC65)</f>
        <v>0</v>
      </c>
      <c r="CE65" s="230"/>
      <c r="CF65" s="230">
        <f t="shared" ref="CF65" si="201">+BX65+CB65</f>
        <v>20279</v>
      </c>
      <c r="CG65" s="230">
        <f t="shared" ref="CG65" si="202">+BY65+CC65</f>
        <v>-20279</v>
      </c>
      <c r="CH65" s="230">
        <f t="shared" ref="CH65" si="203">SUM(CF65:CG65)</f>
        <v>0</v>
      </c>
      <c r="CI65" s="230">
        <f t="shared" ref="CI65" si="204">+CA65+CE65</f>
        <v>0</v>
      </c>
      <c r="CJ65" s="230">
        <f>IFERROR(VLOOKUP($A65,'A4 23 FCST'!$1:$1048576,14,0),0)</f>
        <v>0</v>
      </c>
      <c r="CK65" s="230">
        <f>IFERROR(VLOOKUP($A65,'A4 23 FCST'!$1:$1048576,15,0),0)</f>
        <v>0</v>
      </c>
      <c r="CL65" s="230">
        <f t="shared" ref="CL65" si="205">SUM(CJ65:CK65)</f>
        <v>0</v>
      </c>
      <c r="CM65" s="230"/>
      <c r="CN65" s="230">
        <f t="shared" ref="CN65" si="206">+CF65+CJ65</f>
        <v>20279</v>
      </c>
      <c r="CO65" s="230">
        <f t="shared" ref="CO65" si="207">+CG65+CK65</f>
        <v>-20279</v>
      </c>
      <c r="CP65" s="230">
        <f t="shared" ref="CP65" si="208">SUM(CN65:CO65)</f>
        <v>0</v>
      </c>
      <c r="CQ65" s="230">
        <f t="shared" ref="CQ65" si="209">+CI65+CM65</f>
        <v>0</v>
      </c>
      <c r="CR65" s="230">
        <f>IFERROR(VLOOKUP($A65,'A4 23 FCST'!$1:$1048576,14,0),0)</f>
        <v>0</v>
      </c>
      <c r="CS65" s="230">
        <f>IFERROR(VLOOKUP($A65,'A4 23 FCST'!$1:$1048576,15,0),0)</f>
        <v>0</v>
      </c>
      <c r="CT65" s="230">
        <f t="shared" ref="CT65" si="210">SUM(CR65:CS65)</f>
        <v>0</v>
      </c>
      <c r="CU65" s="230"/>
      <c r="CV65" s="230">
        <f t="shared" ref="CV65" si="211">+CN65+CR65</f>
        <v>20279</v>
      </c>
      <c r="CW65" s="230">
        <f t="shared" ref="CW65" si="212">+CO65+CS65</f>
        <v>-20279</v>
      </c>
      <c r="CX65" s="230">
        <f t="shared" ref="CX65" si="213">SUM(CV65:CW65)</f>
        <v>0</v>
      </c>
      <c r="CY65" s="230">
        <f t="shared" ref="CY65" si="214">+CQ65+CU65</f>
        <v>0</v>
      </c>
    </row>
    <row r="66" spans="1:103" ht="21" customHeight="1" outlineLevel="1">
      <c r="A66" s="1394"/>
      <c r="B66" s="1395" t="s">
        <v>1965</v>
      </c>
      <c r="C66" s="1395"/>
      <c r="D66" s="1396">
        <f>D29+D58+D64+D65</f>
        <v>106027027</v>
      </c>
      <c r="E66" s="1396">
        <f t="shared" ref="E66:BP66" si="215">E29+E58+E64+E65</f>
        <v>62566004</v>
      </c>
      <c r="F66" s="1396">
        <f t="shared" si="215"/>
        <v>168593031</v>
      </c>
      <c r="G66" s="1396">
        <f t="shared" si="215"/>
        <v>0</v>
      </c>
      <c r="H66" s="1396">
        <f>H29+H58+H64+H65</f>
        <v>16003979</v>
      </c>
      <c r="I66" s="1396">
        <f t="shared" si="215"/>
        <v>-9715531</v>
      </c>
      <c r="J66" s="1396">
        <f t="shared" si="215"/>
        <v>6288448</v>
      </c>
      <c r="K66" s="1396">
        <f t="shared" si="215"/>
        <v>-278313</v>
      </c>
      <c r="L66" s="1396">
        <f>L29+L58+L64+L65</f>
        <v>122031006</v>
      </c>
      <c r="M66" s="1396">
        <f t="shared" si="215"/>
        <v>52850473</v>
      </c>
      <c r="N66" s="1396">
        <f t="shared" si="215"/>
        <v>174881479</v>
      </c>
      <c r="O66" s="1396">
        <f t="shared" si="215"/>
        <v>-278313</v>
      </c>
      <c r="P66" s="1396">
        <f t="shared" si="215"/>
        <v>4934706</v>
      </c>
      <c r="Q66" s="1396">
        <f t="shared" si="215"/>
        <v>1613915</v>
      </c>
      <c r="R66" s="1396">
        <f t="shared" si="215"/>
        <v>6548621</v>
      </c>
      <c r="S66" s="1396">
        <f>S29+S58+S64+S65</f>
        <v>20613</v>
      </c>
      <c r="T66" s="1396">
        <f t="shared" si="215"/>
        <v>3081127</v>
      </c>
      <c r="U66" s="1396">
        <f t="shared" si="215"/>
        <v>949850</v>
      </c>
      <c r="V66" s="1396">
        <f t="shared" si="215"/>
        <v>4030977</v>
      </c>
      <c r="W66" s="1396">
        <f t="shared" si="215"/>
        <v>8132</v>
      </c>
      <c r="X66" s="1396">
        <f t="shared" si="215"/>
        <v>6017966</v>
      </c>
      <c r="Y66" s="1396">
        <f t="shared" si="215"/>
        <v>1897956</v>
      </c>
      <c r="Z66" s="1396">
        <f t="shared" si="215"/>
        <v>7915922</v>
      </c>
      <c r="AA66" s="1396">
        <f t="shared" si="215"/>
        <v>9110</v>
      </c>
      <c r="AB66" s="1396">
        <f t="shared" si="215"/>
        <v>4351731</v>
      </c>
      <c r="AC66" s="1396">
        <f t="shared" si="215"/>
        <v>2520796</v>
      </c>
      <c r="AD66" s="1396">
        <f t="shared" si="215"/>
        <v>6872527</v>
      </c>
      <c r="AE66" s="1396">
        <f t="shared" si="215"/>
        <v>22493</v>
      </c>
      <c r="AF66" s="1396">
        <f t="shared" si="215"/>
        <v>4371179</v>
      </c>
      <c r="AG66" s="1396">
        <f t="shared" si="215"/>
        <v>1455304</v>
      </c>
      <c r="AH66" s="1396">
        <f t="shared" si="215"/>
        <v>5826483</v>
      </c>
      <c r="AI66" s="1396">
        <f t="shared" si="215"/>
        <v>22492</v>
      </c>
      <c r="AJ66" s="1396">
        <f t="shared" ref="AJ66:AM66" si="216">AJ29+AJ58+AJ64+AJ65</f>
        <v>4373972</v>
      </c>
      <c r="AK66" s="1396">
        <f t="shared" si="216"/>
        <v>1566096</v>
      </c>
      <c r="AL66" s="1396">
        <f t="shared" si="216"/>
        <v>5940068</v>
      </c>
      <c r="AM66" s="1396">
        <f t="shared" si="216"/>
        <v>22493</v>
      </c>
      <c r="AN66" s="1396">
        <f t="shared" ref="AN66:AQ66" si="217">AN29+AN58+AN64+AN65</f>
        <v>4260679</v>
      </c>
      <c r="AO66" s="1396">
        <f t="shared" si="217"/>
        <v>1511176</v>
      </c>
      <c r="AP66" s="1396">
        <f t="shared" si="217"/>
        <v>5771855</v>
      </c>
      <c r="AQ66" s="1396">
        <f t="shared" si="217"/>
        <v>24118</v>
      </c>
      <c r="AR66" s="1396">
        <f t="shared" ref="AR66:AY66" si="218">AR29+AR58+AR64+AR65</f>
        <v>3783788</v>
      </c>
      <c r="AS66" s="1396">
        <f t="shared" si="218"/>
        <v>692809</v>
      </c>
      <c r="AT66" s="1396">
        <f t="shared" si="218"/>
        <v>4476597</v>
      </c>
      <c r="AU66" s="1396">
        <f t="shared" si="218"/>
        <v>26937</v>
      </c>
      <c r="AV66" s="1396">
        <f t="shared" si="218"/>
        <v>3716980</v>
      </c>
      <c r="AW66" s="1396">
        <f t="shared" si="218"/>
        <v>495556</v>
      </c>
      <c r="AX66" s="1396">
        <f t="shared" si="218"/>
        <v>4212536</v>
      </c>
      <c r="AY66" s="1396">
        <f t="shared" si="218"/>
        <v>26936</v>
      </c>
      <c r="AZ66" s="1396">
        <f t="shared" ref="AZ66:BK66" si="219">AZ29+AZ58+AZ64+AZ65</f>
        <v>4292671</v>
      </c>
      <c r="BA66" s="1396">
        <f t="shared" si="219"/>
        <v>3207032</v>
      </c>
      <c r="BB66" s="1396">
        <f t="shared" si="219"/>
        <v>7499703</v>
      </c>
      <c r="BC66" s="1396">
        <f t="shared" si="219"/>
        <v>27682</v>
      </c>
      <c r="BD66" s="1396">
        <f t="shared" si="219"/>
        <v>3966531</v>
      </c>
      <c r="BE66" s="1396">
        <f t="shared" si="219"/>
        <v>1510968</v>
      </c>
      <c r="BF66" s="1396">
        <f t="shared" si="219"/>
        <v>5477499</v>
      </c>
      <c r="BG66" s="1396">
        <f t="shared" si="219"/>
        <v>16810</v>
      </c>
      <c r="BH66" s="1396">
        <f t="shared" si="219"/>
        <v>8840702</v>
      </c>
      <c r="BI66" s="1396">
        <f t="shared" si="219"/>
        <v>4710284</v>
      </c>
      <c r="BJ66" s="1396">
        <f t="shared" si="219"/>
        <v>13550986</v>
      </c>
      <c r="BK66" s="1396">
        <f t="shared" si="219"/>
        <v>30218</v>
      </c>
      <c r="BL66" s="1396">
        <f t="shared" si="215"/>
        <v>55992032</v>
      </c>
      <c r="BM66" s="1396">
        <f t="shared" si="215"/>
        <v>22131742</v>
      </c>
      <c r="BN66" s="1396">
        <f t="shared" si="215"/>
        <v>78123774</v>
      </c>
      <c r="BO66" s="1396">
        <f t="shared" si="215"/>
        <v>258034</v>
      </c>
      <c r="BP66" s="1396">
        <f t="shared" si="215"/>
        <v>178023038</v>
      </c>
      <c r="BQ66" s="1396">
        <f t="shared" ref="BQ66:CY66" si="220">BQ29+BQ58+BQ64+BQ65</f>
        <v>74982215</v>
      </c>
      <c r="BR66" s="1396">
        <f t="shared" si="220"/>
        <v>253005253</v>
      </c>
      <c r="BS66" s="1396">
        <f t="shared" si="220"/>
        <v>-20279</v>
      </c>
      <c r="BT66" s="1396">
        <f t="shared" si="220"/>
        <v>52847779</v>
      </c>
      <c r="BU66" s="1396">
        <f t="shared" si="220"/>
        <v>21246077</v>
      </c>
      <c r="BV66" s="1396">
        <f t="shared" si="220"/>
        <v>74093856</v>
      </c>
      <c r="BW66" s="1396">
        <f t="shared" si="220"/>
        <v>0</v>
      </c>
      <c r="BX66" s="1396">
        <f>BX29+BX58+BX64+BX65</f>
        <v>230870817</v>
      </c>
      <c r="BY66" s="1396">
        <f t="shared" si="220"/>
        <v>96228292</v>
      </c>
      <c r="BZ66" s="1396">
        <f>BZ29+BZ58+BZ64+BZ65</f>
        <v>327099109</v>
      </c>
      <c r="CA66" s="1396">
        <f t="shared" si="220"/>
        <v>-20279</v>
      </c>
      <c r="CB66" s="1396">
        <f t="shared" si="220"/>
        <v>57179915</v>
      </c>
      <c r="CC66" s="1396">
        <f t="shared" si="220"/>
        <v>24084271</v>
      </c>
      <c r="CD66" s="1396">
        <f t="shared" si="220"/>
        <v>81264186</v>
      </c>
      <c r="CE66" s="1396">
        <f t="shared" si="220"/>
        <v>0</v>
      </c>
      <c r="CF66" s="1396">
        <f t="shared" si="220"/>
        <v>288050732</v>
      </c>
      <c r="CG66" s="1396">
        <f t="shared" si="220"/>
        <v>120312563</v>
      </c>
      <c r="CH66" s="1396">
        <f t="shared" si="220"/>
        <v>408363295</v>
      </c>
      <c r="CI66" s="1396">
        <f t="shared" si="220"/>
        <v>-20279</v>
      </c>
      <c r="CJ66" s="1396">
        <f t="shared" ref="CJ66:CM66" si="221">CJ29+CJ58+CJ64+CJ65</f>
        <v>55778598</v>
      </c>
      <c r="CK66" s="1396">
        <f t="shared" si="221"/>
        <v>24699862</v>
      </c>
      <c r="CL66" s="1396">
        <f t="shared" si="221"/>
        <v>80478460</v>
      </c>
      <c r="CM66" s="1396">
        <f t="shared" si="221"/>
        <v>0</v>
      </c>
      <c r="CN66" s="1396">
        <f t="shared" si="220"/>
        <v>343829330</v>
      </c>
      <c r="CO66" s="1396">
        <f t="shared" si="220"/>
        <v>145012425</v>
      </c>
      <c r="CP66" s="1396">
        <f t="shared" si="220"/>
        <v>488841755</v>
      </c>
      <c r="CQ66" s="1396">
        <f t="shared" si="220"/>
        <v>-20279</v>
      </c>
      <c r="CR66" s="1396">
        <f t="shared" si="220"/>
        <v>62066027</v>
      </c>
      <c r="CS66" s="1396">
        <f t="shared" si="220"/>
        <v>26560459</v>
      </c>
      <c r="CT66" s="1396">
        <f t="shared" si="220"/>
        <v>88626486</v>
      </c>
      <c r="CU66" s="1396">
        <f t="shared" si="220"/>
        <v>0</v>
      </c>
      <c r="CV66" s="1396">
        <f t="shared" si="220"/>
        <v>405895357</v>
      </c>
      <c r="CW66" s="1396">
        <f t="shared" si="220"/>
        <v>171572884</v>
      </c>
      <c r="CX66" s="1396">
        <f t="shared" si="220"/>
        <v>577468241</v>
      </c>
      <c r="CY66" s="1396">
        <f t="shared" si="220"/>
        <v>-20279</v>
      </c>
    </row>
    <row r="67" spans="1:103">
      <c r="A67" s="231"/>
      <c r="B67" s="232"/>
      <c r="C67" s="232"/>
      <c r="D67" s="232">
        <f>+D66-'202608收入成本表'!W50</f>
        <v>0</v>
      </c>
      <c r="E67" s="232">
        <f>+E66-'202608收入成本表'!X50</f>
        <v>0</v>
      </c>
      <c r="F67" s="232">
        <f>+F66-'202608收入成本表'!V50</f>
        <v>0</v>
      </c>
      <c r="G67" s="232"/>
      <c r="H67" s="232">
        <f>H66-'預算A1 BIM'!S143-'預算A1 BIM'!T143-'預算A1 BIM'!U143-'預算A1 BIM'!V143</f>
        <v>0</v>
      </c>
      <c r="I67" s="232">
        <f>I66-'預算A1 BIM'!S220-'預算A1 BIM'!T220-'預算A1 BIM'!U220-'預算A1 BIM'!V220</f>
        <v>0</v>
      </c>
      <c r="J67" s="232">
        <f>J66-'預算A1 BIM'!S72-'預算A1 BIM'!T72-'預算A1 BIM'!U72-'預算A1 BIM'!V72</f>
        <v>0</v>
      </c>
      <c r="K67" s="232"/>
      <c r="L67" s="232">
        <f>L66-'分月預算(完比)'!R70</f>
        <v>0</v>
      </c>
      <c r="M67" s="232">
        <f>M66-'分月預算(完比)'!S70</f>
        <v>0</v>
      </c>
      <c r="N67" s="232">
        <f>N66-'分月預算(完比)'!Q70</f>
        <v>0</v>
      </c>
      <c r="O67" s="232"/>
      <c r="P67" s="98">
        <f>P66-'分月預算(完比)'!Y70</f>
        <v>0</v>
      </c>
      <c r="Q67" s="98">
        <f>Q66-'分月預算(完比)'!Z70</f>
        <v>0</v>
      </c>
      <c r="R67" s="232">
        <f>R66-'分月預算(完比)'!X70</f>
        <v>0</v>
      </c>
      <c r="T67" s="98">
        <f>T66-'分月預算(完比)'!AI70</f>
        <v>0</v>
      </c>
      <c r="U67" s="98">
        <f>U66-'分月預算(完比)'!AJ70</f>
        <v>0</v>
      </c>
      <c r="V67" s="232">
        <f>V66-'分月預算(完比)'!AH70</f>
        <v>0</v>
      </c>
      <c r="X67" s="98">
        <f>X66-'分月預算(完比)'!AS70</f>
        <v>0</v>
      </c>
      <c r="Y67" s="98">
        <f>Y66-'分月預算(完比)'!AT70</f>
        <v>0</v>
      </c>
      <c r="Z67" s="232">
        <f>Z66-'分月預算(完比)'!AR70</f>
        <v>0</v>
      </c>
      <c r="AB67" s="98">
        <f>AB66-'分月預算(完比)'!BC70</f>
        <v>0</v>
      </c>
      <c r="AC67" s="98">
        <f>AC66-'分月預算(完比)'!BD70</f>
        <v>0</v>
      </c>
      <c r="AD67" s="232">
        <f>AD66-'分月預算(完比)'!BB70</f>
        <v>0</v>
      </c>
      <c r="AF67" s="98">
        <f>AF66-'分月預算(完比)'!BM70</f>
        <v>0</v>
      </c>
      <c r="AG67" s="98">
        <f>AG66-'分月預算(完比)'!BN70</f>
        <v>0</v>
      </c>
      <c r="AH67" s="232">
        <f>AH66-'分月預算(完比)'!BL70</f>
        <v>0</v>
      </c>
      <c r="AJ67" s="98">
        <f>AJ66-'分月預算(完比)'!BW70</f>
        <v>0</v>
      </c>
      <c r="AK67" s="98">
        <f>AK66-'分月預算(完比)'!BX70</f>
        <v>0</v>
      </c>
      <c r="AL67" s="232">
        <f>AL66-'分月預算(完比)'!BV70</f>
        <v>0</v>
      </c>
      <c r="AN67" s="98">
        <f>AN66-'分月預算(完比)'!CG70</f>
        <v>0</v>
      </c>
      <c r="AO67" s="98">
        <f>AO66-'分月預算(完比)'!CH70</f>
        <v>0</v>
      </c>
      <c r="AP67" s="232">
        <f>AP66-'分月預算(完比)'!CF70</f>
        <v>0</v>
      </c>
      <c r="AR67" s="98">
        <f>AR66-'分月預算(完比)'!CQ70</f>
        <v>0</v>
      </c>
      <c r="AS67" s="98">
        <f>AS66-'分月預算(完比)'!CR70</f>
        <v>0</v>
      </c>
      <c r="AT67" s="232">
        <f>AT66-'分月預算(完比)'!CP70</f>
        <v>0</v>
      </c>
      <c r="AV67" s="98">
        <f>AV66-'分月預算(完比)'!DA70</f>
        <v>0</v>
      </c>
      <c r="AW67" s="98">
        <f>AW66-'分月預算(完比)'!DB70</f>
        <v>0</v>
      </c>
      <c r="AX67" s="232">
        <f>AX66-'分月預算(完比)'!CZ70</f>
        <v>0</v>
      </c>
      <c r="AZ67" s="98">
        <f>AZ66-'分月預算(完比)'!DK70</f>
        <v>0</v>
      </c>
      <c r="BA67" s="98">
        <f>BA66-'分月預算(完比)'!DL70</f>
        <v>0</v>
      </c>
      <c r="BB67" s="232">
        <f>BB66-'分月預算(完比)'!DJ70</f>
        <v>0</v>
      </c>
      <c r="BD67" s="98">
        <f>BD66-'分月預算(完比)'!DU70</f>
        <v>0</v>
      </c>
      <c r="BE67" s="98">
        <f>BE66-'分月預算(完比)'!DV70</f>
        <v>0</v>
      </c>
      <c r="BF67" s="232">
        <f>BF66-'分月預算(完比)'!DT70</f>
        <v>0</v>
      </c>
      <c r="BH67" s="98">
        <f>BH66-'分月預算(完比)'!EE70</f>
        <v>0</v>
      </c>
      <c r="BI67" s="98">
        <f>BI66-'分月預算(完比)'!EF70</f>
        <v>0</v>
      </c>
      <c r="BJ67" s="232">
        <f>BJ66-'分月預算(完比)'!ED70</f>
        <v>0</v>
      </c>
      <c r="BL67" s="98">
        <f>BL66-'分月預算(完比)'!EH70</f>
        <v>0</v>
      </c>
      <c r="BM67" s="98">
        <f>BM66-'分月預算(完比)'!EI70</f>
        <v>0</v>
      </c>
      <c r="BN67" s="232">
        <f>BN66-'分月預算(完比)'!EG70</f>
        <v>0</v>
      </c>
      <c r="BP67" s="98">
        <f>+BL66+L66-BP66</f>
        <v>0</v>
      </c>
      <c r="BQ67" s="98">
        <f>+BM66+M66-BQ66</f>
        <v>0</v>
      </c>
      <c r="BR67" s="98">
        <f>+BN66+N66-BR66</f>
        <v>0</v>
      </c>
      <c r="BS67" s="98">
        <f>+BO66+O66-BS66</f>
        <v>0</v>
      </c>
      <c r="BT67" s="98">
        <f>BT66-'分月預算(完比)'!ET70</f>
        <v>0</v>
      </c>
      <c r="BU67" s="98">
        <f>BU66-'分月預算(完比)'!EU70</f>
        <v>0</v>
      </c>
      <c r="BV67" s="232">
        <f>BV66-'分月預算(完比)'!ES70</f>
        <v>0</v>
      </c>
      <c r="BX67" s="98">
        <f>BX66-'分月預算(完比)'!EX70</f>
        <v>0</v>
      </c>
      <c r="BY67" s="98">
        <f>BY66-'分月預算(完比)'!EY70</f>
        <v>0</v>
      </c>
      <c r="BZ67" s="232">
        <f>BZ66-'分月預算(完比)'!EW70</f>
        <v>0</v>
      </c>
      <c r="CB67" s="98">
        <f>CB66-'分月預算(完比)'!FF70</f>
        <v>0</v>
      </c>
      <c r="CC67" s="98">
        <f>CC66-'分月預算(完比)'!FG70</f>
        <v>0</v>
      </c>
      <c r="CD67" s="232">
        <f>CD66-'分月預算(完比)'!FE70</f>
        <v>0</v>
      </c>
      <c r="CF67" s="98">
        <f>CF66-'分月預算(完比)'!FJ70</f>
        <v>0</v>
      </c>
      <c r="CG67" s="98">
        <f>CG66-'分月預算(完比)'!FK70</f>
        <v>0</v>
      </c>
      <c r="CH67" s="232">
        <f>CH66-'分月預算(完比)'!FI70</f>
        <v>0</v>
      </c>
      <c r="CJ67" s="98">
        <f>CJ66-'分月預算(完比)'!FR70</f>
        <v>0</v>
      </c>
      <c r="CK67" s="98">
        <f>CK66-'分月預算(完比)'!FS70</f>
        <v>0</v>
      </c>
      <c r="CL67" s="232">
        <f>CL66-'分月預算(完比)'!FQ70</f>
        <v>0</v>
      </c>
      <c r="CN67" s="98">
        <f>CN66-'分月預算(完比)'!FV70</f>
        <v>0</v>
      </c>
      <c r="CO67" s="98">
        <f>CO66-'分月預算(完比)'!FW70</f>
        <v>0</v>
      </c>
      <c r="CP67" s="232">
        <f>CP66-'分月預算(完比)'!FU70</f>
        <v>0</v>
      </c>
      <c r="CR67" s="98">
        <f>CR66-'分月預算(完比)'!GD70</f>
        <v>0</v>
      </c>
      <c r="CS67" s="98">
        <f>CS66-'分月預算(完比)'!GE70</f>
        <v>0</v>
      </c>
      <c r="CT67" s="232">
        <f>CT66-'分月預算(完比)'!GC70</f>
        <v>0</v>
      </c>
      <c r="CV67" s="98">
        <f>CV66-'分月預算(完比)'!GH70</f>
        <v>0</v>
      </c>
      <c r="CW67" s="98">
        <f>CW66-'分月預算(完比)'!GI70</f>
        <v>0</v>
      </c>
      <c r="CX67" s="232">
        <f>CX66-'分月預算(完比)'!GG70</f>
        <v>0</v>
      </c>
    </row>
    <row r="68" spans="1:103">
      <c r="A68" s="231"/>
      <c r="B68" s="232"/>
      <c r="C68" s="232"/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R68" s="232"/>
      <c r="V68" s="232"/>
      <c r="Z68" s="232"/>
      <c r="AD68" s="232"/>
      <c r="AH68" s="232"/>
      <c r="AL68" s="232"/>
      <c r="AP68" s="232"/>
      <c r="AT68" s="232"/>
      <c r="AX68" s="232"/>
      <c r="BB68" s="232"/>
      <c r="BF68" s="232"/>
      <c r="BJ68" s="232"/>
      <c r="BN68" s="232"/>
      <c r="BR68" s="98"/>
      <c r="BV68" s="232"/>
      <c r="BZ68" s="232"/>
      <c r="CD68" s="232"/>
      <c r="CH68" s="232"/>
      <c r="CL68" s="232"/>
      <c r="CP68" s="232"/>
      <c r="CT68" s="232"/>
      <c r="CX68" s="232"/>
    </row>
    <row r="69" spans="1:103">
      <c r="A69" s="231"/>
      <c r="B69" s="232"/>
      <c r="C69" s="232"/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R69" s="232"/>
      <c r="V69" s="232"/>
      <c r="Z69" s="232"/>
      <c r="AD69" s="232"/>
      <c r="AH69" s="232"/>
      <c r="AL69" s="232"/>
      <c r="AP69" s="232"/>
      <c r="AT69" s="232"/>
      <c r="AX69" s="232"/>
      <c r="BB69" s="232"/>
      <c r="BF69" s="232"/>
      <c r="BJ69" s="232"/>
      <c r="BN69" s="232"/>
      <c r="BR69" s="98"/>
      <c r="BV69" s="232"/>
      <c r="BZ69" s="232"/>
      <c r="CD69" s="232"/>
      <c r="CH69" s="232"/>
      <c r="CL69" s="232"/>
      <c r="CP69" s="232"/>
      <c r="CT69" s="232"/>
      <c r="CX69" s="232"/>
    </row>
    <row r="70" spans="1:103" ht="24.75" customHeight="1">
      <c r="A70" s="231"/>
      <c r="B70" s="232"/>
      <c r="C70" s="232"/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R70" s="232"/>
      <c r="S70" s="232"/>
      <c r="T70" s="232"/>
      <c r="U70" s="232"/>
      <c r="V70" s="232"/>
      <c r="W70" s="232"/>
      <c r="Z70" s="232"/>
      <c r="AA70" s="232"/>
      <c r="AD70" s="232"/>
      <c r="AH70" s="232"/>
      <c r="AI70" s="232"/>
      <c r="AL70" s="232"/>
      <c r="AP70" s="232"/>
      <c r="AQ70" s="232"/>
      <c r="AT70" s="232"/>
      <c r="AX70" s="232"/>
      <c r="AY70" s="232"/>
      <c r="BB70" s="232"/>
      <c r="BF70" s="232"/>
      <c r="BG70" s="232"/>
      <c r="BJ70" s="232"/>
      <c r="BN70" s="232"/>
      <c r="BO70" s="232"/>
      <c r="BR70" s="232"/>
      <c r="BV70" s="232"/>
      <c r="BW70" s="232"/>
      <c r="BZ70" s="232"/>
      <c r="CD70" s="232"/>
      <c r="CE70" s="232"/>
      <c r="CH70" s="232"/>
      <c r="CL70" s="232"/>
      <c r="CM70" s="232"/>
      <c r="CP70" s="232"/>
      <c r="CT70" s="232"/>
      <c r="CU70" s="232"/>
      <c r="CX70" s="232"/>
    </row>
    <row r="71" spans="1:103">
      <c r="A71" s="233"/>
      <c r="B71" s="233"/>
      <c r="C71" s="233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R71" s="98"/>
      <c r="V71" s="98"/>
      <c r="Z71" s="98"/>
      <c r="AD71" s="98"/>
      <c r="AH71" s="98"/>
      <c r="AL71" s="98"/>
      <c r="AP71" s="98"/>
      <c r="AT71" s="98"/>
      <c r="AX71" s="98"/>
      <c r="BB71" s="98"/>
      <c r="BF71" s="98"/>
      <c r="BJ71" s="98"/>
      <c r="BN71" s="98"/>
      <c r="BR71" s="98"/>
      <c r="BV71" s="98"/>
      <c r="BZ71" s="98"/>
      <c r="CD71" s="98"/>
      <c r="CH71" s="98"/>
      <c r="CL71" s="98"/>
      <c r="CP71" s="98"/>
      <c r="CT71" s="98"/>
      <c r="CX71" s="98"/>
    </row>
    <row r="72" spans="1:103" hidden="1" outlineLevel="1">
      <c r="A72" s="234" t="s">
        <v>723</v>
      </c>
      <c r="B72" s="232"/>
      <c r="C72" s="232"/>
      <c r="D72" s="232"/>
      <c r="E72" s="232"/>
      <c r="F72" s="232"/>
      <c r="G72" s="232"/>
      <c r="H72" s="235"/>
      <c r="I72" s="232"/>
      <c r="J72" s="232"/>
      <c r="K72" s="236"/>
      <c r="L72" s="232"/>
      <c r="M72" s="232"/>
      <c r="N72" s="232"/>
      <c r="O72" s="232"/>
      <c r="P72" s="237"/>
      <c r="R72" s="232"/>
      <c r="S72" s="238"/>
      <c r="V72" s="232"/>
      <c r="X72" s="237"/>
      <c r="Z72" s="232"/>
      <c r="AA72" s="238"/>
      <c r="AD72" s="232"/>
      <c r="AF72" s="237"/>
      <c r="AH72" s="232"/>
      <c r="AI72" s="238"/>
      <c r="AJ72" s="187"/>
      <c r="AK72" s="187"/>
      <c r="AL72" s="239"/>
      <c r="AM72" s="187"/>
      <c r="AN72" s="237"/>
      <c r="AP72" s="232"/>
      <c r="AQ72" s="238"/>
      <c r="AR72" s="187"/>
      <c r="AS72" s="187"/>
      <c r="AT72" s="239"/>
      <c r="AU72" s="187"/>
      <c r="AV72" s="237"/>
      <c r="AX72" s="232"/>
      <c r="AY72" s="238"/>
      <c r="AZ72" s="187"/>
      <c r="BA72" s="187"/>
      <c r="BB72" s="239"/>
      <c r="BC72" s="187"/>
      <c r="BD72" s="237"/>
      <c r="BF72" s="232"/>
      <c r="BG72" s="238"/>
      <c r="BH72" s="187"/>
      <c r="BI72" s="187"/>
      <c r="BJ72" s="239"/>
      <c r="BK72" s="187"/>
      <c r="BL72" s="237"/>
      <c r="BN72" s="232"/>
      <c r="BO72" s="238"/>
      <c r="BP72" s="240" t="s">
        <v>724</v>
      </c>
      <c r="BQ72" s="187"/>
      <c r="BR72" s="239"/>
      <c r="BS72" s="187"/>
      <c r="BT72" s="237"/>
      <c r="BV72" s="232"/>
      <c r="BW72" s="238"/>
      <c r="BX72" s="187"/>
      <c r="BY72" s="187"/>
      <c r="BZ72" s="239"/>
      <c r="CA72" s="187"/>
      <c r="CB72" s="237"/>
      <c r="CD72" s="232"/>
      <c r="CE72" s="238"/>
      <c r="CF72" s="187"/>
      <c r="CG72" s="187"/>
      <c r="CH72" s="239"/>
      <c r="CI72" s="187"/>
      <c r="CJ72" s="237"/>
      <c r="CL72" s="232"/>
      <c r="CM72" s="238"/>
      <c r="CN72" s="187"/>
      <c r="CO72" s="187"/>
      <c r="CP72" s="239"/>
      <c r="CQ72" s="187"/>
      <c r="CR72" s="237"/>
      <c r="CT72" s="232"/>
      <c r="CU72" s="238"/>
      <c r="CV72" s="187"/>
      <c r="CW72" s="187"/>
      <c r="CX72" s="239"/>
      <c r="CY72" s="187"/>
    </row>
    <row r="73" spans="1:103" hidden="1" outlineLevel="1">
      <c r="A73" s="175" t="s">
        <v>325</v>
      </c>
      <c r="B73" s="180" t="s">
        <v>326</v>
      </c>
      <c r="C73" s="316"/>
      <c r="D73" s="241">
        <f>IFERROR(VLOOKUP($A73,#REF!,98,0),0)</f>
        <v>0</v>
      </c>
      <c r="E73" s="241">
        <f>IFERROR(VLOOKUP($A73,#REF!,99,0),0)</f>
        <v>0</v>
      </c>
      <c r="F73" s="242">
        <f>+D73+E73</f>
        <v>0</v>
      </c>
      <c r="G73" s="242"/>
      <c r="H73" s="243"/>
      <c r="I73" s="242"/>
      <c r="J73" s="242">
        <f>+H73+I73</f>
        <v>0</v>
      </c>
      <c r="K73" s="244"/>
      <c r="L73" s="243">
        <f>+D73+H73</f>
        <v>0</v>
      </c>
      <c r="M73" s="242">
        <f>IFERROR(VLOOKUP($A73,#REF!,140,0),0)</f>
        <v>0</v>
      </c>
      <c r="N73" s="226">
        <f>SUM(L73:M73)</f>
        <v>0</v>
      </c>
      <c r="O73" s="242"/>
      <c r="P73" s="245"/>
      <c r="Q73" s="246"/>
      <c r="R73" s="246"/>
      <c r="S73" s="247"/>
      <c r="T73" s="248"/>
      <c r="U73" s="246"/>
      <c r="V73" s="246"/>
      <c r="W73" s="249"/>
      <c r="X73" s="245"/>
      <c r="Y73" s="246"/>
      <c r="Z73" s="246"/>
      <c r="AA73" s="247"/>
      <c r="AB73" s="246"/>
      <c r="AC73" s="246"/>
      <c r="AD73" s="246"/>
      <c r="AE73" s="249"/>
      <c r="AF73" s="245"/>
      <c r="AG73" s="246"/>
      <c r="AH73" s="246"/>
      <c r="AI73" s="247"/>
      <c r="AJ73" s="246"/>
      <c r="AK73" s="246"/>
      <c r="AL73" s="246"/>
      <c r="AM73" s="249"/>
      <c r="AN73" s="245"/>
      <c r="AO73" s="246"/>
      <c r="AP73" s="246"/>
      <c r="AQ73" s="247"/>
      <c r="AR73" s="246"/>
      <c r="AS73" s="246"/>
      <c r="AT73" s="246"/>
      <c r="AU73" s="249"/>
      <c r="AV73" s="245"/>
      <c r="AW73" s="246"/>
      <c r="AX73" s="246"/>
      <c r="AY73" s="247"/>
      <c r="AZ73" s="246"/>
      <c r="BA73" s="246"/>
      <c r="BB73" s="246"/>
      <c r="BC73" s="249"/>
      <c r="BD73" s="245"/>
      <c r="BE73" s="246"/>
      <c r="BF73" s="246"/>
      <c r="BG73" s="247"/>
      <c r="BH73" s="246"/>
      <c r="BI73" s="246"/>
      <c r="BJ73" s="246"/>
      <c r="BK73" s="249"/>
      <c r="BL73" s="245"/>
      <c r="BM73" s="246"/>
      <c r="BN73" s="246">
        <f>+BL73+BM73</f>
        <v>0</v>
      </c>
      <c r="BO73" s="247"/>
      <c r="BP73" s="246">
        <f>+L73</f>
        <v>0</v>
      </c>
      <c r="BQ73" s="246">
        <f>+M73</f>
        <v>0</v>
      </c>
      <c r="BR73" s="246">
        <f>+BP73+BQ73</f>
        <v>0</v>
      </c>
      <c r="BS73" s="246"/>
      <c r="BT73" s="245"/>
      <c r="BU73" s="246"/>
      <c r="BV73" s="246"/>
      <c r="BW73" s="247"/>
      <c r="BX73" s="246">
        <f>+BP73</f>
        <v>0</v>
      </c>
      <c r="BY73" s="249">
        <f>+BQ73</f>
        <v>0</v>
      </c>
      <c r="BZ73" s="246">
        <f>+BX73+BY73</f>
        <v>0</v>
      </c>
      <c r="CA73" s="249"/>
      <c r="CB73" s="245"/>
      <c r="CC73" s="246"/>
      <c r="CD73" s="246"/>
      <c r="CE73" s="247"/>
      <c r="CF73" s="246">
        <f>+BX73</f>
        <v>0</v>
      </c>
      <c r="CG73" s="249">
        <f>+BY73</f>
        <v>0</v>
      </c>
      <c r="CH73" s="246">
        <f>+CF73+CG73</f>
        <v>0</v>
      </c>
      <c r="CI73" s="250"/>
      <c r="CJ73" s="245"/>
      <c r="CK73" s="246"/>
      <c r="CL73" s="246"/>
      <c r="CM73" s="247"/>
      <c r="CN73" s="246">
        <f>+CF73</f>
        <v>0</v>
      </c>
      <c r="CO73" s="249">
        <f>+CG73</f>
        <v>0</v>
      </c>
      <c r="CP73" s="246">
        <f>+CN73+CO73</f>
        <v>0</v>
      </c>
      <c r="CQ73" s="250"/>
      <c r="CR73" s="245"/>
      <c r="CS73" s="246"/>
      <c r="CT73" s="246"/>
      <c r="CU73" s="247"/>
      <c r="CV73" s="246">
        <f>+CN73</f>
        <v>0</v>
      </c>
      <c r="CW73" s="249">
        <f>+CO73</f>
        <v>0</v>
      </c>
      <c r="CX73" s="246">
        <f>+CV73+CW73</f>
        <v>0</v>
      </c>
      <c r="CY73" s="250"/>
    </row>
    <row r="74" spans="1:103" s="174" customFormat="1" hidden="1" outlineLevel="1">
      <c r="A74" s="251"/>
      <c r="B74" s="252"/>
      <c r="C74" s="1392"/>
      <c r="D74" s="253"/>
      <c r="E74" s="253"/>
      <c r="F74" s="254"/>
      <c r="G74" s="254"/>
      <c r="H74" s="255"/>
      <c r="I74" s="254"/>
      <c r="J74" s="254"/>
      <c r="K74" s="256"/>
      <c r="L74" s="257"/>
      <c r="M74" s="254"/>
      <c r="N74" s="254"/>
      <c r="O74" s="254"/>
      <c r="P74" s="258"/>
      <c r="Q74" s="259"/>
      <c r="R74" s="259"/>
      <c r="S74" s="260"/>
      <c r="T74" s="261"/>
      <c r="U74" s="259"/>
      <c r="V74" s="259"/>
      <c r="W74" s="262"/>
      <c r="X74" s="258"/>
      <c r="Y74" s="259"/>
      <c r="Z74" s="259"/>
      <c r="AA74" s="260"/>
      <c r="AB74" s="259"/>
      <c r="AC74" s="259"/>
      <c r="AD74" s="259"/>
      <c r="AE74" s="262"/>
      <c r="AF74" s="258"/>
      <c r="AG74" s="259"/>
      <c r="AH74" s="259"/>
      <c r="AI74" s="260"/>
      <c r="AJ74" s="259"/>
      <c r="AK74" s="259"/>
      <c r="AL74" s="259"/>
      <c r="AM74" s="262"/>
      <c r="AN74" s="258"/>
      <c r="AO74" s="259"/>
      <c r="AP74" s="259"/>
      <c r="AQ74" s="260"/>
      <c r="AR74" s="259"/>
      <c r="AS74" s="259"/>
      <c r="AT74" s="259"/>
      <c r="AU74" s="262"/>
      <c r="AV74" s="258"/>
      <c r="AW74" s="259"/>
      <c r="AX74" s="259"/>
      <c r="AY74" s="260"/>
      <c r="AZ74" s="259"/>
      <c r="BA74" s="259"/>
      <c r="BB74" s="259"/>
      <c r="BC74" s="262"/>
      <c r="BD74" s="258"/>
      <c r="BE74" s="259"/>
      <c r="BF74" s="259"/>
      <c r="BG74" s="260"/>
      <c r="BH74" s="259"/>
      <c r="BI74" s="259"/>
      <c r="BJ74" s="259"/>
      <c r="BK74" s="262"/>
      <c r="BL74" s="258"/>
      <c r="BM74" s="259"/>
      <c r="BN74" s="259"/>
      <c r="BO74" s="260"/>
      <c r="BP74" s="259"/>
      <c r="BQ74" s="259"/>
      <c r="BR74" s="259"/>
      <c r="BS74" s="259"/>
      <c r="BT74" s="258"/>
      <c r="BU74" s="259"/>
      <c r="BV74" s="259"/>
      <c r="BW74" s="260"/>
      <c r="BX74" s="259"/>
      <c r="BY74" s="262"/>
      <c r="BZ74" s="259"/>
      <c r="CA74" s="262"/>
      <c r="CB74" s="258"/>
      <c r="CC74" s="259"/>
      <c r="CD74" s="259"/>
      <c r="CE74" s="260"/>
      <c r="CF74" s="259"/>
      <c r="CG74" s="262"/>
      <c r="CH74" s="259"/>
      <c r="CI74" s="263"/>
      <c r="CJ74" s="258"/>
      <c r="CK74" s="259"/>
      <c r="CL74" s="259"/>
      <c r="CM74" s="260"/>
      <c r="CN74" s="259"/>
      <c r="CO74" s="262"/>
      <c r="CP74" s="259"/>
      <c r="CQ74" s="263"/>
      <c r="CR74" s="258"/>
      <c r="CS74" s="259"/>
      <c r="CT74" s="259"/>
      <c r="CU74" s="260"/>
      <c r="CV74" s="259"/>
      <c r="CW74" s="262"/>
      <c r="CX74" s="259"/>
      <c r="CY74" s="263"/>
    </row>
    <row r="75" spans="1:103" hidden="1" outlineLevel="1">
      <c r="A75" s="175" t="s">
        <v>467</v>
      </c>
      <c r="B75" s="172" t="s">
        <v>468</v>
      </c>
      <c r="C75" s="319"/>
      <c r="D75" s="241">
        <f>IFERROR(VLOOKUP($A75,#REF!,98,0),0)</f>
        <v>0</v>
      </c>
      <c r="E75" s="241">
        <f>IFERROR(VLOOKUP($A75,#REF!,99,0),0)</f>
        <v>0</v>
      </c>
      <c r="F75" s="242">
        <f>+D75+E75</f>
        <v>0</v>
      </c>
      <c r="G75" s="242"/>
      <c r="H75" s="243"/>
      <c r="I75" s="242"/>
      <c r="J75" s="242">
        <f>+H75+I75</f>
        <v>0</v>
      </c>
      <c r="K75" s="244"/>
      <c r="L75" s="264">
        <f>+D75+H75</f>
        <v>0</v>
      </c>
      <c r="M75" s="242">
        <f>+E75+I75</f>
        <v>0</v>
      </c>
      <c r="N75" s="242">
        <f>SUM(L75:M75)</f>
        <v>0</v>
      </c>
      <c r="O75" s="242"/>
      <c r="P75" s="245"/>
      <c r="Q75" s="246"/>
      <c r="R75" s="246"/>
      <c r="S75" s="247"/>
      <c r="T75" s="248"/>
      <c r="U75" s="246"/>
      <c r="V75" s="246"/>
      <c r="W75" s="249"/>
      <c r="X75" s="245"/>
      <c r="Y75" s="246"/>
      <c r="Z75" s="246"/>
      <c r="AA75" s="247"/>
      <c r="AB75" s="246"/>
      <c r="AC75" s="246"/>
      <c r="AD75" s="246"/>
      <c r="AE75" s="249"/>
      <c r="AF75" s="245"/>
      <c r="AG75" s="246"/>
      <c r="AH75" s="246"/>
      <c r="AI75" s="247"/>
      <c r="AJ75" s="246"/>
      <c r="AK75" s="246"/>
      <c r="AL75" s="246"/>
      <c r="AM75" s="249"/>
      <c r="AN75" s="245"/>
      <c r="AO75" s="246"/>
      <c r="AP75" s="246"/>
      <c r="AQ75" s="247"/>
      <c r="AR75" s="246"/>
      <c r="AS75" s="246"/>
      <c r="AT75" s="246"/>
      <c r="AU75" s="249"/>
      <c r="AV75" s="245"/>
      <c r="AW75" s="246"/>
      <c r="AX75" s="246"/>
      <c r="AY75" s="247"/>
      <c r="AZ75" s="246"/>
      <c r="BA75" s="246"/>
      <c r="BB75" s="246"/>
      <c r="BC75" s="249"/>
      <c r="BD75" s="245"/>
      <c r="BE75" s="246"/>
      <c r="BF75" s="246"/>
      <c r="BG75" s="247"/>
      <c r="BH75" s="246"/>
      <c r="BI75" s="246"/>
      <c r="BJ75" s="246"/>
      <c r="BK75" s="249"/>
      <c r="BL75" s="245"/>
      <c r="BM75" s="246"/>
      <c r="BN75" s="246">
        <f>+BL75+BM75</f>
        <v>0</v>
      </c>
      <c r="BO75" s="247"/>
      <c r="BP75" s="246">
        <f t="shared" ref="BP75:BQ77" si="222">+L75</f>
        <v>0</v>
      </c>
      <c r="BQ75" s="246">
        <f t="shared" si="222"/>
        <v>0</v>
      </c>
      <c r="BR75" s="246">
        <f>+BP75+BQ75</f>
        <v>0</v>
      </c>
      <c r="BS75" s="246"/>
      <c r="BT75" s="245"/>
      <c r="BU75" s="246"/>
      <c r="BV75" s="246"/>
      <c r="BW75" s="247"/>
      <c r="BX75" s="246">
        <f t="shared" ref="BX75:BY77" si="223">+BP75</f>
        <v>0</v>
      </c>
      <c r="BY75" s="249">
        <f t="shared" si="223"/>
        <v>0</v>
      </c>
      <c r="BZ75" s="246">
        <f>+BX75+BY75</f>
        <v>0</v>
      </c>
      <c r="CA75" s="249"/>
      <c r="CB75" s="245"/>
      <c r="CC75" s="246"/>
      <c r="CD75" s="246"/>
      <c r="CE75" s="247"/>
      <c r="CF75" s="246">
        <f t="shared" ref="CF75:CG77" si="224">+BX75</f>
        <v>0</v>
      </c>
      <c r="CG75" s="249">
        <f t="shared" si="224"/>
        <v>0</v>
      </c>
      <c r="CH75" s="246">
        <f>+CF75+CG75</f>
        <v>0</v>
      </c>
      <c r="CI75" s="250"/>
      <c r="CJ75" s="245"/>
      <c r="CK75" s="246"/>
      <c r="CL75" s="246"/>
      <c r="CM75" s="247"/>
      <c r="CN75" s="246">
        <f t="shared" ref="CN75:CO77" si="225">+CF75</f>
        <v>0</v>
      </c>
      <c r="CO75" s="249">
        <f t="shared" si="225"/>
        <v>0</v>
      </c>
      <c r="CP75" s="246">
        <f>+CN75+CO75</f>
        <v>0</v>
      </c>
      <c r="CQ75" s="250"/>
      <c r="CR75" s="245"/>
      <c r="CS75" s="246"/>
      <c r="CT75" s="246"/>
      <c r="CU75" s="247"/>
      <c r="CV75" s="246">
        <f t="shared" ref="CV75:CW77" si="226">+CN75</f>
        <v>0</v>
      </c>
      <c r="CW75" s="249">
        <f t="shared" si="226"/>
        <v>0</v>
      </c>
      <c r="CX75" s="246">
        <f>+CV75+CW75</f>
        <v>0</v>
      </c>
      <c r="CY75" s="250"/>
    </row>
    <row r="76" spans="1:103" hidden="1" outlineLevel="1">
      <c r="A76" s="175"/>
      <c r="B76" s="197"/>
      <c r="C76" s="197"/>
      <c r="D76" s="241"/>
      <c r="E76" s="241"/>
      <c r="F76" s="242"/>
      <c r="G76" s="242"/>
      <c r="H76" s="243"/>
      <c r="I76" s="242">
        <f>-E76</f>
        <v>0</v>
      </c>
      <c r="J76" s="242">
        <f>+H76+I76</f>
        <v>0</v>
      </c>
      <c r="K76" s="244"/>
      <c r="L76" s="264"/>
      <c r="M76" s="242"/>
      <c r="N76" s="242"/>
      <c r="O76" s="242"/>
      <c r="P76" s="245"/>
      <c r="Q76" s="246"/>
      <c r="R76" s="246"/>
      <c r="S76" s="247"/>
      <c r="T76" s="248"/>
      <c r="U76" s="246"/>
      <c r="V76" s="246"/>
      <c r="W76" s="249"/>
      <c r="X76" s="245"/>
      <c r="Y76" s="246"/>
      <c r="Z76" s="246"/>
      <c r="AA76" s="247"/>
      <c r="AB76" s="246"/>
      <c r="AC76" s="246"/>
      <c r="AD76" s="246"/>
      <c r="AE76" s="249"/>
      <c r="AF76" s="245"/>
      <c r="AG76" s="246"/>
      <c r="AH76" s="246"/>
      <c r="AI76" s="247"/>
      <c r="AJ76" s="246"/>
      <c r="AK76" s="246"/>
      <c r="AL76" s="246"/>
      <c r="AM76" s="249"/>
      <c r="AN76" s="245"/>
      <c r="AO76" s="246"/>
      <c r="AP76" s="246"/>
      <c r="AQ76" s="247"/>
      <c r="AR76" s="246"/>
      <c r="AS76" s="246"/>
      <c r="AT76" s="246"/>
      <c r="AU76" s="249"/>
      <c r="AV76" s="245"/>
      <c r="AW76" s="246"/>
      <c r="AX76" s="246"/>
      <c r="AY76" s="247"/>
      <c r="AZ76" s="246"/>
      <c r="BA76" s="246"/>
      <c r="BB76" s="246"/>
      <c r="BC76" s="249"/>
      <c r="BD76" s="245"/>
      <c r="BE76" s="246"/>
      <c r="BF76" s="246"/>
      <c r="BG76" s="247"/>
      <c r="BH76" s="246"/>
      <c r="BI76" s="246"/>
      <c r="BJ76" s="246"/>
      <c r="BK76" s="249"/>
      <c r="BL76" s="245"/>
      <c r="BM76" s="246"/>
      <c r="BN76" s="246">
        <f>+BL76+BM76</f>
        <v>0</v>
      </c>
      <c r="BO76" s="247"/>
      <c r="BP76" s="246">
        <f t="shared" si="222"/>
        <v>0</v>
      </c>
      <c r="BQ76" s="246">
        <f t="shared" si="222"/>
        <v>0</v>
      </c>
      <c r="BR76" s="246">
        <f>+BP76+BQ76</f>
        <v>0</v>
      </c>
      <c r="BS76" s="246"/>
      <c r="BT76" s="245"/>
      <c r="BU76" s="246"/>
      <c r="BV76" s="246"/>
      <c r="BW76" s="247"/>
      <c r="BX76" s="246">
        <f t="shared" si="223"/>
        <v>0</v>
      </c>
      <c r="BY76" s="249">
        <f t="shared" si="223"/>
        <v>0</v>
      </c>
      <c r="BZ76" s="246">
        <f>+BX76+BY76</f>
        <v>0</v>
      </c>
      <c r="CA76" s="249"/>
      <c r="CB76" s="245"/>
      <c r="CC76" s="246"/>
      <c r="CD76" s="246"/>
      <c r="CE76" s="247"/>
      <c r="CF76" s="246">
        <f t="shared" si="224"/>
        <v>0</v>
      </c>
      <c r="CG76" s="249">
        <f t="shared" si="224"/>
        <v>0</v>
      </c>
      <c r="CH76" s="246">
        <f>+CF76+CG76</f>
        <v>0</v>
      </c>
      <c r="CI76" s="250"/>
      <c r="CJ76" s="245"/>
      <c r="CK76" s="246"/>
      <c r="CL76" s="246"/>
      <c r="CM76" s="247"/>
      <c r="CN76" s="246">
        <f t="shared" si="225"/>
        <v>0</v>
      </c>
      <c r="CO76" s="249">
        <f t="shared" si="225"/>
        <v>0</v>
      </c>
      <c r="CP76" s="246">
        <f>+CN76+CO76</f>
        <v>0</v>
      </c>
      <c r="CQ76" s="250"/>
      <c r="CR76" s="245"/>
      <c r="CS76" s="246"/>
      <c r="CT76" s="246"/>
      <c r="CU76" s="247"/>
      <c r="CV76" s="246">
        <f t="shared" si="226"/>
        <v>0</v>
      </c>
      <c r="CW76" s="249">
        <f t="shared" si="226"/>
        <v>0</v>
      </c>
      <c r="CX76" s="246">
        <f>+CV76+CW76</f>
        <v>0</v>
      </c>
      <c r="CY76" s="250"/>
    </row>
    <row r="77" spans="1:103" hidden="1" outlineLevel="1">
      <c r="A77" s="175"/>
      <c r="B77" s="197"/>
      <c r="C77" s="197"/>
      <c r="D77" s="241"/>
      <c r="E77" s="241"/>
      <c r="F77" s="242">
        <f>+D77+E77</f>
        <v>0</v>
      </c>
      <c r="G77" s="242"/>
      <c r="H77" s="243">
        <f>-D77</f>
        <v>0</v>
      </c>
      <c r="I77" s="242"/>
      <c r="J77" s="242">
        <f>+H77+I77</f>
        <v>0</v>
      </c>
      <c r="K77" s="244"/>
      <c r="L77" s="264">
        <f>+D77+H77</f>
        <v>0</v>
      </c>
      <c r="M77" s="242">
        <f>+E77+I77</f>
        <v>0</v>
      </c>
      <c r="N77" s="242">
        <f>SUM(L77:M77)</f>
        <v>0</v>
      </c>
      <c r="O77" s="242"/>
      <c r="P77" s="245"/>
      <c r="Q77" s="246"/>
      <c r="R77" s="246"/>
      <c r="S77" s="247"/>
      <c r="T77" s="248"/>
      <c r="U77" s="246"/>
      <c r="V77" s="246"/>
      <c r="W77" s="249"/>
      <c r="X77" s="245"/>
      <c r="Y77" s="246"/>
      <c r="Z77" s="246"/>
      <c r="AA77" s="247"/>
      <c r="AB77" s="246"/>
      <c r="AC77" s="246"/>
      <c r="AD77" s="246"/>
      <c r="AE77" s="249"/>
      <c r="AF77" s="245"/>
      <c r="AG77" s="246"/>
      <c r="AH77" s="246"/>
      <c r="AI77" s="247"/>
      <c r="AJ77" s="246"/>
      <c r="AK77" s="246"/>
      <c r="AL77" s="246"/>
      <c r="AM77" s="249"/>
      <c r="AN77" s="245"/>
      <c r="AO77" s="246"/>
      <c r="AP77" s="246"/>
      <c r="AQ77" s="247"/>
      <c r="AR77" s="246"/>
      <c r="AS77" s="246"/>
      <c r="AT77" s="246"/>
      <c r="AU77" s="249"/>
      <c r="AV77" s="245"/>
      <c r="AW77" s="246"/>
      <c r="AX77" s="246"/>
      <c r="AY77" s="247"/>
      <c r="AZ77" s="246"/>
      <c r="BA77" s="246"/>
      <c r="BB77" s="246"/>
      <c r="BC77" s="249"/>
      <c r="BD77" s="245"/>
      <c r="BE77" s="246"/>
      <c r="BF77" s="246"/>
      <c r="BG77" s="247"/>
      <c r="BH77" s="246"/>
      <c r="BI77" s="246"/>
      <c r="BJ77" s="246"/>
      <c r="BK77" s="249"/>
      <c r="BL77" s="245">
        <f>+L77</f>
        <v>0</v>
      </c>
      <c r="BM77" s="246">
        <f>+M77</f>
        <v>0</v>
      </c>
      <c r="BN77" s="246">
        <f>+BL77+BM77</f>
        <v>0</v>
      </c>
      <c r="BO77" s="247"/>
      <c r="BP77" s="246">
        <f t="shared" si="222"/>
        <v>0</v>
      </c>
      <c r="BQ77" s="246">
        <f t="shared" si="222"/>
        <v>0</v>
      </c>
      <c r="BR77" s="246">
        <f>+BP77+BQ77</f>
        <v>0</v>
      </c>
      <c r="BS77" s="246"/>
      <c r="BT77" s="245"/>
      <c r="BU77" s="246"/>
      <c r="BV77" s="246"/>
      <c r="BW77" s="247"/>
      <c r="BX77" s="246">
        <f t="shared" si="223"/>
        <v>0</v>
      </c>
      <c r="BY77" s="249">
        <f t="shared" si="223"/>
        <v>0</v>
      </c>
      <c r="BZ77" s="246">
        <f>+BX77+BY77</f>
        <v>0</v>
      </c>
      <c r="CA77" s="249"/>
      <c r="CB77" s="245"/>
      <c r="CC77" s="246"/>
      <c r="CD77" s="246"/>
      <c r="CE77" s="247"/>
      <c r="CF77" s="246">
        <f t="shared" si="224"/>
        <v>0</v>
      </c>
      <c r="CG77" s="249">
        <f t="shared" si="224"/>
        <v>0</v>
      </c>
      <c r="CH77" s="246">
        <f>+CF77+CG77</f>
        <v>0</v>
      </c>
      <c r="CI77" s="250"/>
      <c r="CJ77" s="245"/>
      <c r="CK77" s="246"/>
      <c r="CL77" s="246"/>
      <c r="CM77" s="247"/>
      <c r="CN77" s="246">
        <f t="shared" si="225"/>
        <v>0</v>
      </c>
      <c r="CO77" s="249">
        <f t="shared" si="225"/>
        <v>0</v>
      </c>
      <c r="CP77" s="246">
        <f>+CN77+CO77</f>
        <v>0</v>
      </c>
      <c r="CQ77" s="250"/>
      <c r="CR77" s="245"/>
      <c r="CS77" s="246"/>
      <c r="CT77" s="246"/>
      <c r="CU77" s="247"/>
      <c r="CV77" s="246">
        <f t="shared" si="226"/>
        <v>0</v>
      </c>
      <c r="CW77" s="249">
        <f t="shared" si="226"/>
        <v>0</v>
      </c>
      <c r="CX77" s="246">
        <f>+CV77+CW77</f>
        <v>0</v>
      </c>
      <c r="CY77" s="250"/>
    </row>
    <row r="78" spans="1:103" s="203" customFormat="1" ht="16.2" hidden="1" outlineLevel="1">
      <c r="A78" s="182" t="s">
        <v>725</v>
      </c>
      <c r="B78" s="265"/>
      <c r="C78" s="265"/>
      <c r="D78" s="184">
        <f t="shared" ref="D78:AI78" si="227">SUM(D73:D77)</f>
        <v>0</v>
      </c>
      <c r="E78" s="184">
        <f t="shared" si="227"/>
        <v>0</v>
      </c>
      <c r="F78" s="184">
        <f t="shared" si="227"/>
        <v>0</v>
      </c>
      <c r="G78" s="266">
        <f t="shared" si="227"/>
        <v>0</v>
      </c>
      <c r="H78" s="267">
        <f t="shared" si="227"/>
        <v>0</v>
      </c>
      <c r="I78" s="184">
        <f t="shared" si="227"/>
        <v>0</v>
      </c>
      <c r="J78" s="184">
        <f t="shared" si="227"/>
        <v>0</v>
      </c>
      <c r="K78" s="268">
        <f t="shared" si="227"/>
        <v>0</v>
      </c>
      <c r="L78" s="269">
        <f t="shared" si="227"/>
        <v>0</v>
      </c>
      <c r="M78" s="184">
        <f t="shared" si="227"/>
        <v>0</v>
      </c>
      <c r="N78" s="184">
        <f t="shared" si="227"/>
        <v>0</v>
      </c>
      <c r="O78" s="266">
        <f t="shared" si="227"/>
        <v>0</v>
      </c>
      <c r="P78" s="267">
        <f t="shared" si="227"/>
        <v>0</v>
      </c>
      <c r="Q78" s="184">
        <f t="shared" si="227"/>
        <v>0</v>
      </c>
      <c r="R78" s="184">
        <f t="shared" si="227"/>
        <v>0</v>
      </c>
      <c r="S78" s="268">
        <f t="shared" si="227"/>
        <v>0</v>
      </c>
      <c r="T78" s="269">
        <f t="shared" si="227"/>
        <v>0</v>
      </c>
      <c r="U78" s="184">
        <f t="shared" si="227"/>
        <v>0</v>
      </c>
      <c r="V78" s="184">
        <f t="shared" si="227"/>
        <v>0</v>
      </c>
      <c r="W78" s="268">
        <f t="shared" si="227"/>
        <v>0</v>
      </c>
      <c r="X78" s="267">
        <f t="shared" si="227"/>
        <v>0</v>
      </c>
      <c r="Y78" s="184">
        <f t="shared" si="227"/>
        <v>0</v>
      </c>
      <c r="Z78" s="184">
        <f t="shared" si="227"/>
        <v>0</v>
      </c>
      <c r="AA78" s="268">
        <f t="shared" si="227"/>
        <v>0</v>
      </c>
      <c r="AB78" s="268">
        <f t="shared" si="227"/>
        <v>0</v>
      </c>
      <c r="AC78" s="268">
        <f t="shared" si="227"/>
        <v>0</v>
      </c>
      <c r="AD78" s="268">
        <f t="shared" si="227"/>
        <v>0</v>
      </c>
      <c r="AE78" s="268">
        <f t="shared" si="227"/>
        <v>0</v>
      </c>
      <c r="AF78" s="267">
        <f t="shared" si="227"/>
        <v>0</v>
      </c>
      <c r="AG78" s="184">
        <f t="shared" si="227"/>
        <v>0</v>
      </c>
      <c r="AH78" s="184">
        <f t="shared" si="227"/>
        <v>0</v>
      </c>
      <c r="AI78" s="268">
        <f t="shared" si="227"/>
        <v>0</v>
      </c>
      <c r="AJ78" s="268">
        <f t="shared" ref="AJ78:BO78" si="228">SUM(AJ73:AJ77)</f>
        <v>0</v>
      </c>
      <c r="AK78" s="268">
        <f t="shared" si="228"/>
        <v>0</v>
      </c>
      <c r="AL78" s="268">
        <f t="shared" si="228"/>
        <v>0</v>
      </c>
      <c r="AM78" s="268">
        <f t="shared" si="228"/>
        <v>0</v>
      </c>
      <c r="AN78" s="267">
        <f t="shared" si="228"/>
        <v>0</v>
      </c>
      <c r="AO78" s="184">
        <f t="shared" si="228"/>
        <v>0</v>
      </c>
      <c r="AP78" s="184">
        <f t="shared" si="228"/>
        <v>0</v>
      </c>
      <c r="AQ78" s="268">
        <f t="shared" si="228"/>
        <v>0</v>
      </c>
      <c r="AR78" s="268">
        <f t="shared" si="228"/>
        <v>0</v>
      </c>
      <c r="AS78" s="268">
        <f t="shared" si="228"/>
        <v>0</v>
      </c>
      <c r="AT78" s="268">
        <f t="shared" si="228"/>
        <v>0</v>
      </c>
      <c r="AU78" s="268">
        <f t="shared" si="228"/>
        <v>0</v>
      </c>
      <c r="AV78" s="267">
        <f t="shared" si="228"/>
        <v>0</v>
      </c>
      <c r="AW78" s="184">
        <f t="shared" si="228"/>
        <v>0</v>
      </c>
      <c r="AX78" s="184">
        <f t="shared" si="228"/>
        <v>0</v>
      </c>
      <c r="AY78" s="268">
        <f t="shared" si="228"/>
        <v>0</v>
      </c>
      <c r="AZ78" s="268">
        <f t="shared" si="228"/>
        <v>0</v>
      </c>
      <c r="BA78" s="268">
        <f t="shared" si="228"/>
        <v>0</v>
      </c>
      <c r="BB78" s="268">
        <f t="shared" si="228"/>
        <v>0</v>
      </c>
      <c r="BC78" s="268">
        <f t="shared" si="228"/>
        <v>0</v>
      </c>
      <c r="BD78" s="267">
        <f t="shared" si="228"/>
        <v>0</v>
      </c>
      <c r="BE78" s="184">
        <f t="shared" si="228"/>
        <v>0</v>
      </c>
      <c r="BF78" s="184">
        <f t="shared" si="228"/>
        <v>0</v>
      </c>
      <c r="BG78" s="268">
        <f t="shared" si="228"/>
        <v>0</v>
      </c>
      <c r="BH78" s="268">
        <f t="shared" si="228"/>
        <v>0</v>
      </c>
      <c r="BI78" s="268">
        <f t="shared" si="228"/>
        <v>0</v>
      </c>
      <c r="BJ78" s="268">
        <f t="shared" si="228"/>
        <v>0</v>
      </c>
      <c r="BK78" s="268">
        <f t="shared" si="228"/>
        <v>0</v>
      </c>
      <c r="BL78" s="267">
        <f t="shared" si="228"/>
        <v>0</v>
      </c>
      <c r="BM78" s="184">
        <f t="shared" si="228"/>
        <v>0</v>
      </c>
      <c r="BN78" s="184">
        <f t="shared" si="228"/>
        <v>0</v>
      </c>
      <c r="BO78" s="268">
        <f t="shared" si="228"/>
        <v>0</v>
      </c>
      <c r="BP78" s="268">
        <f t="shared" ref="BP78:CU78" si="229">SUM(BP73:BP77)</f>
        <v>0</v>
      </c>
      <c r="BQ78" s="268">
        <f t="shared" si="229"/>
        <v>0</v>
      </c>
      <c r="BR78" s="268">
        <f t="shared" si="229"/>
        <v>0</v>
      </c>
      <c r="BS78" s="268">
        <f t="shared" si="229"/>
        <v>0</v>
      </c>
      <c r="BT78" s="267">
        <f t="shared" si="229"/>
        <v>0</v>
      </c>
      <c r="BU78" s="184">
        <f t="shared" si="229"/>
        <v>0</v>
      </c>
      <c r="BV78" s="184">
        <f t="shared" si="229"/>
        <v>0</v>
      </c>
      <c r="BW78" s="268">
        <f t="shared" si="229"/>
        <v>0</v>
      </c>
      <c r="BX78" s="268">
        <f t="shared" si="229"/>
        <v>0</v>
      </c>
      <c r="BY78" s="268">
        <f t="shared" si="229"/>
        <v>0</v>
      </c>
      <c r="BZ78" s="268">
        <f t="shared" si="229"/>
        <v>0</v>
      </c>
      <c r="CA78" s="268">
        <f t="shared" si="229"/>
        <v>0</v>
      </c>
      <c r="CB78" s="267">
        <f t="shared" si="229"/>
        <v>0</v>
      </c>
      <c r="CC78" s="184">
        <f t="shared" si="229"/>
        <v>0</v>
      </c>
      <c r="CD78" s="184">
        <f t="shared" si="229"/>
        <v>0</v>
      </c>
      <c r="CE78" s="268">
        <f t="shared" si="229"/>
        <v>0</v>
      </c>
      <c r="CF78" s="268">
        <f t="shared" si="229"/>
        <v>0</v>
      </c>
      <c r="CG78" s="268">
        <f t="shared" si="229"/>
        <v>0</v>
      </c>
      <c r="CH78" s="268">
        <f t="shared" si="229"/>
        <v>0</v>
      </c>
      <c r="CI78" s="268">
        <f t="shared" si="229"/>
        <v>0</v>
      </c>
      <c r="CJ78" s="267">
        <f t="shared" si="229"/>
        <v>0</v>
      </c>
      <c r="CK78" s="184">
        <f t="shared" si="229"/>
        <v>0</v>
      </c>
      <c r="CL78" s="184">
        <f t="shared" si="229"/>
        <v>0</v>
      </c>
      <c r="CM78" s="268">
        <f t="shared" si="229"/>
        <v>0</v>
      </c>
      <c r="CN78" s="268">
        <f t="shared" si="229"/>
        <v>0</v>
      </c>
      <c r="CO78" s="268">
        <f t="shared" si="229"/>
        <v>0</v>
      </c>
      <c r="CP78" s="268">
        <f t="shared" si="229"/>
        <v>0</v>
      </c>
      <c r="CQ78" s="268">
        <f t="shared" si="229"/>
        <v>0</v>
      </c>
      <c r="CR78" s="267">
        <f t="shared" si="229"/>
        <v>0</v>
      </c>
      <c r="CS78" s="184">
        <f t="shared" si="229"/>
        <v>0</v>
      </c>
      <c r="CT78" s="184">
        <f t="shared" si="229"/>
        <v>0</v>
      </c>
      <c r="CU78" s="268">
        <f t="shared" si="229"/>
        <v>0</v>
      </c>
      <c r="CV78" s="268">
        <f t="shared" ref="CV78:CY78" si="230">SUM(CV73:CV77)</f>
        <v>0</v>
      </c>
      <c r="CW78" s="268">
        <f t="shared" si="230"/>
        <v>0</v>
      </c>
      <c r="CX78" s="268">
        <f t="shared" si="230"/>
        <v>0</v>
      </c>
      <c r="CY78" s="268">
        <f t="shared" si="230"/>
        <v>0</v>
      </c>
    </row>
    <row r="79" spans="1:103" hidden="1" outlineLevel="1">
      <c r="A79" s="233"/>
      <c r="B79" s="233"/>
      <c r="C79" s="233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R79" s="98"/>
      <c r="V79" s="98"/>
      <c r="Z79" s="98"/>
      <c r="AD79" s="98"/>
      <c r="AH79" s="98"/>
      <c r="AL79" s="98"/>
      <c r="AP79" s="98"/>
      <c r="AT79" s="98"/>
      <c r="AX79" s="98"/>
      <c r="BB79" s="98"/>
      <c r="BF79" s="98"/>
      <c r="BJ79" s="98"/>
      <c r="BN79" s="98"/>
      <c r="BR79" s="98"/>
      <c r="BV79" s="98"/>
      <c r="BZ79" s="98"/>
      <c r="CD79" s="98"/>
      <c r="CH79" s="98"/>
      <c r="CL79" s="98"/>
      <c r="CP79" s="98"/>
      <c r="CT79" s="98"/>
      <c r="CX79" s="98"/>
    </row>
    <row r="80" spans="1:103" ht="16.2" collapsed="1">
      <c r="A80" s="98"/>
      <c r="B80" s="106"/>
      <c r="C80" s="106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R80" s="98"/>
      <c r="V80" s="98"/>
      <c r="Z80" s="98"/>
      <c r="AD80" s="98"/>
      <c r="AH80" s="98"/>
      <c r="AL80" s="98"/>
      <c r="AP80" s="98"/>
      <c r="AT80" s="98"/>
      <c r="AX80" s="98"/>
      <c r="AZ80" s="270"/>
      <c r="BB80" s="270"/>
      <c r="BF80" s="98"/>
      <c r="BJ80" s="98"/>
      <c r="BL80" s="188"/>
      <c r="BN80" s="188"/>
      <c r="BR80" s="98"/>
      <c r="BT80" s="188"/>
      <c r="BV80" s="188"/>
      <c r="BZ80" s="98"/>
      <c r="CB80" s="102"/>
      <c r="CD80" s="270"/>
      <c r="CH80" s="98"/>
      <c r="CL80" s="98"/>
      <c r="CP80" s="98"/>
      <c r="CT80" s="98"/>
      <c r="CX80" s="98"/>
    </row>
    <row r="81" spans="1:102" s="272" customFormat="1">
      <c r="A81" s="271"/>
      <c r="B81" s="271" t="s">
        <v>726</v>
      </c>
      <c r="C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V81" s="271"/>
      <c r="Z81" s="271"/>
      <c r="AD81" s="271"/>
      <c r="AH81" s="271"/>
      <c r="AL81" s="271"/>
      <c r="AP81" s="271"/>
      <c r="AT81" s="271"/>
      <c r="AX81" s="271"/>
      <c r="AY81" s="272" t="s">
        <v>727</v>
      </c>
      <c r="BB81" s="271"/>
      <c r="BF81" s="271"/>
      <c r="BJ81" s="271"/>
      <c r="BN81" s="271"/>
      <c r="BS81" s="273"/>
      <c r="BV81" s="271"/>
      <c r="BZ81" s="271"/>
      <c r="CA81" s="273"/>
      <c r="CD81" s="271"/>
      <c r="CH81" s="271"/>
      <c r="CL81" s="271"/>
      <c r="CP81" s="271"/>
      <c r="CT81" s="271"/>
      <c r="CX81" s="271"/>
    </row>
    <row r="82" spans="1:102">
      <c r="D82" s="98"/>
      <c r="BR82" s="98"/>
    </row>
    <row r="83" spans="1:102" ht="18">
      <c r="C83" s="98"/>
      <c r="O83" s="98"/>
      <c r="Q83" s="97"/>
      <c r="R83" s="98"/>
      <c r="U83" s="97"/>
      <c r="V83" s="98"/>
      <c r="Y83" s="97"/>
      <c r="Z83" s="98"/>
      <c r="AC83" s="97"/>
      <c r="AD83" s="98"/>
      <c r="AG83" s="97"/>
      <c r="AH83" s="98"/>
      <c r="AK83" s="97"/>
      <c r="AL83" s="98"/>
      <c r="AO83" s="97"/>
      <c r="AP83" s="98"/>
      <c r="AS83" s="97"/>
      <c r="AT83" s="98"/>
      <c r="AW83" s="97"/>
      <c r="AX83" s="98"/>
      <c r="BA83" s="97"/>
      <c r="BB83" s="98"/>
      <c r="BE83" s="97"/>
      <c r="BF83" s="98"/>
      <c r="BI83" s="97"/>
      <c r="BJ83" s="98"/>
      <c r="BM83" s="97"/>
      <c r="BN83" s="98"/>
      <c r="BR83" s="98"/>
      <c r="BU83" s="97"/>
      <c r="BV83" s="98"/>
      <c r="BY83" s="97"/>
      <c r="BZ83" s="98"/>
      <c r="CC83" s="97"/>
      <c r="CD83" s="98"/>
      <c r="CG83" s="97"/>
      <c r="CH83" s="98"/>
      <c r="CK83" s="97"/>
      <c r="CL83" s="98"/>
      <c r="CO83" s="97"/>
      <c r="CP83" s="98"/>
      <c r="CS83" s="97"/>
      <c r="CT83" s="274"/>
      <c r="CW83" s="97"/>
      <c r="CX83" s="98"/>
    </row>
    <row r="84" spans="1:102">
      <c r="A84" s="98"/>
      <c r="B84" s="98"/>
      <c r="C84" s="98"/>
      <c r="G84" s="208" t="str">
        <f>+I3</f>
        <v>2026/09 ~ 2026/12</v>
      </c>
      <c r="O84" s="208" t="str">
        <f>+Q3</f>
        <v>2027/1</v>
      </c>
      <c r="P84" s="97"/>
      <c r="Q84" s="97"/>
      <c r="R84" s="98"/>
      <c r="S84" s="208" t="str">
        <f>+U3</f>
        <v>2027/2</v>
      </c>
      <c r="T84" s="97"/>
      <c r="U84" s="97"/>
      <c r="V84" s="98"/>
      <c r="W84" s="208" t="str">
        <f>+Y3</f>
        <v>2027/3</v>
      </c>
      <c r="X84" s="97"/>
      <c r="Y84" s="97"/>
      <c r="Z84" s="98"/>
      <c r="AA84" s="208" t="str">
        <f>+AC3</f>
        <v>2027/4</v>
      </c>
      <c r="AB84" s="97"/>
      <c r="AC84" s="97"/>
      <c r="AD84" s="98"/>
      <c r="AE84" s="208" t="str">
        <f>+AG3</f>
        <v>2027/5</v>
      </c>
      <c r="AF84" s="97"/>
      <c r="AG84" s="97"/>
      <c r="AH84" s="98"/>
      <c r="AI84" s="208" t="str">
        <f>+AK3</f>
        <v>2027/6</v>
      </c>
      <c r="AJ84" s="97"/>
      <c r="AK84" s="97"/>
      <c r="AL84" s="98"/>
      <c r="AM84" s="208" t="str">
        <f>+AO3</f>
        <v>2027/7</v>
      </c>
      <c r="AN84" s="97"/>
      <c r="AO84" s="97"/>
      <c r="AP84" s="98"/>
      <c r="AQ84" s="208" t="str">
        <f>+AS3</f>
        <v>2027/8</v>
      </c>
      <c r="AR84" s="97"/>
      <c r="AS84" s="97"/>
      <c r="AT84" s="98"/>
      <c r="AU84" s="208" t="str">
        <f>+AW3</f>
        <v>2027/9</v>
      </c>
      <c r="AV84" s="97"/>
      <c r="AW84" s="97"/>
      <c r="AX84" s="98"/>
      <c r="AY84" s="208" t="str">
        <f>+BA3</f>
        <v>2027/10</v>
      </c>
      <c r="AZ84" s="97"/>
      <c r="BA84" s="97"/>
      <c r="BB84" s="98"/>
      <c r="BC84" s="208" t="str">
        <f>+BE3</f>
        <v>2027/11</v>
      </c>
      <c r="BD84" s="97"/>
      <c r="BE84" s="97"/>
      <c r="BF84" s="98"/>
      <c r="BG84" s="208" t="str">
        <f>+BI3</f>
        <v>2027/12</v>
      </c>
      <c r="BH84" s="97"/>
      <c r="BI84" s="97"/>
      <c r="BJ84" s="98"/>
      <c r="BK84" s="208" t="str">
        <f>+BM3</f>
        <v>Year 2027</v>
      </c>
      <c r="BL84" s="97"/>
      <c r="BM84" s="97"/>
      <c r="BN84" s="98"/>
      <c r="BR84" s="98"/>
      <c r="BS84" s="208" t="str">
        <f>+BU3</f>
        <v>Year 2028</v>
      </c>
      <c r="BT84" s="97"/>
      <c r="BU84" s="97"/>
      <c r="BV84" s="98"/>
      <c r="BY84" s="97"/>
      <c r="BZ84" s="98"/>
      <c r="CA84" s="208" t="str">
        <f>+CC3</f>
        <v>Year 2029</v>
      </c>
      <c r="CB84" s="97"/>
      <c r="CC84" s="97"/>
      <c r="CD84" s="98"/>
      <c r="CG84" s="97"/>
      <c r="CH84" s="98"/>
      <c r="CI84" s="208" t="str">
        <f>+CK3</f>
        <v>Year 2030</v>
      </c>
      <c r="CJ84" s="97"/>
      <c r="CK84" s="97"/>
      <c r="CL84" s="98"/>
      <c r="CO84" s="97"/>
      <c r="CP84" s="98"/>
      <c r="CQ84" s="208" t="str">
        <f>+CS3</f>
        <v>Year 2031</v>
      </c>
      <c r="CR84" s="97"/>
      <c r="CS84" s="97"/>
      <c r="CT84" s="98"/>
      <c r="CW84" s="97"/>
      <c r="CX84" s="98"/>
    </row>
    <row r="85" spans="1:102">
      <c r="A85" s="275" t="s">
        <v>728</v>
      </c>
      <c r="B85" s="275"/>
      <c r="D85" s="276" t="s">
        <v>729</v>
      </c>
      <c r="G85" s="205" t="inlineStr">
        <is>
          <t xml:space="preserve">Dr</t>
        </is>
      </c>
      <c r="H85" s="277" t="inlineStr">
        <is>
          <t xml:space="preserve">Cr</t>
        </is>
      </c>
      <c r="I85" s="105"/>
      <c r="O85" s="205" t="inlineStr">
        <is>
          <t xml:space="preserve">Dr</t>
        </is>
      </c>
      <c r="P85" s="277" t="inlineStr">
        <is>
          <t xml:space="preserve">Cr</t>
        </is>
      </c>
      <c r="Q85" s="105"/>
      <c r="R85" s="98"/>
      <c r="S85" s="205" t="inlineStr">
        <is>
          <t xml:space="preserve">Dr</t>
        </is>
      </c>
      <c r="T85" s="277" t="inlineStr">
        <is>
          <t xml:space="preserve">Cr</t>
        </is>
      </c>
      <c r="U85" s="105"/>
      <c r="V85" s="98"/>
      <c r="W85" s="205" t="inlineStr">
        <is>
          <t xml:space="preserve">Dr</t>
        </is>
      </c>
      <c r="X85" s="277" t="inlineStr">
        <is>
          <t xml:space="preserve">Cr</t>
        </is>
      </c>
      <c r="Y85" s="105"/>
      <c r="Z85" s="98"/>
      <c r="AA85" s="205" t="inlineStr">
        <is>
          <t xml:space="preserve">Dr</t>
        </is>
      </c>
      <c r="AB85" s="277" t="inlineStr">
        <is>
          <t xml:space="preserve">Cr</t>
        </is>
      </c>
      <c r="AC85" s="105"/>
      <c r="AD85" s="98"/>
      <c r="AE85" s="205" t="inlineStr">
        <is>
          <t xml:space="preserve">Dr</t>
        </is>
      </c>
      <c r="AF85" s="277" t="inlineStr">
        <is>
          <t xml:space="preserve">Cr</t>
        </is>
      </c>
      <c r="AG85" s="105"/>
      <c r="AH85" s="98"/>
      <c r="AI85" s="205" t="inlineStr">
        <is>
          <t xml:space="preserve">Dr</t>
        </is>
      </c>
      <c r="AJ85" s="277" t="inlineStr">
        <is>
          <t xml:space="preserve">Cr</t>
        </is>
      </c>
      <c r="AK85" s="105"/>
      <c r="AL85" s="98"/>
      <c r="AM85" s="205" t="inlineStr">
        <is>
          <t xml:space="preserve">Dr</t>
        </is>
      </c>
      <c r="AN85" s="277" t="inlineStr">
        <is>
          <t xml:space="preserve">Cr</t>
        </is>
      </c>
      <c r="AO85" s="105"/>
      <c r="AP85" s="98"/>
      <c r="AQ85" s="205" t="inlineStr">
        <is>
          <t xml:space="preserve">Dr</t>
        </is>
      </c>
      <c r="AR85" s="277" t="inlineStr">
        <is>
          <t xml:space="preserve">Cr</t>
        </is>
      </c>
      <c r="AS85" s="105"/>
      <c r="AT85" s="98"/>
      <c r="AU85" s="205" t="inlineStr">
        <is>
          <t xml:space="preserve">Dr</t>
        </is>
      </c>
      <c r="AV85" s="277" t="inlineStr">
        <is>
          <t xml:space="preserve">Cr</t>
        </is>
      </c>
      <c r="AW85" s="105"/>
      <c r="AX85" s="98"/>
      <c r="AY85" s="205" t="inlineStr">
        <is>
          <t xml:space="preserve">Dr</t>
        </is>
      </c>
      <c r="AZ85" s="277" t="inlineStr">
        <is>
          <t xml:space="preserve">Cr</t>
        </is>
      </c>
      <c r="BA85" s="105"/>
      <c r="BB85" s="98"/>
      <c r="BC85" s="205" t="inlineStr">
        <is>
          <t xml:space="preserve">Dr</t>
        </is>
      </c>
      <c r="BD85" s="277" t="inlineStr">
        <is>
          <t xml:space="preserve">Cr</t>
        </is>
      </c>
      <c r="BE85" s="105"/>
      <c r="BF85" s="98"/>
      <c r="BG85" s="205" t="inlineStr">
        <is>
          <t xml:space="preserve">Dr</t>
        </is>
      </c>
      <c r="BH85" s="277" t="inlineStr">
        <is>
          <t xml:space="preserve">Cr</t>
        </is>
      </c>
      <c r="BI85" s="105"/>
      <c r="BJ85" s="98"/>
      <c r="BK85" s="205" t="inlineStr">
        <is>
          <t xml:space="preserve">Dr</t>
        </is>
      </c>
      <c r="BL85" s="277" t="inlineStr">
        <is>
          <t xml:space="preserve">Cr</t>
        </is>
      </c>
      <c r="BM85" s="105"/>
      <c r="BN85" s="98"/>
      <c r="BR85" s="98"/>
      <c r="BS85" s="205" t="inlineStr">
        <is>
          <t xml:space="preserve">Dr</t>
        </is>
      </c>
      <c r="BT85" s="277" t="inlineStr">
        <is>
          <t xml:space="preserve">Cr</t>
        </is>
      </c>
      <c r="BU85" s="105"/>
      <c r="BV85" s="98"/>
      <c r="BY85" s="97"/>
      <c r="BZ85" s="98"/>
      <c r="CA85" s="205" t="inlineStr">
        <is>
          <t xml:space="preserve">Dr</t>
        </is>
      </c>
      <c r="CB85" s="277" t="inlineStr">
        <is>
          <t xml:space="preserve">Cr</t>
        </is>
      </c>
      <c r="CC85" s="105"/>
      <c r="CD85" s="98"/>
      <c r="CG85" s="97"/>
      <c r="CH85" s="98"/>
      <c r="CI85" s="205" t="inlineStr">
        <is>
          <t xml:space="preserve">Dr</t>
        </is>
      </c>
      <c r="CJ85" s="277" t="inlineStr">
        <is>
          <t xml:space="preserve">Cr</t>
        </is>
      </c>
      <c r="CK85" s="105"/>
      <c r="CL85" s="98"/>
      <c r="CO85" s="97"/>
      <c r="CP85" s="98"/>
      <c r="CQ85" s="205" t="inlineStr">
        <is>
          <t xml:space="preserve">Dr</t>
        </is>
      </c>
      <c r="CR85" s="277" t="inlineStr">
        <is>
          <t xml:space="preserve">Cr</t>
        </is>
      </c>
      <c r="CS85" s="105"/>
      <c r="CT85" s="98"/>
      <c r="CW85" s="97"/>
      <c r="CX85" s="98"/>
    </row>
    <row r="86" spans="1:102" ht="16.2">
      <c r="B86" s="4"/>
      <c r="C86" s="1410"/>
      <c r="D86" s="2788" t="s">
        <v>2567</v>
      </c>
      <c r="E86" s="1408"/>
      <c r="G86" s="98"/>
      <c r="H86" s="98"/>
      <c r="I86" s="105"/>
      <c r="O86" s="98"/>
      <c r="Q86" s="105"/>
      <c r="R86" s="98"/>
      <c r="U86" s="105"/>
      <c r="V86" s="98"/>
      <c r="Y86" s="105"/>
      <c r="Z86" s="98"/>
      <c r="AC86" s="105"/>
      <c r="AD86" s="98"/>
      <c r="AG86" s="105"/>
      <c r="AH86" s="98"/>
      <c r="AK86" s="105"/>
      <c r="AL86" s="98"/>
      <c r="AO86" s="105"/>
      <c r="AP86" s="98"/>
      <c r="AS86" s="105"/>
      <c r="AT86" s="98"/>
      <c r="AW86" s="105"/>
      <c r="AX86" s="98"/>
      <c r="BA86" s="105"/>
      <c r="BB86" s="98"/>
      <c r="BE86" s="105"/>
      <c r="BF86" s="98"/>
      <c r="BI86" s="105"/>
      <c r="BJ86" s="98"/>
      <c r="BM86" s="105"/>
      <c r="BN86" s="98"/>
      <c r="BR86" s="98"/>
      <c r="BU86" s="105"/>
      <c r="BV86" s="98"/>
      <c r="BY86" s="97"/>
      <c r="BZ86" s="98"/>
      <c r="CC86" s="105"/>
      <c r="CD86" s="98"/>
      <c r="CG86" s="97"/>
      <c r="CH86" s="98"/>
      <c r="CK86" s="105"/>
      <c r="CL86" s="98"/>
      <c r="CO86" s="97"/>
      <c r="CP86" s="98"/>
      <c r="CS86" s="105"/>
      <c r="CT86" s="98"/>
      <c r="CW86" s="97"/>
      <c r="CX86" s="98"/>
    </row>
    <row r="87" spans="1:102">
      <c r="A87" s="97" t="s">
        <v>583</v>
      </c>
      <c r="B87" s="4"/>
      <c r="C87" s="1410">
        <v>12400000</v>
      </c>
      <c r="D87" s="2739" t="s">
        <v>2552</v>
      </c>
      <c r="F87" s="97" t="s">
        <v>1961</v>
      </c>
      <c r="G87" s="98">
        <f>SUMIFS($H$4:$H$58,$C$4:$C$58,F87)</f>
        <v>12788263</v>
      </c>
      <c r="H87" s="98"/>
      <c r="I87" s="105"/>
      <c r="O87" s="98">
        <f>SUMIFS($P$4:$P$58,$C$4:$C$58,F87)</f>
        <v>4103562</v>
      </c>
      <c r="Q87" s="105"/>
      <c r="R87" s="98"/>
      <c r="S87" s="98">
        <f>SUMIFS($T$4:$T$58,$C$4:$C$58,F87)</f>
        <v>2302680</v>
      </c>
      <c r="U87" s="105"/>
      <c r="V87" s="98"/>
      <c r="W87" s="98">
        <f>SUMIFS($X$4:$X$58,$C$4:$C$58,F87)</f>
        <v>4871272</v>
      </c>
      <c r="Y87" s="105"/>
      <c r="Z87" s="98"/>
      <c r="AA87" s="98">
        <f>SUMIFS($AB$4:$AB$58,$C$4:$C$58,F87)</f>
        <v>3471718</v>
      </c>
      <c r="AC87" s="105"/>
      <c r="AD87" s="98"/>
      <c r="AE87" s="98">
        <f>SUMIFS($AF$4:$AF$58,$C$4:$C$58,F87)</f>
        <v>3574351</v>
      </c>
      <c r="AG87" s="105"/>
      <c r="AH87" s="98"/>
      <c r="AI87" s="98">
        <f>SUMIFS($AJ$4:$AJ$58,$C$4:$C$58,F87)</f>
        <v>3750627</v>
      </c>
      <c r="AK87" s="105"/>
      <c r="AL87" s="98"/>
      <c r="AM87" s="98">
        <f>SUMIFS($AN$4:$AN$58,$C$4:$C$58,F87)</f>
        <v>3644254</v>
      </c>
      <c r="AO87" s="105"/>
      <c r="AP87" s="98"/>
      <c r="AQ87" s="98">
        <f>SUMIFS($AR$4:$AR$58,$C$4:$C$58,F87)</f>
        <v>3169335</v>
      </c>
      <c r="AS87" s="105"/>
      <c r="AT87" s="98"/>
      <c r="AU87" s="98">
        <f>SUMIFS($AV$4:$AV$58,$C$4:$C$58,F87)</f>
        <v>3113114</v>
      </c>
      <c r="AW87" s="105"/>
      <c r="AX87" s="98"/>
      <c r="AY87" s="98">
        <f>SUMIFS($AZ$4:$AZ$58,$C$4:$C$58,F87)</f>
        <v>3571305</v>
      </c>
      <c r="BA87" s="105"/>
      <c r="BB87" s="98"/>
      <c r="BC87" s="98">
        <f>SUMIFS($BD$4:$BD$58,$C$4:$C$58,F87)</f>
        <v>3367181</v>
      </c>
      <c r="BE87" s="105"/>
      <c r="BF87" s="98"/>
      <c r="BG87" s="98">
        <f>SUMIFS($BH$4:$BH$58,$C$4:$C$58,F87)</f>
        <v>4893151</v>
      </c>
      <c r="BI87" s="105"/>
      <c r="BJ87" s="98"/>
      <c r="BK87" s="98">
        <f>SUMIFS($BL$4:$BL$58,$C$4:$C$58,F87)</f>
        <v>43832550</v>
      </c>
      <c r="BL87" s="98"/>
      <c r="BM87" s="105"/>
      <c r="BN87" s="98"/>
      <c r="BQ87" s="97"/>
      <c r="BR87" s="98"/>
      <c r="BS87" s="98">
        <f>SUMIFS($BT$4:$BT$58,$C$4:$C$58,F87)</f>
        <v>47628291</v>
      </c>
      <c r="BU87" s="105"/>
      <c r="BV87" s="98"/>
      <c r="BY87" s="97"/>
      <c r="BZ87" s="98"/>
      <c r="CA87" s="98">
        <f>SUMIFS($CB$4:$CB$58,$C$4:$C$58,F87)</f>
        <v>52661156</v>
      </c>
      <c r="CC87" s="105"/>
      <c r="CD87" s="98"/>
      <c r="CG87" s="97"/>
      <c r="CH87" s="98"/>
      <c r="CI87" s="98">
        <f>SUMIFS($CJ$4:$CJ$58,$C$4:$C$58,F87)</f>
        <v>53439980</v>
      </c>
      <c r="CK87" s="105"/>
      <c r="CL87" s="98"/>
      <c r="CO87" s="97"/>
      <c r="CP87" s="98"/>
      <c r="CQ87" s="98">
        <f>SUMIFS($CR$4:$CR$58,$C$4:$C$58,F87)</f>
        <v>58672658</v>
      </c>
      <c r="CS87" s="105"/>
      <c r="CT87" s="98"/>
      <c r="CW87" s="97"/>
      <c r="CX87" s="98"/>
    </row>
    <row r="88" spans="1:102">
      <c r="A88" s="97" t="s">
        <v>735</v>
      </c>
      <c r="B88" s="4"/>
      <c r="C88" s="1410" t="s">
        <v>2551</v>
      </c>
      <c r="D88" s="2739" t="s">
        <v>2553</v>
      </c>
      <c r="F88" s="97" t="s">
        <v>1961</v>
      </c>
      <c r="H88" s="98">
        <f>G87</f>
        <v>12788263</v>
      </c>
      <c r="I88" s="105"/>
      <c r="O88" s="98"/>
      <c r="P88" s="98">
        <f>O87</f>
        <v>4103562</v>
      </c>
      <c r="Q88" s="105"/>
      <c r="R88" s="98"/>
      <c r="T88" s="98">
        <f>S87</f>
        <v>2302680</v>
      </c>
      <c r="U88" s="105"/>
      <c r="V88" s="98"/>
      <c r="X88" s="98">
        <f>W87</f>
        <v>4871272</v>
      </c>
      <c r="Y88" s="105"/>
      <c r="Z88" s="98"/>
      <c r="AB88" s="98">
        <f>AA87</f>
        <v>3471718</v>
      </c>
      <c r="AC88" s="105"/>
      <c r="AD88" s="98"/>
      <c r="AF88" s="98">
        <f>AE87</f>
        <v>3574351</v>
      </c>
      <c r="AG88" s="105"/>
      <c r="AH88" s="98"/>
      <c r="AJ88" s="98">
        <f>AI87</f>
        <v>3750627</v>
      </c>
      <c r="AK88" s="105"/>
      <c r="AL88" s="98"/>
      <c r="AN88" s="98">
        <f>AM87</f>
        <v>3644254</v>
      </c>
      <c r="AO88" s="105"/>
      <c r="AP88" s="98"/>
      <c r="AR88" s="98">
        <f>AQ87</f>
        <v>3169335</v>
      </c>
      <c r="AS88" s="105"/>
      <c r="AT88" s="98"/>
      <c r="AV88" s="98">
        <f>AU87</f>
        <v>3113114</v>
      </c>
      <c r="AW88" s="105"/>
      <c r="AX88" s="98"/>
      <c r="AZ88" s="98">
        <f>AY87</f>
        <v>3571305</v>
      </c>
      <c r="BA88" s="105"/>
      <c r="BB88" s="98"/>
      <c r="BD88" s="98">
        <f>BC87</f>
        <v>3367181</v>
      </c>
      <c r="BE88" s="105"/>
      <c r="BF88" s="98"/>
      <c r="BH88" s="98">
        <f>BG87</f>
        <v>4893151</v>
      </c>
      <c r="BI88" s="105"/>
      <c r="BJ88" s="98"/>
      <c r="BL88" s="98">
        <f>BK87</f>
        <v>43832550</v>
      </c>
      <c r="BM88" s="105"/>
      <c r="BN88" s="98"/>
      <c r="BQ88" s="97"/>
      <c r="BR88" s="98"/>
      <c r="BT88" s="98">
        <f>BS87</f>
        <v>47628291</v>
      </c>
      <c r="BU88" s="105"/>
      <c r="BV88" s="98"/>
      <c r="BY88" s="97"/>
      <c r="BZ88" s="98"/>
      <c r="CB88" s="98">
        <f>CA87</f>
        <v>52661156</v>
      </c>
      <c r="CC88" s="105"/>
      <c r="CD88" s="98"/>
      <c r="CG88" s="97"/>
      <c r="CH88" s="98"/>
      <c r="CJ88" s="98">
        <f>CI87</f>
        <v>53439980</v>
      </c>
      <c r="CK88" s="105"/>
      <c r="CL88" s="98"/>
      <c r="CO88" s="97"/>
      <c r="CP88" s="98"/>
      <c r="CR88" s="98">
        <f>CQ87</f>
        <v>58672658</v>
      </c>
      <c r="CS88" s="105"/>
      <c r="CT88" s="98"/>
      <c r="CW88" s="97"/>
      <c r="CX88" s="98"/>
    </row>
    <row r="89" spans="1:102">
      <c r="A89" s="97" t="s">
        <v>583</v>
      </c>
      <c r="B89" s="4"/>
      <c r="C89" s="1410">
        <v>12400000</v>
      </c>
      <c r="D89" s="2739" t="s">
        <v>2552</v>
      </c>
      <c r="F89" s="97" t="s">
        <v>1962</v>
      </c>
      <c r="G89" s="97">
        <f>SUMIFS($H$4:$H$58,$C$4:$C$58,F89)</f>
        <v>2038686</v>
      </c>
      <c r="I89" s="105"/>
      <c r="O89" s="97">
        <f>SUMIFS($P$4:$P$58,$C$4:$C$58,F89)</f>
        <v>548989</v>
      </c>
      <c r="P89" s="97"/>
      <c r="Q89" s="105"/>
      <c r="R89" s="98"/>
      <c r="S89" s="97">
        <f>SUMIFS($T$4:$T$58,$C$4:$C$58,F89)</f>
        <v>516762</v>
      </c>
      <c r="T89" s="97"/>
      <c r="U89" s="105"/>
      <c r="V89" s="98"/>
      <c r="W89" s="97">
        <f>SUMIFS($X$4:$X$58,$C$4:$C$58,F89)</f>
        <v>824685</v>
      </c>
      <c r="X89" s="97"/>
      <c r="Y89" s="105"/>
      <c r="Z89" s="98"/>
      <c r="AA89" s="97">
        <f>SUMIFS($AB$4:$AB$58,$C$4:$C$58,F89)</f>
        <v>592142</v>
      </c>
      <c r="AB89" s="97"/>
      <c r="AC89" s="105"/>
      <c r="AD89" s="98"/>
      <c r="AE89" s="97">
        <f>SUMIFS($AF$4:$AF$58,$C$4:$C$58,F89)</f>
        <v>622445</v>
      </c>
      <c r="AF89" s="97"/>
      <c r="AG89" s="105"/>
      <c r="AH89" s="98"/>
      <c r="AI89" s="97">
        <f>SUMIFS($AJ$4:$AJ$58,$C$4:$C$58,F89)</f>
        <v>542453</v>
      </c>
      <c r="AJ89" s="97"/>
      <c r="AK89" s="105"/>
      <c r="AL89" s="98"/>
      <c r="AM89" s="97">
        <f>SUMIFS($AN$4:$AN$58,$C$4:$C$58,F89)</f>
        <v>557158</v>
      </c>
      <c r="AN89" s="97"/>
      <c r="AO89" s="105"/>
      <c r="AP89" s="98"/>
      <c r="AQ89" s="97">
        <f>SUMIFS($AR$4:$AR$58,$C$4:$C$58,F89)</f>
        <v>558005</v>
      </c>
      <c r="AR89" s="97"/>
      <c r="AS89" s="105"/>
      <c r="AT89" s="98"/>
      <c r="AU89" s="97">
        <f>SUMIFS($AV$4:$AV$58,$C$4:$C$58,F89)</f>
        <v>547417</v>
      </c>
      <c r="AV89" s="97"/>
      <c r="AW89" s="105"/>
      <c r="AX89" s="98"/>
      <c r="AY89" s="97">
        <f>SUMIFS($AZ$4:$AZ$58,$C$4:$C$58,F89)</f>
        <v>555310</v>
      </c>
      <c r="AZ89" s="97"/>
      <c r="BA89" s="105"/>
      <c r="BB89" s="98"/>
      <c r="BC89" s="97">
        <f>SUMIFS($BD$4:$BD$58,$C$4:$C$58,F89)</f>
        <v>532775</v>
      </c>
      <c r="BD89" s="97"/>
      <c r="BE89" s="105"/>
      <c r="BF89" s="98"/>
      <c r="BG89" s="97">
        <f>SUMIFS($BH$4:$BH$58,$C$4:$C$58,F89)</f>
        <v>3874384</v>
      </c>
      <c r="BH89" s="97"/>
      <c r="BI89" s="105"/>
      <c r="BJ89" s="98"/>
      <c r="BK89" s="97">
        <f>SUMIFS($BL$4:$BL$58,$C$4:$C$58,F89)</f>
        <v>10272525</v>
      </c>
      <c r="BL89" s="97"/>
      <c r="BM89" s="105"/>
      <c r="BN89" s="98"/>
      <c r="BQ89" s="97"/>
      <c r="BR89" s="98"/>
      <c r="BS89" s="97">
        <f>SUMIFS($BT$4:$BT$58,$C$4:$C$58,F89)</f>
        <v>4109178</v>
      </c>
      <c r="BT89" s="97"/>
      <c r="BU89" s="105"/>
      <c r="BV89" s="98"/>
      <c r="BY89" s="97"/>
      <c r="BZ89" s="98"/>
      <c r="CA89" s="97">
        <f>SUMIFS($CB$4:$CB$58,$C$4:$C$58,F89)</f>
        <v>3430030</v>
      </c>
      <c r="CB89" s="97"/>
      <c r="CC89" s="105"/>
      <c r="CD89" s="98"/>
      <c r="CG89" s="97"/>
      <c r="CH89" s="98"/>
      <c r="CI89" s="97">
        <f>SUMIFS($CJ$4:$CJ$58,$C$4:$C$58,F89)</f>
        <v>2021778</v>
      </c>
      <c r="CJ89" s="97"/>
      <c r="CK89" s="105"/>
      <c r="CL89" s="98"/>
      <c r="CO89" s="97"/>
      <c r="CP89" s="98"/>
      <c r="CQ89" s="97">
        <f>SUMIFS($CR$4:$CR$58,$C$4:$C$58,F89)</f>
        <v>3333369</v>
      </c>
      <c r="CR89" s="97"/>
      <c r="CS89" s="105"/>
      <c r="CT89" s="98"/>
      <c r="CW89" s="97"/>
      <c r="CX89" s="98"/>
    </row>
    <row r="90" spans="1:102">
      <c r="A90" s="97" t="s">
        <v>735</v>
      </c>
      <c r="B90" s="4"/>
      <c r="C90" s="1410" t="s">
        <v>2551</v>
      </c>
      <c r="D90" s="2739" t="s">
        <v>2553</v>
      </c>
      <c r="F90" s="97" t="s">
        <v>1962</v>
      </c>
      <c r="G90" s="98"/>
      <c r="H90" s="97">
        <f>G89</f>
        <v>2038686</v>
      </c>
      <c r="I90" s="105"/>
      <c r="O90" s="98"/>
      <c r="P90" s="97">
        <f>O89</f>
        <v>548989</v>
      </c>
      <c r="Q90" s="105"/>
      <c r="R90" s="98"/>
      <c r="T90" s="97">
        <f>S89</f>
        <v>516762</v>
      </c>
      <c r="U90" s="105"/>
      <c r="V90" s="98"/>
      <c r="X90" s="97">
        <f>W89</f>
        <v>824685</v>
      </c>
      <c r="Y90" s="105"/>
      <c r="Z90" s="98"/>
      <c r="AB90" s="97">
        <f>AA89</f>
        <v>592142</v>
      </c>
      <c r="AC90" s="105"/>
      <c r="AD90" s="98"/>
      <c r="AF90" s="97">
        <f>AE89</f>
        <v>622445</v>
      </c>
      <c r="AG90" s="105"/>
      <c r="AH90" s="98"/>
      <c r="AJ90" s="97">
        <f>AI89</f>
        <v>542453</v>
      </c>
      <c r="AK90" s="105"/>
      <c r="AL90" s="98"/>
      <c r="AN90" s="97">
        <f>AM89</f>
        <v>557158</v>
      </c>
      <c r="AO90" s="105"/>
      <c r="AP90" s="98"/>
      <c r="AR90" s="97">
        <f>AQ89</f>
        <v>558005</v>
      </c>
      <c r="AS90" s="105"/>
      <c r="AT90" s="98"/>
      <c r="AV90" s="97">
        <f>AU89</f>
        <v>547417</v>
      </c>
      <c r="AW90" s="105"/>
      <c r="AX90" s="98"/>
      <c r="AZ90" s="97">
        <f>AY89</f>
        <v>555310</v>
      </c>
      <c r="BA90" s="105"/>
      <c r="BB90" s="98"/>
      <c r="BD90" s="97">
        <f>BC89</f>
        <v>532775</v>
      </c>
      <c r="BE90" s="105"/>
      <c r="BF90" s="98"/>
      <c r="BH90" s="97">
        <f>BG89</f>
        <v>3874384</v>
      </c>
      <c r="BI90" s="105"/>
      <c r="BJ90" s="98"/>
      <c r="BL90" s="97">
        <f>BK89</f>
        <v>10272525</v>
      </c>
      <c r="BM90" s="105"/>
      <c r="BN90" s="98"/>
      <c r="BQ90" s="97"/>
      <c r="BR90" s="98"/>
      <c r="BT90" s="97">
        <f>BS89</f>
        <v>4109178</v>
      </c>
      <c r="BU90" s="105"/>
      <c r="BV90" s="98"/>
      <c r="BY90" s="97"/>
      <c r="BZ90" s="98"/>
      <c r="CB90" s="97">
        <f>CA89</f>
        <v>3430030</v>
      </c>
      <c r="CC90" s="105"/>
      <c r="CD90" s="98"/>
      <c r="CG90" s="97"/>
      <c r="CH90" s="98"/>
      <c r="CJ90" s="97">
        <f>CI89</f>
        <v>2021778</v>
      </c>
      <c r="CK90" s="105"/>
      <c r="CL90" s="98"/>
      <c r="CO90" s="97"/>
      <c r="CP90" s="98"/>
      <c r="CR90" s="97">
        <f>CQ89</f>
        <v>3333369</v>
      </c>
      <c r="CS90" s="105"/>
      <c r="CT90" s="98"/>
      <c r="CW90" s="97"/>
      <c r="CX90" s="98"/>
    </row>
    <row r="91" spans="1:102" s="214" customFormat="1">
      <c r="B91" s="279"/>
      <c r="D91" s="278"/>
      <c r="E91" s="278"/>
      <c r="F91" s="278"/>
      <c r="G91" s="109">
        <f>SUM(G86:G90)</f>
        <v>14826949</v>
      </c>
      <c r="H91" s="109">
        <f>SUM(H86:H90)</f>
        <v>14826949</v>
      </c>
      <c r="I91" s="105">
        <f>+G91-H91</f>
        <v>0</v>
      </c>
      <c r="O91" s="109">
        <f>SUM(O86:O90)</f>
        <v>4652551</v>
      </c>
      <c r="P91" s="109">
        <f>SUM(P86:P90)</f>
        <v>4652551</v>
      </c>
      <c r="Q91" s="105">
        <f>+O91-P91</f>
        <v>0</v>
      </c>
      <c r="S91" s="109">
        <f>SUM(S86:S90)</f>
        <v>2819442</v>
      </c>
      <c r="T91" s="109">
        <f>SUM(T86:T90)</f>
        <v>2819442</v>
      </c>
      <c r="U91" s="105">
        <f>+S91-T91</f>
        <v>0</v>
      </c>
      <c r="W91" s="109">
        <f>SUM(W86:W90)</f>
        <v>5695957</v>
      </c>
      <c r="X91" s="109">
        <f>SUM(X86:X90)</f>
        <v>5695957</v>
      </c>
      <c r="Y91" s="105">
        <f>+W91-X91</f>
        <v>0</v>
      </c>
      <c r="AA91" s="109">
        <f>SUM(AA86:AA90)</f>
        <v>4063860</v>
      </c>
      <c r="AB91" s="109">
        <f>SUM(AB86:AB90)</f>
        <v>4063860</v>
      </c>
      <c r="AC91" s="105">
        <f>+AA91-AB91</f>
        <v>0</v>
      </c>
      <c r="AE91" s="109">
        <f>SUM(AE86:AE90)</f>
        <v>4196796</v>
      </c>
      <c r="AF91" s="109">
        <f>SUM(AF86:AF90)</f>
        <v>4196796</v>
      </c>
      <c r="AG91" s="105">
        <f>+AE91-AF91</f>
        <v>0</v>
      </c>
      <c r="AI91" s="109">
        <f>SUM(AI86:AI90)</f>
        <v>4293080</v>
      </c>
      <c r="AJ91" s="109">
        <f>SUM(AJ86:AJ90)</f>
        <v>4293080</v>
      </c>
      <c r="AK91" s="105">
        <f>+AI91-AJ91</f>
        <v>0</v>
      </c>
      <c r="AM91" s="109">
        <f>SUM(AM86:AM90)</f>
        <v>4201412</v>
      </c>
      <c r="AN91" s="109">
        <f>SUM(AN86:AN90)</f>
        <v>4201412</v>
      </c>
      <c r="AO91" s="105">
        <f>+AM91-AN91</f>
        <v>0</v>
      </c>
      <c r="AQ91" s="109">
        <f>SUM(AQ86:AQ90)</f>
        <v>3727340</v>
      </c>
      <c r="AR91" s="109">
        <f>SUM(AR86:AR90)</f>
        <v>3727340</v>
      </c>
      <c r="AS91" s="105">
        <f>+AQ91-AR91</f>
        <v>0</v>
      </c>
      <c r="AU91" s="109">
        <f>SUM(AU86:AU90)</f>
        <v>3660531</v>
      </c>
      <c r="AV91" s="109">
        <f>SUM(AV86:AV90)</f>
        <v>3660531</v>
      </c>
      <c r="AW91" s="105">
        <f>+AU91-AV91</f>
        <v>0</v>
      </c>
      <c r="AY91" s="109">
        <f>SUM(AY86:AY90)</f>
        <v>4126615</v>
      </c>
      <c r="AZ91" s="109">
        <f>SUM(AZ86:AZ90)</f>
        <v>4126615</v>
      </c>
      <c r="BA91" s="105">
        <f>+AY91-AZ91</f>
        <v>0</v>
      </c>
      <c r="BC91" s="109">
        <f>SUM(BC86:BC90)</f>
        <v>3899956</v>
      </c>
      <c r="BD91" s="109">
        <f>SUM(BD86:BD90)</f>
        <v>3899956</v>
      </c>
      <c r="BE91" s="105">
        <f>+BC91-BD91</f>
        <v>0</v>
      </c>
      <c r="BG91" s="109">
        <f>SUM(BG86:BG90)</f>
        <v>8767535</v>
      </c>
      <c r="BH91" s="109">
        <f>SUM(BH86:BH90)</f>
        <v>8767535</v>
      </c>
      <c r="BI91" s="105">
        <f>+BG91-BH91</f>
        <v>0</v>
      </c>
      <c r="BK91" s="109">
        <f>SUM(BK86:BK90)</f>
        <v>54105075</v>
      </c>
      <c r="BL91" s="109">
        <f>SUM(BL86:BL90)</f>
        <v>54105075</v>
      </c>
      <c r="BM91" s="105">
        <f>+BK91-BL91</f>
        <v>0</v>
      </c>
      <c r="BO91" s="98"/>
      <c r="BP91" s="98"/>
      <c r="BQ91" s="97"/>
      <c r="BR91" s="98"/>
      <c r="BS91" s="109">
        <f>SUM(BS86:BS90)</f>
        <v>51737469</v>
      </c>
      <c r="BT91" s="109">
        <f>SUM(BT86:BT90)</f>
        <v>51737469</v>
      </c>
      <c r="BU91" s="105">
        <f>+BS91-BT91</f>
        <v>0</v>
      </c>
      <c r="CA91" s="109">
        <f>SUM(CA86:CA90)</f>
        <v>56091186</v>
      </c>
      <c r="CB91" s="109">
        <f>SUM(CB86:CB90)</f>
        <v>56091186</v>
      </c>
      <c r="CC91" s="105">
        <f>+CA91-CB91</f>
        <v>0</v>
      </c>
      <c r="CI91" s="109">
        <f>SUM(CI86:CI90)</f>
        <v>55461758</v>
      </c>
      <c r="CJ91" s="109">
        <f>SUM(CJ86:CJ90)</f>
        <v>55461758</v>
      </c>
      <c r="CK91" s="105">
        <f>+CI91-CJ91</f>
        <v>0</v>
      </c>
      <c r="CQ91" s="109">
        <f>SUM(CQ86:CQ90)</f>
        <v>62006027</v>
      </c>
      <c r="CR91" s="109">
        <f>SUM(CR86:CR90)</f>
        <v>62006027</v>
      </c>
      <c r="CS91" s="105">
        <f>+CQ91-CR91</f>
        <v>0</v>
      </c>
    </row>
    <row r="92" spans="1:102" s="214" customFormat="1">
      <c r="B92" s="279"/>
      <c r="D92" s="278"/>
      <c r="E92" s="278"/>
      <c r="F92" s="278"/>
      <c r="G92" s="278"/>
      <c r="H92" s="2459">
        <f>H91-H58-H29</f>
        <v>0</v>
      </c>
      <c r="I92" s="280"/>
      <c r="P92" s="2459">
        <f>P91-P58-P29</f>
        <v>0</v>
      </c>
      <c r="Q92" s="280"/>
      <c r="T92" s="2459">
        <f>T91-T58-T29</f>
        <v>0</v>
      </c>
      <c r="U92" s="280"/>
      <c r="X92" s="2459">
        <f>X91-X58-X29</f>
        <v>0</v>
      </c>
      <c r="Y92" s="280"/>
      <c r="AB92" s="2459">
        <f>AB91-AB58-AB29</f>
        <v>0</v>
      </c>
      <c r="AC92" s="280"/>
      <c r="AF92" s="2459">
        <f>AF91-AF58-AF29</f>
        <v>0</v>
      </c>
      <c r="AG92" s="280"/>
      <c r="AJ92" s="2459">
        <f>AJ91-AJ58-AJ29</f>
        <v>0</v>
      </c>
      <c r="AK92" s="280"/>
      <c r="AN92" s="2459">
        <f>AN91-AN58-AN29</f>
        <v>0</v>
      </c>
      <c r="AO92" s="280"/>
      <c r="AR92" s="2459">
        <f>AR91-AR58-AR29</f>
        <v>0</v>
      </c>
      <c r="AS92" s="280"/>
      <c r="AV92" s="2459">
        <f>AV91-AV58-AV29</f>
        <v>0</v>
      </c>
      <c r="AW92" s="280"/>
      <c r="AZ92" s="2459">
        <f>AZ91-AZ58-AZ29</f>
        <v>0</v>
      </c>
      <c r="BA92" s="280"/>
      <c r="BD92" s="2459">
        <f>BD91-BD58-BD29</f>
        <v>0</v>
      </c>
      <c r="BE92" s="280"/>
      <c r="BH92" s="2459">
        <f>BH91-BH58-BH29</f>
        <v>0</v>
      </c>
      <c r="BI92" s="280"/>
      <c r="BL92" s="2459">
        <f>BL91-BL58-BL29</f>
        <v>0</v>
      </c>
      <c r="BM92" s="280"/>
      <c r="BO92" s="98"/>
      <c r="BP92" s="98"/>
      <c r="BQ92" s="97"/>
      <c r="BR92" s="98"/>
      <c r="BT92" s="2459">
        <f>BT91-BT58-BT29</f>
        <v>0</v>
      </c>
      <c r="BU92" s="280"/>
      <c r="CB92" s="2459">
        <f>CB91-CB58-CB29</f>
        <v>0</v>
      </c>
      <c r="CC92" s="280"/>
      <c r="CJ92" s="2459">
        <f>CJ91-CJ58-CJ29</f>
        <v>0</v>
      </c>
      <c r="CK92" s="280"/>
      <c r="CR92" s="2459">
        <f>CR91-CR58-CR29</f>
        <v>0</v>
      </c>
      <c r="CS92" s="280"/>
    </row>
    <row r="93" spans="1:102" s="214" customFormat="1">
      <c r="B93" s="279"/>
      <c r="D93" s="278"/>
      <c r="E93" s="278"/>
      <c r="F93" s="278"/>
      <c r="G93" s="278"/>
      <c r="H93" s="278"/>
      <c r="I93" s="280"/>
      <c r="Q93" s="280"/>
      <c r="U93" s="280"/>
      <c r="Y93" s="280"/>
      <c r="AC93" s="280"/>
      <c r="AG93" s="280"/>
      <c r="AK93" s="280"/>
      <c r="AO93" s="280"/>
      <c r="AS93" s="280"/>
      <c r="AW93" s="280"/>
      <c r="BA93" s="280"/>
      <c r="BE93" s="280"/>
      <c r="BI93" s="280"/>
      <c r="BM93" s="280"/>
      <c r="BO93" s="98"/>
      <c r="BP93" s="98"/>
      <c r="BQ93" s="97"/>
      <c r="BR93" s="98"/>
      <c r="BU93" s="280"/>
      <c r="CC93" s="280"/>
      <c r="CK93" s="280"/>
      <c r="CS93" s="280"/>
    </row>
    <row r="94" spans="1:102">
      <c r="B94" s="4"/>
      <c r="D94" s="1406" t="s">
        <v>1978</v>
      </c>
      <c r="E94" s="1407"/>
      <c r="G94" s="98"/>
      <c r="H94" s="98"/>
      <c r="I94" s="105"/>
      <c r="O94" s="98"/>
      <c r="Q94" s="105"/>
      <c r="R94" s="98"/>
      <c r="U94" s="105"/>
      <c r="V94" s="98"/>
      <c r="Y94" s="105"/>
      <c r="Z94" s="98"/>
      <c r="AC94" s="105"/>
      <c r="AD94" s="98"/>
      <c r="AG94" s="105"/>
      <c r="AH94" s="98"/>
      <c r="AK94" s="105"/>
      <c r="AL94" s="98"/>
      <c r="AO94" s="105"/>
      <c r="AP94" s="98"/>
      <c r="AS94" s="105"/>
      <c r="AT94" s="98"/>
      <c r="AW94" s="105"/>
      <c r="AX94" s="98"/>
      <c r="BA94" s="105"/>
      <c r="BB94" s="98"/>
      <c r="BE94" s="105"/>
      <c r="BF94" s="98"/>
      <c r="BI94" s="105"/>
      <c r="BJ94" s="98"/>
      <c r="BM94" s="105"/>
      <c r="BN94" s="98"/>
      <c r="BQ94" s="97"/>
      <c r="BR94" s="98"/>
      <c r="BU94" s="105"/>
      <c r="BV94" s="98"/>
      <c r="BY94" s="97"/>
      <c r="BZ94" s="98"/>
      <c r="CC94" s="105"/>
      <c r="CD94" s="98"/>
      <c r="CG94" s="97"/>
      <c r="CH94" s="98"/>
      <c r="CK94" s="105"/>
      <c r="CL94" s="98"/>
      <c r="CO94" s="97"/>
      <c r="CP94" s="98"/>
      <c r="CS94" s="105"/>
      <c r="CT94" s="98"/>
      <c r="CW94" s="97"/>
      <c r="CX94" s="98"/>
    </row>
    <row r="95" spans="1:102">
      <c r="A95" s="97" t="s">
        <v>735</v>
      </c>
      <c r="B95" s="4"/>
      <c r="C95" s="1410">
        <v>55110000</v>
      </c>
      <c r="D95" s="190" t="s">
        <v>736</v>
      </c>
      <c r="F95" s="97" t="s">
        <v>1961</v>
      </c>
      <c r="G95" s="98">
        <f>SUMIFS($H$4:$H$58,$C$4:$C$58,F95)</f>
        <v>12788263</v>
      </c>
      <c r="H95" s="98"/>
      <c r="I95" s="105"/>
      <c r="O95" s="98">
        <f>SUMIFS($P$4:$P$58,$C$4:$C$58,F95)</f>
        <v>4103562</v>
      </c>
      <c r="Q95" s="105"/>
      <c r="R95" s="98"/>
      <c r="S95" s="98">
        <f>SUMIFS($T$4:$T$58,$C$4:$C$58,F95)</f>
        <v>2302680</v>
      </c>
      <c r="U95" s="105"/>
      <c r="V95" s="98"/>
      <c r="W95" s="98">
        <f>SUMIFS($X$4:$X$58,$C$4:$C$58,F95)</f>
        <v>4871272</v>
      </c>
      <c r="Y95" s="105"/>
      <c r="Z95" s="98"/>
      <c r="AA95" s="98">
        <f>SUMIFS($AB$4:$AB$58,$C$4:$C$58,F95)</f>
        <v>3471718</v>
      </c>
      <c r="AC95" s="105"/>
      <c r="AD95" s="98"/>
      <c r="AE95" s="98">
        <f>SUMIFS($AF$4:$AF$58,$C$4:$C$58,F95)</f>
        <v>3574351</v>
      </c>
      <c r="AG95" s="105"/>
      <c r="AH95" s="98"/>
      <c r="AI95" s="98">
        <f>SUMIFS($AJ$4:$AJ$58,$C$4:$C$58,F95)</f>
        <v>3750627</v>
      </c>
      <c r="AK95" s="105"/>
      <c r="AL95" s="98"/>
      <c r="AM95" s="98">
        <f>SUMIFS($AN$4:$AN$58,$C$4:$C$58,F95)</f>
        <v>3644254</v>
      </c>
      <c r="AO95" s="105"/>
      <c r="AP95" s="98"/>
      <c r="AQ95" s="98">
        <f>SUMIFS($AR$4:$AR$58,$C$4:$C$58,F95)</f>
        <v>3169335</v>
      </c>
      <c r="AS95" s="105"/>
      <c r="AT95" s="98"/>
      <c r="AU95" s="98">
        <f>SUMIFS($AV$4:$AV$58,$C$4:$C$58,F95)</f>
        <v>3113114</v>
      </c>
      <c r="AW95" s="105"/>
      <c r="AX95" s="98"/>
      <c r="AY95" s="98">
        <f>SUMIFS($AZ$4:$AZ$58,$C$4:$C$58,F95)</f>
        <v>3571305</v>
      </c>
      <c r="BA95" s="105"/>
      <c r="BB95" s="98"/>
      <c r="BC95" s="98">
        <f>SUMIFS($BD$4:$BD$58,$C$4:$C$58,F95)</f>
        <v>3367181</v>
      </c>
      <c r="BE95" s="105"/>
      <c r="BF95" s="98"/>
      <c r="BG95" s="98">
        <f>SUMIFS($BH$4:$BH$58,$C$4:$C$58,F95)</f>
        <v>4893151</v>
      </c>
      <c r="BI95" s="105"/>
      <c r="BJ95" s="98"/>
      <c r="BK95" s="98">
        <f>SUMIFS($BL$4:$BL$58,$C$4:$C$58,F95)</f>
        <v>43832550</v>
      </c>
      <c r="BL95" s="98"/>
      <c r="BM95" s="105"/>
      <c r="BN95" s="98"/>
      <c r="BQ95" s="97"/>
      <c r="BR95" s="98"/>
      <c r="BS95" s="98">
        <f>SUMIFS($BT$4:$BT$58,$C$4:$C$58,F95)</f>
        <v>47628291</v>
      </c>
      <c r="BU95" s="105"/>
      <c r="BV95" s="98"/>
      <c r="BY95" s="97"/>
      <c r="BZ95" s="98"/>
      <c r="CA95" s="98">
        <f>SUMIFS($CB$4:$CB$58,$C$4:$C$58,F95)</f>
        <v>52661156</v>
      </c>
      <c r="CC95" s="105"/>
      <c r="CD95" s="98"/>
      <c r="CG95" s="97"/>
      <c r="CH95" s="98"/>
      <c r="CI95" s="98">
        <f>SUMIFS($CJ$4:$CJ$58,$C$4:$C$58,F95)</f>
        <v>53439980</v>
      </c>
      <c r="CK95" s="105"/>
      <c r="CL95" s="98"/>
      <c r="CO95" s="97"/>
      <c r="CP95" s="98"/>
      <c r="CQ95" s="98">
        <f>SUMIFS($CR$4:$CR$58,$C$4:$C$58,F95)</f>
        <v>58672658</v>
      </c>
      <c r="CS95" s="105"/>
      <c r="CT95" s="98"/>
      <c r="CW95" s="97"/>
      <c r="CX95" s="98"/>
    </row>
    <row r="96" spans="1:102">
      <c r="A96" s="97" t="s">
        <v>735</v>
      </c>
      <c r="B96" s="4"/>
      <c r="C96" s="1410">
        <v>55110000</v>
      </c>
      <c r="D96" s="190" t="s">
        <v>736</v>
      </c>
      <c r="F96" s="97" t="s">
        <v>1962</v>
      </c>
      <c r="G96" s="98">
        <f>SUMIFS($H$4:$H$58,$C$4:$C$58,F96)</f>
        <v>2038686</v>
      </c>
      <c r="H96" s="98"/>
      <c r="I96" s="105"/>
      <c r="O96" s="98">
        <f>SUMIFS($P$4:$P$58,$C$4:$C$58,F96)</f>
        <v>548989</v>
      </c>
      <c r="Q96" s="105"/>
      <c r="R96" s="98"/>
      <c r="S96" s="98">
        <f>SUMIFS($T$4:$T$58,$C$4:$C$58,F96)</f>
        <v>516762</v>
      </c>
      <c r="U96" s="105"/>
      <c r="V96" s="98"/>
      <c r="W96" s="98">
        <f>SUMIFS($X$4:$X$58,$C$4:$C$58,F96)</f>
        <v>824685</v>
      </c>
      <c r="Y96" s="105"/>
      <c r="Z96" s="98"/>
      <c r="AA96" s="98">
        <f>SUMIFS($AB$4:$AB$58,$C$4:$C$58,F96)</f>
        <v>592142</v>
      </c>
      <c r="AC96" s="105"/>
      <c r="AD96" s="98"/>
      <c r="AE96" s="98">
        <f>SUMIFS($AF$4:$AF$58,$C$4:$C$58,F96)</f>
        <v>622445</v>
      </c>
      <c r="AG96" s="105"/>
      <c r="AH96" s="98"/>
      <c r="AI96" s="98">
        <f>SUMIFS($AJ$4:$AJ$58,$C$4:$C$58,F96)</f>
        <v>542453</v>
      </c>
      <c r="AK96" s="105"/>
      <c r="AL96" s="98"/>
      <c r="AM96" s="98">
        <f>SUMIFS($AN$4:$AN$58,$C$4:$C$58,F96)</f>
        <v>557158</v>
      </c>
      <c r="AO96" s="105"/>
      <c r="AP96" s="98"/>
      <c r="AQ96" s="98">
        <f>SUMIFS($AR$4:$AR$58,$C$4:$C$58,F96)</f>
        <v>558005</v>
      </c>
      <c r="AS96" s="105"/>
      <c r="AT96" s="98"/>
      <c r="AU96" s="98">
        <f>SUMIFS($AV$4:$AV$58,$C$4:$C$58,F96)</f>
        <v>547417</v>
      </c>
      <c r="AW96" s="105"/>
      <c r="AX96" s="98"/>
      <c r="AY96" s="98">
        <f>SUMIFS($AZ$4:$AZ$58,$C$4:$C$58,F96)</f>
        <v>555310</v>
      </c>
      <c r="BA96" s="105"/>
      <c r="BB96" s="98"/>
      <c r="BC96" s="98">
        <f>SUMIFS($BD$4:$BD$58,$C$4:$C$58,F96)</f>
        <v>532775</v>
      </c>
      <c r="BE96" s="105"/>
      <c r="BF96" s="98"/>
      <c r="BG96" s="98">
        <f>SUMIFS($BH$4:$BH$58,$C$4:$C$58,F96)</f>
        <v>3874384</v>
      </c>
      <c r="BI96" s="105"/>
      <c r="BJ96" s="98"/>
      <c r="BK96" s="98">
        <f>SUMIFS($BL$4:$BL$58,$C$4:$C$58,F96)</f>
        <v>10272525</v>
      </c>
      <c r="BM96" s="105"/>
      <c r="BN96" s="98"/>
      <c r="BQ96" s="97"/>
      <c r="BR96" s="98"/>
      <c r="BS96" s="98">
        <f>SUMIFS($BT$4:$BT$58,$C$4:$C$58,F96)</f>
        <v>4109178</v>
      </c>
      <c r="BU96" s="105"/>
      <c r="BV96" s="98"/>
      <c r="BY96" s="97"/>
      <c r="BZ96" s="98"/>
      <c r="CA96" s="98">
        <f>SUMIFS($CB$4:$CB$58,$C$4:$C$58,F96)</f>
        <v>3430030</v>
      </c>
      <c r="CC96" s="105"/>
      <c r="CD96" s="98"/>
      <c r="CG96" s="97"/>
      <c r="CH96" s="98"/>
      <c r="CI96" s="98">
        <f>SUMIFS($CJ$4:$CJ$58,$C$4:$C$58,F96)</f>
        <v>2021778</v>
      </c>
      <c r="CK96" s="105"/>
      <c r="CL96" s="98"/>
      <c r="CO96" s="97"/>
      <c r="CP96" s="98"/>
      <c r="CQ96" s="98">
        <f>SUMIFS($CR$4:$CR$58,$C$4:$C$58,F96)</f>
        <v>3333369</v>
      </c>
      <c r="CS96" s="105"/>
      <c r="CT96" s="98"/>
      <c r="CW96" s="97"/>
      <c r="CX96" s="98"/>
    </row>
    <row r="97" spans="1:102">
      <c r="A97" s="97" t="s">
        <v>584</v>
      </c>
      <c r="B97" s="4"/>
      <c r="C97" s="1410">
        <v>12470000</v>
      </c>
      <c r="D97" s="190" t="s">
        <v>737</v>
      </c>
      <c r="G97" s="98">
        <f>MAX(0,H98+H99-G95-G96)</f>
        <v>0</v>
      </c>
      <c r="H97" s="98">
        <f>MAX(0,G95+G96-H98-H99)</f>
        <v>11966001</v>
      </c>
      <c r="I97" s="105"/>
      <c r="O97" s="98">
        <f>MAX(0,P98+P99-O95-O96)</f>
        <v>1866570</v>
      </c>
      <c r="P97" s="98">
        <f>MAX(0,O95+O96-P98-P99)</f>
        <v>0</v>
      </c>
      <c r="Q97" s="105"/>
      <c r="R97" s="98"/>
      <c r="S97" s="98">
        <f>MAX(0,T98+T99-S95-S96)</f>
        <v>1182035</v>
      </c>
      <c r="T97" s="98">
        <f>MAX(0,S95+S96-T98-T99)</f>
        <v>0</v>
      </c>
      <c r="U97" s="105"/>
      <c r="V97" s="98"/>
      <c r="W97" s="98">
        <f>MAX(0,X98+X99-W95-W96)</f>
        <v>2190465</v>
      </c>
      <c r="X97" s="98">
        <f>MAX(0,W95+W96-X98-X99)</f>
        <v>0</v>
      </c>
      <c r="Y97" s="105"/>
      <c r="Z97" s="98"/>
      <c r="AA97" s="98">
        <f>MAX(0,AB98+AB99-AA95-AA96)</f>
        <v>1514167</v>
      </c>
      <c r="AB97" s="98">
        <f>MAX(0,AA95+AA96-AB98-AB99)</f>
        <v>0</v>
      </c>
      <c r="AC97" s="105"/>
      <c r="AD97" s="98"/>
      <c r="AE97" s="98">
        <f>MAX(0,AF98+AF99-AE95-AE96)</f>
        <v>1600187</v>
      </c>
      <c r="AF97" s="98">
        <f>MAX(0,AE95+AE96-AF98-AF99)</f>
        <v>0</v>
      </c>
      <c r="AG97" s="105"/>
      <c r="AH97" s="98"/>
      <c r="AI97" s="98">
        <f>MAX(0,AJ98+AJ99-AI95-AI96)</f>
        <v>1617488</v>
      </c>
      <c r="AJ97" s="98">
        <f>MAX(0,AI95+AI96-AJ98-AJ99)</f>
        <v>0</v>
      </c>
      <c r="AK97" s="105"/>
      <c r="AL97" s="98"/>
      <c r="AM97" s="98">
        <f>MAX(0,AN98+AN99-AM95-AM96)</f>
        <v>1540943</v>
      </c>
      <c r="AN97" s="98">
        <f>MAX(0,AM95+AM96-AN98-AN99)</f>
        <v>0</v>
      </c>
      <c r="AO97" s="105"/>
      <c r="AP97" s="98"/>
      <c r="AQ97" s="98">
        <f>MAX(0,AR98+AR99-AQ95-AQ96)</f>
        <v>719757</v>
      </c>
      <c r="AR97" s="98">
        <f>MAX(0,AQ95+AQ96-AR98-AR99)</f>
        <v>0</v>
      </c>
      <c r="AS97" s="105"/>
      <c r="AT97" s="98"/>
      <c r="AU97" s="98">
        <f>MAX(0,AV98+AV99-AU95-AU96)</f>
        <v>522505</v>
      </c>
      <c r="AV97" s="98">
        <f>MAX(0,AU95+AU96-AV98-AV99)</f>
        <v>0</v>
      </c>
      <c r="AW97" s="105"/>
      <c r="AX97" s="98"/>
      <c r="AY97" s="98">
        <f>MAX(0,AZ98+AZ99-AY95-AY96)</f>
        <v>3168588</v>
      </c>
      <c r="AZ97" s="98">
        <f>MAX(0,AY95+AY96-AZ98-AZ99)</f>
        <v>0</v>
      </c>
      <c r="BA97" s="105"/>
      <c r="BB97" s="98"/>
      <c r="BC97" s="98">
        <f>MAX(0,BD98+BD99-BC95-BC96)</f>
        <v>1548043</v>
      </c>
      <c r="BD97" s="98">
        <f>MAX(0,BC95+BC96-BD98-BD99)</f>
        <v>0</v>
      </c>
      <c r="BE97" s="105"/>
      <c r="BF97" s="98"/>
      <c r="BG97" s="98">
        <f>MAX(0,BH98+BH99-BG95-BG96)</f>
        <v>3553951</v>
      </c>
      <c r="BH97" s="98">
        <f>MAX(0,BG95+BG96-BH98-BH99)</f>
        <v>0</v>
      </c>
      <c r="BI97" s="105"/>
      <c r="BJ97" s="98"/>
      <c r="BK97" s="98">
        <f>MAX(0,BL98+BL99-BK95-BK96)</f>
        <v>21024699</v>
      </c>
      <c r="BL97" s="98">
        <f>MAX(0,BK95+BK96-BL98-BL99)</f>
        <v>0</v>
      </c>
      <c r="BM97" s="105"/>
      <c r="BN97" s="98"/>
      <c r="BQ97" s="97"/>
      <c r="BR97" s="98"/>
      <c r="BS97" s="98">
        <f>MAX(0,BT98+BT99-BS95-BS96)</f>
        <v>20886387</v>
      </c>
      <c r="BT97" s="98">
        <f>MAX(0,BS95+BS96-BT98-BT99)</f>
        <v>0</v>
      </c>
      <c r="BU97" s="105"/>
      <c r="BV97" s="98"/>
      <c r="BY97" s="97"/>
      <c r="BZ97" s="98"/>
      <c r="CA97" s="98">
        <f>MAX(0,CB98+CB99-CA95-CA96)</f>
        <v>23241500</v>
      </c>
      <c r="CB97" s="98">
        <f>MAX(0,CA95+CA96-CB98-CB99)</f>
        <v>0</v>
      </c>
      <c r="CC97" s="105"/>
      <c r="CD97" s="98"/>
      <c r="CG97" s="97"/>
      <c r="CH97" s="98"/>
      <c r="CI97" s="98">
        <f>MAX(0,CJ98+CJ99-CI95-CI96)</f>
        <v>23419202</v>
      </c>
      <c r="CJ97" s="98">
        <f>MAX(0,CI95+CI96-CJ98-CJ99)</f>
        <v>0</v>
      </c>
      <c r="CK97" s="105"/>
      <c r="CL97" s="98"/>
      <c r="CO97" s="97"/>
      <c r="CP97" s="98"/>
      <c r="CQ97" s="98">
        <f>MAX(0,CR98+CR99-CQ95-CQ96)</f>
        <v>26620459</v>
      </c>
      <c r="CR97" s="98">
        <f>MAX(0,CQ95+CQ96-CR98-CR99)</f>
        <v>0</v>
      </c>
      <c r="CS97" s="105"/>
      <c r="CT97" s="98"/>
      <c r="CW97" s="97"/>
      <c r="CX97" s="98"/>
    </row>
    <row r="98" spans="1:102">
      <c r="A98" s="97" t="s">
        <v>735</v>
      </c>
      <c r="B98" s="4"/>
      <c r="C98" s="1410">
        <v>46110050</v>
      </c>
      <c r="D98" s="190" t="s">
        <v>738</v>
      </c>
      <c r="F98" s="97" t="s">
        <v>1961</v>
      </c>
      <c r="G98" s="98"/>
      <c r="H98" s="98">
        <f>SUMIFS($J$4:$J$58,$C$4:$C$58,F98)</f>
        <v>1115784</v>
      </c>
      <c r="I98" s="105"/>
      <c r="O98" s="98"/>
      <c r="P98" s="98">
        <f>SUMIFS($R$4:$R$58,$C$4:$C$58,F98)</f>
        <v>5719703</v>
      </c>
      <c r="Q98" s="105"/>
      <c r="R98" s="98"/>
      <c r="T98" s="98">
        <f>SUMIFS($V$4:$V$58,$C$4:$C$58,F98)</f>
        <v>3247081</v>
      </c>
      <c r="U98" s="105"/>
      <c r="V98" s="98"/>
      <c r="X98" s="98">
        <f>SUMIFS($Z$4:$Z$58,$C$4:$C$58,F98)</f>
        <v>6726077</v>
      </c>
      <c r="Y98" s="105"/>
      <c r="Z98" s="98"/>
      <c r="AB98" s="98">
        <f>SUMIFS($AD$4:$AD$58,$C$4:$C$58,F98)</f>
        <v>4724425</v>
      </c>
      <c r="AC98" s="105"/>
      <c r="AD98" s="98"/>
      <c r="AF98" s="98">
        <f>SUMIFS($AH$4:$AH$58,$C$4:$C$58,F98)</f>
        <v>4901045</v>
      </c>
      <c r="AG98" s="105"/>
      <c r="AH98" s="98"/>
      <c r="AJ98" s="98">
        <f>SUMIFS($AL$4:$AL$58,$C$4:$C$58,F98)</f>
        <v>5141046</v>
      </c>
      <c r="AK98" s="105"/>
      <c r="AL98" s="98"/>
      <c r="AN98" s="98">
        <f>SUMIFS($AP$4:$AP$58,$C$4:$C$58,F98)</f>
        <v>4907386</v>
      </c>
      <c r="AO98" s="105"/>
      <c r="AP98" s="98"/>
      <c r="AR98" s="98">
        <f>SUMIFS($AT$4:$AT$58,$C$4:$C$58,F98)</f>
        <v>3610945</v>
      </c>
      <c r="AS98" s="105"/>
      <c r="AT98" s="98"/>
      <c r="AV98" s="98">
        <f>SUMIFS($AX$4:$AX$58,$C$4:$C$58,F98)</f>
        <v>3361674</v>
      </c>
      <c r="AW98" s="105"/>
      <c r="AX98" s="98"/>
      <c r="AZ98" s="98">
        <f>SUMIFS($BB$4:$BB$58,$C$4:$C$58,F98)</f>
        <v>6462815</v>
      </c>
      <c r="BA98" s="105"/>
      <c r="BB98" s="98"/>
      <c r="BD98" s="98">
        <f>SUMIFS($BF$4:$BF$58,$C$4:$C$58,F98)</f>
        <v>4656160</v>
      </c>
      <c r="BE98" s="105"/>
      <c r="BF98" s="98"/>
      <c r="BH98" s="98">
        <f>SUMIFS($BJ$4:$BJ$58,$C$4:$C$58,F98)</f>
        <v>6460579</v>
      </c>
      <c r="BI98" s="105"/>
      <c r="BJ98" s="98"/>
      <c r="BK98" s="98"/>
      <c r="BL98" s="98">
        <f>SUMIFS($BN$4:$BN$58,$C$4:$C$58,F98)</f>
        <v>59918936</v>
      </c>
      <c r="BM98" s="105"/>
      <c r="BN98" s="98"/>
      <c r="BQ98" s="97"/>
      <c r="BR98" s="98"/>
      <c r="BT98" s="98">
        <f>SUMIFS($BV$4:$BV$58,$C$4:$C$58,F98)</f>
        <v>66736326</v>
      </c>
      <c r="BU98" s="105"/>
      <c r="BV98" s="98"/>
      <c r="BY98" s="97"/>
      <c r="BZ98" s="98"/>
      <c r="CB98" s="98">
        <f>SUMIFS($CD$4:$CD$58,$C$4:$C$58,F98)</f>
        <v>74568272</v>
      </c>
      <c r="CC98" s="105"/>
      <c r="CD98" s="98"/>
      <c r="CG98" s="97"/>
      <c r="CH98" s="98"/>
      <c r="CJ98" s="98">
        <f>SUMIFS($CL$4:$CL$58,$C$4:$C$58,F98)</f>
        <v>75973541</v>
      </c>
      <c r="CK98" s="105"/>
      <c r="CL98" s="98"/>
      <c r="CO98" s="97"/>
      <c r="CP98" s="98"/>
      <c r="CR98" s="98">
        <f>SUMIFS($CT$4:$CT$58,$C$4:$C$58,F98)</f>
        <v>83771515</v>
      </c>
      <c r="CS98" s="105"/>
      <c r="CT98" s="98"/>
      <c r="CW98" s="97"/>
      <c r="CX98" s="98"/>
    </row>
    <row r="99" spans="1:102">
      <c r="A99" s="97" t="s">
        <v>735</v>
      </c>
      <c r="B99" s="4"/>
      <c r="C99" s="1410">
        <v>46110000</v>
      </c>
      <c r="D99" s="190" t="s">
        <v>738</v>
      </c>
      <c r="F99" s="97" t="s">
        <v>1962</v>
      </c>
      <c r="G99" s="98"/>
      <c r="H99" s="98">
        <f>SUMIFS($J$4:$J$58,$C$4:$C$58,F99)</f>
        <v>1745164</v>
      </c>
      <c r="I99" s="105"/>
      <c r="O99" s="98"/>
      <c r="P99" s="98">
        <f>SUMIFS($R$4:$R$58,$C$4:$C$58,F99)</f>
        <v>799418</v>
      </c>
      <c r="Q99" s="105"/>
      <c r="R99" s="98"/>
      <c r="T99" s="98">
        <f>SUMIFS($V$4:$V$58,$C$4:$C$58,F99)</f>
        <v>754396</v>
      </c>
      <c r="U99" s="105"/>
      <c r="V99" s="98"/>
      <c r="X99" s="98">
        <f>SUMIFS($Z$4:$Z$58,$C$4:$C$58,F99)</f>
        <v>1160345</v>
      </c>
      <c r="Y99" s="105"/>
      <c r="Z99" s="98"/>
      <c r="AB99" s="98">
        <f>SUMIFS($AD$4:$AD$58,$C$4:$C$58,F99)</f>
        <v>853602</v>
      </c>
      <c r="AC99" s="105"/>
      <c r="AD99" s="98"/>
      <c r="AF99" s="98">
        <f>SUMIFS($AH$4:$AH$58,$C$4:$C$58,F99)</f>
        <v>895938</v>
      </c>
      <c r="AG99" s="105"/>
      <c r="AH99" s="98"/>
      <c r="AJ99" s="98">
        <f>SUMIFS($AL$4:$AL$58,$C$4:$C$58,F99)</f>
        <v>769522</v>
      </c>
      <c r="AK99" s="105"/>
      <c r="AL99" s="98"/>
      <c r="AN99" s="98">
        <f>SUMIFS($AP$4:$AP$58,$C$4:$C$58,F99)</f>
        <v>834969</v>
      </c>
      <c r="AO99" s="105"/>
      <c r="AP99" s="98"/>
      <c r="AR99" s="98">
        <f>SUMIFS($AT$4:$AT$58,$C$4:$C$58,F99)</f>
        <v>836152</v>
      </c>
      <c r="AS99" s="105"/>
      <c r="AT99" s="98"/>
      <c r="AV99" s="98">
        <f>SUMIFS($AX$4:$AX$58,$C$4:$C$58,F99)</f>
        <v>821362</v>
      </c>
      <c r="AW99" s="105"/>
      <c r="AX99" s="98"/>
      <c r="AZ99" s="98">
        <f>SUMIFS($BB$4:$BB$58,$C$4:$C$58,F99)</f>
        <v>832388</v>
      </c>
      <c r="BA99" s="105"/>
      <c r="BB99" s="98"/>
      <c r="BD99" s="98">
        <f>SUMIFS($BF$4:$BF$58,$C$4:$C$58,F99)</f>
        <v>791839</v>
      </c>
      <c r="BE99" s="105"/>
      <c r="BF99" s="98"/>
      <c r="BH99" s="98">
        <f>SUMIFS($BJ$4:$BJ$58,$C$4:$C$58,F99)</f>
        <v>5860907</v>
      </c>
      <c r="BI99" s="105"/>
      <c r="BJ99" s="98"/>
      <c r="BL99" s="98">
        <f>SUMIFS($BN$4:$BN$58,$C$4:$C$58,F99)</f>
        <v>15210838</v>
      </c>
      <c r="BM99" s="105"/>
      <c r="BN99" s="98"/>
      <c r="BQ99" s="97"/>
      <c r="BR99" s="98"/>
      <c r="BT99" s="98">
        <f>SUMIFS($BV$4:$BV$58,$C$4:$C$58,F99)</f>
        <v>5887530</v>
      </c>
      <c r="BU99" s="105"/>
      <c r="BV99" s="98"/>
      <c r="BY99" s="97"/>
      <c r="BZ99" s="98"/>
      <c r="CB99" s="98">
        <f>SUMIFS($CD$4:$CD$58,$C$4:$C$58,F99)</f>
        <v>4764414</v>
      </c>
      <c r="CC99" s="105"/>
      <c r="CD99" s="98"/>
      <c r="CG99" s="97"/>
      <c r="CH99" s="98"/>
      <c r="CJ99" s="98">
        <f>SUMIFS($CL$4:$CL$58,$C$4:$C$58,F99)</f>
        <v>2907419</v>
      </c>
      <c r="CK99" s="105"/>
      <c r="CL99" s="98"/>
      <c r="CO99" s="97"/>
      <c r="CP99" s="98"/>
      <c r="CR99" s="98">
        <f>SUMIFS($CT$4:$CT$58,$C$4:$C$58,F99)</f>
        <v>4854971</v>
      </c>
      <c r="CS99" s="105"/>
      <c r="CT99" s="98"/>
      <c r="CW99" s="97"/>
      <c r="CX99" s="98"/>
    </row>
    <row r="100" spans="1:102">
      <c r="B100" s="4"/>
      <c r="D100" s="98"/>
      <c r="G100" s="109">
        <f>SUM(G95:G99)</f>
        <v>14826949</v>
      </c>
      <c r="H100" s="109">
        <f>SUM(H95:H99)</f>
        <v>14826949</v>
      </c>
      <c r="I100" s="105">
        <f>+G100-H100</f>
        <v>0</v>
      </c>
      <c r="O100" s="109">
        <f>SUM(O95:O99)</f>
        <v>6519121</v>
      </c>
      <c r="P100" s="109">
        <f>SUM(P95:P99)</f>
        <v>6519121</v>
      </c>
      <c r="Q100" s="105">
        <f>+O100-P100</f>
        <v>0</v>
      </c>
      <c r="R100" s="98"/>
      <c r="S100" s="109">
        <f>SUM(S95:S99)</f>
        <v>4001477</v>
      </c>
      <c r="T100" s="109">
        <f>SUM(T95:T99)</f>
        <v>4001477</v>
      </c>
      <c r="U100" s="105">
        <f>+S100-T100</f>
        <v>0</v>
      </c>
      <c r="V100" s="98"/>
      <c r="W100" s="109">
        <f>SUM(W95:W99)</f>
        <v>7886422</v>
      </c>
      <c r="X100" s="109">
        <f>SUM(X95:X99)</f>
        <v>7886422</v>
      </c>
      <c r="Y100" s="105">
        <f>+W100-X100</f>
        <v>0</v>
      </c>
      <c r="Z100" s="98"/>
      <c r="AA100" s="109">
        <f>SUM(AA95:AA99)</f>
        <v>5578027</v>
      </c>
      <c r="AB100" s="109">
        <f>SUM(AB95:AB99)</f>
        <v>5578027</v>
      </c>
      <c r="AC100" s="105">
        <f>+AA100-AB100</f>
        <v>0</v>
      </c>
      <c r="AD100" s="98"/>
      <c r="AE100" s="109">
        <f>SUM(AE95:AE99)</f>
        <v>5796983</v>
      </c>
      <c r="AF100" s="109">
        <f>SUM(AF95:AF99)</f>
        <v>5796983</v>
      </c>
      <c r="AG100" s="105">
        <f>+AE100-AF100</f>
        <v>0</v>
      </c>
      <c r="AH100" s="98"/>
      <c r="AI100" s="109">
        <f>SUM(AI95:AI99)</f>
        <v>5910568</v>
      </c>
      <c r="AJ100" s="109">
        <f>SUM(AJ95:AJ99)</f>
        <v>5910568</v>
      </c>
      <c r="AK100" s="105">
        <f>+AI100-AJ100</f>
        <v>0</v>
      </c>
      <c r="AL100" s="98"/>
      <c r="AM100" s="109">
        <f>SUM(AM95:AM99)</f>
        <v>5742355</v>
      </c>
      <c r="AN100" s="109">
        <f>SUM(AN95:AN99)</f>
        <v>5742355</v>
      </c>
      <c r="AO100" s="105">
        <f>+AM100-AN100</f>
        <v>0</v>
      </c>
      <c r="AP100" s="98"/>
      <c r="AQ100" s="109">
        <f>SUM(AQ95:AQ99)</f>
        <v>4447097</v>
      </c>
      <c r="AR100" s="109">
        <f>SUM(AR95:AR99)</f>
        <v>4447097</v>
      </c>
      <c r="AS100" s="105">
        <f>+AQ100-AR100</f>
        <v>0</v>
      </c>
      <c r="AT100" s="98"/>
      <c r="AU100" s="109">
        <f>SUM(AU95:AU99)</f>
        <v>4183036</v>
      </c>
      <c r="AV100" s="109">
        <f>SUM(AV95:AV99)</f>
        <v>4183036</v>
      </c>
      <c r="AW100" s="105">
        <f>+AU100-AV100</f>
        <v>0</v>
      </c>
      <c r="AX100" s="98"/>
      <c r="AY100" s="109">
        <f>SUM(AY95:AY99)</f>
        <v>7295203</v>
      </c>
      <c r="AZ100" s="109">
        <f>SUM(AZ95:AZ99)</f>
        <v>7295203</v>
      </c>
      <c r="BA100" s="105">
        <f>+AY100-AZ100</f>
        <v>0</v>
      </c>
      <c r="BB100" s="98"/>
      <c r="BC100" s="109">
        <f>SUM(BC95:BC99)</f>
        <v>5447999</v>
      </c>
      <c r="BD100" s="109">
        <f>SUM(BD95:BD99)</f>
        <v>5447999</v>
      </c>
      <c r="BE100" s="105">
        <f>+BC100-BD100</f>
        <v>0</v>
      </c>
      <c r="BF100" s="98"/>
      <c r="BG100" s="109">
        <f>SUM(BG95:BG99)</f>
        <v>12321486</v>
      </c>
      <c r="BH100" s="109">
        <f>SUM(BH95:BH99)</f>
        <v>12321486</v>
      </c>
      <c r="BI100" s="105">
        <f>+BG100-BH100</f>
        <v>0</v>
      </c>
      <c r="BJ100" s="98"/>
      <c r="BK100" s="109">
        <f>SUM(BK95:BK99)</f>
        <v>75129774</v>
      </c>
      <c r="BL100" s="109">
        <f>SUM(BL95:BL99)</f>
        <v>75129774</v>
      </c>
      <c r="BM100" s="105">
        <f>+BK100-BL100</f>
        <v>0</v>
      </c>
      <c r="BN100" s="98"/>
      <c r="BQ100" s="97"/>
      <c r="BR100" s="98"/>
      <c r="BS100" s="109">
        <f>SUM(BS95:BS99)</f>
        <v>72623856</v>
      </c>
      <c r="BT100" s="109">
        <f>SUM(BT95:BT99)</f>
        <v>72623856</v>
      </c>
      <c r="BU100" s="105">
        <f>+BS100-BT100</f>
        <v>0</v>
      </c>
      <c r="BV100" s="98"/>
      <c r="BY100" s="97"/>
      <c r="BZ100" s="98"/>
      <c r="CA100" s="109">
        <f>SUM(CA95:CA99)</f>
        <v>79332686</v>
      </c>
      <c r="CB100" s="109">
        <f>SUM(CB95:CB99)</f>
        <v>79332686</v>
      </c>
      <c r="CC100" s="105">
        <f>+CA100-CB100</f>
        <v>0</v>
      </c>
      <c r="CD100" s="98"/>
      <c r="CG100" s="97"/>
      <c r="CH100" s="98"/>
      <c r="CI100" s="109">
        <f>SUM(CI95:CI99)</f>
        <v>78880960</v>
      </c>
      <c r="CJ100" s="109">
        <f>SUM(CJ95:CJ99)</f>
        <v>78880960</v>
      </c>
      <c r="CK100" s="105">
        <f>+CI100-CJ100</f>
        <v>0</v>
      </c>
      <c r="CL100" s="98"/>
      <c r="CO100" s="97"/>
      <c r="CP100" s="98"/>
      <c r="CQ100" s="109">
        <f>SUM(CQ95:CQ99)</f>
        <v>88626486</v>
      </c>
      <c r="CR100" s="109">
        <f>SUM(CR95:CR99)</f>
        <v>88626486</v>
      </c>
      <c r="CS100" s="105">
        <f>+CQ100-CR100</f>
        <v>0</v>
      </c>
      <c r="CT100" s="98"/>
      <c r="CW100" s="97"/>
      <c r="CX100" s="98"/>
    </row>
    <row r="101" spans="1:102" s="214" customFormat="1">
      <c r="B101" s="279"/>
      <c r="D101" s="278"/>
      <c r="E101" s="278"/>
      <c r="F101" s="278"/>
      <c r="G101" s="278"/>
      <c r="H101" s="278"/>
      <c r="I101" s="280"/>
      <c r="Q101" s="280"/>
      <c r="U101" s="280"/>
      <c r="Y101" s="280"/>
      <c r="AC101" s="280"/>
      <c r="AG101" s="280"/>
      <c r="AK101" s="280"/>
      <c r="AO101" s="280"/>
      <c r="AS101" s="280"/>
      <c r="AW101" s="280"/>
      <c r="BA101" s="280"/>
      <c r="BE101" s="280"/>
      <c r="BI101" s="280"/>
      <c r="BM101" s="280"/>
      <c r="BO101" s="98"/>
      <c r="BP101" s="98"/>
      <c r="BQ101" s="97"/>
      <c r="BR101" s="98"/>
      <c r="BU101" s="280"/>
      <c r="CC101" s="280"/>
      <c r="CK101" s="280"/>
      <c r="CS101" s="280"/>
    </row>
    <row r="102" spans="1:102" s="214" customFormat="1">
      <c r="B102" s="279"/>
      <c r="D102" s="278"/>
      <c r="E102" s="278"/>
      <c r="F102" s="278"/>
      <c r="G102" s="278"/>
      <c r="H102" s="278"/>
      <c r="I102" s="280"/>
      <c r="Q102" s="280"/>
      <c r="U102" s="280"/>
      <c r="Y102" s="280"/>
      <c r="AC102" s="280"/>
      <c r="AG102" s="280"/>
      <c r="AK102" s="280"/>
      <c r="AO102" s="280"/>
      <c r="AS102" s="280"/>
      <c r="AW102" s="280"/>
      <c r="BA102" s="280"/>
      <c r="BE102" s="280"/>
      <c r="BI102" s="280"/>
      <c r="BM102" s="280"/>
      <c r="BO102" s="98"/>
      <c r="BP102" s="98"/>
      <c r="BQ102" s="97"/>
      <c r="BR102" s="98"/>
      <c r="BU102" s="280"/>
      <c r="CC102" s="280"/>
      <c r="CK102" s="280"/>
      <c r="CS102" s="280"/>
    </row>
    <row r="103" spans="1:102" s="214" customFormat="1">
      <c r="B103" s="279"/>
      <c r="D103" s="2785" t="s">
        <v>2528</v>
      </c>
      <c r="E103" s="2786"/>
      <c r="F103" s="97" t="s">
        <v>1961</v>
      </c>
      <c r="G103" s="278"/>
      <c r="H103" s="278"/>
      <c r="I103" s="280"/>
      <c r="Q103" s="280"/>
      <c r="U103" s="280"/>
      <c r="Y103" s="280"/>
      <c r="AC103" s="280"/>
      <c r="AG103" s="280"/>
      <c r="AK103" s="280"/>
      <c r="AO103" s="280"/>
      <c r="AS103" s="280"/>
      <c r="AW103" s="280"/>
      <c r="BA103" s="280"/>
      <c r="BE103" s="280"/>
      <c r="BI103" s="280"/>
      <c r="BM103" s="280"/>
      <c r="BO103" s="98"/>
      <c r="BP103" s="98"/>
      <c r="BQ103" s="97"/>
      <c r="BR103" s="98"/>
      <c r="BU103" s="280"/>
      <c r="CC103" s="280"/>
      <c r="CK103" s="280"/>
      <c r="CS103" s="280"/>
    </row>
    <row r="104" spans="1:102" s="214" customFormat="1">
      <c r="B104" s="279"/>
      <c r="C104" s="1410">
        <v>45110000</v>
      </c>
      <c r="D104" s="190" t="s">
        <v>2554</v>
      </c>
      <c r="E104" s="278"/>
      <c r="F104" s="278"/>
      <c r="G104" s="97">
        <f>H98</f>
        <v>1115784</v>
      </c>
      <c r="H104" s="97"/>
      <c r="I104" s="280"/>
      <c r="O104" s="97">
        <f>P98</f>
        <v>5719703</v>
      </c>
      <c r="Q104" s="280"/>
      <c r="S104" s="97">
        <f>T98</f>
        <v>3247081</v>
      </c>
      <c r="U104" s="280"/>
      <c r="W104" s="97">
        <f>X98</f>
        <v>6726077</v>
      </c>
      <c r="Y104" s="280"/>
      <c r="AA104" s="97">
        <f>AB98</f>
        <v>4724425</v>
      </c>
      <c r="AC104" s="280"/>
      <c r="AE104" s="97">
        <f>AF98</f>
        <v>4901045</v>
      </c>
      <c r="AG104" s="280"/>
      <c r="AI104" s="97">
        <f>AJ98</f>
        <v>5141046</v>
      </c>
      <c r="AK104" s="280"/>
      <c r="AM104" s="97">
        <f>AN98</f>
        <v>4907386</v>
      </c>
      <c r="AO104" s="280"/>
      <c r="AQ104" s="97">
        <f>AR98</f>
        <v>3610945</v>
      </c>
      <c r="AS104" s="280"/>
      <c r="AU104" s="97">
        <f>AV98</f>
        <v>3361674</v>
      </c>
      <c r="AW104" s="280"/>
      <c r="AY104" s="97">
        <f>AZ98</f>
        <v>6462815</v>
      </c>
      <c r="BA104" s="280"/>
      <c r="BC104" s="97">
        <f>BD98</f>
        <v>4656160</v>
      </c>
      <c r="BE104" s="280"/>
      <c r="BG104" s="97">
        <f>BH98</f>
        <v>6460579</v>
      </c>
      <c r="BI104" s="280"/>
      <c r="BK104" s="97">
        <f>BL98</f>
        <v>59918936</v>
      </c>
      <c r="BM104" s="280"/>
      <c r="BO104" s="98"/>
      <c r="BP104" s="98"/>
      <c r="BQ104" s="97"/>
      <c r="BR104" s="98"/>
      <c r="BS104" s="97">
        <f>BT98</f>
        <v>66736326</v>
      </c>
      <c r="BU104" s="280"/>
      <c r="CA104" s="97">
        <f>CB98</f>
        <v>74568272</v>
      </c>
      <c r="CC104" s="280"/>
      <c r="CI104" s="97">
        <f>CJ98</f>
        <v>75973541</v>
      </c>
      <c r="CK104" s="280"/>
      <c r="CQ104" s="97">
        <f>CR98</f>
        <v>83771515</v>
      </c>
      <c r="CS104" s="280"/>
    </row>
    <row r="105" spans="1:102" s="214" customFormat="1">
      <c r="B105" s="279"/>
      <c r="C105" s="1410">
        <v>12470000</v>
      </c>
      <c r="D105" s="190" t="s">
        <v>2547</v>
      </c>
      <c r="E105" s="278"/>
      <c r="F105" s="278"/>
      <c r="G105" s="97">
        <f>MAX(0,H106-G104)</f>
        <v>11672479</v>
      </c>
      <c r="H105" s="97">
        <f>MAX(0,G104-H106)</f>
        <v>0</v>
      </c>
      <c r="I105" s="280"/>
      <c r="O105" s="97">
        <f>MAX(0,P106-O104)</f>
        <v>0</v>
      </c>
      <c r="P105" s="97">
        <f>MAX(0,O104-P106)</f>
        <v>1616141</v>
      </c>
      <c r="Q105" s="280"/>
      <c r="S105" s="97">
        <f>MAX(0,T106-S104)</f>
        <v>0</v>
      </c>
      <c r="T105" s="97">
        <f>MAX(0,S104-T106)</f>
        <v>944401</v>
      </c>
      <c r="U105" s="280"/>
      <c r="W105" s="97">
        <f>MAX(0,X106-W104)</f>
        <v>0</v>
      </c>
      <c r="X105" s="97">
        <f>MAX(0,W104-X106)</f>
        <v>1854805</v>
      </c>
      <c r="Y105" s="280"/>
      <c r="AA105" s="97">
        <f>MAX(0,AB106-AA104)</f>
        <v>0</v>
      </c>
      <c r="AB105" s="97">
        <f>MAX(0,AA104-AB106)</f>
        <v>1252707</v>
      </c>
      <c r="AC105" s="280"/>
      <c r="AE105" s="97">
        <f>MAX(0,AF106-AE104)</f>
        <v>0</v>
      </c>
      <c r="AF105" s="97">
        <f>MAX(0,AE104-AF106)</f>
        <v>1326694</v>
      </c>
      <c r="AG105" s="280"/>
      <c r="AI105" s="97">
        <f>MAX(0,AJ106-AI104)</f>
        <v>0</v>
      </c>
      <c r="AJ105" s="97">
        <f>MAX(0,AI104-AJ106)</f>
        <v>1390419</v>
      </c>
      <c r="AK105" s="280"/>
      <c r="AM105" s="97">
        <f>MAX(0,AN106-AM104)</f>
        <v>0</v>
      </c>
      <c r="AN105" s="97">
        <f>MAX(0,AM104-AN106)</f>
        <v>1263132</v>
      </c>
      <c r="AO105" s="280"/>
      <c r="AQ105" s="97">
        <f>MAX(0,AR106-AQ104)</f>
        <v>0</v>
      </c>
      <c r="AR105" s="97">
        <f>MAX(0,AQ104-AR106)</f>
        <v>441610</v>
      </c>
      <c r="AS105" s="280"/>
      <c r="AU105" s="97">
        <f>MAX(0,AV106-AU104)</f>
        <v>0</v>
      </c>
      <c r="AV105" s="97">
        <f>MAX(0,AU104-AV106)</f>
        <v>248560</v>
      </c>
      <c r="AW105" s="280"/>
      <c r="AY105" s="97">
        <f>MAX(0,AZ106-AY104)</f>
        <v>0</v>
      </c>
      <c r="AZ105" s="97">
        <f>MAX(0,AY104-AZ106)</f>
        <v>2891510</v>
      </c>
      <c r="BA105" s="280"/>
      <c r="BC105" s="97">
        <f>MAX(0,BD106-BC104)</f>
        <v>0</v>
      </c>
      <c r="BD105" s="97">
        <f>MAX(0,BC104-BD106)</f>
        <v>1288979</v>
      </c>
      <c r="BE105" s="280"/>
      <c r="BG105" s="97">
        <f>MAX(0,BH106-BG104)</f>
        <v>0</v>
      </c>
      <c r="BH105" s="97">
        <f>MAX(0,BG104-BH106)</f>
        <v>1567428</v>
      </c>
      <c r="BI105" s="280"/>
      <c r="BK105" s="97">
        <f>MAX(0,BL106-BK104)</f>
        <v>0</v>
      </c>
      <c r="BL105" s="97">
        <f>MAX(0,BK104-BL106)</f>
        <v>16086386</v>
      </c>
      <c r="BM105" s="280"/>
      <c r="BO105" s="98"/>
      <c r="BP105" s="98"/>
      <c r="BQ105" s="97"/>
      <c r="BR105" s="98"/>
      <c r="BS105" s="97">
        <f>MAX(0,BT106-BS104)</f>
        <v>0</v>
      </c>
      <c r="BT105" s="97">
        <f>MAX(0,BS104-BT106)</f>
        <v>19108035</v>
      </c>
      <c r="BU105" s="280"/>
      <c r="CA105" s="97">
        <f>MAX(0,CB106-CA104)</f>
        <v>0</v>
      </c>
      <c r="CB105" s="97">
        <f>MAX(0,CA104-CB106)</f>
        <v>21907116</v>
      </c>
      <c r="CC105" s="280"/>
      <c r="CI105" s="97">
        <f>MAX(0,CJ106-CI104)</f>
        <v>0</v>
      </c>
      <c r="CJ105" s="97">
        <f>MAX(0,CI104-CJ106)</f>
        <v>22533561</v>
      </c>
      <c r="CK105" s="280"/>
      <c r="CQ105" s="97">
        <f>MAX(0,CR106-CQ104)</f>
        <v>0</v>
      </c>
      <c r="CR105" s="97">
        <f>MAX(0,CQ104-CR106)</f>
        <v>25098857</v>
      </c>
      <c r="CS105" s="280"/>
    </row>
    <row r="106" spans="1:102" s="214" customFormat="1">
      <c r="B106" s="279"/>
      <c r="C106" s="1410">
        <v>55110000</v>
      </c>
      <c r="D106" s="190" t="s">
        <v>2555</v>
      </c>
      <c r="E106" s="278"/>
      <c r="F106" s="278"/>
      <c r="G106" s="97"/>
      <c r="H106" s="97">
        <f>G95</f>
        <v>12788263</v>
      </c>
      <c r="I106" s="280"/>
      <c r="P106" s="97">
        <f>O95</f>
        <v>4103562</v>
      </c>
      <c r="Q106" s="280"/>
      <c r="T106" s="97">
        <f>S95</f>
        <v>2302680</v>
      </c>
      <c r="U106" s="280"/>
      <c r="X106" s="97">
        <f>W95</f>
        <v>4871272</v>
      </c>
      <c r="Y106" s="280"/>
      <c r="AB106" s="97">
        <f>AA95</f>
        <v>3471718</v>
      </c>
      <c r="AC106" s="280"/>
      <c r="AF106" s="97">
        <f>AE95</f>
        <v>3574351</v>
      </c>
      <c r="AG106" s="280"/>
      <c r="AJ106" s="97">
        <f>AI95</f>
        <v>3750627</v>
      </c>
      <c r="AK106" s="280"/>
      <c r="AN106" s="97">
        <f>AM95</f>
        <v>3644254</v>
      </c>
      <c r="AO106" s="280"/>
      <c r="AR106" s="97">
        <f>AQ95</f>
        <v>3169335</v>
      </c>
      <c r="AS106" s="280"/>
      <c r="AV106" s="97">
        <f>AU95</f>
        <v>3113114</v>
      </c>
      <c r="AW106" s="280"/>
      <c r="AZ106" s="97">
        <f>AY95</f>
        <v>3571305</v>
      </c>
      <c r="BA106" s="280"/>
      <c r="BD106" s="97">
        <f>BC95</f>
        <v>3367181</v>
      </c>
      <c r="BE106" s="280"/>
      <c r="BH106" s="97">
        <f>BG95</f>
        <v>4893151</v>
      </c>
      <c r="BI106" s="280"/>
      <c r="BL106" s="97">
        <f>BK95</f>
        <v>43832550</v>
      </c>
      <c r="BM106" s="280"/>
      <c r="BO106" s="98"/>
      <c r="BP106" s="98"/>
      <c r="BQ106" s="97"/>
      <c r="BR106" s="98"/>
      <c r="BT106" s="97">
        <f>BS95</f>
        <v>47628291</v>
      </c>
      <c r="BU106" s="280"/>
      <c r="CB106" s="97">
        <f>CA95</f>
        <v>52661156</v>
      </c>
      <c r="CC106" s="280"/>
      <c r="CJ106" s="97">
        <f>CI95</f>
        <v>53439980</v>
      </c>
      <c r="CK106" s="280"/>
      <c r="CR106" s="97">
        <f>CQ95</f>
        <v>58672658</v>
      </c>
      <c r="CS106" s="280"/>
    </row>
    <row r="107" spans="1:102" s="214" customFormat="1">
      <c r="B107" s="279"/>
      <c r="D107" s="278"/>
      <c r="E107" s="278"/>
      <c r="F107" s="278"/>
      <c r="G107" s="278"/>
      <c r="H107" s="278"/>
      <c r="I107" s="280"/>
      <c r="Q107" s="280"/>
      <c r="U107" s="280"/>
      <c r="Y107" s="280"/>
      <c r="AC107" s="280"/>
      <c r="AG107" s="280"/>
      <c r="AK107" s="280"/>
      <c r="AO107" s="280"/>
      <c r="AS107" s="280"/>
      <c r="AW107" s="280"/>
      <c r="BA107" s="280"/>
      <c r="BE107" s="280"/>
      <c r="BI107" s="280"/>
      <c r="BM107" s="280"/>
      <c r="BO107" s="98"/>
      <c r="BP107" s="98"/>
      <c r="BQ107" s="97"/>
      <c r="BR107" s="98"/>
      <c r="BU107" s="280"/>
      <c r="CC107" s="280"/>
      <c r="CK107" s="280"/>
      <c r="CS107" s="280"/>
    </row>
    <row r="108" spans="1:102" s="214" customFormat="1">
      <c r="B108" s="279"/>
      <c r="D108" s="278"/>
      <c r="E108" s="278"/>
      <c r="F108" s="278"/>
      <c r="G108" s="278"/>
      <c r="H108" s="278"/>
      <c r="I108" s="280"/>
      <c r="Q108" s="280"/>
      <c r="U108" s="280"/>
      <c r="Y108" s="280"/>
      <c r="AC108" s="280"/>
      <c r="AG108" s="280"/>
      <c r="AK108" s="280"/>
      <c r="AO108" s="280"/>
      <c r="AS108" s="280"/>
      <c r="AW108" s="280"/>
      <c r="BA108" s="280"/>
      <c r="BE108" s="280"/>
      <c r="BI108" s="280"/>
      <c r="BM108" s="280"/>
      <c r="BO108" s="98"/>
      <c r="BP108" s="98"/>
      <c r="BQ108" s="97"/>
      <c r="BR108" s="98"/>
      <c r="BU108" s="280"/>
      <c r="CC108" s="280"/>
      <c r="CK108" s="280"/>
      <c r="CS108" s="280"/>
    </row>
    <row r="109" spans="1:102" s="214" customFormat="1">
      <c r="B109" s="279"/>
      <c r="D109" s="2787" t="s">
        <v>2560</v>
      </c>
      <c r="E109" s="1407"/>
      <c r="F109" s="278"/>
      <c r="G109" s="278"/>
      <c r="H109" s="278"/>
      <c r="I109" s="280"/>
      <c r="Q109" s="280"/>
      <c r="U109" s="280"/>
      <c r="Y109" s="280"/>
      <c r="AC109" s="280"/>
      <c r="AG109" s="280"/>
      <c r="AK109" s="280"/>
      <c r="AO109" s="280"/>
      <c r="AS109" s="280"/>
      <c r="AW109" s="280"/>
      <c r="BA109" s="280"/>
      <c r="BE109" s="280"/>
      <c r="BI109" s="280"/>
      <c r="BM109" s="280"/>
      <c r="BO109" s="98"/>
      <c r="BP109" s="98"/>
      <c r="BQ109" s="97"/>
      <c r="BR109" s="98"/>
      <c r="BU109" s="280"/>
      <c r="CC109" s="280"/>
      <c r="CK109" s="280"/>
      <c r="CS109" s="280"/>
    </row>
    <row r="110" spans="1:102">
      <c r="A110" s="97" t="s">
        <v>1579</v>
      </c>
      <c r="B110" s="4"/>
      <c r="C110" s="1410" t="s">
        <v>2556</v>
      </c>
      <c r="D110" s="190" t="s">
        <v>2557</v>
      </c>
      <c r="G110" s="97">
        <f>H64</f>
        <v>898717</v>
      </c>
      <c r="O110" s="97">
        <f>P64</f>
        <v>302768</v>
      </c>
      <c r="S110" s="97">
        <f>T64</f>
        <v>269817</v>
      </c>
      <c r="W110" s="97">
        <f>X64</f>
        <v>331119</v>
      </c>
      <c r="AA110" s="97">
        <f>AB64</f>
        <v>310364</v>
      </c>
      <c r="AE110" s="97">
        <f>AF64</f>
        <v>196875</v>
      </c>
      <c r="AI110" s="97">
        <f>AJ64</f>
        <v>103385</v>
      </c>
      <c r="AM110" s="97">
        <f>AN64</f>
        <v>83385</v>
      </c>
      <c r="AQ110" s="97">
        <f>AR64</f>
        <v>83385</v>
      </c>
      <c r="AU110" s="97">
        <f>AV64</f>
        <v>83385</v>
      </c>
      <c r="AY110" s="97">
        <f>AZ64</f>
        <v>193738</v>
      </c>
      <c r="BC110" s="97">
        <f>BD64</f>
        <v>83385</v>
      </c>
      <c r="BG110" s="97">
        <f>BH64</f>
        <v>103385</v>
      </c>
      <c r="BK110" s="97">
        <f>BL64</f>
        <v>2144991</v>
      </c>
      <c r="BS110" s="97">
        <f>BT64</f>
        <v>1110310</v>
      </c>
      <c r="CA110" s="97">
        <f>CB64</f>
        <v>1088729</v>
      </c>
      <c r="CI110" s="97">
        <f>CJ64</f>
        <v>316840</v>
      </c>
      <c r="CQ110" s="97">
        <f>CR64</f>
        <v>60000</v>
      </c>
    </row>
    <row r="111" spans="1:102" s="214" customFormat="1" ht="15" customHeight="1">
      <c r="A111" s="97" t="s">
        <v>1579</v>
      </c>
      <c r="B111" s="279"/>
      <c r="C111" s="1410" t="s">
        <v>2558</v>
      </c>
      <c r="D111" s="190" t="s">
        <v>2559</v>
      </c>
      <c r="G111" s="97"/>
      <c r="H111" s="97">
        <f>G110</f>
        <v>898717</v>
      </c>
      <c r="I111" s="280"/>
      <c r="P111" s="97">
        <f>O110</f>
        <v>302768</v>
      </c>
      <c r="Q111" s="280"/>
      <c r="T111" s="97">
        <f>S110</f>
        <v>269817</v>
      </c>
      <c r="U111" s="280"/>
      <c r="X111" s="97">
        <f>W110</f>
        <v>331119</v>
      </c>
      <c r="Y111" s="280"/>
      <c r="AB111" s="97">
        <f>AA110</f>
        <v>310364</v>
      </c>
      <c r="AC111" s="280"/>
      <c r="AF111" s="97">
        <f>AE110</f>
        <v>196875</v>
      </c>
      <c r="AG111" s="280"/>
      <c r="AJ111" s="97">
        <f>AI110</f>
        <v>103385</v>
      </c>
      <c r="AK111" s="280"/>
      <c r="AN111" s="97">
        <f>AM110</f>
        <v>83385</v>
      </c>
      <c r="AO111" s="280"/>
      <c r="AR111" s="97">
        <f>AQ110</f>
        <v>83385</v>
      </c>
      <c r="AS111" s="280"/>
      <c r="AV111" s="97">
        <f>AU110</f>
        <v>83385</v>
      </c>
      <c r="AW111" s="280"/>
      <c r="AZ111" s="97">
        <f>AY110</f>
        <v>193738</v>
      </c>
      <c r="BA111" s="280"/>
      <c r="BD111" s="97">
        <f>BC110</f>
        <v>83385</v>
      </c>
      <c r="BE111" s="280"/>
      <c r="BH111" s="97">
        <f>BG110</f>
        <v>103385</v>
      </c>
      <c r="BI111" s="280"/>
      <c r="BL111" s="97">
        <f>BK110</f>
        <v>2144991</v>
      </c>
      <c r="BM111" s="280"/>
      <c r="BO111" s="98"/>
      <c r="BP111" s="98"/>
      <c r="BQ111" s="97"/>
      <c r="BR111" s="98"/>
      <c r="BT111" s="97">
        <f>BS110</f>
        <v>1110310</v>
      </c>
      <c r="BU111" s="280"/>
      <c r="CB111" s="97">
        <f>CA110</f>
        <v>1088729</v>
      </c>
      <c r="CC111" s="280"/>
      <c r="CJ111" s="97">
        <f>CI110</f>
        <v>316840</v>
      </c>
      <c r="CK111" s="280"/>
      <c r="CR111" s="97">
        <f>CQ110</f>
        <v>60000</v>
      </c>
      <c r="CS111" s="280"/>
    </row>
    <row r="112" spans="1:102" s="214" customFormat="1" ht="15" customHeight="1">
      <c r="A112" s="190"/>
      <c r="B112" s="279"/>
      <c r="C112" s="1410"/>
      <c r="D112" s="2744"/>
      <c r="E112" s="2739"/>
      <c r="G112" s="97"/>
      <c r="H112" s="97"/>
      <c r="I112" s="280"/>
      <c r="Q112" s="280"/>
      <c r="U112" s="280"/>
      <c r="Y112" s="280"/>
      <c r="AC112" s="280"/>
      <c r="AG112" s="280"/>
      <c r="AK112" s="280"/>
      <c r="AO112" s="280"/>
      <c r="AS112" s="280"/>
      <c r="AW112" s="280"/>
      <c r="BA112" s="280"/>
      <c r="BE112" s="280"/>
      <c r="BI112" s="280"/>
      <c r="BM112" s="280"/>
      <c r="BO112" s="98"/>
      <c r="BP112" s="98"/>
      <c r="BQ112" s="97"/>
      <c r="BR112" s="98"/>
      <c r="BU112" s="280"/>
      <c r="CC112" s="280"/>
      <c r="CK112" s="280"/>
      <c r="CS112" s="280"/>
    </row>
    <row r="113" spans="1:102" s="214" customFormat="1" ht="15" customHeight="1">
      <c r="A113" s="97"/>
      <c r="B113" s="279"/>
      <c r="C113" s="1410"/>
      <c r="D113" s="2744"/>
      <c r="E113" s="2739"/>
      <c r="G113" s="97"/>
      <c r="H113" s="97"/>
      <c r="I113" s="280"/>
      <c r="Q113" s="280"/>
      <c r="U113" s="280"/>
      <c r="Y113" s="280"/>
      <c r="AC113" s="280"/>
      <c r="AG113" s="280"/>
      <c r="AK113" s="280"/>
      <c r="AO113" s="280"/>
      <c r="AS113" s="280"/>
      <c r="AW113" s="280"/>
      <c r="BA113" s="280"/>
      <c r="BE113" s="280"/>
      <c r="BI113" s="280"/>
      <c r="BM113" s="280"/>
      <c r="BO113" s="98"/>
      <c r="BP113" s="98"/>
      <c r="BQ113" s="97"/>
      <c r="BR113" s="98"/>
      <c r="BU113" s="280"/>
      <c r="CC113" s="280"/>
      <c r="CK113" s="280"/>
      <c r="CS113" s="280"/>
    </row>
    <row r="114" spans="1:102" s="214" customFormat="1" ht="15" customHeight="1">
      <c r="A114" s="97"/>
      <c r="B114" s="279"/>
      <c r="C114" s="1410"/>
      <c r="D114" s="190"/>
      <c r="I114" s="280"/>
      <c r="Q114" s="280"/>
      <c r="U114" s="280"/>
      <c r="Y114" s="280"/>
      <c r="AC114" s="280"/>
      <c r="AG114" s="280"/>
      <c r="AK114" s="280"/>
      <c r="AO114" s="280"/>
      <c r="AS114" s="280"/>
      <c r="AW114" s="280"/>
      <c r="BA114" s="280"/>
      <c r="BE114" s="280"/>
      <c r="BI114" s="280"/>
      <c r="BM114" s="280"/>
      <c r="BO114" s="98"/>
      <c r="BP114" s="98"/>
      <c r="BQ114" s="97"/>
      <c r="BR114" s="98"/>
      <c r="BU114" s="280"/>
      <c r="CC114" s="280"/>
      <c r="CK114" s="280"/>
      <c r="CS114" s="280"/>
    </row>
    <row r="115" spans="1:102" s="214" customFormat="1" ht="15" customHeight="1">
      <c r="A115" s="97"/>
      <c r="B115" s="279"/>
      <c r="C115" s="1410"/>
      <c r="D115" s="190"/>
      <c r="I115" s="280"/>
      <c r="Q115" s="280"/>
      <c r="U115" s="280"/>
      <c r="Y115" s="280"/>
      <c r="AC115" s="280"/>
      <c r="AG115" s="280"/>
      <c r="AK115" s="280"/>
      <c r="AO115" s="280"/>
      <c r="AS115" s="280"/>
      <c r="AW115" s="280"/>
      <c r="BA115" s="280"/>
      <c r="BE115" s="280"/>
      <c r="BI115" s="280"/>
      <c r="BM115" s="280"/>
      <c r="BO115" s="98"/>
      <c r="BP115" s="98"/>
      <c r="BQ115" s="97"/>
      <c r="BR115" s="98"/>
      <c r="BU115" s="280"/>
      <c r="CC115" s="280"/>
      <c r="CK115" s="280"/>
      <c r="CS115" s="280"/>
    </row>
    <row r="116" spans="1:102" s="214" customFormat="1" ht="15" customHeight="1">
      <c r="A116" s="97"/>
      <c r="B116" s="279"/>
      <c r="C116" s="1410"/>
      <c r="D116" s="2785" t="s">
        <v>2568</v>
      </c>
      <c r="E116" s="2786"/>
      <c r="I116" s="280"/>
      <c r="Q116" s="280"/>
      <c r="U116" s="280"/>
      <c r="Y116" s="280"/>
      <c r="AC116" s="280"/>
      <c r="AG116" s="280"/>
      <c r="AK116" s="280"/>
      <c r="AO116" s="280"/>
      <c r="AS116" s="280"/>
      <c r="AW116" s="280"/>
      <c r="BA116" s="280"/>
      <c r="BE116" s="280"/>
      <c r="BI116" s="280"/>
      <c r="BM116" s="280"/>
      <c r="BO116" s="98"/>
      <c r="BP116" s="98"/>
      <c r="BQ116" s="97"/>
      <c r="BR116" s="98"/>
      <c r="BU116" s="280"/>
      <c r="CC116" s="280"/>
      <c r="CK116" s="280"/>
      <c r="CS116" s="280"/>
    </row>
    <row r="117" spans="1:102">
      <c r="A117" s="97" t="s">
        <v>1579</v>
      </c>
      <c r="B117" s="287"/>
      <c r="C117" s="1410" t="s">
        <v>2558</v>
      </c>
      <c r="D117" s="190" t="s">
        <v>2559</v>
      </c>
      <c r="F117" s="97" t="s">
        <v>1976</v>
      </c>
      <c r="G117" s="98">
        <f>SUMIFS($H$59:$H$63,$C$59:$C$63,F117)</f>
        <v>725578</v>
      </c>
      <c r="H117" s="98"/>
      <c r="I117" s="105"/>
      <c r="O117" s="98">
        <f>SUMIFS($P$59:$P$63,$C$59:$C$63,F117)</f>
        <v>59561</v>
      </c>
      <c r="Q117" s="105"/>
      <c r="R117" s="98"/>
      <c r="S117" s="98">
        <f>SUMIFS($T$59:$T$63,$C$59:$C$63,F117)</f>
        <v>59561</v>
      </c>
      <c r="U117" s="105"/>
      <c r="V117" s="98"/>
      <c r="W117" s="98">
        <f>SUMIFS($X$59:$X$63,$C$59:$C$63,F117)</f>
        <v>59561</v>
      </c>
      <c r="Y117" s="105"/>
      <c r="Z117" s="98"/>
      <c r="AA117" s="98">
        <f>SUMIFS($AB$59:$AB$63,$C$59:$C$63,F117)</f>
        <v>59561</v>
      </c>
      <c r="AC117" s="105"/>
      <c r="AD117" s="98"/>
      <c r="AE117" s="98">
        <f>SUMIFS($AF$59:$AF$63,$C$59:$C$63,F117)</f>
        <v>59561</v>
      </c>
      <c r="AG117" s="105"/>
      <c r="AH117" s="98"/>
      <c r="AI117" s="98">
        <f>SUMIFS($AJ$59:$AJ$63,$C$59:$C$63,F117)</f>
        <v>79561</v>
      </c>
      <c r="AK117" s="105"/>
      <c r="AL117" s="98"/>
      <c r="AM117" s="98">
        <f>SUMIFS($AN$59:$AN$63,$C$59:$C$63,F117)</f>
        <v>59561</v>
      </c>
      <c r="AO117" s="105"/>
      <c r="AP117" s="98"/>
      <c r="AQ117" s="98">
        <f>SUMIFS($AR$59:$AR$63,$C$59:$C$63,F117)</f>
        <v>59561</v>
      </c>
      <c r="AS117" s="105"/>
      <c r="AT117" s="98"/>
      <c r="AU117" s="98">
        <f>SUMIFS($AV$59:$AV$63,$C$59:$C$63,F117)</f>
        <v>59561</v>
      </c>
      <c r="AW117" s="105"/>
      <c r="AX117" s="98"/>
      <c r="AY117" s="98">
        <f>SUMIFS($AZ$59:$AZ$63,$C$59:$C$63,F117)</f>
        <v>169914</v>
      </c>
      <c r="BA117" s="105"/>
      <c r="BB117" s="98"/>
      <c r="BC117" s="98">
        <f>SUMIFS($BD$59:$BD$63,$C$59:$C$63,F117)</f>
        <v>59561</v>
      </c>
      <c r="BE117" s="105"/>
      <c r="BF117" s="98"/>
      <c r="BG117" s="98">
        <f>SUMIFS($BH$59:$BH$63,$C$59:$C$63,F117)</f>
        <v>79561</v>
      </c>
      <c r="BI117" s="105"/>
      <c r="BJ117" s="98"/>
      <c r="BK117" s="98">
        <f>SUMIFS($BL$59:$BL$63,$C$59:$C$63,F117)</f>
        <v>865085</v>
      </c>
      <c r="BM117" s="105"/>
      <c r="BN117" s="98"/>
      <c r="BQ117" s="97"/>
      <c r="BR117" s="98"/>
      <c r="BS117" s="98">
        <f>SUMIFS($BT$59:$BT$63,$C$59:$C$63,F117)</f>
        <v>300088</v>
      </c>
      <c r="BU117" s="105"/>
      <c r="BV117" s="98"/>
      <c r="BY117" s="97"/>
      <c r="BZ117" s="98"/>
      <c r="CA117" s="98">
        <f>SUMIFS($CB$59:$CB$63,$C$59:$C$63,F117)</f>
        <v>240431</v>
      </c>
      <c r="CC117" s="105"/>
      <c r="CD117" s="98"/>
      <c r="CG117" s="97"/>
      <c r="CH117" s="98"/>
      <c r="CI117" s="98">
        <f>SUMIFS($CJ$59:$CJ$63,$C$59:$C$63,F117)</f>
        <v>0</v>
      </c>
      <c r="CK117" s="105"/>
      <c r="CL117" s="98"/>
      <c r="CO117" s="97"/>
      <c r="CP117" s="98"/>
      <c r="CQ117" s="98">
        <f>SUMIFS($CR$59:$CR$63,$C$59:$C$63,F117)</f>
        <v>0</v>
      </c>
      <c r="CS117" s="105"/>
      <c r="CT117" s="98"/>
      <c r="CW117" s="97"/>
      <c r="CX117" s="98"/>
    </row>
    <row r="118" spans="1:102">
      <c r="A118" s="97" t="s">
        <v>1579</v>
      </c>
      <c r="C118" s="1410" t="s">
        <v>2556</v>
      </c>
      <c r="D118" s="190" t="s">
        <v>2557</v>
      </c>
      <c r="G118" s="98"/>
      <c r="H118" s="98">
        <f>G117</f>
        <v>725578</v>
      </c>
      <c r="I118" s="105"/>
      <c r="O118" s="98"/>
      <c r="P118" s="98">
        <f>O117</f>
        <v>59561</v>
      </c>
      <c r="Q118" s="105"/>
      <c r="R118" s="98"/>
      <c r="T118" s="98">
        <f>S117</f>
        <v>59561</v>
      </c>
      <c r="U118" s="105"/>
      <c r="V118" s="98"/>
      <c r="X118" s="98">
        <f>W117</f>
        <v>59561</v>
      </c>
      <c r="Y118" s="105"/>
      <c r="Z118" s="98"/>
      <c r="AB118" s="98">
        <f>AA117</f>
        <v>59561</v>
      </c>
      <c r="AC118" s="105"/>
      <c r="AD118" s="98"/>
      <c r="AF118" s="98">
        <f>AE117</f>
        <v>59561</v>
      </c>
      <c r="AG118" s="105"/>
      <c r="AH118" s="98"/>
      <c r="AJ118" s="98">
        <f>AI117</f>
        <v>79561</v>
      </c>
      <c r="AK118" s="105"/>
      <c r="AL118" s="98"/>
      <c r="AN118" s="98">
        <f>AM117</f>
        <v>59561</v>
      </c>
      <c r="AO118" s="105"/>
      <c r="AP118" s="98"/>
      <c r="AR118" s="98">
        <f>AQ117</f>
        <v>59561</v>
      </c>
      <c r="AS118" s="105"/>
      <c r="AT118" s="98"/>
      <c r="AV118" s="98">
        <f>AU117</f>
        <v>59561</v>
      </c>
      <c r="AW118" s="105"/>
      <c r="AX118" s="98"/>
      <c r="AZ118" s="98">
        <f>AY117</f>
        <v>169914</v>
      </c>
      <c r="BA118" s="105"/>
      <c r="BB118" s="98"/>
      <c r="BD118" s="98">
        <f>BC117</f>
        <v>59561</v>
      </c>
      <c r="BE118" s="105"/>
      <c r="BF118" s="98"/>
      <c r="BH118" s="98">
        <f>BG117</f>
        <v>79561</v>
      </c>
      <c r="BI118" s="105"/>
      <c r="BJ118" s="98"/>
      <c r="BL118" s="98">
        <f>BK117</f>
        <v>865085</v>
      </c>
      <c r="BM118" s="105"/>
      <c r="BN118" s="98"/>
      <c r="BQ118" s="97"/>
      <c r="BR118" s="98"/>
      <c r="BT118" s="98">
        <f>BS117</f>
        <v>300088</v>
      </c>
      <c r="BU118" s="105"/>
      <c r="BV118" s="98"/>
      <c r="BY118" s="97"/>
      <c r="BZ118" s="98"/>
      <c r="CB118" s="98">
        <f>CA117</f>
        <v>240431</v>
      </c>
      <c r="CC118" s="105"/>
      <c r="CD118" s="98"/>
      <c r="CG118" s="97"/>
      <c r="CH118" s="98"/>
      <c r="CJ118" s="98">
        <f>CI117</f>
        <v>0</v>
      </c>
      <c r="CK118" s="105"/>
      <c r="CL118" s="98"/>
      <c r="CO118" s="97"/>
      <c r="CP118" s="98"/>
      <c r="CR118" s="98">
        <f>CQ117</f>
        <v>0</v>
      </c>
      <c r="CS118" s="105"/>
      <c r="CT118" s="98"/>
      <c r="CW118" s="97"/>
      <c r="CX118" s="98"/>
    </row>
    <row r="119" spans="1:102">
      <c r="D119" s="2785" t="s">
        <v>2569</v>
      </c>
      <c r="E119" s="2786"/>
    </row>
    <row r="120" spans="1:102">
      <c r="C120" s="1410" t="s">
        <v>2521</v>
      </c>
      <c r="D120" s="2740" t="s">
        <v>1581</v>
      </c>
      <c r="F120" s="97" t="s">
        <v>1976</v>
      </c>
      <c r="G120" s="97">
        <f>SUMIFS($J$59:$J$63,$C$59:$C$63,F120)</f>
        <v>2160000</v>
      </c>
      <c r="O120" s="97">
        <f>SUMIFS($R$59:$R$63,$C$59:$C$63,F120)</f>
        <v>0</v>
      </c>
      <c r="S120" s="97">
        <f>SUMIFS($V$59:$V$63,$C$59:$C$63,F120)</f>
        <v>0</v>
      </c>
      <c r="W120" s="97">
        <f>SUMIFS($Z$59:$Z$63,$C$59:$C$63,F120)</f>
        <v>0</v>
      </c>
      <c r="AA120" s="97">
        <f>SUMIFS($AD$59:$AD$63,$C$59:$C$63,F120)</f>
        <v>0</v>
      </c>
      <c r="AE120" s="97">
        <f>SUMIFS($AH$59:$AH$63,$C$59:$C$63,F120)</f>
        <v>0</v>
      </c>
      <c r="AI120" s="97">
        <f>SUMIFS($AL$59:$AL$63,$C$59:$C$63,F120)</f>
        <v>0</v>
      </c>
      <c r="AM120" s="97">
        <f>SUMIFS($AP$59:$AP$63,$C$59:$C$63,F120)</f>
        <v>0</v>
      </c>
      <c r="AQ120" s="97">
        <f>SUMIFS($AT$59:$AT$63,$C$59:$C$63,F120)</f>
        <v>0</v>
      </c>
      <c r="AU120" s="97">
        <f>SUMIFS($AX$59:$AX$63,$C$59:$C$63,F120)</f>
        <v>0</v>
      </c>
      <c r="AY120" s="97">
        <f>SUMIFS($BB$59:$BB$63,$C$59:$C$63,F120)</f>
        <v>175000</v>
      </c>
      <c r="BC120" s="97">
        <f>SUMIFS($BF$59:$BF$63,$C$59:$C$63,F120)</f>
        <v>0</v>
      </c>
      <c r="BG120" s="97">
        <f>SUMIFS($BJ$59:$BJ$63,$C$59:$C$63,F120)</f>
        <v>1200000</v>
      </c>
      <c r="BK120" s="97">
        <f>SUMIFS($BN$59:$BN$63,$C$59:$C$63,F120)</f>
        <v>1375000</v>
      </c>
      <c r="BS120" s="97">
        <f>SUMIFS($BV$59:$BV$63,$C$59:$C$63,F120)</f>
        <v>420000</v>
      </c>
      <c r="CA120" s="97">
        <f>SUMIFS($CD$59:$CD$63,$C$59:$C$63,F120)</f>
        <v>821500</v>
      </c>
      <c r="CI120" s="97">
        <f>SUMIFS($CL$59:$CL$63,$C$59:$C$63,F120)</f>
        <v>0</v>
      </c>
      <c r="CQ120" s="97">
        <f>SUMIFS($CT$59:$CT$63,$C$59:$C$63,F120)</f>
        <v>0</v>
      </c>
    </row>
    <row r="121" spans="1:102">
      <c r="C121" s="1410" t="s">
        <v>2571</v>
      </c>
      <c r="D121" s="2740" t="s">
        <v>2570</v>
      </c>
      <c r="H121" s="97">
        <f>G120</f>
        <v>2160000</v>
      </c>
      <c r="P121" s="97">
        <f>O120</f>
        <v>0</v>
      </c>
      <c r="T121" s="97">
        <f>S120</f>
        <v>0</v>
      </c>
      <c r="X121" s="97">
        <f>W120</f>
        <v>0</v>
      </c>
      <c r="AB121" s="97">
        <f>AA120</f>
        <v>0</v>
      </c>
      <c r="AF121" s="97">
        <f>AE120</f>
        <v>0</v>
      </c>
      <c r="AJ121" s="97">
        <f>AI120</f>
        <v>0</v>
      </c>
      <c r="AN121" s="97">
        <f>AM120</f>
        <v>0</v>
      </c>
      <c r="AR121" s="97">
        <f>AQ120</f>
        <v>0</v>
      </c>
      <c r="AV121" s="97">
        <f>AU120</f>
        <v>0</v>
      </c>
      <c r="AZ121" s="97">
        <f>AY120</f>
        <v>175000</v>
      </c>
      <c r="BD121" s="97">
        <f>BC120</f>
        <v>0</v>
      </c>
      <c r="BH121" s="97">
        <f>BG120</f>
        <v>1200000</v>
      </c>
      <c r="BL121" s="97">
        <f>BK120</f>
        <v>1375000</v>
      </c>
      <c r="BT121" s="97">
        <f>BS120</f>
        <v>420000</v>
      </c>
      <c r="CB121" s="97">
        <f>CA120</f>
        <v>821500</v>
      </c>
      <c r="CJ121" s="97">
        <f>CI120</f>
        <v>0</v>
      </c>
      <c r="CR121" s="97">
        <f>CQ120</f>
        <v>0</v>
      </c>
    </row>
    <row r="122"/>
    <row r="123" spans="1:102">
      <c r="A123" s="1409"/>
      <c r="B123" s="98"/>
      <c r="G123" s="109">
        <f>SUM(G109:G115)</f>
        <v>898717</v>
      </c>
      <c r="H123" s="109">
        <f>SUM(H109:H115)</f>
        <v>898717</v>
      </c>
      <c r="I123" s="105">
        <f>+G123-H123</f>
        <v>0</v>
      </c>
      <c r="O123" s="109">
        <f>SUM(O109:O115)</f>
        <v>302768</v>
      </c>
      <c r="P123" s="109">
        <f>SUM(P109:P115)</f>
        <v>302768</v>
      </c>
      <c r="Q123" s="105">
        <f>+O123-P123</f>
        <v>0</v>
      </c>
      <c r="R123" s="98"/>
      <c r="S123" s="109">
        <f>SUM(S109:S115)</f>
        <v>269817</v>
      </c>
      <c r="T123" s="109">
        <f>SUM(T109:T115)</f>
        <v>269817</v>
      </c>
      <c r="U123" s="105">
        <f>+S123-T123</f>
        <v>0</v>
      </c>
      <c r="V123" s="98"/>
      <c r="W123" s="109">
        <f>SUM(W109:W115)</f>
        <v>331119</v>
      </c>
      <c r="X123" s="109">
        <f>SUM(X109:X115)</f>
        <v>331119</v>
      </c>
      <c r="Y123" s="105">
        <f>+W123-X123</f>
        <v>0</v>
      </c>
      <c r="Z123" s="98"/>
      <c r="AA123" s="109">
        <f>SUM(AA109:AA115)</f>
        <v>310364</v>
      </c>
      <c r="AB123" s="109">
        <f>SUM(AB109:AB115)</f>
        <v>310364</v>
      </c>
      <c r="AC123" s="105">
        <f>+AA123-AB123</f>
        <v>0</v>
      </c>
      <c r="AD123" s="98"/>
      <c r="AE123" s="109">
        <f>SUM(AE109:AE115)</f>
        <v>196875</v>
      </c>
      <c r="AF123" s="109">
        <f>SUM(AF109:AF115)</f>
        <v>196875</v>
      </c>
      <c r="AG123" s="105">
        <f>+AE123-AF123</f>
        <v>0</v>
      </c>
      <c r="AH123" s="98"/>
      <c r="AI123" s="109">
        <f>SUM(AI109:AI115)</f>
        <v>103385</v>
      </c>
      <c r="AJ123" s="109">
        <f>SUM(AJ109:AJ115)</f>
        <v>103385</v>
      </c>
      <c r="AK123" s="105">
        <f>+AI123-AJ123</f>
        <v>0</v>
      </c>
      <c r="AL123" s="98"/>
      <c r="AM123" s="109">
        <f>SUM(AM109:AM115)</f>
        <v>83385</v>
      </c>
      <c r="AN123" s="109">
        <f>SUM(AN109:AN115)</f>
        <v>83385</v>
      </c>
      <c r="AO123" s="105">
        <f>+AM123-AN123</f>
        <v>0</v>
      </c>
      <c r="AP123" s="98"/>
      <c r="AQ123" s="109">
        <f>SUM(AQ109:AQ115)</f>
        <v>83385</v>
      </c>
      <c r="AR123" s="109">
        <f>SUM(AR109:AR115)</f>
        <v>83385</v>
      </c>
      <c r="AS123" s="105">
        <f>+AQ123-AR123</f>
        <v>0</v>
      </c>
      <c r="AT123" s="98"/>
      <c r="AU123" s="109">
        <f>SUM(AU109:AU115)</f>
        <v>83385</v>
      </c>
      <c r="AV123" s="109">
        <f>SUM(AV109:AV115)</f>
        <v>83385</v>
      </c>
      <c r="AW123" s="105">
        <f>+AU123-AV123</f>
        <v>0</v>
      </c>
      <c r="AX123" s="98"/>
      <c r="AY123" s="109">
        <f>SUM(AY109:AY115)</f>
        <v>193738</v>
      </c>
      <c r="AZ123" s="109">
        <f>SUM(AZ109:AZ115)</f>
        <v>193738</v>
      </c>
      <c r="BA123" s="105">
        <f>+AY123-AZ123</f>
        <v>0</v>
      </c>
      <c r="BB123" s="98"/>
      <c r="BC123" s="109">
        <f>SUM(BC109:BC115)</f>
        <v>83385</v>
      </c>
      <c r="BD123" s="109">
        <f>SUM(BD109:BD115)</f>
        <v>83385</v>
      </c>
      <c r="BE123" s="105">
        <f>+BC123-BD123</f>
        <v>0</v>
      </c>
      <c r="BF123" s="98"/>
      <c r="BG123" s="109">
        <f>SUM(BG109:BG115)</f>
        <v>103385</v>
      </c>
      <c r="BH123" s="109">
        <f>SUM(BH109:BH115)</f>
        <v>103385</v>
      </c>
      <c r="BI123" s="105">
        <f>+BG123-BH123</f>
        <v>0</v>
      </c>
      <c r="BJ123" s="98"/>
      <c r="BK123" s="109">
        <f>SUM(BK109:BK115)</f>
        <v>2144991</v>
      </c>
      <c r="BL123" s="109">
        <f>SUM(BL109:BL115)</f>
        <v>2144991</v>
      </c>
      <c r="BM123" s="105">
        <f>+BK123-BL123</f>
        <v>0</v>
      </c>
      <c r="BN123" s="98"/>
      <c r="BQ123" s="97"/>
      <c r="BR123" s="98"/>
      <c r="BS123" s="109">
        <f>SUM(BS109:BS115)</f>
        <v>1110310</v>
      </c>
      <c r="BT123" s="109">
        <f>SUM(BT109:BT115)</f>
        <v>1110310</v>
      </c>
      <c r="BU123" s="105">
        <f>+BS123-BT123</f>
        <v>0</v>
      </c>
      <c r="BV123" s="98"/>
      <c r="BY123" s="97"/>
      <c r="BZ123" s="98"/>
      <c r="CA123" s="109">
        <f>SUM(CA109:CA115)</f>
        <v>1088729</v>
      </c>
      <c r="CB123" s="109">
        <f>SUM(CB109:CB115)</f>
        <v>1088729</v>
      </c>
      <c r="CC123" s="105">
        <f>+CA123-CB123</f>
        <v>0</v>
      </c>
      <c r="CD123" s="98"/>
      <c r="CG123" s="97"/>
      <c r="CH123" s="98"/>
      <c r="CI123" s="109">
        <f>SUM(CI109:CI115)</f>
        <v>316840</v>
      </c>
      <c r="CJ123" s="109">
        <f>SUM(CJ109:CJ115)</f>
        <v>316840</v>
      </c>
      <c r="CK123" s="105">
        <f>+CI123-CJ123</f>
        <v>0</v>
      </c>
      <c r="CL123" s="98"/>
      <c r="CO123" s="97"/>
      <c r="CP123" s="98"/>
      <c r="CQ123" s="109">
        <f>SUM(CQ109:CQ115)</f>
        <v>60000</v>
      </c>
      <c r="CR123" s="109">
        <f>SUM(CR109:CR115)</f>
        <v>60000</v>
      </c>
      <c r="CS123" s="105">
        <f>+CQ123-CR123</f>
        <v>0</v>
      </c>
      <c r="CT123" s="98"/>
      <c r="CW123" s="97"/>
      <c r="CX123" s="98"/>
    </row>
    <row r="124" spans="1:102">
      <c r="A124" s="284"/>
      <c r="B124" s="98"/>
      <c r="D124" s="285"/>
      <c r="G124" s="98"/>
      <c r="H124" s="98"/>
      <c r="I124" s="105"/>
      <c r="O124" s="98"/>
      <c r="Q124" s="105"/>
      <c r="R124" s="98"/>
      <c r="U124" s="105"/>
      <c r="V124" s="98"/>
      <c r="Y124" s="105"/>
      <c r="Z124" s="98"/>
      <c r="AC124" s="105"/>
      <c r="AD124" s="98"/>
      <c r="AG124" s="105"/>
      <c r="AH124" s="98"/>
      <c r="AK124" s="105"/>
      <c r="AL124" s="98"/>
      <c r="AO124" s="105"/>
      <c r="AP124" s="98"/>
      <c r="AS124" s="105"/>
      <c r="AT124" s="98"/>
      <c r="AW124" s="105"/>
      <c r="AX124" s="98"/>
      <c r="BA124" s="105"/>
      <c r="BB124" s="98"/>
      <c r="BE124" s="105"/>
      <c r="BF124" s="98"/>
      <c r="BI124" s="105"/>
      <c r="BJ124" s="98"/>
      <c r="BM124" s="105"/>
      <c r="BN124" s="98"/>
      <c r="BQ124" s="97"/>
      <c r="BR124" s="98"/>
      <c r="BU124" s="105"/>
      <c r="BV124" s="98"/>
      <c r="BY124" s="97"/>
      <c r="BZ124" s="98"/>
      <c r="CC124" s="105"/>
      <c r="CD124" s="98"/>
      <c r="CG124" s="97"/>
      <c r="CH124" s="98"/>
      <c r="CK124" s="105"/>
      <c r="CL124" s="98"/>
      <c r="CO124" s="97"/>
      <c r="CP124" s="98"/>
      <c r="CS124" s="105"/>
      <c r="CT124" s="98"/>
      <c r="CW124" s="97"/>
      <c r="CX124" s="98"/>
    </row>
    <row r="125" spans="1:102">
      <c r="A125" s="284"/>
      <c r="B125" s="98"/>
      <c r="C125" s="285"/>
      <c r="G125" s="98">
        <f>G95+G110+G130+G96</f>
        <v>16003979</v>
      </c>
      <c r="H125" s="98">
        <f>H95+H110+H130</f>
        <v>0</v>
      </c>
      <c r="I125" s="105"/>
      <c r="O125" s="98">
        <f>O95+O110+O130+O96</f>
        <v>4955319</v>
      </c>
      <c r="P125" s="98">
        <f>P95+P110+P130</f>
        <v>20613</v>
      </c>
      <c r="Q125" s="105"/>
      <c r="R125" s="98"/>
      <c r="S125" s="98">
        <f>S95+S110+S130+S96</f>
        <v>3089259</v>
      </c>
      <c r="T125" s="98">
        <f>T95+T110+T130</f>
        <v>8132</v>
      </c>
      <c r="U125" s="105"/>
      <c r="V125" s="98"/>
      <c r="W125" s="98">
        <f>W95+W110+W130+W96</f>
        <v>6027076</v>
      </c>
      <c r="X125" s="98">
        <f>X95+X110+X130</f>
        <v>9110</v>
      </c>
      <c r="Y125" s="105"/>
      <c r="Z125" s="98"/>
      <c r="AA125" s="98">
        <f>AA95+AA110+AA130+AA96</f>
        <v>4374224</v>
      </c>
      <c r="AB125" s="98">
        <f>AB95+AB110+AB130</f>
        <v>22493</v>
      </c>
      <c r="AC125" s="105"/>
      <c r="AD125" s="98"/>
      <c r="AE125" s="98">
        <f>AE95+AE110+AE130+AE96</f>
        <v>4393671</v>
      </c>
      <c r="AF125" s="98">
        <f>AF95+AF110+AF130</f>
        <v>22492</v>
      </c>
      <c r="AG125" s="105"/>
      <c r="AH125" s="98"/>
      <c r="AI125" s="98">
        <f>AI95+AI110+AI130+AI96</f>
        <v>4396465</v>
      </c>
      <c r="AJ125" s="98">
        <f>AJ95+AJ110+AJ130</f>
        <v>22493</v>
      </c>
      <c r="AK125" s="105"/>
      <c r="AL125" s="98"/>
      <c r="AM125" s="98">
        <f>AM95+AM110+AM130+AM96</f>
        <v>4284797</v>
      </c>
      <c r="AN125" s="98">
        <f>AN95+AN110+AN130</f>
        <v>24118</v>
      </c>
      <c r="AO125" s="105"/>
      <c r="AP125" s="98"/>
      <c r="AQ125" s="98">
        <f>AQ95+AQ110+AQ130+AQ96</f>
        <v>3810725</v>
      </c>
      <c r="AR125" s="98">
        <f>AR95+AR110+AR130</f>
        <v>26937</v>
      </c>
      <c r="AS125" s="105"/>
      <c r="AT125" s="98"/>
      <c r="AU125" s="98">
        <f>AU95+AU110+AU130+AU96</f>
        <v>3743916</v>
      </c>
      <c r="AV125" s="98">
        <f>AV95+AV110+AV130</f>
        <v>26936</v>
      </c>
      <c r="AW125" s="105"/>
      <c r="AX125" s="98"/>
      <c r="AY125" s="98">
        <f>AY95+AY110+AY130+AY96</f>
        <v>4320353</v>
      </c>
      <c r="AZ125" s="98">
        <f>AZ95+AZ110+AZ130</f>
        <v>27682</v>
      </c>
      <c r="BA125" s="105"/>
      <c r="BB125" s="98"/>
      <c r="BC125" s="98">
        <f>BC95+BC110+BC130+BC96</f>
        <v>3983341</v>
      </c>
      <c r="BD125" s="98">
        <f>BD95+BD110+BD130</f>
        <v>16810</v>
      </c>
      <c r="BE125" s="105"/>
      <c r="BF125" s="98"/>
      <c r="BG125" s="98">
        <f>BG95+BG110+BG130+BG96</f>
        <v>8870920</v>
      </c>
      <c r="BH125" s="98">
        <f>BH95+BH110+BH130</f>
        <v>30218</v>
      </c>
      <c r="BI125" s="105"/>
      <c r="BJ125" s="98"/>
      <c r="BK125" s="98">
        <f>BK95+BK110+BK130+BK96</f>
        <v>56250066</v>
      </c>
      <c r="BL125" s="98">
        <f>BL95+BL110+BL130</f>
        <v>258034</v>
      </c>
      <c r="BM125" s="105"/>
      <c r="BN125" s="98"/>
      <c r="BQ125" s="97"/>
      <c r="BR125" s="98"/>
      <c r="BS125" s="98">
        <f>BS95+BS110+BS130+BS96</f>
        <v>52847779</v>
      </c>
      <c r="BT125" s="98">
        <f>BT95+BT110+BT130</f>
        <v>0</v>
      </c>
      <c r="BU125" s="105"/>
      <c r="BV125" s="98"/>
      <c r="BY125" s="97"/>
      <c r="BZ125" s="98"/>
      <c r="CA125" s="98">
        <f>CA95+CA110+CA130+CA96</f>
        <v>57179915</v>
      </c>
      <c r="CB125" s="98">
        <f>CB95+CB110+CB130</f>
        <v>0</v>
      </c>
      <c r="CC125" s="105"/>
      <c r="CD125" s="98"/>
      <c r="CG125" s="97"/>
      <c r="CH125" s="98"/>
      <c r="CI125" s="98">
        <f>CI95+CI110+CI130+CI96</f>
        <v>55778598</v>
      </c>
      <c r="CJ125" s="98">
        <f>CJ95+CJ110+CJ130</f>
        <v>0</v>
      </c>
      <c r="CK125" s="105"/>
      <c r="CL125" s="98"/>
      <c r="CO125" s="97"/>
      <c r="CP125" s="98"/>
      <c r="CQ125" s="98">
        <f>CQ95+CQ110+CQ130+CQ96</f>
        <v>62066027</v>
      </c>
      <c r="CR125" s="98">
        <f>CR95+CR110+CR130</f>
        <v>0</v>
      </c>
      <c r="CS125" s="105"/>
      <c r="CT125" s="98"/>
      <c r="CW125" s="97"/>
      <c r="CX125" s="98"/>
    </row>
    <row r="126" spans="1:102">
      <c r="A126" s="284"/>
      <c r="B126" s="98"/>
      <c r="C126" s="285"/>
      <c r="G126" s="98"/>
      <c r="H126" s="98"/>
      <c r="I126" s="105"/>
      <c r="O126" s="98"/>
      <c r="Q126" s="105"/>
      <c r="R126" s="98"/>
      <c r="U126" s="105"/>
      <c r="V126" s="98"/>
      <c r="Y126" s="105"/>
      <c r="Z126" s="98"/>
      <c r="AC126" s="105"/>
      <c r="AD126" s="98"/>
      <c r="AG126" s="105"/>
      <c r="AH126" s="98"/>
      <c r="AK126" s="105"/>
      <c r="AL126" s="98"/>
      <c r="AO126" s="105"/>
      <c r="AP126" s="98"/>
      <c r="AS126" s="105"/>
      <c r="AT126" s="98"/>
      <c r="AW126" s="105"/>
      <c r="AX126" s="98"/>
      <c r="BA126" s="105"/>
      <c r="BB126" s="98"/>
      <c r="BE126" s="105"/>
      <c r="BF126" s="98"/>
      <c r="BI126" s="105"/>
      <c r="BJ126" s="98"/>
      <c r="BM126" s="105"/>
      <c r="BN126" s="98"/>
      <c r="BQ126" s="97"/>
      <c r="BR126" s="98"/>
      <c r="BU126" s="105"/>
      <c r="BV126" s="98"/>
      <c r="BY126" s="97"/>
      <c r="BZ126" s="98"/>
      <c r="CC126" s="105"/>
      <c r="CD126" s="98"/>
      <c r="CG126" s="97"/>
      <c r="CH126" s="98"/>
      <c r="CK126" s="105"/>
      <c r="CL126" s="98"/>
      <c r="CO126" s="97"/>
      <c r="CP126" s="98"/>
      <c r="CS126" s="105"/>
      <c r="CT126" s="98"/>
      <c r="CW126" s="97"/>
      <c r="CX126" s="98"/>
    </row>
    <row r="127" spans="1:102">
      <c r="B127" s="4"/>
      <c r="C127" s="98"/>
      <c r="G127" s="98"/>
      <c r="H127" s="98"/>
      <c r="I127" s="105"/>
      <c r="O127" s="98"/>
      <c r="Q127" s="105"/>
      <c r="R127" s="98"/>
      <c r="U127" s="105"/>
      <c r="V127" s="98"/>
      <c r="Y127" s="105"/>
      <c r="Z127" s="98"/>
      <c r="AC127" s="105"/>
      <c r="AD127" s="98"/>
      <c r="AG127" s="105"/>
      <c r="AH127" s="98"/>
      <c r="AK127" s="105"/>
      <c r="AL127" s="98"/>
      <c r="AO127" s="105"/>
      <c r="AP127" s="98"/>
      <c r="AS127" s="105"/>
      <c r="AT127" s="98"/>
      <c r="AW127" s="105"/>
      <c r="AX127" s="98"/>
      <c r="BA127" s="105"/>
      <c r="BB127" s="98"/>
      <c r="BE127" s="105"/>
      <c r="BF127" s="98"/>
      <c r="BI127" s="105"/>
      <c r="BJ127" s="98"/>
      <c r="BM127" s="105"/>
      <c r="BN127" s="98"/>
      <c r="BQ127" s="97"/>
      <c r="BR127" s="98"/>
      <c r="BU127" s="105"/>
      <c r="BV127" s="98"/>
      <c r="BY127" s="97"/>
      <c r="BZ127" s="98"/>
      <c r="CC127" s="105"/>
      <c r="CD127" s="98"/>
      <c r="CG127" s="97"/>
      <c r="CH127" s="98"/>
      <c r="CK127" s="105"/>
      <c r="CL127" s="98"/>
      <c r="CO127" s="97"/>
      <c r="CP127" s="98"/>
      <c r="CS127" s="105"/>
      <c r="CT127" s="98"/>
      <c r="CW127" s="97"/>
      <c r="CX127" s="98"/>
    </row>
    <row r="128" spans="1:102">
      <c r="B128" s="4"/>
      <c r="D128" s="1406" t="s">
        <v>1977</v>
      </c>
      <c r="E128" s="1407"/>
      <c r="G128" s="98"/>
      <c r="H128" s="98"/>
      <c r="I128" s="105"/>
      <c r="O128" s="98"/>
      <c r="Q128" s="105"/>
      <c r="R128" s="98"/>
      <c r="U128" s="105"/>
      <c r="V128" s="98"/>
      <c r="Y128" s="105"/>
      <c r="Z128" s="98"/>
      <c r="AC128" s="105"/>
      <c r="AD128" s="98"/>
      <c r="AG128" s="105"/>
      <c r="AH128" s="98"/>
      <c r="AK128" s="105"/>
      <c r="AL128" s="98"/>
      <c r="AO128" s="105"/>
      <c r="AP128" s="98"/>
      <c r="AS128" s="105"/>
      <c r="AT128" s="98"/>
      <c r="AW128" s="105"/>
      <c r="AX128" s="98"/>
      <c r="BA128" s="105"/>
      <c r="BB128" s="98"/>
      <c r="BE128" s="105"/>
      <c r="BF128" s="98"/>
      <c r="BI128" s="105"/>
      <c r="BJ128" s="98"/>
      <c r="BM128" s="105"/>
      <c r="BN128" s="98"/>
      <c r="BQ128" s="97"/>
      <c r="BR128" s="98"/>
      <c r="BU128" s="105"/>
      <c r="BV128" s="98"/>
      <c r="BY128" s="97"/>
      <c r="BZ128" s="98"/>
      <c r="CC128" s="105"/>
      <c r="CD128" s="98"/>
      <c r="CG128" s="97"/>
      <c r="CH128" s="98"/>
      <c r="CK128" s="105"/>
      <c r="CL128" s="98"/>
      <c r="CO128" s="97"/>
      <c r="CP128" s="98"/>
      <c r="CS128" s="105"/>
      <c r="CT128" s="98"/>
      <c r="CW128" s="97"/>
      <c r="CX128" s="98"/>
    </row>
    <row r="129" spans="1:102">
      <c r="A129" s="2790" t="s">
        <v>2574</v>
      </c>
      <c r="B129" s="4"/>
      <c r="D129" s="190" t="s">
        <v>739</v>
      </c>
      <c r="G129" s="98">
        <f>IF(K66&gt;0,K66,0)</f>
        <v>0</v>
      </c>
      <c r="H129" s="98">
        <f>IF(K66&lt;0,K66*-1,0)</f>
        <v>278313</v>
      </c>
      <c r="I129" s="105"/>
      <c r="O129" s="98">
        <f>IF(S66&gt;0,S66,0)</f>
        <v>20613</v>
      </c>
      <c r="P129" s="98">
        <f>IF(S66&lt;0,S66*-1,0)</f>
        <v>0</v>
      </c>
      <c r="Q129" s="105"/>
      <c r="R129" s="98"/>
      <c r="S129" s="98">
        <f>IF(W66&gt;0,W66,0)</f>
        <v>8132</v>
      </c>
      <c r="T129" s="98">
        <f>IF(W66&lt;0,W66*-1,0)</f>
        <v>0</v>
      </c>
      <c r="U129" s="105"/>
      <c r="V129" s="98"/>
      <c r="W129" s="98">
        <f>IF(AA66&gt;0,AA66,0)</f>
        <v>9110</v>
      </c>
      <c r="X129" s="98">
        <f>IF(AA66&lt;0,AA66*-1,0)</f>
        <v>0</v>
      </c>
      <c r="Y129" s="105"/>
      <c r="Z129" s="98"/>
      <c r="AA129" s="98">
        <f>IF(AE66&gt;0,AE66,0)</f>
        <v>22493</v>
      </c>
      <c r="AB129" s="98">
        <f>IF(AE66&lt;0,AE66*-1,0)</f>
        <v>0</v>
      </c>
      <c r="AC129" s="105"/>
      <c r="AD129" s="98"/>
      <c r="AE129" s="98">
        <f>IF(AI66&gt;0,AI66,0)</f>
        <v>22492</v>
      </c>
      <c r="AF129" s="98">
        <f>IF(AI66&lt;0,AI66*-1,0)</f>
        <v>0</v>
      </c>
      <c r="AG129" s="105"/>
      <c r="AH129" s="98"/>
      <c r="AI129" s="98">
        <f>IF(AM66&gt;0,AM66,0)</f>
        <v>22493</v>
      </c>
      <c r="AJ129" s="98">
        <f>IF(AM66&lt;0,AM66*-1,0)</f>
        <v>0</v>
      </c>
      <c r="AK129" s="105"/>
      <c r="AL129" s="98"/>
      <c r="AM129" s="98">
        <f>IF(AQ66&gt;0,AQ66,0)</f>
        <v>24118</v>
      </c>
      <c r="AN129" s="98">
        <f>IF(AQ66&lt;0,AQ66*-1,0)</f>
        <v>0</v>
      </c>
      <c r="AO129" s="105"/>
      <c r="AP129" s="98"/>
      <c r="AQ129" s="98">
        <f>IF(AU66&gt;0,AU66,0)</f>
        <v>26937</v>
      </c>
      <c r="AR129" s="98">
        <f>IF(AU66&lt;0,AU66*-1,0)</f>
        <v>0</v>
      </c>
      <c r="AS129" s="105"/>
      <c r="AT129" s="98"/>
      <c r="AU129" s="98">
        <f>IF(AY66&gt;0,AY66,0)</f>
        <v>26936</v>
      </c>
      <c r="AV129" s="98">
        <f>IF(AY66&lt;0,AY66*-1,0)</f>
        <v>0</v>
      </c>
      <c r="AW129" s="105"/>
      <c r="AX129" s="98"/>
      <c r="AY129" s="98">
        <f>IF(BC66&gt;0,BC66,0)</f>
        <v>27682</v>
      </c>
      <c r="AZ129" s="98">
        <f>IF(BC66&lt;0,BC66*-1,0)</f>
        <v>0</v>
      </c>
      <c r="BA129" s="105"/>
      <c r="BB129" s="98"/>
      <c r="BC129" s="98">
        <f>IF(BG66&gt;0,BG66,0)</f>
        <v>16810</v>
      </c>
      <c r="BD129" s="98">
        <f>IF(BG66&lt;0,BG66*-1,0)</f>
        <v>0</v>
      </c>
      <c r="BE129" s="105"/>
      <c r="BF129" s="98"/>
      <c r="BG129" s="98">
        <f>IF(BK66&gt;0,BK66,0)</f>
        <v>30218</v>
      </c>
      <c r="BH129" s="98">
        <f>IF(BK66&lt;0,BK66*-1,0)</f>
        <v>0</v>
      </c>
      <c r="BI129" s="105"/>
      <c r="BJ129" s="98"/>
      <c r="BK129" s="98">
        <f>IF(BO66&gt;0,BO66,0)</f>
        <v>258034</v>
      </c>
      <c r="BL129" s="98">
        <f>IF(BO66&lt;0,BO66*-1,0)</f>
        <v>0</v>
      </c>
      <c r="BM129" s="105"/>
      <c r="BN129" s="98"/>
      <c r="BQ129" s="97"/>
      <c r="BR129" s="98"/>
      <c r="BS129" s="98">
        <f>IF(BW66&gt;0,BW66,0)</f>
        <v>0</v>
      </c>
      <c r="BT129" s="98">
        <f>IF(BW66&lt;0,BW66*-1,0)</f>
        <v>0</v>
      </c>
      <c r="BU129" s="105"/>
      <c r="BV129" s="98"/>
      <c r="BY129" s="97"/>
      <c r="BZ129" s="98"/>
      <c r="CA129" s="98">
        <f>IF(CE66&gt;0,CE66,0)</f>
        <v>0</v>
      </c>
      <c r="CB129" s="98">
        <f>IF(CE66&lt;0,CE66*-1,0)</f>
        <v>0</v>
      </c>
      <c r="CC129" s="105"/>
      <c r="CD129" s="98"/>
      <c r="CG129" s="97"/>
      <c r="CH129" s="98"/>
      <c r="CI129" s="98">
        <f>IF(CM66&gt;0,CM66,0)</f>
        <v>0</v>
      </c>
      <c r="CJ129" s="98">
        <f>IF(CM66&lt;0,CM66*-1,0)</f>
        <v>0</v>
      </c>
      <c r="CK129" s="105"/>
      <c r="CL129" s="98"/>
      <c r="CO129" s="97"/>
      <c r="CP129" s="98"/>
      <c r="CQ129" s="98">
        <f>IF(CU66&gt;0,CU66,0)</f>
        <v>0</v>
      </c>
      <c r="CR129" s="98">
        <f>IF(CU66&lt;0,CU66*-1,0)</f>
        <v>0</v>
      </c>
      <c r="CS129" s="105"/>
      <c r="CT129" s="98"/>
      <c r="CW129" s="97"/>
      <c r="CX129" s="98"/>
    </row>
    <row r="130" spans="1:102">
      <c r="A130" s="97" t="s">
        <v>735</v>
      </c>
      <c r="B130" s="4"/>
      <c r="D130" s="190" t="s">
        <v>736</v>
      </c>
      <c r="G130" s="98">
        <f>+H129</f>
        <v>278313</v>
      </c>
      <c r="H130" s="98">
        <f>+G129</f>
        <v>0</v>
      </c>
      <c r="I130" s="105"/>
      <c r="O130" s="98">
        <f>+P129</f>
        <v>0</v>
      </c>
      <c r="P130" s="98">
        <f>+O129</f>
        <v>20613</v>
      </c>
      <c r="Q130" s="105"/>
      <c r="R130" s="98"/>
      <c r="S130" s="98">
        <f>+T129</f>
        <v>0</v>
      </c>
      <c r="T130" s="98">
        <f>+S129</f>
        <v>8132</v>
      </c>
      <c r="U130" s="105"/>
      <c r="V130" s="98"/>
      <c r="W130" s="98">
        <f>+X129</f>
        <v>0</v>
      </c>
      <c r="X130" s="98">
        <f>+W129</f>
        <v>9110</v>
      </c>
      <c r="Y130" s="105"/>
      <c r="Z130" s="98"/>
      <c r="AA130" s="98">
        <f>+AB129</f>
        <v>0</v>
      </c>
      <c r="AB130" s="98">
        <f>+AA129</f>
        <v>22493</v>
      </c>
      <c r="AC130" s="105"/>
      <c r="AD130" s="98"/>
      <c r="AE130" s="98">
        <f>+AF129</f>
        <v>0</v>
      </c>
      <c r="AF130" s="98">
        <f>+AE129</f>
        <v>22492</v>
      </c>
      <c r="AG130" s="105"/>
      <c r="AH130" s="98"/>
      <c r="AI130" s="98">
        <f>+AJ129</f>
        <v>0</v>
      </c>
      <c r="AJ130" s="98">
        <f>+AI129</f>
        <v>22493</v>
      </c>
      <c r="AK130" s="105"/>
      <c r="AL130" s="98"/>
      <c r="AM130" s="98">
        <f>+AN129</f>
        <v>0</v>
      </c>
      <c r="AN130" s="98">
        <f>+AM129</f>
        <v>24118</v>
      </c>
      <c r="AO130" s="105"/>
      <c r="AP130" s="98"/>
      <c r="AQ130" s="98">
        <f>+AR129</f>
        <v>0</v>
      </c>
      <c r="AR130" s="98">
        <f>+AQ129</f>
        <v>26937</v>
      </c>
      <c r="AS130" s="105"/>
      <c r="AT130" s="98"/>
      <c r="AU130" s="98">
        <f>+AV129</f>
        <v>0</v>
      </c>
      <c r="AV130" s="98">
        <f>+AU129</f>
        <v>26936</v>
      </c>
      <c r="AW130" s="105"/>
      <c r="AX130" s="98"/>
      <c r="AY130" s="98">
        <f>+AZ129</f>
        <v>0</v>
      </c>
      <c r="AZ130" s="98">
        <f>+AY129</f>
        <v>27682</v>
      </c>
      <c r="BA130" s="105"/>
      <c r="BB130" s="98"/>
      <c r="BC130" s="98">
        <f>+BD129</f>
        <v>0</v>
      </c>
      <c r="BD130" s="98">
        <f>+BC129</f>
        <v>16810</v>
      </c>
      <c r="BE130" s="105"/>
      <c r="BF130" s="98"/>
      <c r="BG130" s="98">
        <f>+BH129</f>
        <v>0</v>
      </c>
      <c r="BH130" s="98">
        <f>+BG129</f>
        <v>30218</v>
      </c>
      <c r="BI130" s="105"/>
      <c r="BJ130" s="98"/>
      <c r="BK130" s="98">
        <f>+BL129</f>
        <v>0</v>
      </c>
      <c r="BL130" s="98">
        <f>+BK129</f>
        <v>258034</v>
      </c>
      <c r="BM130" s="105"/>
      <c r="BN130" s="98"/>
      <c r="BQ130" s="97"/>
      <c r="BR130" s="98"/>
      <c r="BS130" s="98">
        <f>+BT129</f>
        <v>0</v>
      </c>
      <c r="BT130" s="98">
        <f>+BS129</f>
        <v>0</v>
      </c>
      <c r="BU130" s="105"/>
      <c r="BV130" s="98"/>
      <c r="BY130" s="97"/>
      <c r="BZ130" s="98"/>
      <c r="CA130" s="98">
        <f>+CB129</f>
        <v>0</v>
      </c>
      <c r="CB130" s="98">
        <f>+CA129</f>
        <v>0</v>
      </c>
      <c r="CC130" s="105"/>
      <c r="CD130" s="98"/>
      <c r="CG130" s="97"/>
      <c r="CH130" s="98"/>
      <c r="CI130" s="98">
        <f>+CJ129</f>
        <v>0</v>
      </c>
      <c r="CJ130" s="98">
        <f>+CI129</f>
        <v>0</v>
      </c>
      <c r="CK130" s="105"/>
      <c r="CL130" s="98"/>
      <c r="CO130" s="97"/>
      <c r="CP130" s="98"/>
      <c r="CQ130" s="98">
        <f>+CR129</f>
        <v>0</v>
      </c>
      <c r="CR130" s="98">
        <f>+CQ129</f>
        <v>0</v>
      </c>
      <c r="CS130" s="105"/>
      <c r="CT130" s="98"/>
      <c r="CW130" s="97"/>
      <c r="CX130" s="98"/>
    </row>
    <row r="131" spans="1:102">
      <c r="B131" s="4"/>
      <c r="D131" s="98"/>
      <c r="G131" s="109">
        <f>SUM(G129:G130)</f>
        <v>278313</v>
      </c>
      <c r="H131" s="109">
        <f>SUM(H129:H130)</f>
        <v>278313</v>
      </c>
      <c r="I131" s="105">
        <f>+G131-H131</f>
        <v>0</v>
      </c>
      <c r="O131" s="109">
        <f>SUM(O129:O130)</f>
        <v>20613</v>
      </c>
      <c r="P131" s="109">
        <f>SUM(P129:P130)</f>
        <v>20613</v>
      </c>
      <c r="Q131" s="105">
        <f>+O131-P131</f>
        <v>0</v>
      </c>
      <c r="R131" s="98"/>
      <c r="S131" s="109">
        <f>SUM(S129:S130)</f>
        <v>8132</v>
      </c>
      <c r="T131" s="109">
        <f>SUM(T129:T130)</f>
        <v>8132</v>
      </c>
      <c r="U131" s="105">
        <f>+S131-T131</f>
        <v>0</v>
      </c>
      <c r="V131" s="98"/>
      <c r="W131" s="109">
        <f>SUM(W129:W130)</f>
        <v>9110</v>
      </c>
      <c r="X131" s="109">
        <f>SUM(X129:X130)</f>
        <v>9110</v>
      </c>
      <c r="Y131" s="105">
        <f>+W131-X131</f>
        <v>0</v>
      </c>
      <c r="Z131" s="98"/>
      <c r="AA131" s="109">
        <f>SUM(AA129:AA130)</f>
        <v>22493</v>
      </c>
      <c r="AB131" s="109">
        <f>SUM(AB129:AB130)</f>
        <v>22493</v>
      </c>
      <c r="AC131" s="105">
        <f>+AA131-AB131</f>
        <v>0</v>
      </c>
      <c r="AD131" s="98"/>
      <c r="AE131" s="109">
        <f>SUM(AE129:AE130)</f>
        <v>22492</v>
      </c>
      <c r="AF131" s="109">
        <f>SUM(AF129:AF130)</f>
        <v>22492</v>
      </c>
      <c r="AG131" s="105">
        <f>+AE131-AF131</f>
        <v>0</v>
      </c>
      <c r="AH131" s="98"/>
      <c r="AI131" s="109">
        <f>SUM(AI129:AI130)</f>
        <v>22493</v>
      </c>
      <c r="AJ131" s="109">
        <f>SUM(AJ129:AJ130)</f>
        <v>22493</v>
      </c>
      <c r="AK131" s="105">
        <f>+AI131-AJ131</f>
        <v>0</v>
      </c>
      <c r="AL131" s="98"/>
      <c r="AM131" s="109">
        <f>SUM(AM129:AM130)</f>
        <v>24118</v>
      </c>
      <c r="AN131" s="109">
        <f>SUM(AN129:AN130)</f>
        <v>24118</v>
      </c>
      <c r="AO131" s="105">
        <f>+AM131-AN131</f>
        <v>0</v>
      </c>
      <c r="AP131" s="98"/>
      <c r="AQ131" s="109">
        <f>SUM(AQ129:AQ130)</f>
        <v>26937</v>
      </c>
      <c r="AR131" s="109">
        <f>SUM(AR129:AR130)</f>
        <v>26937</v>
      </c>
      <c r="AS131" s="105">
        <f>+AQ131-AR131</f>
        <v>0</v>
      </c>
      <c r="AT131" s="98"/>
      <c r="AU131" s="109">
        <f>SUM(AU129:AU130)</f>
        <v>26936</v>
      </c>
      <c r="AV131" s="109">
        <f>SUM(AV129:AV130)</f>
        <v>26936</v>
      </c>
      <c r="AW131" s="105">
        <f>+AU131-AV131</f>
        <v>0</v>
      </c>
      <c r="AX131" s="98"/>
      <c r="AY131" s="109">
        <f>SUM(AY129:AY130)</f>
        <v>27682</v>
      </c>
      <c r="AZ131" s="109">
        <f>SUM(AZ129:AZ130)</f>
        <v>27682</v>
      </c>
      <c r="BA131" s="105">
        <f>+AY131-AZ131</f>
        <v>0</v>
      </c>
      <c r="BB131" s="98"/>
      <c r="BC131" s="109">
        <f>SUM(BC129:BC130)</f>
        <v>16810</v>
      </c>
      <c r="BD131" s="109">
        <f>SUM(BD129:BD130)</f>
        <v>16810</v>
      </c>
      <c r="BE131" s="105">
        <f>+BC131-BD131</f>
        <v>0</v>
      </c>
      <c r="BF131" s="98"/>
      <c r="BG131" s="109">
        <f>SUM(BG129:BG130)</f>
        <v>30218</v>
      </c>
      <c r="BH131" s="109">
        <f>SUM(BH129:BH130)</f>
        <v>30218</v>
      </c>
      <c r="BI131" s="105">
        <f>+BG131-BH131</f>
        <v>0</v>
      </c>
      <c r="BJ131" s="98"/>
      <c r="BK131" s="109">
        <f>SUM(BK129:BK130)</f>
        <v>258034</v>
      </c>
      <c r="BL131" s="109">
        <f>SUM(BL129:BL130)</f>
        <v>258034</v>
      </c>
      <c r="BM131" s="105">
        <f>+BK131-BL131</f>
        <v>0</v>
      </c>
      <c r="BN131" s="98"/>
      <c r="BQ131" s="97"/>
      <c r="BR131" s="98"/>
      <c r="BS131" s="109">
        <f>SUM(BS129:BS130)</f>
        <v>0</v>
      </c>
      <c r="BT131" s="109">
        <f>SUM(BT129:BT130)</f>
        <v>0</v>
      </c>
      <c r="BU131" s="105">
        <f>+BS131-BT131</f>
        <v>0</v>
      </c>
      <c r="BV131" s="98"/>
      <c r="BY131" s="97"/>
      <c r="BZ131" s="98"/>
      <c r="CA131" s="109">
        <f>SUM(CA129:CA130)</f>
        <v>0</v>
      </c>
      <c r="CB131" s="109">
        <f>SUM(CB129:CB130)</f>
        <v>0</v>
      </c>
      <c r="CC131" s="105">
        <f>+CA131-CB131</f>
        <v>0</v>
      </c>
      <c r="CD131" s="98"/>
      <c r="CG131" s="97"/>
      <c r="CH131" s="98"/>
      <c r="CI131" s="109">
        <f>SUM(CI129:CI130)</f>
        <v>0</v>
      </c>
      <c r="CJ131" s="109">
        <f>SUM(CJ129:CJ130)</f>
        <v>0</v>
      </c>
      <c r="CK131" s="105">
        <f>+CI131-CJ131</f>
        <v>0</v>
      </c>
      <c r="CL131" s="98"/>
      <c r="CO131" s="97"/>
      <c r="CP131" s="98"/>
      <c r="CQ131" s="109">
        <f>SUM(CQ129:CQ130)</f>
        <v>0</v>
      </c>
      <c r="CR131" s="109">
        <f>SUM(CR129:CR130)</f>
        <v>0</v>
      </c>
      <c r="CS131" s="105">
        <f>+CQ131-CR131</f>
        <v>0</v>
      </c>
      <c r="CT131" s="98"/>
      <c r="CW131" s="97"/>
      <c r="CX131" s="98"/>
    </row>
    <row r="132" spans="1:102">
      <c r="B132" s="4"/>
      <c r="D132" s="98"/>
      <c r="G132" s="98"/>
      <c r="H132" s="98"/>
      <c r="I132" s="105"/>
      <c r="O132" s="98"/>
      <c r="Q132" s="105"/>
      <c r="R132" s="98"/>
      <c r="U132" s="105"/>
      <c r="V132" s="98"/>
      <c r="Y132" s="105"/>
      <c r="Z132" s="98"/>
      <c r="AC132" s="105"/>
      <c r="AD132" s="98"/>
      <c r="AG132" s="105"/>
      <c r="AH132" s="98"/>
      <c r="AK132" s="105"/>
      <c r="AL132" s="98"/>
      <c r="AO132" s="105"/>
      <c r="AP132" s="98"/>
      <c r="AS132" s="105"/>
      <c r="AT132" s="98"/>
      <c r="AW132" s="105"/>
      <c r="AX132" s="98"/>
      <c r="BA132" s="105"/>
      <c r="BB132" s="98"/>
      <c r="BE132" s="105"/>
      <c r="BF132" s="98"/>
      <c r="BI132" s="105"/>
      <c r="BJ132" s="98"/>
      <c r="BM132" s="105"/>
      <c r="BN132" s="98"/>
      <c r="BQ132" s="97"/>
      <c r="BR132" s="98"/>
      <c r="BU132" s="105"/>
      <c r="BV132" s="98"/>
      <c r="BY132" s="97"/>
      <c r="BZ132" s="98"/>
      <c r="CC132" s="105"/>
      <c r="CD132" s="98"/>
      <c r="CG132" s="97"/>
      <c r="CH132" s="98"/>
      <c r="CK132" s="105"/>
      <c r="CL132" s="98"/>
      <c r="CO132" s="97"/>
      <c r="CP132" s="98"/>
      <c r="CS132" s="105"/>
      <c r="CT132" s="98"/>
      <c r="CW132" s="97"/>
      <c r="CX132" s="98"/>
    </row>
    <row r="133" spans="1:102" s="97" customFormat="1">
      <c r="D133" s="189"/>
      <c r="I133" s="283"/>
      <c r="Q133" s="283"/>
      <c r="U133" s="283"/>
      <c r="Y133" s="283"/>
      <c r="AC133" s="283"/>
      <c r="AG133" s="283"/>
      <c r="AK133" s="283"/>
      <c r="AO133" s="283"/>
      <c r="AS133" s="283"/>
      <c r="AW133" s="283"/>
      <c r="BA133" s="283"/>
      <c r="BE133" s="283"/>
      <c r="BI133" s="283"/>
      <c r="BM133" s="283"/>
      <c r="BU133" s="283"/>
      <c r="CC133" s="283"/>
      <c r="CK133" s="283"/>
      <c r="CS133" s="283"/>
    </row>
    <row r="134" spans="1:102" hidden="1">
      <c r="A134" s="4"/>
      <c r="B134" s="98"/>
      <c r="G134" s="98"/>
      <c r="H134" s="98"/>
      <c r="I134" s="105"/>
      <c r="O134" s="98"/>
      <c r="Q134" s="105"/>
      <c r="R134" s="98"/>
      <c r="U134" s="105"/>
      <c r="V134" s="98"/>
      <c r="Y134" s="105"/>
      <c r="Z134" s="98"/>
      <c r="AC134" s="105"/>
      <c r="AD134" s="98"/>
      <c r="AG134" s="105"/>
      <c r="AH134" s="98"/>
      <c r="AK134" s="105"/>
      <c r="AL134" s="98"/>
      <c r="AO134" s="105"/>
      <c r="AP134" s="98"/>
      <c r="AS134" s="105"/>
      <c r="AT134" s="98"/>
      <c r="AW134" s="105"/>
      <c r="AX134" s="98"/>
      <c r="BA134" s="105"/>
      <c r="BB134" s="98"/>
      <c r="BE134" s="105"/>
      <c r="BF134" s="98"/>
      <c r="BI134" s="105"/>
      <c r="BJ134" s="98"/>
      <c r="BM134" s="105"/>
      <c r="BN134" s="98"/>
      <c r="BQ134" s="97"/>
      <c r="BR134" s="98"/>
      <c r="BU134" s="105"/>
      <c r="BV134" s="98"/>
      <c r="BY134" s="97"/>
      <c r="BZ134" s="98"/>
      <c r="CC134" s="105"/>
      <c r="CD134" s="98"/>
      <c r="CG134" s="97"/>
      <c r="CH134" s="98"/>
      <c r="CK134" s="105"/>
      <c r="CL134" s="98"/>
      <c r="CO134" s="97"/>
      <c r="CP134" s="98"/>
      <c r="CS134" s="105"/>
      <c r="CT134" s="98"/>
      <c r="CW134" s="97"/>
      <c r="CX134" s="98"/>
    </row>
    <row r="135" spans="1:102" hidden="1">
      <c r="A135" s="4"/>
      <c r="B135" s="98"/>
      <c r="D135" s="98"/>
      <c r="G135" s="98"/>
      <c r="H135" s="98"/>
      <c r="I135" s="105"/>
      <c r="O135" s="98"/>
      <c r="Q135" s="105"/>
      <c r="R135" s="98"/>
      <c r="U135" s="105"/>
      <c r="V135" s="98"/>
      <c r="Y135" s="105"/>
      <c r="Z135" s="98"/>
      <c r="AC135" s="105"/>
      <c r="AD135" s="98"/>
      <c r="AG135" s="105"/>
      <c r="AH135" s="98"/>
      <c r="AK135" s="105"/>
      <c r="AL135" s="98"/>
      <c r="AO135" s="105"/>
      <c r="AP135" s="98"/>
      <c r="AS135" s="105"/>
      <c r="AT135" s="98"/>
      <c r="AW135" s="105"/>
      <c r="AX135" s="98"/>
      <c r="BA135" s="105"/>
      <c r="BB135" s="98"/>
      <c r="BE135" s="105"/>
      <c r="BF135" s="98"/>
      <c r="BI135" s="105"/>
      <c r="BJ135" s="98"/>
      <c r="BM135" s="105"/>
      <c r="BN135" s="98"/>
      <c r="BQ135" s="97"/>
      <c r="BR135" s="98"/>
      <c r="BU135" s="105"/>
      <c r="BV135" s="98"/>
      <c r="BY135" s="97"/>
      <c r="BZ135" s="98"/>
      <c r="CC135" s="105"/>
      <c r="CD135" s="98"/>
      <c r="CG135" s="97"/>
      <c r="CH135" s="98"/>
      <c r="CK135" s="105"/>
      <c r="CL135" s="98"/>
      <c r="CO135" s="97"/>
      <c r="CP135" s="98"/>
      <c r="CS135" s="105"/>
      <c r="CT135" s="98"/>
      <c r="CW135" s="97"/>
      <c r="CX135" s="98"/>
    </row>
    <row r="136" spans="1:102" hidden="1">
      <c r="A136" s="4"/>
      <c r="B136" s="98"/>
      <c r="D136" s="98"/>
      <c r="G136" s="98"/>
      <c r="H136" s="98"/>
      <c r="I136" s="105"/>
      <c r="O136" s="98"/>
      <c r="Q136" s="105"/>
      <c r="R136" s="98"/>
      <c r="U136" s="105"/>
      <c r="V136" s="98"/>
      <c r="Y136" s="105"/>
      <c r="Z136" s="98"/>
      <c r="AC136" s="105"/>
      <c r="AD136" s="98"/>
      <c r="AG136" s="105"/>
      <c r="AH136" s="98"/>
      <c r="AK136" s="105"/>
      <c r="AL136" s="98"/>
      <c r="AO136" s="105"/>
      <c r="AP136" s="98"/>
      <c r="AS136" s="105"/>
      <c r="AT136" s="98"/>
      <c r="AW136" s="105"/>
      <c r="AX136" s="98"/>
      <c r="BA136" s="105"/>
      <c r="BB136" s="98"/>
      <c r="BE136" s="105"/>
      <c r="BF136" s="98"/>
      <c r="BI136" s="105"/>
      <c r="BJ136" s="98"/>
      <c r="BM136" s="105"/>
      <c r="BN136" s="98"/>
      <c r="BQ136" s="97"/>
      <c r="BR136" s="98"/>
      <c r="BU136" s="105"/>
      <c r="BV136" s="98"/>
      <c r="BY136" s="97"/>
      <c r="BZ136" s="98"/>
      <c r="CC136" s="105"/>
      <c r="CD136" s="98"/>
      <c r="CG136" s="97"/>
      <c r="CH136" s="98"/>
      <c r="CK136" s="105"/>
      <c r="CL136" s="98"/>
      <c r="CO136" s="97"/>
      <c r="CP136" s="98"/>
      <c r="CS136" s="105"/>
      <c r="CT136" s="98"/>
      <c r="CW136" s="97"/>
      <c r="CX136" s="98"/>
    </row>
    <row r="137" spans="1:102" hidden="1">
      <c r="A137" s="4"/>
      <c r="B137" s="98"/>
      <c r="D137" s="98"/>
      <c r="G137" s="98"/>
      <c r="H137" s="98"/>
      <c r="I137" s="105"/>
      <c r="O137" s="98"/>
      <c r="Q137" s="105"/>
      <c r="R137" s="98"/>
      <c r="U137" s="105"/>
      <c r="V137" s="98"/>
      <c r="Y137" s="105"/>
      <c r="Z137" s="98"/>
      <c r="AC137" s="105"/>
      <c r="AD137" s="98"/>
      <c r="AG137" s="105"/>
      <c r="AH137" s="98"/>
      <c r="AK137" s="105"/>
      <c r="AL137" s="98"/>
      <c r="AO137" s="105"/>
      <c r="AP137" s="98"/>
      <c r="AS137" s="105"/>
      <c r="AT137" s="98"/>
      <c r="AW137" s="105"/>
      <c r="AX137" s="98"/>
      <c r="BA137" s="105"/>
      <c r="BB137" s="98"/>
      <c r="BE137" s="105"/>
      <c r="BF137" s="98"/>
      <c r="BI137" s="105"/>
      <c r="BJ137" s="98"/>
      <c r="BM137" s="105"/>
      <c r="BN137" s="98"/>
      <c r="BQ137" s="97"/>
      <c r="BR137" s="98"/>
      <c r="BU137" s="105"/>
      <c r="BV137" s="98"/>
      <c r="BY137" s="97"/>
      <c r="BZ137" s="98"/>
      <c r="CC137" s="105"/>
      <c r="CD137" s="98"/>
      <c r="CG137" s="97"/>
      <c r="CH137" s="98"/>
      <c r="CK137" s="105"/>
      <c r="CL137" s="98"/>
      <c r="CO137" s="97"/>
      <c r="CP137" s="98"/>
      <c r="CS137" s="105"/>
      <c r="CT137" s="98"/>
      <c r="CW137" s="97"/>
      <c r="CX137" s="98"/>
    </row>
    <row r="138" spans="1:102" hidden="1">
      <c r="A138" s="4"/>
      <c r="B138" s="98"/>
      <c r="G138" s="98"/>
      <c r="H138" s="98"/>
      <c r="I138" s="105"/>
      <c r="O138" s="98"/>
      <c r="Q138" s="105"/>
      <c r="R138" s="98"/>
      <c r="U138" s="105"/>
      <c r="V138" s="98"/>
      <c r="Y138" s="105"/>
      <c r="Z138" s="98"/>
      <c r="AC138" s="105"/>
      <c r="AD138" s="98"/>
      <c r="AG138" s="105"/>
      <c r="AH138" s="98"/>
      <c r="AK138" s="105"/>
      <c r="AL138" s="98"/>
      <c r="AO138" s="105"/>
      <c r="AP138" s="98"/>
      <c r="AS138" s="105"/>
      <c r="AT138" s="98"/>
      <c r="AW138" s="105"/>
      <c r="AX138" s="98"/>
      <c r="BA138" s="105"/>
      <c r="BB138" s="98"/>
      <c r="BE138" s="105"/>
      <c r="BF138" s="98"/>
      <c r="BI138" s="105"/>
      <c r="BJ138" s="98"/>
      <c r="BM138" s="105"/>
      <c r="BN138" s="98"/>
      <c r="BQ138" s="97"/>
      <c r="BR138" s="98"/>
      <c r="BU138" s="105"/>
      <c r="BV138" s="98"/>
      <c r="BY138" s="97"/>
      <c r="BZ138" s="98"/>
      <c r="CC138" s="105"/>
      <c r="CD138" s="98"/>
      <c r="CG138" s="97"/>
      <c r="CH138" s="98"/>
      <c r="CK138" s="105"/>
      <c r="CL138" s="98"/>
      <c r="CO138" s="97"/>
      <c r="CP138" s="98"/>
      <c r="CS138" s="105"/>
      <c r="CT138" s="98"/>
      <c r="CW138" s="97"/>
      <c r="CX138" s="98"/>
    </row>
    <row r="139" spans="1:102" hidden="1">
      <c r="A139" s="4"/>
      <c r="B139" s="98"/>
      <c r="G139" s="98"/>
      <c r="H139" s="98"/>
      <c r="I139" s="105"/>
      <c r="O139" s="98"/>
      <c r="Q139" s="105"/>
      <c r="R139" s="98"/>
      <c r="U139" s="105"/>
      <c r="V139" s="98"/>
      <c r="Y139" s="105"/>
      <c r="Z139" s="98"/>
      <c r="AC139" s="105"/>
      <c r="AD139" s="98"/>
      <c r="AG139" s="105"/>
      <c r="AH139" s="98"/>
      <c r="AK139" s="105"/>
      <c r="AL139" s="98"/>
      <c r="AO139" s="105"/>
      <c r="AP139" s="98"/>
      <c r="AS139" s="105"/>
      <c r="AT139" s="98"/>
      <c r="AW139" s="105"/>
      <c r="AX139" s="98"/>
      <c r="BA139" s="105"/>
      <c r="BB139" s="98"/>
      <c r="BE139" s="105"/>
      <c r="BF139" s="98"/>
      <c r="BI139" s="105"/>
      <c r="BJ139" s="98"/>
      <c r="BM139" s="105"/>
      <c r="BN139" s="98"/>
      <c r="BQ139" s="97"/>
      <c r="BR139" s="98"/>
      <c r="BU139" s="105"/>
      <c r="BV139" s="98"/>
      <c r="BY139" s="97"/>
      <c r="BZ139" s="98"/>
      <c r="CC139" s="105"/>
      <c r="CD139" s="98"/>
      <c r="CG139" s="97"/>
      <c r="CH139" s="98"/>
      <c r="CK139" s="105"/>
      <c r="CL139" s="98"/>
      <c r="CO139" s="97"/>
      <c r="CP139" s="98"/>
      <c r="CS139" s="105"/>
      <c r="CT139" s="98"/>
      <c r="CW139" s="97"/>
      <c r="CX139" s="98"/>
    </row>
    <row r="140" spans="1:102" hidden="1">
      <c r="B140" s="4"/>
      <c r="D140" s="98"/>
      <c r="G140" s="98"/>
      <c r="H140" s="98"/>
      <c r="I140" s="105"/>
      <c r="O140" s="98"/>
      <c r="Q140" s="105"/>
      <c r="R140" s="98"/>
      <c r="U140" s="105"/>
      <c r="V140" s="98"/>
      <c r="Y140" s="105"/>
      <c r="Z140" s="98"/>
      <c r="AC140" s="105"/>
      <c r="AD140" s="98"/>
      <c r="AG140" s="105"/>
      <c r="AH140" s="98"/>
      <c r="AK140" s="105"/>
      <c r="AL140" s="98"/>
      <c r="AO140" s="105"/>
      <c r="AP140" s="98"/>
      <c r="AS140" s="105"/>
      <c r="AT140" s="98"/>
      <c r="AW140" s="105"/>
      <c r="AX140" s="98"/>
      <c r="BA140" s="105"/>
      <c r="BB140" s="98"/>
      <c r="BE140" s="105"/>
      <c r="BF140" s="98"/>
      <c r="BI140" s="105"/>
      <c r="BJ140" s="98"/>
      <c r="BM140" s="105"/>
      <c r="BN140" s="98"/>
      <c r="BQ140" s="97"/>
      <c r="BR140" s="98"/>
      <c r="BU140" s="105"/>
      <c r="BV140" s="98"/>
      <c r="BY140" s="97"/>
      <c r="BZ140" s="98"/>
      <c r="CC140" s="105"/>
      <c r="CD140" s="98"/>
      <c r="CG140" s="97"/>
      <c r="CH140" s="98"/>
      <c r="CK140" s="105"/>
      <c r="CL140" s="98"/>
      <c r="CO140" s="97"/>
      <c r="CP140" s="98"/>
      <c r="CS140" s="105"/>
      <c r="CT140" s="98"/>
      <c r="CW140" s="97"/>
      <c r="CX140" s="98"/>
    </row>
    <row r="141" spans="1:102" hidden="1">
      <c r="B141" s="4"/>
      <c r="D141" s="98"/>
      <c r="G141" s="98"/>
      <c r="H141" s="98"/>
      <c r="I141" s="105"/>
      <c r="O141" s="98"/>
      <c r="Q141" s="105"/>
      <c r="R141" s="98"/>
      <c r="U141" s="105"/>
      <c r="V141" s="98"/>
      <c r="Y141" s="105"/>
      <c r="Z141" s="98"/>
      <c r="AC141" s="105"/>
      <c r="AD141" s="98"/>
      <c r="AG141" s="105"/>
      <c r="AH141" s="98"/>
      <c r="AK141" s="105"/>
      <c r="AL141" s="98"/>
      <c r="AO141" s="105"/>
      <c r="AP141" s="98"/>
      <c r="AS141" s="105"/>
      <c r="AT141" s="98"/>
      <c r="AW141" s="105"/>
      <c r="AX141" s="98"/>
      <c r="BA141" s="105"/>
      <c r="BB141" s="98"/>
      <c r="BE141" s="105"/>
      <c r="BF141" s="98"/>
      <c r="BI141" s="105"/>
      <c r="BJ141" s="98"/>
      <c r="BM141" s="105"/>
      <c r="BN141" s="98"/>
      <c r="BQ141" s="97"/>
      <c r="BR141" s="98"/>
      <c r="BU141" s="105"/>
      <c r="BV141" s="98"/>
      <c r="BY141" s="97"/>
      <c r="BZ141" s="98"/>
      <c r="CC141" s="105"/>
      <c r="CD141" s="98"/>
      <c r="CG141" s="97"/>
      <c r="CH141" s="98"/>
      <c r="CK141" s="105"/>
      <c r="CL141" s="98"/>
      <c r="CO141" s="97"/>
      <c r="CP141" s="98"/>
      <c r="CS141" s="105"/>
      <c r="CT141" s="98"/>
      <c r="CW141" s="97"/>
      <c r="CX141" s="98"/>
    </row>
    <row r="142" spans="1:102" hidden="1">
      <c r="B142" s="4"/>
      <c r="D142" s="98"/>
      <c r="G142" s="98"/>
      <c r="H142" s="98"/>
      <c r="I142" s="105"/>
      <c r="O142" s="98"/>
      <c r="Q142" s="105"/>
      <c r="R142" s="98"/>
      <c r="U142" s="105"/>
      <c r="V142" s="98"/>
      <c r="Y142" s="105"/>
      <c r="Z142" s="98"/>
      <c r="AC142" s="105"/>
      <c r="AD142" s="98"/>
      <c r="AG142" s="105"/>
      <c r="AH142" s="98"/>
      <c r="AK142" s="105"/>
      <c r="AL142" s="98"/>
      <c r="AO142" s="105"/>
      <c r="AP142" s="98"/>
      <c r="AS142" s="105"/>
      <c r="AT142" s="98"/>
      <c r="AW142" s="105"/>
      <c r="AX142" s="98"/>
      <c r="BA142" s="105"/>
      <c r="BB142" s="98"/>
      <c r="BE142" s="105"/>
      <c r="BF142" s="98"/>
      <c r="BI142" s="105"/>
      <c r="BJ142" s="98"/>
      <c r="BM142" s="105"/>
      <c r="BN142" s="98"/>
      <c r="BQ142" s="97"/>
      <c r="BR142" s="98"/>
      <c r="BU142" s="105"/>
      <c r="BV142" s="98"/>
      <c r="BY142" s="97"/>
      <c r="BZ142" s="98"/>
      <c r="CC142" s="105"/>
      <c r="CD142" s="98"/>
      <c r="CG142" s="97"/>
      <c r="CH142" s="98"/>
      <c r="CK142" s="105"/>
      <c r="CL142" s="98"/>
      <c r="CO142" s="97"/>
      <c r="CP142" s="98"/>
      <c r="CS142" s="105"/>
      <c r="CT142" s="98"/>
      <c r="CW142" s="97"/>
      <c r="CX142" s="98"/>
    </row>
    <row r="143" spans="1:102" hidden="1">
      <c r="B143" s="4"/>
      <c r="D143" s="98"/>
      <c r="G143" s="98"/>
      <c r="H143" s="98"/>
      <c r="I143" s="105"/>
      <c r="O143" s="98"/>
      <c r="Q143" s="105"/>
      <c r="R143" s="98"/>
      <c r="U143" s="105"/>
      <c r="V143" s="98"/>
      <c r="Y143" s="105"/>
      <c r="Z143" s="98"/>
      <c r="AC143" s="105"/>
      <c r="AD143" s="98"/>
      <c r="AG143" s="105"/>
      <c r="AH143" s="98"/>
      <c r="AK143" s="105"/>
      <c r="AL143" s="98"/>
      <c r="AO143" s="105"/>
      <c r="AP143" s="98"/>
      <c r="AS143" s="105"/>
      <c r="AT143" s="98"/>
      <c r="AW143" s="105"/>
      <c r="AX143" s="98"/>
      <c r="BA143" s="105"/>
      <c r="BB143" s="98"/>
      <c r="BE143" s="105"/>
      <c r="BF143" s="98"/>
      <c r="BI143" s="105"/>
      <c r="BJ143" s="98"/>
      <c r="BM143" s="105"/>
      <c r="BN143" s="98"/>
      <c r="BQ143" s="97"/>
      <c r="BR143" s="98"/>
      <c r="BU143" s="105"/>
      <c r="BV143" s="98"/>
      <c r="BY143" s="97"/>
      <c r="BZ143" s="98"/>
      <c r="CC143" s="105"/>
      <c r="CD143" s="98"/>
      <c r="CG143" s="97"/>
      <c r="CH143" s="98"/>
      <c r="CK143" s="105"/>
      <c r="CL143" s="98"/>
      <c r="CO143" s="97"/>
      <c r="CP143" s="98"/>
      <c r="CS143" s="105"/>
      <c r="CT143" s="98"/>
      <c r="CW143" s="97"/>
      <c r="CX143" s="98"/>
    </row>
    <row r="144" spans="1:102" hidden="1">
      <c r="B144" s="4"/>
      <c r="D144" s="98"/>
      <c r="G144" s="98"/>
      <c r="H144" s="98"/>
      <c r="I144" s="105"/>
      <c r="O144" s="98"/>
      <c r="Q144" s="105"/>
      <c r="R144" s="98"/>
      <c r="U144" s="105"/>
      <c r="V144" s="98"/>
      <c r="Y144" s="105"/>
      <c r="Z144" s="98"/>
      <c r="AC144" s="105"/>
      <c r="AD144" s="98"/>
      <c r="AG144" s="105"/>
      <c r="AH144" s="98"/>
      <c r="AK144" s="105"/>
      <c r="AL144" s="98"/>
      <c r="AO144" s="105"/>
      <c r="AP144" s="98"/>
      <c r="AS144" s="105"/>
      <c r="AT144" s="98"/>
      <c r="AW144" s="105"/>
      <c r="AX144" s="98"/>
      <c r="BA144" s="105"/>
      <c r="BB144" s="98"/>
      <c r="BE144" s="105"/>
      <c r="BF144" s="98"/>
      <c r="BI144" s="105"/>
      <c r="BJ144" s="98"/>
      <c r="BM144" s="105"/>
      <c r="BN144" s="98"/>
      <c r="BQ144" s="97"/>
      <c r="BR144" s="98"/>
      <c r="BU144" s="105"/>
      <c r="BV144" s="98"/>
      <c r="BY144" s="97"/>
      <c r="BZ144" s="98"/>
      <c r="CC144" s="105"/>
      <c r="CD144" s="98"/>
      <c r="CG144" s="97"/>
      <c r="CH144" s="98"/>
      <c r="CK144" s="105"/>
      <c r="CL144" s="98"/>
      <c r="CO144" s="97"/>
      <c r="CP144" s="98"/>
      <c r="CS144" s="105"/>
      <c r="CT144" s="98"/>
      <c r="CW144" s="97"/>
      <c r="CX144" s="98"/>
    </row>
    <row r="145" spans="2:102" hidden="1">
      <c r="B145" s="4"/>
      <c r="D145" s="98"/>
      <c r="G145" s="98"/>
      <c r="H145" s="98"/>
      <c r="I145" s="105"/>
      <c r="O145" s="98"/>
      <c r="Q145" s="105"/>
      <c r="R145" s="98"/>
      <c r="U145" s="105"/>
      <c r="V145" s="98"/>
      <c r="Y145" s="105"/>
      <c r="Z145" s="98"/>
      <c r="AC145" s="105"/>
      <c r="AD145" s="98"/>
      <c r="AG145" s="105"/>
      <c r="AH145" s="98"/>
      <c r="AK145" s="105"/>
      <c r="AL145" s="98"/>
      <c r="AO145" s="105"/>
      <c r="AP145" s="98"/>
      <c r="AS145" s="105"/>
      <c r="AT145" s="98"/>
      <c r="AW145" s="105"/>
      <c r="AX145" s="98"/>
      <c r="BA145" s="105"/>
      <c r="BB145" s="98"/>
      <c r="BE145" s="105"/>
      <c r="BF145" s="98"/>
      <c r="BI145" s="105"/>
      <c r="BJ145" s="98"/>
      <c r="BM145" s="105"/>
      <c r="BN145" s="98"/>
      <c r="BQ145" s="97"/>
      <c r="BR145" s="98"/>
      <c r="BU145" s="105"/>
      <c r="BV145" s="98"/>
      <c r="BY145" s="97"/>
      <c r="BZ145" s="98"/>
      <c r="CC145" s="105"/>
      <c r="CD145" s="98"/>
      <c r="CG145" s="97"/>
      <c r="CH145" s="98"/>
      <c r="CK145" s="105"/>
      <c r="CL145" s="98"/>
      <c r="CO145" s="97"/>
      <c r="CP145" s="98"/>
      <c r="CS145" s="105"/>
      <c r="CT145" s="98"/>
      <c r="CW145" s="97"/>
      <c r="CX145" s="98"/>
    </row>
    <row r="146" spans="2:102" hidden="1">
      <c r="B146" s="4"/>
      <c r="D146" s="98"/>
      <c r="G146" s="98"/>
      <c r="H146" s="98"/>
      <c r="I146" s="105"/>
      <c r="O146" s="98"/>
      <c r="Q146" s="105"/>
      <c r="R146" s="98"/>
      <c r="U146" s="105"/>
      <c r="V146" s="98"/>
      <c r="Y146" s="105"/>
      <c r="Z146" s="98"/>
      <c r="AC146" s="105"/>
      <c r="AD146" s="98"/>
      <c r="AG146" s="105"/>
      <c r="AH146" s="98"/>
      <c r="AK146" s="105"/>
      <c r="AL146" s="98"/>
      <c r="AO146" s="105"/>
      <c r="AP146" s="98"/>
      <c r="AS146" s="105"/>
      <c r="AT146" s="98"/>
      <c r="AW146" s="105"/>
      <c r="AX146" s="98"/>
      <c r="BA146" s="105"/>
      <c r="BB146" s="98"/>
      <c r="BE146" s="105"/>
      <c r="BF146" s="98"/>
      <c r="BI146" s="105"/>
      <c r="BJ146" s="98"/>
      <c r="BM146" s="105"/>
      <c r="BN146" s="98"/>
      <c r="BQ146" s="97"/>
      <c r="BR146" s="98"/>
      <c r="BU146" s="105"/>
      <c r="BV146" s="98"/>
      <c r="BY146" s="97"/>
      <c r="BZ146" s="98"/>
      <c r="CC146" s="105"/>
      <c r="CD146" s="98"/>
      <c r="CG146" s="97"/>
      <c r="CH146" s="98"/>
      <c r="CK146" s="105"/>
      <c r="CL146" s="98"/>
      <c r="CO146" s="97"/>
      <c r="CP146" s="98"/>
      <c r="CS146" s="105"/>
      <c r="CT146" s="98"/>
      <c r="CW146" s="97"/>
      <c r="CX146" s="98"/>
    </row>
    <row r="147" spans="2:102" hidden="1">
      <c r="B147" s="4"/>
      <c r="D147" s="98"/>
      <c r="G147" s="98"/>
      <c r="H147" s="98"/>
      <c r="I147" s="105"/>
      <c r="O147" s="98"/>
      <c r="Q147" s="105"/>
      <c r="R147" s="98"/>
      <c r="U147" s="105"/>
      <c r="V147" s="98"/>
      <c r="Y147" s="105"/>
      <c r="Z147" s="98"/>
      <c r="AC147" s="105"/>
      <c r="AD147" s="98"/>
      <c r="AG147" s="105"/>
      <c r="AH147" s="98"/>
      <c r="AK147" s="105"/>
      <c r="AL147" s="98"/>
      <c r="AO147" s="105"/>
      <c r="AP147" s="98"/>
      <c r="AS147" s="105"/>
      <c r="AT147" s="98"/>
      <c r="AW147" s="105"/>
      <c r="AX147" s="98"/>
      <c r="BA147" s="105"/>
      <c r="BB147" s="98"/>
      <c r="BE147" s="105"/>
      <c r="BF147" s="98"/>
      <c r="BI147" s="105"/>
      <c r="BJ147" s="98"/>
      <c r="BM147" s="105"/>
      <c r="BN147" s="98"/>
      <c r="BQ147" s="97"/>
      <c r="BR147" s="98"/>
      <c r="BU147" s="105"/>
      <c r="BV147" s="98"/>
      <c r="BY147" s="97"/>
      <c r="BZ147" s="98"/>
      <c r="CC147" s="105"/>
      <c r="CD147" s="98"/>
      <c r="CG147" s="97"/>
      <c r="CH147" s="98"/>
      <c r="CK147" s="105"/>
      <c r="CL147" s="98"/>
      <c r="CO147" s="97"/>
      <c r="CP147" s="98"/>
      <c r="CS147" s="105"/>
      <c r="CT147" s="98"/>
      <c r="CW147" s="97"/>
      <c r="CX147" s="98"/>
    </row>
    <row r="148" spans="2:102" hidden="1">
      <c r="B148" s="4"/>
      <c r="D148" s="98"/>
      <c r="G148" s="98"/>
      <c r="H148" s="98"/>
      <c r="I148" s="105"/>
      <c r="O148" s="98"/>
      <c r="Q148" s="105"/>
      <c r="R148" s="98"/>
      <c r="U148" s="105"/>
      <c r="V148" s="98"/>
      <c r="Y148" s="105"/>
      <c r="Z148" s="98"/>
      <c r="AC148" s="105"/>
      <c r="AD148" s="98"/>
      <c r="AG148" s="105"/>
      <c r="AH148" s="98"/>
      <c r="AK148" s="105"/>
      <c r="AL148" s="98"/>
      <c r="AO148" s="105"/>
      <c r="AP148" s="98"/>
      <c r="AS148" s="105"/>
      <c r="AT148" s="98"/>
      <c r="AW148" s="105"/>
      <c r="AX148" s="98"/>
      <c r="BA148" s="105"/>
      <c r="BB148" s="98"/>
      <c r="BE148" s="105"/>
      <c r="BF148" s="98"/>
      <c r="BI148" s="105"/>
      <c r="BJ148" s="98"/>
      <c r="BM148" s="105"/>
      <c r="BN148" s="98"/>
      <c r="BQ148" s="97"/>
      <c r="BR148" s="98"/>
      <c r="BU148" s="105"/>
      <c r="BV148" s="98"/>
      <c r="BY148" s="97"/>
      <c r="BZ148" s="98"/>
      <c r="CC148" s="105"/>
      <c r="CD148" s="98"/>
      <c r="CG148" s="97"/>
      <c r="CH148" s="98"/>
      <c r="CK148" s="105"/>
      <c r="CL148" s="98"/>
      <c r="CO148" s="97"/>
      <c r="CP148" s="98"/>
      <c r="CS148" s="105"/>
      <c r="CT148" s="98"/>
      <c r="CW148" s="97"/>
      <c r="CX148" s="98"/>
    </row>
    <row r="149" spans="2:102" hidden="1">
      <c r="B149" s="4"/>
      <c r="D149" s="98"/>
      <c r="G149" s="98"/>
      <c r="H149" s="98"/>
      <c r="I149" s="105"/>
      <c r="O149" s="98"/>
      <c r="Q149" s="105"/>
      <c r="R149" s="98"/>
      <c r="U149" s="105"/>
      <c r="V149" s="98"/>
      <c r="Y149" s="105"/>
      <c r="Z149" s="98"/>
      <c r="AC149" s="105"/>
      <c r="AD149" s="98"/>
      <c r="AG149" s="105"/>
      <c r="AH149" s="98"/>
      <c r="AK149" s="105"/>
      <c r="AL149" s="98"/>
      <c r="AO149" s="105"/>
      <c r="AP149" s="98"/>
      <c r="AS149" s="105"/>
      <c r="AT149" s="98"/>
      <c r="AW149" s="105"/>
      <c r="AX149" s="98"/>
      <c r="BA149" s="105"/>
      <c r="BB149" s="98"/>
      <c r="BE149" s="105"/>
      <c r="BF149" s="98"/>
      <c r="BI149" s="105"/>
      <c r="BJ149" s="98"/>
      <c r="BM149" s="105"/>
      <c r="BN149" s="98"/>
      <c r="BQ149" s="97"/>
      <c r="BR149" s="98"/>
      <c r="BU149" s="105"/>
      <c r="BV149" s="98"/>
      <c r="BY149" s="97"/>
      <c r="BZ149" s="98"/>
      <c r="CC149" s="105"/>
      <c r="CD149" s="98"/>
      <c r="CG149" s="97"/>
      <c r="CH149" s="98"/>
      <c r="CK149" s="105"/>
      <c r="CL149" s="98"/>
      <c r="CO149" s="97"/>
      <c r="CP149" s="98"/>
      <c r="CS149" s="105"/>
      <c r="CT149" s="98"/>
      <c r="CW149" s="97"/>
      <c r="CX149" s="98"/>
    </row>
    <row r="150" spans="2:102" hidden="1">
      <c r="B150" s="4"/>
      <c r="D150" s="98"/>
      <c r="G150" s="98"/>
      <c r="H150" s="98"/>
      <c r="I150" s="105"/>
      <c r="O150" s="98"/>
      <c r="Q150" s="105"/>
      <c r="R150" s="98"/>
      <c r="U150" s="105"/>
      <c r="V150" s="98"/>
      <c r="Y150" s="105"/>
      <c r="Z150" s="98"/>
      <c r="AC150" s="105"/>
      <c r="AD150" s="98"/>
      <c r="AG150" s="105"/>
      <c r="AH150" s="98"/>
      <c r="AK150" s="105"/>
      <c r="AL150" s="98"/>
      <c r="AO150" s="105"/>
      <c r="AP150" s="98"/>
      <c r="AS150" s="105"/>
      <c r="AT150" s="98"/>
      <c r="AW150" s="105"/>
      <c r="AX150" s="98"/>
      <c r="BA150" s="105"/>
      <c r="BB150" s="98"/>
      <c r="BE150" s="105"/>
      <c r="BF150" s="98"/>
      <c r="BI150" s="105"/>
      <c r="BJ150" s="98"/>
      <c r="BM150" s="105"/>
      <c r="BN150" s="98"/>
      <c r="BQ150" s="97"/>
      <c r="BR150" s="98"/>
      <c r="BU150" s="105"/>
      <c r="BV150" s="98"/>
      <c r="BY150" s="97"/>
      <c r="BZ150" s="98"/>
      <c r="CC150" s="105"/>
      <c r="CD150" s="98"/>
      <c r="CG150" s="97"/>
      <c r="CH150" s="98"/>
      <c r="CK150" s="105"/>
      <c r="CL150" s="98"/>
      <c r="CO150" s="97"/>
      <c r="CP150" s="98"/>
      <c r="CS150" s="105"/>
      <c r="CT150" s="98"/>
      <c r="CW150" s="97"/>
      <c r="CX150" s="98"/>
    </row>
    <row r="151" spans="2:102" hidden="1">
      <c r="B151" s="4"/>
      <c r="D151" s="98"/>
      <c r="G151" s="98"/>
      <c r="H151" s="98"/>
      <c r="I151" s="105"/>
      <c r="O151" s="98"/>
      <c r="Q151" s="105"/>
      <c r="R151" s="98"/>
      <c r="U151" s="105"/>
      <c r="V151" s="98"/>
      <c r="Y151" s="105"/>
      <c r="Z151" s="98"/>
      <c r="AC151" s="105"/>
      <c r="AD151" s="98"/>
      <c r="AG151" s="105"/>
      <c r="AH151" s="98"/>
      <c r="AK151" s="105"/>
      <c r="AL151" s="98"/>
      <c r="AO151" s="105"/>
      <c r="AP151" s="98"/>
      <c r="AS151" s="105"/>
      <c r="AT151" s="98"/>
      <c r="AW151" s="105"/>
      <c r="AX151" s="98"/>
      <c r="BA151" s="105"/>
      <c r="BB151" s="98"/>
      <c r="BE151" s="105"/>
      <c r="BF151" s="98"/>
      <c r="BI151" s="105"/>
      <c r="BJ151" s="98"/>
      <c r="BM151" s="105"/>
      <c r="BN151" s="98"/>
      <c r="BQ151" s="97"/>
      <c r="BR151" s="98"/>
      <c r="BU151" s="105"/>
      <c r="BV151" s="98"/>
      <c r="BY151" s="97"/>
      <c r="BZ151" s="98"/>
      <c r="CC151" s="105"/>
      <c r="CD151" s="98"/>
      <c r="CG151" s="97"/>
      <c r="CH151" s="98"/>
      <c r="CK151" s="105"/>
      <c r="CL151" s="98"/>
      <c r="CO151" s="97"/>
      <c r="CP151" s="98"/>
      <c r="CS151" s="105"/>
      <c r="CT151" s="98"/>
      <c r="CW151" s="97"/>
      <c r="CX151" s="98"/>
    </row>
    <row r="152" spans="2:102" hidden="1">
      <c r="B152" s="4"/>
      <c r="D152" s="98"/>
      <c r="G152" s="98"/>
      <c r="H152" s="98"/>
      <c r="I152" s="105"/>
      <c r="O152" s="98"/>
      <c r="Q152" s="105"/>
      <c r="R152" s="98"/>
      <c r="U152" s="105"/>
      <c r="V152" s="98"/>
      <c r="Y152" s="105"/>
      <c r="Z152" s="98"/>
      <c r="AC152" s="105"/>
      <c r="AD152" s="98"/>
      <c r="AG152" s="105"/>
      <c r="AH152" s="98"/>
      <c r="AK152" s="105"/>
      <c r="AL152" s="98"/>
      <c r="AO152" s="105"/>
      <c r="AP152" s="98"/>
      <c r="AS152" s="105"/>
      <c r="AT152" s="98"/>
      <c r="AW152" s="105"/>
      <c r="AX152" s="98"/>
      <c r="BA152" s="105"/>
      <c r="BB152" s="98"/>
      <c r="BE152" s="105"/>
      <c r="BF152" s="98"/>
      <c r="BI152" s="105"/>
      <c r="BJ152" s="98"/>
      <c r="BM152" s="105"/>
      <c r="BN152" s="98"/>
      <c r="BQ152" s="97"/>
      <c r="BR152" s="98"/>
      <c r="BU152" s="105"/>
      <c r="BV152" s="98"/>
      <c r="BY152" s="97"/>
      <c r="BZ152" s="98"/>
      <c r="CC152" s="105"/>
      <c r="CD152" s="98"/>
      <c r="CG152" s="97"/>
      <c r="CH152" s="98"/>
      <c r="CK152" s="105"/>
      <c r="CL152" s="98"/>
      <c r="CO152" s="97"/>
      <c r="CP152" s="98"/>
      <c r="CS152" s="105"/>
      <c r="CT152" s="98"/>
      <c r="CW152" s="97"/>
      <c r="CX152" s="98"/>
    </row>
    <row r="153" spans="2:102" hidden="1">
      <c r="B153" s="4"/>
      <c r="D153" s="98"/>
      <c r="G153" s="98"/>
      <c r="H153" s="98"/>
      <c r="I153" s="105"/>
      <c r="O153" s="98"/>
      <c r="Q153" s="105"/>
      <c r="R153" s="98"/>
      <c r="U153" s="105"/>
      <c r="V153" s="98"/>
      <c r="Y153" s="105"/>
      <c r="Z153" s="98"/>
      <c r="AC153" s="105"/>
      <c r="AD153" s="98"/>
      <c r="AG153" s="105"/>
      <c r="AH153" s="98"/>
      <c r="AK153" s="105"/>
      <c r="AL153" s="98"/>
      <c r="AO153" s="105"/>
      <c r="AP153" s="98"/>
      <c r="AS153" s="105"/>
      <c r="AT153" s="98"/>
      <c r="AW153" s="105"/>
      <c r="AX153" s="98"/>
      <c r="BA153" s="105"/>
      <c r="BB153" s="98"/>
      <c r="BE153" s="105"/>
      <c r="BF153" s="98"/>
      <c r="BI153" s="105"/>
      <c r="BJ153" s="98"/>
      <c r="BM153" s="105"/>
      <c r="BN153" s="98"/>
      <c r="BQ153" s="97"/>
      <c r="BR153" s="98"/>
      <c r="BU153" s="105"/>
      <c r="BV153" s="98"/>
      <c r="BY153" s="97"/>
      <c r="BZ153" s="98"/>
      <c r="CC153" s="105"/>
      <c r="CD153" s="98"/>
      <c r="CG153" s="97"/>
      <c r="CH153" s="98"/>
      <c r="CK153" s="105"/>
      <c r="CL153" s="98"/>
      <c r="CO153" s="97"/>
      <c r="CP153" s="98"/>
      <c r="CS153" s="105"/>
      <c r="CT153" s="98"/>
      <c r="CW153" s="97"/>
      <c r="CX153" s="98"/>
    </row>
    <row r="154" spans="2:102" hidden="1">
      <c r="B154" s="4"/>
      <c r="D154" s="98"/>
      <c r="G154" s="98"/>
      <c r="H154" s="98"/>
      <c r="I154" s="105"/>
      <c r="O154" s="98"/>
      <c r="Q154" s="105"/>
      <c r="R154" s="98"/>
      <c r="U154" s="105"/>
      <c r="V154" s="98"/>
      <c r="Y154" s="105"/>
      <c r="Z154" s="98"/>
      <c r="AC154" s="105"/>
      <c r="AD154" s="98"/>
      <c r="AG154" s="105"/>
      <c r="AH154" s="98"/>
      <c r="AK154" s="105"/>
      <c r="AL154" s="98"/>
      <c r="AO154" s="105"/>
      <c r="AP154" s="98"/>
      <c r="AS154" s="105"/>
      <c r="AT154" s="98"/>
      <c r="AW154" s="105"/>
      <c r="AX154" s="98"/>
      <c r="BA154" s="105"/>
      <c r="BB154" s="98"/>
      <c r="BE154" s="105"/>
      <c r="BF154" s="98"/>
      <c r="BI154" s="105"/>
      <c r="BJ154" s="98"/>
      <c r="BM154" s="105"/>
      <c r="BN154" s="98"/>
      <c r="BQ154" s="97"/>
      <c r="BR154" s="98"/>
      <c r="BU154" s="105"/>
      <c r="BV154" s="98"/>
      <c r="BY154" s="97"/>
      <c r="BZ154" s="98"/>
      <c r="CC154" s="105"/>
      <c r="CD154" s="98"/>
      <c r="CG154" s="97"/>
      <c r="CH154" s="98"/>
      <c r="CK154" s="105"/>
      <c r="CL154" s="98"/>
      <c r="CO154" s="97"/>
      <c r="CP154" s="98"/>
      <c r="CS154" s="105"/>
      <c r="CT154" s="98"/>
      <c r="CW154" s="97"/>
      <c r="CX154" s="98"/>
    </row>
    <row r="155" spans="2:102" hidden="1">
      <c r="B155" s="4"/>
      <c r="D155" s="98"/>
      <c r="G155" s="98"/>
      <c r="H155" s="98"/>
      <c r="I155" s="105"/>
      <c r="O155" s="98"/>
      <c r="Q155" s="105"/>
      <c r="R155" s="98"/>
      <c r="U155" s="105"/>
      <c r="V155" s="98"/>
      <c r="Y155" s="105"/>
      <c r="Z155" s="98"/>
      <c r="AC155" s="105"/>
      <c r="AD155" s="98"/>
      <c r="AG155" s="105"/>
      <c r="AH155" s="98"/>
      <c r="AK155" s="105"/>
      <c r="AL155" s="98"/>
      <c r="AO155" s="105"/>
      <c r="AP155" s="98"/>
      <c r="AS155" s="105"/>
      <c r="AT155" s="98"/>
      <c r="AW155" s="105"/>
      <c r="AX155" s="98"/>
      <c r="BA155" s="105"/>
      <c r="BB155" s="98"/>
      <c r="BE155" s="105"/>
      <c r="BF155" s="98"/>
      <c r="BI155" s="105"/>
      <c r="BJ155" s="98"/>
      <c r="BM155" s="105"/>
      <c r="BN155" s="98"/>
      <c r="BQ155" s="97"/>
      <c r="BR155" s="98"/>
      <c r="BU155" s="105"/>
      <c r="BV155" s="98"/>
      <c r="BY155" s="97"/>
      <c r="BZ155" s="98"/>
      <c r="CC155" s="105"/>
      <c r="CD155" s="98"/>
      <c r="CG155" s="97"/>
      <c r="CH155" s="98"/>
      <c r="CK155" s="105"/>
      <c r="CL155" s="98"/>
      <c r="CO155" s="97"/>
      <c r="CP155" s="98"/>
      <c r="CS155" s="105"/>
      <c r="CT155" s="98"/>
      <c r="CW155" s="97"/>
      <c r="CX155" s="98"/>
    </row>
    <row r="156" spans="2:102" hidden="1">
      <c r="B156" s="4"/>
      <c r="D156" s="98"/>
      <c r="G156" s="98"/>
      <c r="H156" s="98"/>
      <c r="I156" s="105"/>
      <c r="O156" s="98"/>
      <c r="Q156" s="105"/>
      <c r="R156" s="98"/>
      <c r="U156" s="105"/>
      <c r="V156" s="98"/>
      <c r="Y156" s="105"/>
      <c r="Z156" s="98"/>
      <c r="AC156" s="105"/>
      <c r="AD156" s="98"/>
      <c r="AG156" s="105"/>
      <c r="AH156" s="98"/>
      <c r="AK156" s="105"/>
      <c r="AL156" s="98"/>
      <c r="AO156" s="105"/>
      <c r="AP156" s="98"/>
      <c r="AS156" s="105"/>
      <c r="AT156" s="98"/>
      <c r="AW156" s="105"/>
      <c r="AX156" s="98"/>
      <c r="BA156" s="105"/>
      <c r="BB156" s="98"/>
      <c r="BE156" s="105"/>
      <c r="BF156" s="98"/>
      <c r="BI156" s="105"/>
      <c r="BJ156" s="98"/>
      <c r="BM156" s="105"/>
      <c r="BN156" s="98"/>
      <c r="BQ156" s="97"/>
      <c r="BR156" s="98"/>
      <c r="BU156" s="105"/>
      <c r="BV156" s="98"/>
      <c r="BY156" s="97"/>
      <c r="BZ156" s="98"/>
      <c r="CC156" s="105"/>
      <c r="CD156" s="98"/>
      <c r="CG156" s="97"/>
      <c r="CH156" s="98"/>
      <c r="CK156" s="105"/>
      <c r="CL156" s="98"/>
      <c r="CO156" s="97"/>
      <c r="CP156" s="98"/>
      <c r="CS156" s="105"/>
      <c r="CT156" s="98"/>
      <c r="CW156" s="97"/>
      <c r="CX156" s="98"/>
    </row>
    <row r="157" spans="2:102" hidden="1">
      <c r="B157" s="4"/>
      <c r="D157" s="98"/>
      <c r="G157" s="98"/>
      <c r="H157" s="98"/>
      <c r="I157" s="105"/>
      <c r="O157" s="98"/>
      <c r="Q157" s="105"/>
      <c r="R157" s="98"/>
      <c r="U157" s="105"/>
      <c r="V157" s="98"/>
      <c r="Y157" s="105"/>
      <c r="Z157" s="98"/>
      <c r="AC157" s="105"/>
      <c r="AD157" s="98"/>
      <c r="AG157" s="105"/>
      <c r="AH157" s="98"/>
      <c r="AK157" s="105"/>
      <c r="AL157" s="98"/>
      <c r="AO157" s="105"/>
      <c r="AP157" s="98"/>
      <c r="AS157" s="105"/>
      <c r="AT157" s="98"/>
      <c r="AW157" s="105"/>
      <c r="AX157" s="98"/>
      <c r="BA157" s="105"/>
      <c r="BB157" s="98"/>
      <c r="BE157" s="105"/>
      <c r="BF157" s="98"/>
      <c r="BI157" s="105"/>
      <c r="BJ157" s="98"/>
      <c r="BM157" s="105"/>
      <c r="BN157" s="98"/>
      <c r="BQ157" s="97"/>
      <c r="BR157" s="98"/>
      <c r="BU157" s="105"/>
      <c r="BV157" s="98"/>
      <c r="BY157" s="97"/>
      <c r="BZ157" s="98"/>
      <c r="CC157" s="105"/>
      <c r="CD157" s="98"/>
      <c r="CG157" s="97"/>
      <c r="CH157" s="98"/>
      <c r="CK157" s="105"/>
      <c r="CL157" s="98"/>
      <c r="CO157" s="97"/>
      <c r="CP157" s="98"/>
      <c r="CS157" s="105"/>
      <c r="CT157" s="98"/>
      <c r="CW157" s="97"/>
      <c r="CX157" s="98"/>
    </row>
    <row r="158" spans="2:102" hidden="1">
      <c r="B158" s="4"/>
      <c r="D158" s="98"/>
      <c r="G158" s="98"/>
      <c r="H158" s="98"/>
      <c r="I158" s="105"/>
      <c r="O158" s="98"/>
      <c r="Q158" s="105"/>
      <c r="R158" s="98"/>
      <c r="U158" s="105"/>
      <c r="V158" s="98"/>
      <c r="Y158" s="105"/>
      <c r="Z158" s="98"/>
      <c r="AC158" s="105"/>
      <c r="AD158" s="98"/>
      <c r="AG158" s="105"/>
      <c r="AH158" s="98"/>
      <c r="AK158" s="105"/>
      <c r="AL158" s="98"/>
      <c r="AO158" s="105"/>
      <c r="AP158" s="98"/>
      <c r="AS158" s="105"/>
      <c r="AT158" s="98"/>
      <c r="AW158" s="105"/>
      <c r="AX158" s="98"/>
      <c r="BA158" s="105"/>
      <c r="BB158" s="98"/>
      <c r="BE158" s="105"/>
      <c r="BF158" s="98"/>
      <c r="BI158" s="105"/>
      <c r="BJ158" s="98"/>
      <c r="BM158" s="105"/>
      <c r="BN158" s="98"/>
      <c r="BQ158" s="97"/>
      <c r="BR158" s="98"/>
      <c r="BU158" s="105"/>
      <c r="BV158" s="98"/>
      <c r="BY158" s="97"/>
      <c r="BZ158" s="98"/>
      <c r="CC158" s="105"/>
      <c r="CD158" s="98"/>
      <c r="CG158" s="97"/>
      <c r="CH158" s="98"/>
      <c r="CK158" s="105"/>
      <c r="CL158" s="98"/>
      <c r="CO158" s="97"/>
      <c r="CP158" s="98"/>
      <c r="CS158" s="105"/>
      <c r="CT158" s="98"/>
      <c r="CW158" s="97"/>
      <c r="CX158" s="98"/>
    </row>
    <row r="159" spans="2:102" hidden="1">
      <c r="B159" s="4"/>
      <c r="D159" s="98"/>
      <c r="G159" s="98"/>
      <c r="H159" s="98"/>
      <c r="I159" s="105"/>
      <c r="O159" s="98"/>
      <c r="Q159" s="105"/>
      <c r="R159" s="98"/>
      <c r="U159" s="105"/>
      <c r="V159" s="98"/>
      <c r="Y159" s="105"/>
      <c r="Z159" s="98"/>
      <c r="AC159" s="105"/>
      <c r="AD159" s="98"/>
      <c r="AG159" s="105"/>
      <c r="AH159" s="98"/>
      <c r="AK159" s="105"/>
      <c r="AL159" s="98"/>
      <c r="AO159" s="105"/>
      <c r="AP159" s="98"/>
      <c r="AS159" s="105"/>
      <c r="AT159" s="98"/>
      <c r="AW159" s="105"/>
      <c r="AX159" s="98"/>
      <c r="BA159" s="105"/>
      <c r="BB159" s="98"/>
      <c r="BE159" s="105"/>
      <c r="BF159" s="98"/>
      <c r="BI159" s="105"/>
      <c r="BJ159" s="98"/>
      <c r="BM159" s="105"/>
      <c r="BN159" s="98"/>
      <c r="BQ159" s="97"/>
      <c r="BR159" s="98"/>
      <c r="BU159" s="105"/>
      <c r="BV159" s="98"/>
      <c r="BY159" s="97"/>
      <c r="BZ159" s="98"/>
      <c r="CC159" s="105"/>
      <c r="CD159" s="98"/>
      <c r="CG159" s="97"/>
      <c r="CH159" s="98"/>
      <c r="CK159" s="105"/>
      <c r="CL159" s="98"/>
      <c r="CO159" s="97"/>
      <c r="CP159" s="98"/>
      <c r="CS159" s="105"/>
      <c r="CT159" s="98"/>
      <c r="CW159" s="97"/>
      <c r="CX159" s="98"/>
    </row>
    <row r="160" spans="2:102" hidden="1">
      <c r="B160" s="4"/>
      <c r="D160" s="98"/>
      <c r="G160" s="98"/>
      <c r="H160" s="98"/>
      <c r="I160" s="105"/>
      <c r="O160" s="98"/>
      <c r="Q160" s="105"/>
      <c r="R160" s="98"/>
      <c r="U160" s="105"/>
      <c r="V160" s="98"/>
      <c r="Y160" s="105"/>
      <c r="Z160" s="98"/>
      <c r="AC160" s="105"/>
      <c r="AD160" s="98"/>
      <c r="AG160" s="105"/>
      <c r="AH160" s="98"/>
      <c r="AK160" s="105"/>
      <c r="AL160" s="98"/>
      <c r="AO160" s="105"/>
      <c r="AP160" s="98"/>
      <c r="AS160" s="105"/>
      <c r="AT160" s="98"/>
      <c r="AW160" s="105"/>
      <c r="AX160" s="98"/>
      <c r="BA160" s="105"/>
      <c r="BB160" s="98"/>
      <c r="BE160" s="105"/>
      <c r="BF160" s="98"/>
      <c r="BI160" s="105"/>
      <c r="BJ160" s="98"/>
      <c r="BM160" s="105"/>
      <c r="BN160" s="98"/>
      <c r="BQ160" s="97"/>
      <c r="BR160" s="98"/>
      <c r="BU160" s="105"/>
      <c r="BV160" s="98"/>
      <c r="BY160" s="97"/>
      <c r="BZ160" s="98"/>
      <c r="CC160" s="105"/>
      <c r="CD160" s="98"/>
      <c r="CG160" s="97"/>
      <c r="CH160" s="98"/>
      <c r="CK160" s="105"/>
      <c r="CL160" s="98"/>
      <c r="CO160" s="97"/>
      <c r="CP160" s="98"/>
      <c r="CS160" s="105"/>
      <c r="CT160" s="98"/>
      <c r="CW160" s="97"/>
      <c r="CX160" s="98"/>
    </row>
    <row r="161" spans="2:102" hidden="1">
      <c r="B161" s="4"/>
      <c r="D161" s="98"/>
      <c r="G161" s="98"/>
      <c r="H161" s="98"/>
      <c r="I161" s="105"/>
      <c r="O161" s="98"/>
      <c r="Q161" s="105"/>
      <c r="R161" s="98"/>
      <c r="U161" s="105"/>
      <c r="V161" s="98"/>
      <c r="Y161" s="105"/>
      <c r="Z161" s="98"/>
      <c r="AC161" s="105"/>
      <c r="AD161" s="98"/>
      <c r="AG161" s="105"/>
      <c r="AH161" s="98"/>
      <c r="AK161" s="105"/>
      <c r="AL161" s="98"/>
      <c r="AO161" s="105"/>
      <c r="AP161" s="98"/>
      <c r="AS161" s="105"/>
      <c r="AT161" s="98"/>
      <c r="AW161" s="105"/>
      <c r="AX161" s="98"/>
      <c r="BA161" s="105"/>
      <c r="BB161" s="98"/>
      <c r="BE161" s="105"/>
      <c r="BF161" s="98"/>
      <c r="BI161" s="105"/>
      <c r="BJ161" s="98"/>
      <c r="BM161" s="105"/>
      <c r="BN161" s="98"/>
      <c r="BQ161" s="97"/>
      <c r="BR161" s="98"/>
      <c r="BU161" s="105"/>
      <c r="BV161" s="98"/>
      <c r="BY161" s="97"/>
      <c r="BZ161" s="98"/>
      <c r="CC161" s="105"/>
      <c r="CD161" s="98"/>
      <c r="CG161" s="97"/>
      <c r="CH161" s="98"/>
      <c r="CK161" s="105"/>
      <c r="CL161" s="98"/>
      <c r="CO161" s="97"/>
      <c r="CP161" s="98"/>
      <c r="CS161" s="105"/>
      <c r="CT161" s="98"/>
      <c r="CW161" s="97"/>
      <c r="CX161" s="98"/>
    </row>
    <row r="162" spans="2:102" hidden="1">
      <c r="B162" s="4"/>
      <c r="D162" s="98"/>
      <c r="G162" s="98"/>
      <c r="H162" s="98"/>
      <c r="I162" s="105"/>
      <c r="O162" s="98"/>
      <c r="Q162" s="105"/>
      <c r="R162" s="98"/>
      <c r="U162" s="105"/>
      <c r="V162" s="98"/>
      <c r="Y162" s="105"/>
      <c r="Z162" s="98"/>
      <c r="AC162" s="105"/>
      <c r="AD162" s="98"/>
      <c r="AG162" s="105"/>
      <c r="AH162" s="98"/>
      <c r="AK162" s="105"/>
      <c r="AL162" s="98"/>
      <c r="AO162" s="105"/>
      <c r="AP162" s="98"/>
      <c r="AS162" s="105"/>
      <c r="AT162" s="98"/>
      <c r="AW162" s="105"/>
      <c r="AX162" s="98"/>
      <c r="BA162" s="105"/>
      <c r="BB162" s="98"/>
      <c r="BE162" s="105"/>
      <c r="BF162" s="98"/>
      <c r="BI162" s="105"/>
      <c r="BJ162" s="98"/>
      <c r="BM162" s="105"/>
      <c r="BN162" s="98"/>
      <c r="BQ162" s="97"/>
      <c r="BR162" s="98"/>
      <c r="BU162" s="105"/>
      <c r="BV162" s="98"/>
      <c r="BY162" s="97"/>
      <c r="BZ162" s="98"/>
      <c r="CC162" s="105"/>
      <c r="CD162" s="98"/>
      <c r="CG162" s="97"/>
      <c r="CH162" s="98"/>
      <c r="CK162" s="105"/>
      <c r="CL162" s="98"/>
      <c r="CO162" s="97"/>
      <c r="CP162" s="98"/>
      <c r="CS162" s="105"/>
      <c r="CT162" s="98"/>
      <c r="CW162" s="97"/>
      <c r="CX162" s="98"/>
    </row>
    <row r="163" spans="2:102" hidden="1">
      <c r="B163" s="4"/>
      <c r="D163" s="98"/>
      <c r="G163" s="98"/>
      <c r="H163" s="98"/>
      <c r="I163" s="105"/>
      <c r="O163" s="98"/>
      <c r="Q163" s="105"/>
      <c r="R163" s="98"/>
      <c r="U163" s="105"/>
      <c r="V163" s="98"/>
      <c r="Y163" s="105"/>
      <c r="Z163" s="98"/>
      <c r="AC163" s="105"/>
      <c r="AD163" s="98"/>
      <c r="AG163" s="105"/>
      <c r="AH163" s="98"/>
      <c r="AK163" s="105"/>
      <c r="AL163" s="98"/>
      <c r="AO163" s="105"/>
      <c r="AP163" s="98"/>
      <c r="AS163" s="105"/>
      <c r="AT163" s="98"/>
      <c r="AW163" s="105"/>
      <c r="AX163" s="98"/>
      <c r="BA163" s="105"/>
      <c r="BB163" s="98"/>
      <c r="BE163" s="105"/>
      <c r="BF163" s="98"/>
      <c r="BI163" s="105"/>
      <c r="BJ163" s="98"/>
      <c r="BM163" s="105"/>
      <c r="BN163" s="98"/>
      <c r="BQ163" s="97"/>
      <c r="BR163" s="98"/>
      <c r="BU163" s="105"/>
      <c r="BV163" s="98"/>
      <c r="BY163" s="97"/>
      <c r="BZ163" s="98"/>
      <c r="CC163" s="105"/>
      <c r="CD163" s="98"/>
      <c r="CG163" s="97"/>
      <c r="CH163" s="98"/>
      <c r="CK163" s="105"/>
      <c r="CL163" s="98"/>
      <c r="CO163" s="97"/>
      <c r="CP163" s="98"/>
      <c r="CS163" s="105"/>
      <c r="CT163" s="98"/>
      <c r="CW163" s="97"/>
      <c r="CX163" s="98"/>
    </row>
    <row r="164" spans="2:102" hidden="1">
      <c r="B164" s="4"/>
      <c r="D164" s="98"/>
      <c r="G164" s="98"/>
      <c r="H164" s="98"/>
      <c r="I164" s="105"/>
      <c r="O164" s="98"/>
      <c r="Q164" s="105"/>
      <c r="R164" s="98"/>
      <c r="U164" s="105"/>
      <c r="V164" s="98"/>
      <c r="Y164" s="105"/>
      <c r="Z164" s="98"/>
      <c r="AC164" s="105"/>
      <c r="AD164" s="98"/>
      <c r="AG164" s="105"/>
      <c r="AH164" s="98"/>
      <c r="AK164" s="105"/>
      <c r="AL164" s="98"/>
      <c r="AO164" s="105"/>
      <c r="AP164" s="98"/>
      <c r="AS164" s="105"/>
      <c r="AT164" s="98"/>
      <c r="AW164" s="105"/>
      <c r="AX164" s="98"/>
      <c r="BA164" s="105"/>
      <c r="BB164" s="98"/>
      <c r="BE164" s="105"/>
      <c r="BF164" s="98"/>
      <c r="BI164" s="105"/>
      <c r="BJ164" s="98"/>
      <c r="BM164" s="105"/>
      <c r="BN164" s="98"/>
      <c r="BQ164" s="97"/>
      <c r="BR164" s="98"/>
      <c r="BU164" s="105"/>
      <c r="BV164" s="98"/>
      <c r="BY164" s="97"/>
      <c r="BZ164" s="98"/>
      <c r="CC164" s="105"/>
      <c r="CD164" s="98"/>
      <c r="CG164" s="97"/>
      <c r="CH164" s="98"/>
      <c r="CK164" s="105"/>
      <c r="CL164" s="98"/>
      <c r="CO164" s="97"/>
      <c r="CP164" s="98"/>
      <c r="CS164" s="105"/>
      <c r="CT164" s="98"/>
      <c r="CW164" s="97"/>
      <c r="CX164" s="98"/>
    </row>
    <row r="165" spans="2:102" hidden="1">
      <c r="B165" s="4"/>
      <c r="D165" s="98"/>
      <c r="G165" s="98"/>
      <c r="H165" s="98"/>
      <c r="I165" s="105"/>
      <c r="O165" s="98"/>
      <c r="Q165" s="105"/>
      <c r="R165" s="98"/>
      <c r="U165" s="105"/>
      <c r="V165" s="98"/>
      <c r="Y165" s="105"/>
      <c r="Z165" s="98"/>
      <c r="AC165" s="105"/>
      <c r="AD165" s="98"/>
      <c r="AG165" s="105"/>
      <c r="AH165" s="98"/>
      <c r="AK165" s="105"/>
      <c r="AL165" s="98"/>
      <c r="AO165" s="105"/>
      <c r="AP165" s="98"/>
      <c r="AS165" s="105"/>
      <c r="AT165" s="98"/>
      <c r="AW165" s="105"/>
      <c r="AX165" s="98"/>
      <c r="BA165" s="105"/>
      <c r="BB165" s="98"/>
      <c r="BE165" s="105"/>
      <c r="BF165" s="98"/>
      <c r="BI165" s="105"/>
      <c r="BJ165" s="98"/>
      <c r="BM165" s="105"/>
      <c r="BN165" s="98"/>
      <c r="BQ165" s="97"/>
      <c r="BR165" s="98"/>
      <c r="BU165" s="105"/>
      <c r="BV165" s="98"/>
      <c r="BY165" s="97"/>
      <c r="BZ165" s="98"/>
      <c r="CC165" s="105"/>
      <c r="CD165" s="98"/>
      <c r="CG165" s="97"/>
      <c r="CH165" s="98"/>
      <c r="CK165" s="105"/>
      <c r="CL165" s="98"/>
      <c r="CO165" s="97"/>
      <c r="CP165" s="98"/>
      <c r="CS165" s="105"/>
      <c r="CT165" s="98"/>
      <c r="CW165" s="97"/>
      <c r="CX165" s="98"/>
    </row>
    <row r="166" spans="2:102" hidden="1">
      <c r="B166" s="4"/>
      <c r="D166" s="98"/>
      <c r="G166" s="98"/>
      <c r="H166" s="98"/>
      <c r="I166" s="105"/>
      <c r="O166" s="98"/>
      <c r="Q166" s="105"/>
      <c r="R166" s="98"/>
      <c r="U166" s="105"/>
      <c r="V166" s="98"/>
      <c r="Y166" s="105"/>
      <c r="Z166" s="98"/>
      <c r="AC166" s="105"/>
      <c r="AD166" s="98"/>
      <c r="AG166" s="105"/>
      <c r="AH166" s="98"/>
      <c r="AK166" s="105"/>
      <c r="AL166" s="98"/>
      <c r="AO166" s="105"/>
      <c r="AP166" s="98"/>
      <c r="AS166" s="105"/>
      <c r="AT166" s="98"/>
      <c r="AW166" s="105"/>
      <c r="AX166" s="98"/>
      <c r="BA166" s="105"/>
      <c r="BB166" s="98"/>
      <c r="BE166" s="105"/>
      <c r="BF166" s="98"/>
      <c r="BI166" s="105"/>
      <c r="BJ166" s="98"/>
      <c r="BM166" s="105"/>
      <c r="BN166" s="98"/>
      <c r="BQ166" s="97"/>
      <c r="BR166" s="98"/>
      <c r="BU166" s="105"/>
      <c r="BV166" s="98"/>
      <c r="BY166" s="97"/>
      <c r="BZ166" s="98"/>
      <c r="CC166" s="105"/>
      <c r="CD166" s="98"/>
      <c r="CG166" s="97"/>
      <c r="CH166" s="98"/>
      <c r="CK166" s="105"/>
      <c r="CL166" s="98"/>
      <c r="CO166" s="97"/>
      <c r="CP166" s="98"/>
      <c r="CS166" s="105"/>
      <c r="CT166" s="98"/>
      <c r="CW166" s="97"/>
      <c r="CX166" s="98"/>
    </row>
    <row r="167" spans="2:102" hidden="1">
      <c r="B167" s="4"/>
      <c r="D167" s="98"/>
      <c r="G167" s="98"/>
      <c r="H167" s="98"/>
      <c r="I167" s="105"/>
      <c r="O167" s="98"/>
      <c r="Q167" s="105"/>
      <c r="R167" s="98"/>
      <c r="U167" s="105"/>
      <c r="V167" s="98"/>
      <c r="Y167" s="105"/>
      <c r="Z167" s="98"/>
      <c r="AC167" s="105"/>
      <c r="AD167" s="98"/>
      <c r="AG167" s="105"/>
      <c r="AH167" s="98"/>
      <c r="AK167" s="105"/>
      <c r="AL167" s="98"/>
      <c r="AO167" s="105"/>
      <c r="AP167" s="98"/>
      <c r="AS167" s="105"/>
      <c r="AT167" s="98"/>
      <c r="AW167" s="105"/>
      <c r="AX167" s="98"/>
      <c r="BA167" s="105"/>
      <c r="BB167" s="98"/>
      <c r="BE167" s="105"/>
      <c r="BF167" s="98"/>
      <c r="BI167" s="105"/>
      <c r="BJ167" s="98"/>
      <c r="BM167" s="105"/>
      <c r="BN167" s="98"/>
      <c r="BQ167" s="97"/>
      <c r="BR167" s="98"/>
      <c r="BU167" s="105"/>
      <c r="BV167" s="98"/>
      <c r="BY167" s="97"/>
      <c r="BZ167" s="98"/>
      <c r="CC167" s="105"/>
      <c r="CD167" s="98"/>
      <c r="CG167" s="97"/>
      <c r="CH167" s="98"/>
      <c r="CK167" s="105"/>
      <c r="CL167" s="98"/>
      <c r="CO167" s="97"/>
      <c r="CP167" s="98"/>
      <c r="CS167" s="105"/>
      <c r="CT167" s="98"/>
      <c r="CW167" s="97"/>
      <c r="CX167" s="98"/>
    </row>
    <row r="168" spans="2:102" hidden="1">
      <c r="B168" s="4"/>
      <c r="D168" s="98"/>
      <c r="G168" s="98"/>
      <c r="H168" s="98"/>
      <c r="I168" s="105"/>
      <c r="O168" s="98"/>
      <c r="Q168" s="105"/>
      <c r="R168" s="98"/>
      <c r="U168" s="105"/>
      <c r="V168" s="98"/>
      <c r="Y168" s="105"/>
      <c r="Z168" s="98"/>
      <c r="AC168" s="105"/>
      <c r="AD168" s="98"/>
      <c r="AG168" s="105"/>
      <c r="AH168" s="98"/>
      <c r="AK168" s="105"/>
      <c r="AL168" s="98"/>
      <c r="AO168" s="105"/>
      <c r="AP168" s="98"/>
      <c r="AS168" s="105"/>
      <c r="AT168" s="98"/>
      <c r="AW168" s="105"/>
      <c r="AX168" s="98"/>
      <c r="BA168" s="105"/>
      <c r="BB168" s="98"/>
      <c r="BE168" s="105"/>
      <c r="BF168" s="98"/>
      <c r="BI168" s="105"/>
      <c r="BJ168" s="98"/>
      <c r="BM168" s="105"/>
      <c r="BN168" s="98"/>
      <c r="BQ168" s="97"/>
      <c r="BR168" s="98"/>
      <c r="BU168" s="105"/>
      <c r="BV168" s="98"/>
      <c r="BY168" s="97"/>
      <c r="BZ168" s="98"/>
      <c r="CC168" s="105"/>
      <c r="CD168" s="98"/>
      <c r="CG168" s="97"/>
      <c r="CH168" s="98"/>
      <c r="CK168" s="105"/>
      <c r="CL168" s="98"/>
      <c r="CO168" s="97"/>
      <c r="CP168" s="98"/>
      <c r="CS168" s="105"/>
      <c r="CT168" s="98"/>
      <c r="CW168" s="97"/>
      <c r="CX168" s="98"/>
    </row>
    <row r="169" spans="2:102" hidden="1">
      <c r="B169" s="4"/>
      <c r="D169" s="98"/>
      <c r="G169" s="98"/>
      <c r="H169" s="98"/>
      <c r="I169" s="105"/>
      <c r="O169" s="98"/>
      <c r="Q169" s="105"/>
      <c r="R169" s="98"/>
      <c r="U169" s="105"/>
      <c r="V169" s="98"/>
      <c r="Y169" s="105"/>
      <c r="Z169" s="98"/>
      <c r="AC169" s="105"/>
      <c r="AD169" s="98"/>
      <c r="AG169" s="105"/>
      <c r="AH169" s="98"/>
      <c r="AK169" s="105"/>
      <c r="AL169" s="98"/>
      <c r="AO169" s="105"/>
      <c r="AP169" s="98"/>
      <c r="AS169" s="105"/>
      <c r="AT169" s="98"/>
      <c r="AW169" s="105"/>
      <c r="AX169" s="98"/>
      <c r="BA169" s="105"/>
      <c r="BB169" s="98"/>
      <c r="BE169" s="105"/>
      <c r="BF169" s="98"/>
      <c r="BI169" s="105"/>
      <c r="BJ169" s="98"/>
      <c r="BM169" s="105"/>
      <c r="BN169" s="98"/>
      <c r="BQ169" s="97"/>
      <c r="BR169" s="98"/>
      <c r="BU169" s="105"/>
      <c r="BV169" s="98"/>
      <c r="BY169" s="97"/>
      <c r="BZ169" s="98"/>
      <c r="CC169" s="105"/>
      <c r="CD169" s="98"/>
      <c r="CG169" s="97"/>
      <c r="CH169" s="98"/>
      <c r="CK169" s="105"/>
      <c r="CL169" s="98"/>
      <c r="CO169" s="97"/>
      <c r="CP169" s="98"/>
      <c r="CS169" s="105"/>
      <c r="CT169" s="98"/>
      <c r="CW169" s="97"/>
      <c r="CX169" s="98"/>
    </row>
    <row r="170" spans="2:102" hidden="1">
      <c r="B170" s="4"/>
      <c r="D170" s="98"/>
      <c r="G170" s="98"/>
      <c r="H170" s="98"/>
      <c r="I170" s="105"/>
      <c r="O170" s="98"/>
      <c r="Q170" s="105"/>
      <c r="R170" s="98"/>
      <c r="U170" s="105"/>
      <c r="V170" s="98"/>
      <c r="Y170" s="105"/>
      <c r="Z170" s="98"/>
      <c r="AC170" s="105"/>
      <c r="AD170" s="98"/>
      <c r="AG170" s="105"/>
      <c r="AH170" s="98"/>
      <c r="AK170" s="105"/>
      <c r="AL170" s="98"/>
      <c r="AO170" s="105"/>
      <c r="AP170" s="98"/>
      <c r="AS170" s="105"/>
      <c r="AT170" s="98"/>
      <c r="AW170" s="105"/>
      <c r="AX170" s="98"/>
      <c r="BA170" s="105"/>
      <c r="BB170" s="98"/>
      <c r="BE170" s="105"/>
      <c r="BF170" s="98"/>
      <c r="BI170" s="105"/>
      <c r="BJ170" s="98"/>
      <c r="BM170" s="105"/>
      <c r="BN170" s="98"/>
      <c r="BQ170" s="97"/>
      <c r="BR170" s="98"/>
      <c r="BU170" s="105"/>
      <c r="BV170" s="98"/>
      <c r="BY170" s="97"/>
      <c r="BZ170" s="98"/>
      <c r="CC170" s="105"/>
      <c r="CD170" s="98"/>
      <c r="CG170" s="97"/>
      <c r="CH170" s="98"/>
      <c r="CK170" s="105"/>
      <c r="CL170" s="98"/>
      <c r="CO170" s="97"/>
      <c r="CP170" s="98"/>
      <c r="CS170" s="105"/>
      <c r="CT170" s="98"/>
      <c r="CW170" s="97"/>
      <c r="CX170" s="98"/>
    </row>
    <row r="171" spans="2:102" hidden="1">
      <c r="B171" s="4"/>
      <c r="D171" s="98"/>
      <c r="G171" s="98"/>
      <c r="H171" s="98"/>
      <c r="I171" s="105"/>
      <c r="O171" s="98"/>
      <c r="Q171" s="105"/>
      <c r="R171" s="98"/>
      <c r="U171" s="105"/>
      <c r="V171" s="98"/>
      <c r="Y171" s="105"/>
      <c r="Z171" s="98"/>
      <c r="AC171" s="105"/>
      <c r="AD171" s="98"/>
      <c r="AG171" s="105"/>
      <c r="AH171" s="98"/>
      <c r="AK171" s="105"/>
      <c r="AL171" s="98"/>
      <c r="AO171" s="105"/>
      <c r="AP171" s="98"/>
      <c r="AS171" s="105"/>
      <c r="AT171" s="98"/>
      <c r="AW171" s="105"/>
      <c r="AX171" s="98"/>
      <c r="BA171" s="105"/>
      <c r="BB171" s="98"/>
      <c r="BE171" s="105"/>
      <c r="BF171" s="98"/>
      <c r="BI171" s="105"/>
      <c r="BJ171" s="98"/>
      <c r="BM171" s="105"/>
      <c r="BN171" s="98"/>
      <c r="BQ171" s="97"/>
      <c r="BR171" s="98"/>
      <c r="BU171" s="105"/>
      <c r="BV171" s="98"/>
      <c r="BY171" s="97"/>
      <c r="BZ171" s="98"/>
      <c r="CC171" s="105"/>
      <c r="CD171" s="98"/>
      <c r="CG171" s="97"/>
      <c r="CH171" s="98"/>
      <c r="CK171" s="105"/>
      <c r="CL171" s="98"/>
      <c r="CO171" s="97"/>
      <c r="CP171" s="98"/>
      <c r="CS171" s="105"/>
      <c r="CT171" s="98"/>
      <c r="CW171" s="97"/>
      <c r="CX171" s="98"/>
    </row>
    <row r="172" spans="2:102" hidden="1">
      <c r="B172" s="4"/>
      <c r="D172" s="98"/>
      <c r="G172" s="98"/>
      <c r="H172" s="98"/>
      <c r="I172" s="105"/>
      <c r="J172" s="289"/>
      <c r="K172" s="289"/>
      <c r="L172" s="289"/>
      <c r="M172" s="289"/>
      <c r="N172" s="289"/>
      <c r="O172" s="98"/>
      <c r="Q172" s="105"/>
      <c r="R172" s="98"/>
      <c r="U172" s="105"/>
      <c r="V172" s="98"/>
      <c r="Y172" s="105"/>
      <c r="Z172" s="98"/>
      <c r="AC172" s="105"/>
      <c r="AD172" s="98"/>
      <c r="AG172" s="105"/>
      <c r="AH172" s="98"/>
      <c r="AK172" s="105"/>
      <c r="AL172" s="98"/>
      <c r="AO172" s="105"/>
      <c r="AP172" s="98"/>
      <c r="AS172" s="105"/>
      <c r="AT172" s="98"/>
      <c r="AW172" s="105"/>
      <c r="AX172" s="98"/>
      <c r="BA172" s="105"/>
      <c r="BB172" s="98"/>
      <c r="BE172" s="105"/>
      <c r="BF172" s="98"/>
      <c r="BI172" s="105"/>
      <c r="BJ172" s="98"/>
      <c r="BM172" s="105"/>
      <c r="BN172" s="98"/>
      <c r="BQ172" s="97"/>
      <c r="BR172" s="98"/>
      <c r="BU172" s="105"/>
      <c r="BV172" s="98"/>
      <c r="BY172" s="97"/>
      <c r="BZ172" s="98"/>
      <c r="CC172" s="105"/>
      <c r="CD172" s="98"/>
      <c r="CG172" s="97"/>
      <c r="CH172" s="98"/>
      <c r="CK172" s="105"/>
      <c r="CL172" s="98"/>
      <c r="CO172" s="97"/>
      <c r="CP172" s="98"/>
      <c r="CS172" s="105"/>
      <c r="CT172" s="98"/>
      <c r="CW172" s="97"/>
      <c r="CX172" s="98"/>
    </row>
    <row r="173" spans="2:102" hidden="1">
      <c r="B173" s="4"/>
      <c r="D173" s="98"/>
      <c r="G173" s="98"/>
      <c r="H173" s="98"/>
      <c r="I173" s="105"/>
      <c r="J173" s="289"/>
      <c r="K173" s="289"/>
      <c r="L173" s="289"/>
      <c r="M173" s="289"/>
      <c r="N173" s="289"/>
      <c r="O173" s="98"/>
      <c r="Q173" s="105"/>
      <c r="R173" s="98"/>
      <c r="U173" s="105"/>
      <c r="V173" s="98"/>
      <c r="Y173" s="105"/>
      <c r="Z173" s="98"/>
      <c r="AC173" s="105"/>
      <c r="AD173" s="98"/>
      <c r="AG173" s="105"/>
      <c r="AH173" s="98"/>
      <c r="AK173" s="105"/>
      <c r="AL173" s="98"/>
      <c r="AO173" s="105"/>
      <c r="AP173" s="98"/>
      <c r="AS173" s="105"/>
      <c r="AT173" s="98"/>
      <c r="AW173" s="105"/>
      <c r="AX173" s="98"/>
      <c r="BA173" s="105"/>
      <c r="BB173" s="98"/>
      <c r="BE173" s="105"/>
      <c r="BF173" s="98"/>
      <c r="BI173" s="105"/>
      <c r="BJ173" s="98"/>
      <c r="BM173" s="105"/>
      <c r="BN173" s="98"/>
      <c r="BQ173" s="97"/>
      <c r="BR173" s="98"/>
      <c r="BU173" s="105"/>
      <c r="BV173" s="98"/>
      <c r="BY173" s="97"/>
      <c r="BZ173" s="98"/>
      <c r="CC173" s="105"/>
      <c r="CD173" s="98"/>
      <c r="CG173" s="97"/>
      <c r="CH173" s="98"/>
      <c r="CK173" s="105"/>
      <c r="CL173" s="98"/>
      <c r="CO173" s="97"/>
      <c r="CP173" s="98"/>
      <c r="CS173" s="105"/>
      <c r="CT173" s="98"/>
      <c r="CW173" s="97"/>
      <c r="CX173" s="98"/>
    </row>
    <row r="174" spans="2:102" hidden="1">
      <c r="B174" s="4"/>
      <c r="D174" s="98"/>
      <c r="G174" s="98"/>
      <c r="H174" s="98"/>
      <c r="I174" s="105"/>
      <c r="J174" s="289"/>
      <c r="K174" s="289"/>
      <c r="L174" s="289"/>
      <c r="M174" s="289"/>
      <c r="N174" s="289"/>
      <c r="O174" s="98"/>
      <c r="Q174" s="105"/>
      <c r="R174" s="98"/>
      <c r="U174" s="105"/>
      <c r="V174" s="98"/>
      <c r="Y174" s="105"/>
      <c r="Z174" s="98"/>
      <c r="AC174" s="105"/>
      <c r="AD174" s="98"/>
      <c r="AG174" s="105"/>
      <c r="AH174" s="98"/>
      <c r="AK174" s="105"/>
      <c r="AL174" s="98"/>
      <c r="AO174" s="105"/>
      <c r="AP174" s="98"/>
      <c r="AS174" s="105"/>
      <c r="AT174" s="98"/>
      <c r="AW174" s="105"/>
      <c r="AX174" s="98"/>
      <c r="BA174" s="105"/>
      <c r="BB174" s="98"/>
      <c r="BE174" s="105"/>
      <c r="BF174" s="98"/>
      <c r="BI174" s="105"/>
      <c r="BJ174" s="98"/>
      <c r="BM174" s="105"/>
      <c r="BN174" s="98"/>
      <c r="BQ174" s="97"/>
      <c r="BR174" s="98"/>
      <c r="BU174" s="105"/>
      <c r="BV174" s="98"/>
      <c r="BY174" s="97"/>
      <c r="BZ174" s="98"/>
      <c r="CC174" s="105"/>
      <c r="CD174" s="98"/>
      <c r="CG174" s="97"/>
      <c r="CH174" s="98"/>
      <c r="CK174" s="105"/>
      <c r="CL174" s="98"/>
      <c r="CO174" s="97"/>
      <c r="CP174" s="98"/>
      <c r="CS174" s="105"/>
      <c r="CT174" s="98"/>
      <c r="CW174" s="97"/>
      <c r="CX174" s="98"/>
    </row>
    <row r="175" spans="2:102" hidden="1">
      <c r="B175" s="4"/>
      <c r="D175" s="98"/>
      <c r="G175" s="98"/>
      <c r="H175" s="98"/>
      <c r="I175" s="105"/>
      <c r="J175" s="289"/>
      <c r="K175" s="289"/>
      <c r="L175" s="289"/>
      <c r="M175" s="289"/>
      <c r="N175" s="289"/>
      <c r="O175" s="98"/>
      <c r="Q175" s="105"/>
      <c r="R175" s="98"/>
      <c r="U175" s="105"/>
      <c r="V175" s="98"/>
      <c r="Y175" s="105"/>
      <c r="Z175" s="98"/>
      <c r="AC175" s="105"/>
      <c r="AD175" s="98"/>
      <c r="AG175" s="105"/>
      <c r="AH175" s="98"/>
      <c r="AK175" s="105"/>
      <c r="AL175" s="98"/>
      <c r="AO175" s="105"/>
      <c r="AP175" s="98"/>
      <c r="AS175" s="105"/>
      <c r="AT175" s="98"/>
      <c r="AW175" s="105"/>
      <c r="AX175" s="98"/>
      <c r="BA175" s="105"/>
      <c r="BB175" s="98"/>
      <c r="BE175" s="105"/>
      <c r="BF175" s="98"/>
      <c r="BI175" s="105"/>
      <c r="BJ175" s="98"/>
      <c r="BM175" s="105"/>
      <c r="BN175" s="98"/>
      <c r="BQ175" s="97"/>
      <c r="BR175" s="98"/>
      <c r="BU175" s="105"/>
      <c r="BV175" s="98"/>
      <c r="BY175" s="97"/>
      <c r="BZ175" s="98"/>
      <c r="CC175" s="105"/>
      <c r="CD175" s="98"/>
      <c r="CG175" s="97"/>
      <c r="CH175" s="98"/>
      <c r="CK175" s="105"/>
      <c r="CL175" s="98"/>
      <c r="CO175" s="97"/>
      <c r="CP175" s="98"/>
      <c r="CS175" s="105"/>
      <c r="CT175" s="98"/>
      <c r="CW175" s="97"/>
      <c r="CX175" s="98"/>
    </row>
    <row r="176" spans="2:102" hidden="1">
      <c r="B176" s="4"/>
      <c r="D176" s="98"/>
      <c r="G176" s="98"/>
      <c r="H176" s="98"/>
      <c r="I176" s="105"/>
      <c r="J176" s="289"/>
      <c r="K176" s="289"/>
      <c r="L176" s="289"/>
      <c r="M176" s="289"/>
      <c r="N176" s="289"/>
      <c r="O176" s="98"/>
      <c r="Q176" s="105"/>
      <c r="R176" s="98"/>
      <c r="U176" s="105"/>
      <c r="V176" s="98"/>
      <c r="Y176" s="105"/>
      <c r="Z176" s="98"/>
      <c r="AC176" s="105"/>
      <c r="AD176" s="98"/>
      <c r="AG176" s="105"/>
      <c r="AH176" s="98"/>
      <c r="AK176" s="105"/>
      <c r="AL176" s="98"/>
      <c r="AO176" s="105"/>
      <c r="AP176" s="98"/>
      <c r="AS176" s="105"/>
      <c r="AT176" s="98"/>
      <c r="AW176" s="105"/>
      <c r="AX176" s="98"/>
      <c r="BA176" s="105"/>
      <c r="BB176" s="98"/>
      <c r="BE176" s="105"/>
      <c r="BF176" s="98"/>
      <c r="BI176" s="105"/>
      <c r="BJ176" s="98"/>
      <c r="BM176" s="105"/>
      <c r="BN176" s="98"/>
      <c r="BQ176" s="97"/>
      <c r="BR176" s="98"/>
      <c r="BU176" s="105"/>
      <c r="BV176" s="98"/>
      <c r="BY176" s="97"/>
      <c r="BZ176" s="98"/>
      <c r="CC176" s="105"/>
      <c r="CD176" s="98"/>
      <c r="CG176" s="97"/>
      <c r="CH176" s="98"/>
      <c r="CK176" s="105"/>
      <c r="CL176" s="98"/>
      <c r="CO176" s="97"/>
      <c r="CP176" s="98"/>
      <c r="CS176" s="105"/>
      <c r="CT176" s="98"/>
      <c r="CW176" s="97"/>
      <c r="CX176" s="98"/>
    </row>
    <row r="177" spans="1:102">
      <c r="B177" s="4"/>
      <c r="D177" s="98"/>
      <c r="G177" s="98"/>
      <c r="H177" s="98"/>
      <c r="I177" s="105"/>
      <c r="J177" s="289"/>
      <c r="K177" s="289"/>
      <c r="L177" s="289"/>
      <c r="M177" s="289"/>
      <c r="N177" s="289"/>
      <c r="O177" s="98"/>
      <c r="Q177" s="105"/>
      <c r="R177" s="98"/>
      <c r="U177" s="105"/>
      <c r="V177" s="98"/>
      <c r="Y177" s="105"/>
      <c r="Z177" s="98"/>
      <c r="AC177" s="105"/>
      <c r="AD177" s="98"/>
      <c r="AG177" s="105"/>
      <c r="AH177" s="98"/>
      <c r="AK177" s="105"/>
      <c r="AL177" s="98"/>
      <c r="AO177" s="105"/>
      <c r="AP177" s="98"/>
      <c r="AS177" s="105"/>
      <c r="AT177" s="98"/>
      <c r="AW177" s="105"/>
      <c r="AX177" s="98"/>
      <c r="BA177" s="105"/>
      <c r="BB177" s="98"/>
      <c r="BE177" s="105"/>
      <c r="BF177" s="98"/>
      <c r="BI177" s="105"/>
      <c r="BJ177" s="98"/>
      <c r="BM177" s="105"/>
      <c r="BN177" s="98"/>
      <c r="BQ177" s="97"/>
      <c r="BR177" s="98"/>
      <c r="BU177" s="105"/>
      <c r="BV177" s="98"/>
      <c r="BY177" s="97"/>
      <c r="BZ177" s="98"/>
      <c r="CC177" s="105"/>
      <c r="CD177" s="98"/>
      <c r="CG177" s="97"/>
      <c r="CH177" s="98"/>
      <c r="CK177" s="105"/>
      <c r="CL177" s="98"/>
      <c r="CO177" s="97"/>
      <c r="CP177" s="98"/>
      <c r="CS177" s="105"/>
      <c r="CT177" s="98"/>
      <c r="CW177" s="97"/>
      <c r="CX177" s="98"/>
    </row>
    <row r="178" spans="1:102" s="214" customFormat="1">
      <c r="A178" s="214" t="s">
        <v>745</v>
      </c>
      <c r="D178" s="214" t="s">
        <v>745</v>
      </c>
      <c r="J178" s="289"/>
      <c r="K178" s="289"/>
      <c r="L178" s="289"/>
      <c r="M178" s="289"/>
      <c r="N178" s="289"/>
      <c r="BO178" s="98"/>
      <c r="BP178" s="98"/>
      <c r="BQ178" s="97"/>
      <c r="BR178" s="98"/>
    </row>
    <row r="179" spans="1:102" s="214" customFormat="1" ht="13.5" customHeight="1">
      <c r="A179" s="281" t="s">
        <v>738</v>
      </c>
      <c r="D179" s="281" t="s">
        <v>738</v>
      </c>
      <c r="E179" s="214" t="s">
        <v>2563</v>
      </c>
      <c r="G179" s="214">
        <f>SUMIF($D$86:$D$177,$D$179,H$86:H$177)-SUMIF($D$86:$D$177,$D$179,G$86:G$177)</f>
        <v>2860948</v>
      </c>
      <c r="H179" s="214">
        <f>+G179-J58+G181-J29</f>
        <v>0</v>
      </c>
      <c r="J179" s="289"/>
      <c r="K179" s="289"/>
      <c r="L179" s="289"/>
      <c r="M179" s="289"/>
      <c r="N179" s="289"/>
      <c r="O179" s="214">
        <f>SUMIF($D$86:$D$177,$D$179,P$86:P$177)-SUMIF($D$86:$D$177,$D$179,O$86:O$177)</f>
        <v>6519121</v>
      </c>
      <c r="P179" s="214">
        <f>+O179-R58+O181-R29</f>
        <v>0</v>
      </c>
      <c r="S179" s="214">
        <f>SUMIF($D$86:$D$177,$D$179,T$86:T$177)-SUMIF($D$86:$D$177,$D$179,S$86:S$177)</f>
        <v>4001477</v>
      </c>
      <c r="T179" s="214">
        <f>+S179-V58+S181-V29</f>
        <v>0</v>
      </c>
      <c r="W179" s="214">
        <f>SUMIF($D$86:$D$177,$D$179,X$86:X$177)-SUMIF($D$86:$D$177,$D$179,W$86:W$177)</f>
        <v>7886422</v>
      </c>
      <c r="X179" s="214">
        <f>+W179-Z58+W181-Z29</f>
        <v>0</v>
      </c>
      <c r="AA179" s="214">
        <f>SUMIF($D$86:$D$177,$D$179,AB$86:AB$177)-SUMIF($D$86:$D$177,$D$179,AA$86:AA$177)</f>
        <v>5578027</v>
      </c>
      <c r="AB179" s="214">
        <f>+AA179-AD58+AA181-AD29</f>
        <v>0</v>
      </c>
      <c r="AE179" s="214">
        <f>SUMIF($D$86:$D$177,$D$179,AF$86:AF$177)-SUMIF($D$86:$D$177,$D$179,AE$86:AE$177)</f>
        <v>5796983</v>
      </c>
      <c r="AF179" s="214">
        <f>+AE179-AH58+AE181-AH29</f>
        <v>0</v>
      </c>
      <c r="AI179" s="214">
        <f>SUMIF($D$86:$D$177,$D$179,AJ$86:AJ$177)-SUMIF($D$86:$D$177,$D$179,AI$86:AI$177)</f>
        <v>5910568</v>
      </c>
      <c r="AJ179" s="214">
        <f>+AI179-AL58+AI181-AL29</f>
        <v>0</v>
      </c>
      <c r="AM179" s="214">
        <f>SUMIF($D$86:$D$177,$D$179,AN$86:AN$177)-SUMIF($D$86:$D$177,$D$179,AM$86:AM$177)</f>
        <v>5742355</v>
      </c>
      <c r="AN179" s="214">
        <f>+AM179-AP58+AM181-AP29</f>
        <v>0</v>
      </c>
      <c r="AQ179" s="214">
        <f>SUMIF($D$86:$D$177,$D$179,AR$86:AR$177)-SUMIF($D$86:$D$177,$D$179,AQ$86:AQ$177)</f>
        <v>4447097</v>
      </c>
      <c r="AR179" s="214">
        <f>+AQ179-AT58+AQ181-AT29</f>
        <v>0</v>
      </c>
      <c r="AU179" s="214">
        <f>SUMIF($D$86:$D$177,$D$179,AV$86:AV$177)-SUMIF($D$86:$D$177,$D$179,AU$86:AU$177)</f>
        <v>4183036</v>
      </c>
      <c r="AV179" s="214">
        <f>+AU179-AX58+AU181-AX29</f>
        <v>0</v>
      </c>
      <c r="AY179" s="214">
        <f>SUMIF($D$86:$D$177,$D$179,AZ$86:AZ$177)-SUMIF($D$86:$D$177,$D$179,AY$86:AY$177)</f>
        <v>7295203</v>
      </c>
      <c r="AZ179" s="214">
        <f>+AY179-BB58+AY181-BB29</f>
        <v>0</v>
      </c>
      <c r="BC179" s="214">
        <f>SUMIF($D$86:$D$177,$D$179,BD$86:BD$177)-SUMIF($D$86:$D$177,$D$179,BC$86:BC$177)</f>
        <v>5447999</v>
      </c>
      <c r="BD179" s="214">
        <f>+BC179-BF58+BC181-BF29</f>
        <v>0</v>
      </c>
      <c r="BG179" s="214">
        <f>SUMIF($D$86:$D$177,$D$179,BH$86:BH$177)-SUMIF($D$86:$D$177,$D$179,BG$86:BG$177)</f>
        <v>12321486</v>
      </c>
      <c r="BH179" s="214">
        <f>+BG179-BJ58+BG181-BJ29</f>
        <v>0</v>
      </c>
      <c r="BK179" s="214">
        <f>SUMIF($D$86:$D$177,$D$179,BL$86:BL$177)-SUMIF($D$86:$D$177,$D$179,BK$86:BK$177)</f>
        <v>75129774</v>
      </c>
      <c r="BL179" s="214">
        <f>+BK179-BN58+BK181-BN29</f>
        <v>0</v>
      </c>
      <c r="BO179" s="98"/>
      <c r="BP179" s="98"/>
      <c r="BQ179" s="97"/>
      <c r="BR179" s="98"/>
      <c r="BS179" s="214">
        <f>SUMIF($D$86:$D$177,$D$179,BT$86:BT$177)-SUMIF($D$86:$D$177,$D$179,BS$86:BS$177)</f>
        <v>72623856</v>
      </c>
      <c r="BT179" s="214">
        <f>+BS179-BV58+BS181-BV29</f>
        <v>0</v>
      </c>
      <c r="CA179" s="214">
        <f>SUMIF($D$86:$D$177,$D$179,CB$86:CB$177)-SUMIF($D$86:$D$177,$D$179,CA$86:CA$177)</f>
        <v>79332686</v>
      </c>
      <c r="CB179" s="214">
        <f>+CA179-CD58+CA181-CD29</f>
        <v>0</v>
      </c>
      <c r="CI179" s="214">
        <f>SUMIF($D$86:$D$177,$D$179,CJ$86:CJ$177)-SUMIF($D$86:$D$177,$D$179,CI$86:CI$177)</f>
        <v>78880960</v>
      </c>
      <c r="CJ179" s="214">
        <f>+CI179-CL58+CI181-CL29</f>
        <v>0</v>
      </c>
      <c r="CQ179" s="214">
        <f>SUMIF($D$86:$D$177,$D$179,CR$86:CR$177)-SUMIF($D$86:$D$177,$D$179,CQ$86:CQ$177)</f>
        <v>88626486</v>
      </c>
      <c r="CR179" s="214">
        <f>+CQ179-CT58+CQ181-CT29</f>
        <v>0</v>
      </c>
    </row>
    <row r="180" spans="1:102" s="214" customFormat="1">
      <c r="A180" s="281" t="s">
        <v>736</v>
      </c>
      <c r="D180" s="281" t="s">
        <v>736</v>
      </c>
      <c r="E180" s="214" t="s">
        <v>2563</v>
      </c>
      <c r="G180" s="214">
        <f>-SUMIF($D$86:$D$177,$D$180,H$86:H$177)+SUMIF($D$86:$D$177,$D$180,G$86:G$177)</f>
        <v>15105262</v>
      </c>
      <c r="H180" s="214">
        <f>+G180-H66+G182</f>
        <v>0</v>
      </c>
      <c r="J180" s="289"/>
      <c r="K180" s="289"/>
      <c r="L180" s="289"/>
      <c r="M180" s="289"/>
      <c r="N180" s="289"/>
      <c r="O180" s="214">
        <f>-SUMIF($D$86:$D$177,$D$180,P$86:P$177)+SUMIF($D$86:$D$177,$D$180,O$86:O$177)</f>
        <v>4631938</v>
      </c>
      <c r="P180" s="214">
        <f>+O180-P66+O182</f>
        <v>0</v>
      </c>
      <c r="S180" s="214">
        <f>-SUMIF($D$86:$D$177,$D$180,T$86:T$177)+SUMIF($D$86:$D$177,$D$180,S$86:S$177)</f>
        <v>2811310</v>
      </c>
      <c r="T180" s="214">
        <f>+S180-T66+S182</f>
        <v>0</v>
      </c>
      <c r="W180" s="214">
        <f>-SUMIF($D$86:$D$177,$D$180,X$86:X$177)+SUMIF($D$86:$D$177,$D$180,W$86:W$177)</f>
        <v>5686847</v>
      </c>
      <c r="X180" s="214">
        <f>+W180-X66+W182</f>
        <v>0</v>
      </c>
      <c r="AA180" s="214">
        <f>-SUMIF($D$86:$D$177,$D$180,AB$86:AB$177)+SUMIF($D$86:$D$177,$D$180,AA$86:AA$177)</f>
        <v>4041367</v>
      </c>
      <c r="AB180" s="214">
        <f>+AA180-AB66+AA182</f>
        <v>0</v>
      </c>
      <c r="AE180" s="214">
        <f>-SUMIF($D$86:$D$177,$D$180,AF$86:AF$177)+SUMIF($D$86:$D$177,$D$180,AE$86:AE$177)</f>
        <v>4174304</v>
      </c>
      <c r="AF180" s="214">
        <f>+AE180-AF66+AE182</f>
        <v>0</v>
      </c>
      <c r="AI180" s="214">
        <f>-SUMIF($D$86:$D$177,$D$180,AJ$86:AJ$177)+SUMIF($D$86:$D$177,$D$180,AI$86:AI$177)</f>
        <v>4270587</v>
      </c>
      <c r="AJ180" s="214">
        <f>+AI180-AJ66+AI182</f>
        <v>0</v>
      </c>
      <c r="AM180" s="214">
        <f>-SUMIF($D$86:$D$177,$D$180,AN$86:AN$177)+SUMIF($D$86:$D$177,$D$180,AM$86:AM$177)</f>
        <v>4177294</v>
      </c>
      <c r="AN180" s="214">
        <f>+AM180-AN66+AM182</f>
        <v>0</v>
      </c>
      <c r="AQ180" s="214">
        <f>-SUMIF($D$86:$D$177,$D$180,AR$86:AR$177)+SUMIF($D$86:$D$177,$D$180,AQ$86:AQ$177)</f>
        <v>3700403</v>
      </c>
      <c r="AR180" s="214">
        <f>+AQ180-AR66+AQ182</f>
        <v>0</v>
      </c>
      <c r="AU180" s="214">
        <f>-SUMIF($D$86:$D$177,$D$180,AV$86:AV$177)+SUMIF($D$86:$D$177,$D$180,AU$86:AU$177)</f>
        <v>3633595</v>
      </c>
      <c r="AV180" s="214">
        <f>+AU180-AV66+AU182</f>
        <v>0</v>
      </c>
      <c r="AY180" s="214">
        <f>-SUMIF($D$86:$D$177,$D$180,AZ$86:AZ$177)+SUMIF($D$86:$D$177,$D$180,AY$86:AY$177)</f>
        <v>4098933</v>
      </c>
      <c r="AZ180" s="214">
        <f>+AY180-AZ66+AY182</f>
        <v>0</v>
      </c>
      <c r="BC180" s="214">
        <f>-SUMIF($D$86:$D$177,$D$180,BD$86:BD$177)+SUMIF($D$86:$D$177,$D$180,BC$86:BC$177)</f>
        <v>3883146</v>
      </c>
      <c r="BD180" s="214">
        <f>+BC180-BD66+BC182</f>
        <v>0</v>
      </c>
      <c r="BG180" s="214">
        <f>-SUMIF($D$86:$D$177,$D$180,BH$86:BH$177)+SUMIF($D$86:$D$177,$D$180,BG$86:BG$177)</f>
        <v>8737317</v>
      </c>
      <c r="BH180" s="214">
        <f>+BG180-BH66+BG182</f>
        <v>0</v>
      </c>
      <c r="BK180" s="214">
        <f>-SUMIF($D$86:$D$177,$D$180,BL$86:BL$177)+SUMIF($D$86:$D$177,$D$180,BK$86:BK$177)</f>
        <v>53847041</v>
      </c>
      <c r="BL180" s="214">
        <f>+BK180-BL66+BK182</f>
        <v>0</v>
      </c>
      <c r="BM180" s="214"/>
      <c r="BO180" s="98"/>
      <c r="BP180" s="98"/>
      <c r="BQ180" s="97"/>
      <c r="BR180" s="98"/>
      <c r="BS180" s="214">
        <f>-SUMIF($D$86:$D$177,$D$180,BT$86:BT$177)+SUMIF($D$86:$D$177,$D$180,BS$86:BS$177)</f>
        <v>51737469</v>
      </c>
      <c r="BT180" s="214">
        <f>+BS180-BT66+BS182</f>
        <v>0</v>
      </c>
      <c r="CA180" s="214">
        <f>-SUMIF($D$86:$D$177,$D$180,CB$86:CB$177)+SUMIF($D$86:$D$177,$D$180,CA$86:CA$177)</f>
        <v>56091186</v>
      </c>
      <c r="CB180" s="214">
        <f>+CA180-CB66+CA182</f>
        <v>0</v>
      </c>
      <c r="CI180" s="214">
        <f>-SUMIF($D$86:$D$177,$D$180,CJ$86:CJ$177)+SUMIF($D$86:$D$177,$D$180,CI$86:CI$177)</f>
        <v>55461758</v>
      </c>
      <c r="CJ180" s="214">
        <f>+CI180-CJ66+CI182</f>
        <v>0</v>
      </c>
      <c r="CQ180" s="214">
        <f>-SUMIF($D$86:$D$177,$D$180,CR$86:CR$177)+SUMIF($D$86:$D$177,$D$180,CQ$86:CQ$177)</f>
        <v>62006027</v>
      </c>
      <c r="CR180" s="214">
        <f>+CQ180-CR66+CQ182</f>
        <v>0</v>
      </c>
    </row>
    <row r="181" spans="1:102">
      <c r="A181" s="281" t="s">
        <v>1979</v>
      </c>
      <c r="B181" s="214"/>
      <c r="C181" s="214"/>
      <c r="D181" s="281" t="s">
        <v>2562</v>
      </c>
      <c r="E181" s="214" t="s">
        <v>2564</v>
      </c>
      <c r="F181" s="214"/>
      <c r="G181" s="214">
        <f>-SUMIF($D$86:$D$177,$D$181,I$86:I$177)+SUMIF($D$86:$D$177,$D$181,H$86:H$177)</f>
        <v>0</v>
      </c>
      <c r="H181" s="214"/>
      <c r="I181" s="98"/>
      <c r="J181" s="289"/>
      <c r="K181" s="289"/>
      <c r="L181" s="289"/>
      <c r="M181" s="289"/>
      <c r="N181" s="289"/>
      <c r="O181" s="214">
        <f>-SUMIF($D$86:$D$177,$D$181,Q$86:Q$177)+SUMIF($D$86:$D$177,$D$181,P$86:P$177)</f>
        <v>0</v>
      </c>
      <c r="P181" s="97"/>
      <c r="Q181" s="97"/>
      <c r="R181" s="98"/>
      <c r="S181" s="214">
        <f>-SUMIF($D$86:$D$177,$D$181,U$86:U$177)+SUMIF($D$86:$D$177,$D$181,T$86:T$177)</f>
        <v>0</v>
      </c>
      <c r="T181" s="97"/>
      <c r="U181" s="97"/>
      <c r="V181" s="98"/>
      <c r="W181" s="214">
        <f>-SUMIF($D$86:$D$177,$D$181,Y$86:Y$177)+SUMIF($D$86:$D$177,$D$181,X$86:X$177)</f>
        <v>0</v>
      </c>
      <c r="X181" s="97"/>
      <c r="Y181" s="97"/>
      <c r="Z181" s="98"/>
      <c r="AA181" s="214">
        <f>-SUMIF($D$86:$D$177,$D$181,AC$86:AC$177)+SUMIF($D$86:$D$177,$D$181,AB$86:AB$177)</f>
        <v>0</v>
      </c>
      <c r="AB181" s="97"/>
      <c r="AC181" s="97"/>
      <c r="AD181" s="98"/>
      <c r="AE181" s="214">
        <f>-SUMIF($D$86:$D$177,$D$181,AG$86:AG$177)+SUMIF($D$86:$D$177,$D$181,AF$86:AF$177)</f>
        <v>0</v>
      </c>
      <c r="AF181" s="290"/>
      <c r="AG181" s="97"/>
      <c r="AH181" s="98"/>
      <c r="AI181" s="214">
        <f>-SUMIF($D$86:$D$177,$D$181,AK$86:AK$177)+SUMIF($D$86:$D$177,$D$181,AJ$86:AJ$177)</f>
        <v>0</v>
      </c>
      <c r="AJ181" s="97"/>
      <c r="AK181" s="97"/>
      <c r="AL181" s="98"/>
      <c r="AM181" s="214">
        <f>-SUMIF($D$86:$D$177,$D$181,AO$86:AO$177)+SUMIF($D$86:$D$177,$D$181,AN$86:AN$177)</f>
        <v>0</v>
      </c>
      <c r="AN181" s="97"/>
      <c r="AO181" s="97"/>
      <c r="AP181" s="98"/>
      <c r="AQ181" s="214">
        <f>-SUMIF($D$86:$D$177,$D$181,AS$86:AS$177)+SUMIF($D$86:$D$177,$D$181,AR$86:AR$177)</f>
        <v>0</v>
      </c>
      <c r="AR181" s="97"/>
      <c r="AS181" s="97"/>
      <c r="AT181" s="98"/>
      <c r="AU181" s="214">
        <f>-SUMIF($D$86:$D$177,$D$181,AW$86:AW$177)+SUMIF($D$86:$D$177,$D$181,AV$86:AV$177)</f>
        <v>0</v>
      </c>
      <c r="AV181" s="97"/>
      <c r="AW181" s="97"/>
      <c r="AX181" s="98"/>
      <c r="AY181" s="214">
        <f>-SUMIF($D$86:$D$177,$D$181,BA$86:BA$177)+SUMIF($D$86:$D$177,$D$181,AZ$86:AZ$177)</f>
        <v>0</v>
      </c>
      <c r="AZ181" s="97"/>
      <c r="BA181" s="97"/>
      <c r="BB181" s="98"/>
      <c r="BC181" s="214">
        <f>-SUMIF($D$86:$D$177,$D$181,BE$86:BE$177)+SUMIF($D$86:$D$177,$D$181,BD$86:BD$177)</f>
        <v>0</v>
      </c>
      <c r="BD181" s="97"/>
      <c r="BE181" s="97"/>
      <c r="BF181" s="98"/>
      <c r="BG181" s="214">
        <f>-SUMIF($D$86:$D$177,$D$181,BI$86:BI$177)+SUMIF($D$86:$D$177,$D$181,BH$86:BH$177)</f>
        <v>0</v>
      </c>
      <c r="BH181" s="97"/>
      <c r="BI181" s="214"/>
      <c r="BJ181" s="214"/>
      <c r="BK181" s="214">
        <f>-SUMIF($D$86:$D$177,$D$181,BM$86:BM$177)+SUMIF($D$86:$D$177,$D$181,BL$86:BL$177)</f>
        <v>0</v>
      </c>
      <c r="BL181" s="97"/>
      <c r="BM181" s="97"/>
      <c r="BN181" s="98"/>
      <c r="BQ181" s="97"/>
      <c r="BR181" s="98"/>
      <c r="BS181" s="214">
        <f>-SUMIF($D$86:$D$177,$D$181,BU$86:BU$177)+SUMIF($D$86:$D$177,$D$181,BT$86:BT$177)</f>
        <v>0</v>
      </c>
      <c r="BT181" s="97"/>
      <c r="BU181" s="97"/>
      <c r="BV181" s="98"/>
      <c r="BY181" s="97"/>
      <c r="BZ181" s="98"/>
      <c r="CA181" s="214">
        <f>-SUMIF($D$86:$D$177,$D$181,CC$86:CC$177)+SUMIF($D$86:$D$177,$D$181,CB$86:CB$177)</f>
        <v>0</v>
      </c>
      <c r="CB181" s="97"/>
      <c r="CC181" s="97"/>
      <c r="CD181" s="98"/>
      <c r="CG181" s="97"/>
      <c r="CH181" s="98"/>
      <c r="CI181" s="214">
        <f>-SUMIF($D$86:$D$177,$D$181,CK$86:CK$177)+SUMIF($D$86:$D$177,$D$181,CJ$86:CJ$177)</f>
        <v>0</v>
      </c>
      <c r="CJ181" s="97"/>
      <c r="CK181" s="97"/>
      <c r="CL181" s="98"/>
      <c r="CO181" s="97"/>
      <c r="CP181" s="98"/>
      <c r="CQ181" s="214">
        <f>-SUMIF($D$86:$D$177,$D$181,CS$86:CS$177)+SUMIF($D$86:$D$177,$D$181,CR$86:CR$177)</f>
        <v>0</v>
      </c>
      <c r="CR181" s="97"/>
      <c r="CS181" s="97"/>
      <c r="CT181" s="98"/>
      <c r="CW181" s="97"/>
      <c r="CX181" s="98"/>
    </row>
    <row r="182" spans="1:102">
      <c r="A182" s="281" t="s">
        <v>2565</v>
      </c>
      <c r="B182" s="214"/>
      <c r="C182" s="214"/>
      <c r="D182" s="281" t="s">
        <v>2565</v>
      </c>
      <c r="E182" s="214" t="s">
        <v>2564</v>
      </c>
      <c r="F182" s="214"/>
      <c r="G182" s="214">
        <f>-SUMIF($D$86:$D$115,$D$182,H$86:H$115)+SUMIF($D$86:$D$115,$D$182,G$86:G$115)</f>
        <v>898717</v>
      </c>
      <c r="H182" s="214"/>
      <c r="J182" s="289"/>
      <c r="K182" s="289"/>
      <c r="L182" s="289"/>
      <c r="M182" s="289"/>
      <c r="N182" s="289"/>
      <c r="O182" s="214">
        <f>-SUMIF($D$86:$D$115,$D$182,P$86:P$115)+SUMIF($D$86:$D$115,$D$182,O$86:O$115)</f>
        <v>302768</v>
      </c>
      <c r="P182" s="97"/>
      <c r="Q182" s="97"/>
      <c r="R182" s="98"/>
      <c r="S182" s="214">
        <f>-SUMIF($D$86:$D$115,$D$182,T$86:T$115)+SUMIF($D$86:$D$115,$D$182,S$86:S$115)</f>
        <v>269817</v>
      </c>
      <c r="T182" s="97"/>
      <c r="U182" s="97"/>
      <c r="V182" s="98"/>
      <c r="W182" s="214">
        <f>-SUMIF($D$86:$D$115,$D$182,X$86:X$115)+SUMIF($D$86:$D$115,$D$182,W$86:W$115)</f>
        <v>331119</v>
      </c>
      <c r="X182" s="97"/>
      <c r="Y182" s="97"/>
      <c r="Z182" s="98"/>
      <c r="AA182" s="214">
        <f>-SUMIF($D$86:$D$115,$D$182,AB$86:AB$115)+SUMIF($D$86:$D$115,$D$182,AA$86:AA$115)</f>
        <v>310364</v>
      </c>
      <c r="AB182" s="97"/>
      <c r="AC182" s="97"/>
      <c r="AD182" s="98"/>
      <c r="AE182" s="214">
        <f>-SUMIF($D$86:$D$115,$D$182,AF$86:AF$115)+SUMIF($D$86:$D$115,$D$182,AE$86:AE$115)</f>
        <v>196875</v>
      </c>
      <c r="AF182" s="97"/>
      <c r="AG182" s="97"/>
      <c r="AH182" s="98"/>
      <c r="AI182" s="214">
        <f>-SUMIF($D$86:$D$115,$D$182,AJ$86:AJ$115)+SUMIF($D$86:$D$115,$D$182,AI$86:AI$115)</f>
        <v>103385</v>
      </c>
      <c r="AJ182" s="97"/>
      <c r="AK182" s="97"/>
      <c r="AL182" s="98"/>
      <c r="AM182" s="214">
        <f>-SUMIF($D$86:$D$115,$D$182,AN$86:AN$115)+SUMIF($D$86:$D$115,$D$182,AM$86:AM$115)</f>
        <v>83385</v>
      </c>
      <c r="AN182" s="97"/>
      <c r="AO182" s="97"/>
      <c r="AP182" s="98"/>
      <c r="AQ182" s="214">
        <f>-SUMIF($D$86:$D$115,$D$182,AR$86:AR$115)+SUMIF($D$86:$D$115,$D$182,AQ$86:AQ$115)</f>
        <v>83385</v>
      </c>
      <c r="AR182" s="97"/>
      <c r="AS182" s="97"/>
      <c r="AT182" s="98"/>
      <c r="AU182" s="214">
        <f>-SUMIF($D$86:$D$115,$D$182,AV$86:AV$115)+SUMIF($D$86:$D$115,$D$182,AU$86:AU$115)</f>
        <v>83385</v>
      </c>
      <c r="AV182" s="97"/>
      <c r="AW182" s="97"/>
      <c r="AX182" s="98"/>
      <c r="AY182" s="214">
        <f>-SUMIF($D$86:$D$115,$D$182,AZ$86:AZ$115)+SUMIF($D$86:$D$115,$D$182,AY$86:AY$115)</f>
        <v>193738</v>
      </c>
      <c r="AZ182" s="97"/>
      <c r="BA182" s="97"/>
      <c r="BB182" s="98"/>
      <c r="BC182" s="214">
        <f>-SUMIF($D$86:$D$115,$D$182,BD$86:BD$115)+SUMIF($D$86:$D$115,$D$182,BC$86:BC$115)</f>
        <v>83385</v>
      </c>
      <c r="BD182" s="97"/>
      <c r="BE182" s="97"/>
      <c r="BF182" s="98"/>
      <c r="BG182" s="214">
        <f>-SUMIF($D$86:$D$115,$D$182,BH$86:BH$115)+SUMIF($D$86:$D$115,$D$182,BG$86:BG$115)</f>
        <v>103385</v>
      </c>
      <c r="BH182" s="97"/>
      <c r="BI182" s="214"/>
      <c r="BJ182" s="214"/>
      <c r="BK182" s="214">
        <f>-SUMIF($D$86:$D$115,$D$182,BL$86:BL$115)+SUMIF($D$86:$D$115,$D$182,BK$86:BK$115)</f>
        <v>2144991</v>
      </c>
      <c r="BL182" s="97"/>
      <c r="BM182" s="97"/>
      <c r="BN182" s="98"/>
      <c r="BQ182" s="97"/>
      <c r="BR182" s="98"/>
      <c r="BS182" s="214">
        <f>-SUMIF($D$86:$D$115,$D$182,BT$86:BT$115)+SUMIF($D$86:$D$115,$D$182,BS$86:BS$115)</f>
        <v>1110310</v>
      </c>
      <c r="BT182" s="97"/>
      <c r="BU182" s="97"/>
      <c r="BV182" s="98"/>
      <c r="BY182" s="97"/>
      <c r="BZ182" s="98"/>
      <c r="CA182" s="214">
        <f>-SUMIF($D$86:$D$115,$D$182,CB$86:CB$115)+SUMIF($D$86:$D$115,$D$182,CA$86:CA$115)</f>
        <v>1088729</v>
      </c>
      <c r="CB182" s="97"/>
      <c r="CC182" s="97"/>
      <c r="CD182" s="98"/>
      <c r="CG182" s="97"/>
      <c r="CH182" s="98"/>
      <c r="CI182" s="214">
        <f>-SUMIF($D$86:$D$115,$D$182,CJ$86:CJ$115)+SUMIF($D$86:$D$115,$D$182,CI$86:CI$115)</f>
        <v>316840</v>
      </c>
      <c r="CJ182" s="97"/>
      <c r="CK182" s="97"/>
      <c r="CL182" s="98"/>
      <c r="CO182" s="97"/>
      <c r="CP182" s="98"/>
      <c r="CQ182" s="214">
        <f>-SUMIF($D$86:$D$115,$D$182,CR$86:CR$115)+SUMIF($D$86:$D$115,$D$182,CQ$86:CQ$115)</f>
        <v>60000</v>
      </c>
      <c r="CR182" s="97"/>
      <c r="CS182" s="97"/>
      <c r="CT182" s="98"/>
      <c r="CW182" s="97"/>
      <c r="CX182" s="98"/>
    </row>
    <row r="183" spans="1:102">
      <c r="A183" s="281" t="s">
        <v>2566</v>
      </c>
      <c r="B183" s="214"/>
      <c r="C183" s="214"/>
      <c r="D183" s="281" t="s">
        <v>2566</v>
      </c>
      <c r="E183" s="214"/>
      <c r="F183" s="214"/>
      <c r="G183" s="214">
        <f>+G179-G180+G181</f>
        <v>-12244314</v>
      </c>
      <c r="H183" s="214">
        <f>+G183-I58-I29-I65</f>
        <v>0</v>
      </c>
      <c r="J183" s="289"/>
      <c r="K183" s="289"/>
      <c r="L183" s="289"/>
      <c r="M183" s="289"/>
      <c r="N183" s="289"/>
      <c r="O183" s="214">
        <f>+O179-O180+O181</f>
        <v>1887183</v>
      </c>
      <c r="P183" s="214">
        <f>+O183-Q58-Q29-Q65</f>
        <v>0</v>
      </c>
      <c r="Q183" s="97"/>
      <c r="R183" s="98"/>
      <c r="S183" s="214">
        <f>+S179-S180+S181</f>
        <v>1190167</v>
      </c>
      <c r="T183" s="214">
        <f>+S183-U58-U29-U65</f>
        <v>0</v>
      </c>
      <c r="U183" s="97"/>
      <c r="V183" s="98"/>
      <c r="W183" s="214">
        <f>+W179-W180+W181</f>
        <v>2199575</v>
      </c>
      <c r="X183" s="214">
        <f>+W183-Y58-Y29-Y65</f>
        <v>0</v>
      </c>
      <c r="Y183" s="97"/>
      <c r="Z183" s="98"/>
      <c r="AA183" s="214">
        <f>+AA179-AA180+AA181</f>
        <v>1536660</v>
      </c>
      <c r="AB183" s="214">
        <f>+AA183-AC58-AC29-AC65</f>
        <v>0</v>
      </c>
      <c r="AC183" s="97"/>
      <c r="AD183" s="98"/>
      <c r="AE183" s="214">
        <f>+AE179-AE180+AE181</f>
        <v>1622679</v>
      </c>
      <c r="AF183" s="214">
        <f>+AE183-AG58-AG29-AG65</f>
        <v>0</v>
      </c>
      <c r="AG183" s="97"/>
      <c r="AH183" s="98"/>
      <c r="AI183" s="214">
        <f>+AI179-AI180+AI181</f>
        <v>1639981</v>
      </c>
      <c r="AJ183" s="214">
        <f>+AI183-AK58-AK29-AK65</f>
        <v>0</v>
      </c>
      <c r="AK183" s="97"/>
      <c r="AL183" s="98"/>
      <c r="AM183" s="214">
        <f>+AM179-AM180+AM181</f>
        <v>1565061</v>
      </c>
      <c r="AN183" s="214">
        <f>+AM183-AO58-AO29-AO65</f>
        <v>0</v>
      </c>
      <c r="AO183" s="97"/>
      <c r="AP183" s="98"/>
      <c r="AQ183" s="214">
        <f>+AQ179-AQ180+AQ181</f>
        <v>746694</v>
      </c>
      <c r="AR183" s="214">
        <f>+AQ183-AS58-AS29-AS65</f>
        <v>0</v>
      </c>
      <c r="AS183" s="97"/>
      <c r="AT183" s="98"/>
      <c r="AU183" s="214">
        <f>+AU179-AU180+AU181</f>
        <v>549441</v>
      </c>
      <c r="AV183" s="214">
        <f>+AU183-AW58-AW29-AW65</f>
        <v>0</v>
      </c>
      <c r="AW183" s="97"/>
      <c r="AX183" s="98"/>
      <c r="AY183" s="214">
        <f>+AY179-AY180+AY181</f>
        <v>3196270</v>
      </c>
      <c r="AZ183" s="214">
        <f>+AY183-BA58-BA29-BA65</f>
        <v>0</v>
      </c>
      <c r="BA183" s="97"/>
      <c r="BB183" s="98"/>
      <c r="BC183" s="214">
        <f>+BC179-BC180+BC181</f>
        <v>1564853</v>
      </c>
      <c r="BD183" s="214">
        <f>+BC183-BE58-BE29-BE65</f>
        <v>0</v>
      </c>
      <c r="BE183" s="97"/>
      <c r="BF183" s="98"/>
      <c r="BG183" s="214">
        <f>+BG179-BG180+BG181</f>
        <v>3584169</v>
      </c>
      <c r="BH183" s="214">
        <f>+BG183-BI58-BI29-BI65</f>
        <v>0</v>
      </c>
      <c r="BI183" s="214"/>
      <c r="BJ183" s="214"/>
      <c r="BK183" s="214">
        <f>+BK179-BK180+BK181</f>
        <v>21282733</v>
      </c>
      <c r="BL183" s="214">
        <f>+BK183-BM58-BM29-BM65</f>
        <v>0</v>
      </c>
      <c r="BM183" s="97"/>
      <c r="BN183" s="98"/>
      <c r="BQ183" s="97"/>
      <c r="BR183" s="98"/>
      <c r="BS183" s="214">
        <f>+BS179-BS180+BS181</f>
        <v>20886387</v>
      </c>
      <c r="BT183" s="214">
        <f>+BS183-BU58-BU29-BU65</f>
        <v>0</v>
      </c>
      <c r="BU183" s="97"/>
      <c r="BV183" s="98"/>
      <c r="BY183" s="97"/>
      <c r="BZ183" s="98"/>
      <c r="CA183" s="214">
        <f>+CA179-CA180+CA181</f>
        <v>23241500</v>
      </c>
      <c r="CB183" s="214">
        <f>+CA183-CC58-CC29-CC65</f>
        <v>0</v>
      </c>
      <c r="CC183" s="97"/>
      <c r="CD183" s="98"/>
      <c r="CG183" s="97"/>
      <c r="CH183" s="98"/>
      <c r="CI183" s="214">
        <f>+CI179-CI180+CI181</f>
        <v>23419202</v>
      </c>
      <c r="CJ183" s="214">
        <f>+CI183-CK58-CK29-CK65</f>
        <v>0</v>
      </c>
      <c r="CK183" s="97"/>
      <c r="CL183" s="98"/>
      <c r="CO183" s="97"/>
      <c r="CP183" s="98"/>
      <c r="CQ183" s="214">
        <f>+CQ179-CQ180+CQ181</f>
        <v>26620459</v>
      </c>
      <c r="CR183" s="214">
        <f>+CQ183-CS58-CS29-CS65</f>
        <v>0</v>
      </c>
      <c r="CS183" s="97"/>
      <c r="CT183" s="98"/>
      <c r="CW183" s="97"/>
      <c r="CX183" s="98"/>
    </row>
    <row r="184" spans="1:102">
      <c r="J184" s="289"/>
      <c r="K184" s="289"/>
      <c r="L184" s="289"/>
      <c r="M184" s="289"/>
      <c r="N184" s="289"/>
      <c r="P184" s="97"/>
      <c r="Q184" s="97"/>
      <c r="R184" s="98"/>
      <c r="S184" s="97"/>
      <c r="T184" s="97"/>
      <c r="U184" s="97"/>
      <c r="V184" s="98"/>
      <c r="W184" s="97"/>
      <c r="X184" s="97"/>
      <c r="Y184" s="97"/>
      <c r="Z184" s="98"/>
      <c r="AA184" s="97"/>
      <c r="AB184" s="97"/>
      <c r="AC184" s="97"/>
      <c r="AD184" s="98"/>
      <c r="AE184" s="97"/>
      <c r="AF184" s="97"/>
      <c r="AG184" s="97"/>
      <c r="AH184" s="98"/>
      <c r="AI184" s="97"/>
      <c r="AJ184" s="97"/>
      <c r="AK184" s="97"/>
      <c r="AL184" s="98"/>
      <c r="AM184" s="97"/>
      <c r="AN184" s="97"/>
      <c r="AO184" s="97"/>
      <c r="AP184" s="98"/>
      <c r="AQ184" s="97"/>
      <c r="AR184" s="97"/>
      <c r="AS184" s="97"/>
      <c r="AT184" s="98"/>
      <c r="AU184" s="97"/>
      <c r="AV184" s="97"/>
      <c r="AW184" s="97"/>
      <c r="AX184" s="98"/>
      <c r="AY184" s="97"/>
      <c r="AZ184" s="97"/>
      <c r="BA184" s="97"/>
      <c r="BB184" s="98"/>
      <c r="BC184" s="97"/>
      <c r="BD184" s="97"/>
      <c r="BE184" s="97"/>
      <c r="BF184" s="98"/>
      <c r="BG184" s="97"/>
      <c r="BH184" s="97"/>
      <c r="BI184" s="214"/>
      <c r="BJ184" s="214"/>
      <c r="BK184" s="97"/>
      <c r="BL184" s="97"/>
      <c r="BM184" s="97"/>
      <c r="BN184" s="98"/>
      <c r="BQ184" s="97"/>
      <c r="BR184" s="98"/>
      <c r="BS184" s="97"/>
      <c r="BT184" s="97"/>
      <c r="BU184" s="97"/>
      <c r="BV184" s="98"/>
      <c r="BY184" s="97"/>
      <c r="BZ184" s="98"/>
      <c r="CA184" s="97"/>
      <c r="CB184" s="97"/>
      <c r="CC184" s="97"/>
      <c r="CD184" s="98"/>
      <c r="CG184" s="97"/>
      <c r="CH184" s="98"/>
      <c r="CI184" s="97"/>
      <c r="CJ184" s="97"/>
      <c r="CK184" s="97"/>
      <c r="CL184" s="98"/>
      <c r="CO184" s="97"/>
      <c r="CP184" s="98"/>
      <c r="CQ184" s="97"/>
      <c r="CR184" s="97"/>
      <c r="CS184" s="97"/>
      <c r="CT184" s="98"/>
      <c r="CW184" s="97"/>
      <c r="CX184" s="98"/>
    </row>
    <row r="185" spans="1:102" ht="16.2">
      <c r="A185" s="291" t="s">
        <v>746</v>
      </c>
      <c r="B185" s="292"/>
      <c r="C185" s="292"/>
      <c r="D185" s="292"/>
      <c r="E185" s="292"/>
      <c r="F185" s="292"/>
      <c r="G185" s="293" t="str">
        <f>+I3</f>
        <v>2026/09 ~ 2026/12</v>
      </c>
      <c r="H185" s="294"/>
      <c r="I185" s="295"/>
      <c r="J185" s="296"/>
      <c r="K185" s="296"/>
      <c r="L185" s="296"/>
      <c r="M185" s="296"/>
      <c r="N185" s="296"/>
      <c r="O185" s="293" t="str">
        <f>+Q3</f>
        <v>2027/1</v>
      </c>
      <c r="P185" s="294"/>
      <c r="Q185" s="295"/>
      <c r="R185" s="297"/>
      <c r="S185" s="293" t="str">
        <f>+U3</f>
        <v>2027/2</v>
      </c>
      <c r="T185" s="294"/>
      <c r="U185" s="295"/>
      <c r="V185" s="297"/>
      <c r="W185" s="293" t="str">
        <f>+Y3</f>
        <v>2027/3</v>
      </c>
      <c r="X185" s="294"/>
      <c r="Y185" s="295"/>
      <c r="Z185" s="297"/>
      <c r="AA185" s="293" t="str">
        <f>+AC3</f>
        <v>2027/4</v>
      </c>
      <c r="AB185" s="294"/>
      <c r="AC185" s="295"/>
      <c r="AD185" s="297"/>
      <c r="AE185" s="293" t="str">
        <f>+AG3</f>
        <v>2027/5</v>
      </c>
      <c r="AF185" s="294"/>
      <c r="AG185" s="295"/>
      <c r="AH185" s="297"/>
      <c r="AI185" s="293" t="str">
        <f>+AK3</f>
        <v>2027/6</v>
      </c>
      <c r="AJ185" s="294"/>
      <c r="AK185" s="295"/>
      <c r="AL185" s="297"/>
      <c r="AM185" s="293" t="str">
        <f>+AO3</f>
        <v>2027/7</v>
      </c>
      <c r="AN185" s="294"/>
      <c r="AO185" s="295"/>
      <c r="AP185" s="297"/>
      <c r="AQ185" s="293" t="str">
        <f>+AS3</f>
        <v>2027/8</v>
      </c>
      <c r="AR185" s="294"/>
      <c r="AS185" s="295"/>
      <c r="AT185" s="297"/>
      <c r="AU185" s="293" t="str">
        <f>+AW3</f>
        <v>2027/9</v>
      </c>
      <c r="AV185" s="294"/>
      <c r="AW185" s="295"/>
      <c r="AX185" s="297"/>
      <c r="AY185" s="293" t="str">
        <f>+BA3</f>
        <v>2027/10</v>
      </c>
      <c r="AZ185" s="294"/>
      <c r="BA185" s="295"/>
      <c r="BB185" s="297"/>
      <c r="BC185" s="293" t="str">
        <f>+BE3</f>
        <v>2027/11</v>
      </c>
      <c r="BD185" s="294"/>
      <c r="BE185" s="295"/>
      <c r="BF185" s="297"/>
      <c r="BG185" s="293" t="str">
        <f>+BI3</f>
        <v>2027/12</v>
      </c>
      <c r="BH185" s="294"/>
      <c r="BI185" s="294"/>
      <c r="BJ185" s="294"/>
      <c r="BK185" s="293" t="str">
        <f>+BM3</f>
        <v>Year 2027</v>
      </c>
      <c r="BL185" s="294"/>
      <c r="BM185" s="295"/>
      <c r="BN185" s="297"/>
      <c r="BQ185" s="97"/>
      <c r="BR185" s="98"/>
      <c r="BS185" s="293" t="str">
        <f>+BU3</f>
        <v>Year 2028</v>
      </c>
      <c r="BT185" s="294"/>
      <c r="BU185" s="295"/>
      <c r="BV185" s="297"/>
      <c r="BW185" s="297"/>
      <c r="BX185" s="297"/>
      <c r="BY185" s="292"/>
      <c r="BZ185" s="297"/>
      <c r="CA185" s="293" t="str">
        <f>+CC3</f>
        <v>Year 2029</v>
      </c>
      <c r="CB185" s="294"/>
      <c r="CC185" s="295"/>
      <c r="CD185" s="297"/>
      <c r="CG185" s="97"/>
      <c r="CH185" s="98"/>
      <c r="CI185" s="293" t="str">
        <f>+CK3</f>
        <v>Year 2030</v>
      </c>
      <c r="CJ185" s="294"/>
      <c r="CK185" s="295"/>
      <c r="CL185" s="297"/>
      <c r="CO185" s="97"/>
      <c r="CP185" s="98"/>
      <c r="CQ185" s="293" t="str">
        <f>+CS3</f>
        <v>Year 2031</v>
      </c>
      <c r="CR185" s="294"/>
      <c r="CS185" s="295"/>
      <c r="CT185" s="297"/>
      <c r="CW185" s="97"/>
      <c r="CX185" s="98"/>
    </row>
    <row r="186" spans="1:102">
      <c r="A186" s="98" t="s">
        <v>734</v>
      </c>
      <c r="B186" s="4"/>
      <c r="D186" s="98"/>
      <c r="G186" s="98">
        <f>SUMIF($A$86:$A$178,$A186,G$86:G$178)-SUMIF($A$86:$A$178,$A186,H$86:H$178)</f>
        <v>0</v>
      </c>
      <c r="H186" s="98"/>
      <c r="I186" s="105"/>
      <c r="J186" s="289"/>
      <c r="K186" s="289"/>
      <c r="L186" s="289"/>
      <c r="M186" s="289"/>
      <c r="N186" s="289"/>
      <c r="O186" s="98">
        <f>SUMIF($A$86:$A$178,$A186,O$86:O$178)-SUMIF($A$86:$A$178,$A186,P$86:P$178)</f>
        <v>0</v>
      </c>
      <c r="Q186" s="105"/>
      <c r="R186" s="98"/>
      <c r="S186" s="98">
        <f>SUMIF($A$86:$A$178,$A186,S$86:S$178)-SUMIF($A$86:$A$178,$A186,T$86:T$178)</f>
        <v>0</v>
      </c>
      <c r="U186" s="105"/>
      <c r="V186" s="98"/>
      <c r="W186" s="98">
        <f>SUMIF($A$86:$A$178,$A186,W$86:W$178)-SUMIF($A$86:$A$178,$A186,X$86:X$178)</f>
        <v>0</v>
      </c>
      <c r="Y186" s="105"/>
      <c r="Z186" s="98"/>
      <c r="AA186" s="98">
        <f>SUMIF($A$86:$A$178,$A186,AA$86:AA$178)-SUMIF($A$86:$A$178,$A186,AB$86:AB$178)</f>
        <v>0</v>
      </c>
      <c r="AC186" s="105"/>
      <c r="AD186" s="98"/>
      <c r="AE186" s="98">
        <f>SUMIF($A$86:$A$178,$A186,AE$86:AE$178)-SUMIF($A$86:$A$178,$A186,AF$86:AF$178)</f>
        <v>0</v>
      </c>
      <c r="AG186" s="105"/>
      <c r="AH186" s="98"/>
      <c r="AI186" s="98">
        <f>SUMIF($A$86:$A$178,$A186,AI$86:AI$178)-SUMIF($A$86:$A$178,$A186,AJ$86:AJ$178)</f>
        <v>0</v>
      </c>
      <c r="AK186" s="105"/>
      <c r="AL186" s="98"/>
      <c r="AM186" s="98">
        <f>SUMIF($A$86:$A$178,$A186,AM$86:AM$178)-SUMIF($A$86:$A$178,$A186,AN$86:AN$178)</f>
        <v>0</v>
      </c>
      <c r="AO186" s="105"/>
      <c r="AP186" s="98"/>
      <c r="AQ186" s="98">
        <f>SUMIF($A$86:$A$178,$A186,AQ$86:AQ$178)-SUMIF($A$86:$A$178,$A186,AR$86:AR$178)</f>
        <v>0</v>
      </c>
      <c r="AS186" s="105"/>
      <c r="AT186" s="98"/>
      <c r="AU186" s="98">
        <f>SUMIF($A$86:$A$178,$A186,AU$86:AU$178)-SUMIF($A$86:$A$178,$A186,AV$86:AV$178)</f>
        <v>0</v>
      </c>
      <c r="AW186" s="105"/>
      <c r="AX186" s="98"/>
      <c r="AY186" s="98">
        <f>SUMIF($A$86:$A$178,$A186,AY$86:AY$178)-SUMIF($A$86:$A$178,$A186,AZ$86:AZ$178)</f>
        <v>0</v>
      </c>
      <c r="BA186" s="105"/>
      <c r="BB186" s="98"/>
      <c r="BC186" s="98">
        <f>SUMIF($A$86:$A$178,$A186,BC$86:BC$178)-SUMIF($A$86:$A$178,$A186,BD$86:BD$178)</f>
        <v>0</v>
      </c>
      <c r="BE186" s="105"/>
      <c r="BF186" s="98"/>
      <c r="BG186" s="98">
        <f>SUMIF($A$86:$A$178,$A186,BG$86:BG$178)-SUMIF($A$86:$A$178,$A186,BH$86:BH$178)</f>
        <v>0</v>
      </c>
      <c r="BI186" s="214"/>
      <c r="BJ186" s="214"/>
      <c r="BK186" s="98">
        <f>SUMIF($A$86:$A$178,$A186,BK$86:BK$178)-SUMIF($A$86:$A$178,$A186,BL$86:BL$178)</f>
        <v>0</v>
      </c>
      <c r="BM186" s="105"/>
      <c r="BN186" s="98"/>
      <c r="BQ186" s="97"/>
      <c r="BR186" s="98"/>
      <c r="BS186" s="98">
        <f>SUMIF($A$86:$A$178,$A186,BS$86:BS$178)-SUMIF($A$86:$A$178,$A186,BT$86:BT$178)</f>
        <v>0</v>
      </c>
      <c r="BU186" s="105"/>
      <c r="BV186" s="98"/>
      <c r="BY186" s="97"/>
      <c r="BZ186" s="98"/>
      <c r="CA186" s="98">
        <f>SUMIF($A$86:$A$178,$A186,CA$86:CA$178)-SUMIF($A$86:$A$178,$A186,CB$86:CB$178)</f>
        <v>0</v>
      </c>
      <c r="CC186" s="105"/>
      <c r="CD186" s="98"/>
      <c r="CG186" s="97"/>
      <c r="CH186" s="98"/>
      <c r="CI186" s="98">
        <f>SUMIF($A$86:$A$178,$A186,CI$86:CI$178)-SUMIF($A$86:$A$178,$A186,CJ$86:CJ$178)</f>
        <v>0</v>
      </c>
      <c r="CK186" s="105"/>
      <c r="CL186" s="98"/>
      <c r="CO186" s="97"/>
      <c r="CP186" s="98"/>
      <c r="CQ186" s="98">
        <f>SUMIF($A$86:$A$178,$A186,CQ$86:CQ$178)-SUMIF($A$86:$A$178,$A186,CR$86:CR$178)</f>
        <v>0</v>
      </c>
      <c r="CS186" s="105"/>
      <c r="CT186" s="98"/>
      <c r="CW186" s="97"/>
      <c r="CX186" s="98"/>
    </row>
    <row r="187" spans="1:102">
      <c r="A187" s="98" t="s">
        <v>741</v>
      </c>
      <c r="B187" s="4"/>
      <c r="D187" s="98"/>
      <c r="G187" s="98">
        <f>SUMIF($A$86:$A$178,$A187,G$86:G$178)-SUMIF($A$86:$A$178,$A187,H$86:H$178)</f>
        <v>0</v>
      </c>
      <c r="H187" s="98"/>
      <c r="I187" s="105"/>
      <c r="J187" s="289"/>
      <c r="K187" s="289"/>
      <c r="L187" s="289"/>
      <c r="M187" s="289"/>
      <c r="N187" s="289"/>
      <c r="O187" s="98">
        <f>SUMIF($A$86:$A$178,$A187,O$86:O$178)-SUMIF($A$86:$A$178,$A187,P$86:P$178)</f>
        <v>0</v>
      </c>
      <c r="Q187" s="105"/>
      <c r="R187" s="98"/>
      <c r="S187" s="98">
        <f>SUMIF($A$86:$A$178,$A187,S$86:S$178)-SUMIF($A$86:$A$178,$A187,T$86:T$178)</f>
        <v>0</v>
      </c>
      <c r="U187" s="105"/>
      <c r="V187" s="98"/>
      <c r="W187" s="98">
        <f>SUMIF($A$86:$A$178,$A187,W$86:W$178)-SUMIF($A$86:$A$178,$A187,X$86:X$178)</f>
        <v>0</v>
      </c>
      <c r="Y187" s="105"/>
      <c r="Z187" s="98"/>
      <c r="AA187" s="98">
        <f>SUMIF($A$86:$A$178,$A187,AA$86:AA$178)-SUMIF($A$86:$A$178,$A187,AB$86:AB$178)</f>
        <v>0</v>
      </c>
      <c r="AC187" s="105"/>
      <c r="AD187" s="98"/>
      <c r="AE187" s="98">
        <f>SUMIF($A$86:$A$178,$A187,AE$86:AE$178)-SUMIF($A$86:$A$178,$A187,AF$86:AF$178)</f>
        <v>0</v>
      </c>
      <c r="AG187" s="105"/>
      <c r="AH187" s="98"/>
      <c r="AI187" s="98">
        <f>SUMIF($A$86:$A$178,$A187,AI$86:AI$178)-SUMIF($A$86:$A$178,$A187,AJ$86:AJ$178)</f>
        <v>0</v>
      </c>
      <c r="AK187" s="105"/>
      <c r="AL187" s="98"/>
      <c r="AM187" s="98">
        <f>SUMIF($A$86:$A$178,$A187,AM$86:AM$178)-SUMIF($A$86:$A$178,$A187,AN$86:AN$178)</f>
        <v>0</v>
      </c>
      <c r="AO187" s="105"/>
      <c r="AP187" s="98"/>
      <c r="AQ187" s="98">
        <f>SUMIF($A$86:$A$178,$A187,AQ$86:AQ$178)-SUMIF($A$86:$A$178,$A187,AR$86:AR$178)</f>
        <v>0</v>
      </c>
      <c r="AS187" s="105"/>
      <c r="AT187" s="98"/>
      <c r="AU187" s="98">
        <f>SUMIF($A$86:$A$178,$A187,AU$86:AU$178)-SUMIF($A$86:$A$178,$A187,AV$86:AV$178)</f>
        <v>0</v>
      </c>
      <c r="AW187" s="105"/>
      <c r="AX187" s="98"/>
      <c r="AY187" s="98">
        <f>SUMIF($A$86:$A$178,$A187,AY$86:AY$178)-SUMIF($A$86:$A$178,$A187,AZ$86:AZ$178)</f>
        <v>0</v>
      </c>
      <c r="BA187" s="105"/>
      <c r="BB187" s="98"/>
      <c r="BC187" s="98">
        <f>SUMIF($A$86:$A$178,$A187,BC$86:BC$178)-SUMIF($A$86:$A$178,$A187,BD$86:BD$178)</f>
        <v>0</v>
      </c>
      <c r="BE187" s="105"/>
      <c r="BF187" s="98"/>
      <c r="BG187" s="98">
        <f>SUMIF($A$86:$A$178,$A187,BG$86:BG$178)-SUMIF($A$86:$A$178,$A187,BH$86:BH$178)</f>
        <v>0</v>
      </c>
      <c r="BI187" s="214"/>
      <c r="BJ187" s="214"/>
      <c r="BK187" s="98">
        <f>SUMIF($A$86:$A$178,$A187,BK$86:BK$178)-SUMIF($A$86:$A$178,$A187,BL$86:BL$178)</f>
        <v>0</v>
      </c>
      <c r="BM187" s="105"/>
      <c r="BN187" s="98"/>
      <c r="BQ187" s="97"/>
      <c r="BR187" s="98"/>
      <c r="BS187" s="98">
        <f>SUMIF($A$86:$A$178,$A187,BS$86:BS$178)-SUMIF($A$86:$A$178,$A187,BT$86:BT$178)</f>
        <v>0</v>
      </c>
      <c r="BU187" s="105"/>
      <c r="BV187" s="98"/>
      <c r="BY187" s="97"/>
      <c r="BZ187" s="98"/>
      <c r="CA187" s="98">
        <f>SUMIF($A$86:$A$178,$A187,CA$86:CA$178)-SUMIF($A$86:$A$178,$A187,CB$86:CB$178)</f>
        <v>0</v>
      </c>
      <c r="CC187" s="105"/>
      <c r="CD187" s="98"/>
      <c r="CG187" s="97"/>
      <c r="CH187" s="98"/>
      <c r="CI187" s="98">
        <f>SUMIF($A$86:$A$178,$A187,CI$86:CI$178)-SUMIF($A$86:$A$178,$A187,CJ$86:CJ$178)</f>
        <v>0</v>
      </c>
      <c r="CK187" s="105"/>
      <c r="CL187" s="98"/>
      <c r="CO187" s="97"/>
      <c r="CP187" s="98"/>
      <c r="CQ187" s="98">
        <f>SUMIF($A$86:$A$178,$A187,CQ$86:CQ$178)-SUMIF($A$86:$A$178,$A187,CR$86:CR$178)</f>
        <v>0</v>
      </c>
      <c r="CS187" s="105"/>
      <c r="CT187" s="98"/>
      <c r="CW187" s="97"/>
      <c r="CX187" s="98"/>
    </row>
    <row r="188" spans="1:102">
      <c r="A188" s="2740" t="s">
        <v>1585</v>
      </c>
      <c r="G188" s="2734">
        <f>SUMIF($A$86:$A$178,$A188,G$86:G$178)-SUMIF($A$86:$A$178,$A188,H$86:H$178)</f>
        <v>0</v>
      </c>
      <c r="J188" s="289"/>
      <c r="K188" s="289"/>
      <c r="L188" s="289"/>
      <c r="M188" s="289"/>
      <c r="N188" s="289"/>
      <c r="O188" s="2734">
        <f>SUMIF($A$86:$A$178,$A188,O$86:O$178)-SUMIF($A$86:$A$178,$A188,P$86:P$178)</f>
        <v>0</v>
      </c>
      <c r="P188" s="97"/>
      <c r="Q188" s="97"/>
      <c r="R188" s="98"/>
      <c r="S188" s="2734">
        <f>SUMIF($A$86:$A$178,$A188,S$86:S$178)-SUMIF($A$86:$A$178,$A188,T$86:T$178)</f>
        <v>0</v>
      </c>
      <c r="T188" s="97"/>
      <c r="U188" s="97"/>
      <c r="V188" s="98"/>
      <c r="W188" s="2734">
        <f>SUMIF($A$86:$A$178,$A188,W$86:W$178)-SUMIF($A$86:$A$178,$A188,X$86:X$178)</f>
        <v>0</v>
      </c>
      <c r="X188" s="97"/>
      <c r="Y188" s="97"/>
      <c r="Z188" s="98"/>
      <c r="AA188" s="2734">
        <f>SUMIF($A$86:$A$178,$A188,AA$86:AA$178)-SUMIF($A$86:$A$178,$A188,AB$86:AB$178)</f>
        <v>0</v>
      </c>
      <c r="AB188" s="97"/>
      <c r="AC188" s="97"/>
      <c r="AD188" s="98"/>
      <c r="AE188" s="2734">
        <f>SUMIF($A$86:$A$178,$A188,AE$86:AE$178)-SUMIF($A$86:$A$178,$A188,AF$86:AF$178)</f>
        <v>0</v>
      </c>
      <c r="AF188" s="97"/>
      <c r="AG188" s="97"/>
      <c r="AH188" s="98"/>
      <c r="AI188" s="2734">
        <f>SUMIF($A$86:$A$178,$A188,AI$86:AI$178)-SUMIF($A$86:$A$178,$A188,AJ$86:AJ$178)</f>
        <v>0</v>
      </c>
      <c r="AJ188" s="97"/>
      <c r="AK188" s="97"/>
      <c r="AL188" s="98"/>
      <c r="AM188" s="2734">
        <f>SUMIF($A$86:$A$178,$A188,AM$86:AM$178)-SUMIF($A$86:$A$178,$A188,AN$86:AN$178)</f>
        <v>0</v>
      </c>
      <c r="AN188" s="97"/>
      <c r="AO188" s="97"/>
      <c r="AP188" s="98"/>
      <c r="AQ188" s="2734">
        <f>SUMIF($A$86:$A$178,$A188,AQ$86:AQ$178)-SUMIF($A$86:$A$178,$A188,AR$86:AR$178)</f>
        <v>0</v>
      </c>
      <c r="AR188" s="97"/>
      <c r="AS188" s="97"/>
      <c r="AT188" s="98"/>
      <c r="AU188" s="2734">
        <f>SUMIF($A$86:$A$178,$A188,AU$86:AU$178)-SUMIF($A$86:$A$178,$A188,AV$86:AV$178)</f>
        <v>0</v>
      </c>
      <c r="AV188" s="97"/>
      <c r="AW188" s="97"/>
      <c r="AX188" s="98"/>
      <c r="AY188" s="2734">
        <f>SUMIF($A$86:$A$178,$A188,AY$86:AY$178)-SUMIF($A$86:$A$178,$A188,AZ$86:AZ$178)</f>
        <v>0</v>
      </c>
      <c r="AZ188" s="97"/>
      <c r="BA188" s="97"/>
      <c r="BB188" s="98"/>
      <c r="BC188" s="2734">
        <f>SUMIF($A$86:$A$178,$A188,BC$86:BC$178)-SUMIF($A$86:$A$178,$A188,BD$86:BD$178)</f>
        <v>0</v>
      </c>
      <c r="BD188" s="97"/>
      <c r="BE188" s="97"/>
      <c r="BF188" s="98"/>
      <c r="BG188" s="2734">
        <f>SUMIF($A$86:$A$178,$A188,BG$86:BG$178)-SUMIF($A$86:$A$178,$A188,BH$86:BH$178)</f>
        <v>0</v>
      </c>
      <c r="BH188" s="97"/>
      <c r="BI188" s="214"/>
      <c r="BJ188" s="214"/>
      <c r="BK188" s="2734">
        <f>SUMIF($A$86:$A$178,$A188,BK$86:BK$178)-SUMIF($A$86:$A$178,$A188,BL$86:BL$178)</f>
        <v>0</v>
      </c>
      <c r="BL188" s="97"/>
      <c r="BM188" s="97"/>
      <c r="BN188" s="98"/>
      <c r="BQ188" s="97"/>
      <c r="BR188" s="98"/>
      <c r="BS188" s="2734">
        <f>SUMIF($A$86:$A$178,$A188,BS$86:BS$178)-SUMIF($A$86:$A$178,$A188,BT$86:BT$178)</f>
        <v>0</v>
      </c>
      <c r="BT188" s="97"/>
      <c r="BU188" s="97"/>
      <c r="BV188" s="98"/>
      <c r="BY188" s="97"/>
      <c r="BZ188" s="98"/>
      <c r="CA188" s="2734">
        <f>SUMIF($A$86:$A$178,$A188,CA$86:CA$178)-SUMIF($A$86:$A$178,$A188,CB$86:CB$178)</f>
        <v>0</v>
      </c>
      <c r="CB188" s="97"/>
      <c r="CC188" s="97"/>
      <c r="CD188" s="98"/>
      <c r="CG188" s="97"/>
      <c r="CH188" s="98"/>
      <c r="CI188" s="2734">
        <f>SUMIF($A$86:$A$178,$A188,CI$86:CI$178)-SUMIF($A$86:$A$178,$A188,CJ$86:CJ$178)</f>
        <v>0</v>
      </c>
      <c r="CJ188" s="97"/>
      <c r="CK188" s="97"/>
      <c r="CL188" s="98"/>
      <c r="CO188" s="97"/>
      <c r="CP188" s="98"/>
      <c r="CQ188" s="2734">
        <f>SUMIF($A$86:$A$178,$A188,CQ$86:CQ$178)-SUMIF($A$86:$A$178,$A188,CR$86:CR$178)</f>
        <v>0</v>
      </c>
      <c r="CR188" s="97"/>
      <c r="CS188" s="97"/>
      <c r="CT188" s="98"/>
      <c r="CW188" s="97"/>
      <c r="CX188" s="98"/>
    </row>
    <row r="189" spans="1:102">
      <c r="A189" s="287" t="s">
        <v>747</v>
      </c>
      <c r="G189" s="2734">
        <f>SUMIF($A$86:$A$178,$A189,G$86:G$178)-SUMIF($A$86:$A$178,$A189,H$86:H$178)</f>
        <v>0</v>
      </c>
      <c r="J189" s="289"/>
      <c r="K189" s="289"/>
      <c r="L189" s="289"/>
      <c r="M189" s="289"/>
      <c r="N189" s="289"/>
      <c r="O189" s="2734">
        <f>SUMIF($A$86:$A$178,$A189,O$86:O$178)-SUMIF($A$86:$A$178,$A189,P$86:P$178)</f>
        <v>0</v>
      </c>
      <c r="P189" s="97"/>
      <c r="Q189" s="97"/>
      <c r="R189" s="98"/>
      <c r="S189" s="2734">
        <f>SUMIF($A$86:$A$178,$A189,S$86:S$178)-SUMIF($A$86:$A$178,$A189,T$86:T$178)</f>
        <v>0</v>
      </c>
      <c r="T189" s="97"/>
      <c r="U189" s="97"/>
      <c r="V189" s="98"/>
      <c r="W189" s="2734">
        <f>SUMIF($A$86:$A$178,$A189,W$86:W$178)-SUMIF($A$86:$A$178,$A189,X$86:X$178)</f>
        <v>0</v>
      </c>
      <c r="X189" s="97"/>
      <c r="Y189" s="97"/>
      <c r="Z189" s="98"/>
      <c r="AA189" s="2734">
        <f>SUMIF($A$86:$A$178,$A189,AA$86:AA$178)-SUMIF($A$86:$A$178,$A189,AB$86:AB$178)</f>
        <v>0</v>
      </c>
      <c r="AB189" s="97"/>
      <c r="AC189" s="97"/>
      <c r="AD189" s="98"/>
      <c r="AE189" s="2734">
        <f>SUMIF($A$86:$A$178,$A189,AE$86:AE$178)-SUMIF($A$86:$A$178,$A189,AF$86:AF$178)</f>
        <v>0</v>
      </c>
      <c r="AF189" s="97"/>
      <c r="AG189" s="97"/>
      <c r="AH189" s="98"/>
      <c r="AI189" s="2734">
        <f>SUMIF($A$86:$A$178,$A189,AI$86:AI$178)-SUMIF($A$86:$A$178,$A189,AJ$86:AJ$178)</f>
        <v>0</v>
      </c>
      <c r="AJ189" s="97"/>
      <c r="AK189" s="97"/>
      <c r="AL189" s="98"/>
      <c r="AM189" s="2734">
        <f>SUMIF($A$86:$A$178,$A189,AM$86:AM$178)-SUMIF($A$86:$A$178,$A189,AN$86:AN$178)</f>
        <v>0</v>
      </c>
      <c r="AN189" s="97"/>
      <c r="AO189" s="97"/>
      <c r="AP189" s="98"/>
      <c r="AQ189" s="2734">
        <f>SUMIF($A$86:$A$178,$A189,AQ$86:AQ$178)-SUMIF($A$86:$A$178,$A189,AR$86:AR$178)</f>
        <v>0</v>
      </c>
      <c r="AR189" s="97"/>
      <c r="AS189" s="97"/>
      <c r="AT189" s="98"/>
      <c r="AU189" s="2734">
        <f>SUMIF($A$86:$A$178,$A189,AU$86:AU$178)-SUMIF($A$86:$A$178,$A189,AV$86:AV$178)</f>
        <v>0</v>
      </c>
      <c r="AV189" s="97"/>
      <c r="AW189" s="97"/>
      <c r="AX189" s="98"/>
      <c r="AY189" s="2734">
        <f>SUMIF($A$86:$A$178,$A189,AY$86:AY$178)-SUMIF($A$86:$A$178,$A189,AZ$86:AZ$178)</f>
        <v>0</v>
      </c>
      <c r="AZ189" s="97"/>
      <c r="BA189" s="97"/>
      <c r="BB189" s="98"/>
      <c r="BC189" s="2734">
        <f>SUMIF($A$86:$A$178,$A189,BC$86:BC$178)-SUMIF($A$86:$A$178,$A189,BD$86:BD$178)</f>
        <v>0</v>
      </c>
      <c r="BD189" s="97"/>
      <c r="BE189" s="97"/>
      <c r="BF189" s="98"/>
      <c r="BG189" s="2734">
        <f>SUMIF($A$86:$A$178,$A189,BG$86:BG$178)-SUMIF($A$86:$A$178,$A189,BH$86:BH$178)</f>
        <v>0</v>
      </c>
      <c r="BH189" s="97"/>
      <c r="BI189" s="214"/>
      <c r="BJ189" s="214"/>
      <c r="BK189" s="2734">
        <f>SUMIF($A$86:$A$178,$A189,BK$86:BK$178)-SUMIF($A$86:$A$178,$A189,BL$86:BL$178)</f>
        <v>0</v>
      </c>
      <c r="BL189" s="97"/>
      <c r="BM189" s="97"/>
      <c r="BN189" s="98"/>
      <c r="BQ189" s="97"/>
      <c r="BR189" s="98"/>
      <c r="BS189" s="2734">
        <f>SUMIF($A$86:$A$178,$A189,BS$86:BS$178)-SUMIF($A$86:$A$178,$A189,BT$86:BT$178)</f>
        <v>0</v>
      </c>
      <c r="BT189" s="97"/>
      <c r="BU189" s="97"/>
      <c r="BV189" s="98"/>
      <c r="BY189" s="97"/>
      <c r="BZ189" s="98"/>
      <c r="CA189" s="2734">
        <f>SUMIF($A$86:$A$178,$A189,CA$86:CA$178)-SUMIF($A$86:$A$178,$A189,CB$86:CB$178)</f>
        <v>0</v>
      </c>
      <c r="CB189" s="97"/>
      <c r="CC189" s="97"/>
      <c r="CD189" s="98"/>
      <c r="CG189" s="97"/>
      <c r="CH189" s="98"/>
      <c r="CI189" s="2734">
        <f>SUMIF($A$86:$A$178,$A189,CI$86:CI$178)-SUMIF($A$86:$A$178,$A189,CJ$86:CJ$178)</f>
        <v>0</v>
      </c>
      <c r="CJ189" s="97"/>
      <c r="CK189" s="97"/>
      <c r="CL189" s="98"/>
      <c r="CO189" s="97"/>
      <c r="CP189" s="98"/>
      <c r="CQ189" s="2734">
        <f>SUMIF($A$86:$A$178,$A189,CQ$86:CQ$178)-SUMIF($A$86:$A$178,$A189,CR$86:CR$178)</f>
        <v>0</v>
      </c>
      <c r="CR189" s="97"/>
      <c r="CS189" s="97"/>
      <c r="CT189" s="98"/>
      <c r="CW189" s="97"/>
      <c r="CX189" s="98"/>
    </row>
    <row r="190" spans="1:102">
      <c r="A190" s="98" t="s">
        <v>748</v>
      </c>
      <c r="G190" s="2734">
        <f>SUMIF($A$86:$A$178,$A190,G$86:G$178)-SUMIF($A$86:$A$178,$A190,H$86:H$178)</f>
        <v>0</v>
      </c>
      <c r="J190" s="289"/>
      <c r="K190" s="289"/>
      <c r="L190" s="289"/>
      <c r="M190" s="289"/>
      <c r="N190" s="289"/>
      <c r="O190" s="2734">
        <f>SUMIF($A$86:$A$178,$A190,O$86:O$178)-SUMIF($A$86:$A$178,$A190,P$86:P$178)</f>
        <v>0</v>
      </c>
      <c r="P190" s="97"/>
      <c r="Q190" s="97"/>
      <c r="R190" s="98"/>
      <c r="S190" s="2734">
        <f>SUMIF($A$86:$A$178,$A190,S$86:S$178)-SUMIF($A$86:$A$178,$A190,T$86:T$178)</f>
        <v>0</v>
      </c>
      <c r="T190" s="97"/>
      <c r="U190" s="97"/>
      <c r="V190" s="98"/>
      <c r="W190" s="2734">
        <f>SUMIF($A$86:$A$178,$A190,W$86:W$178)-SUMIF($A$86:$A$178,$A190,X$86:X$178)</f>
        <v>0</v>
      </c>
      <c r="X190" s="97"/>
      <c r="Y190" s="97"/>
      <c r="Z190" s="98"/>
      <c r="AA190" s="2734">
        <f>SUMIF($A$86:$A$178,$A190,AA$86:AA$178)-SUMIF($A$86:$A$178,$A190,AB$86:AB$178)</f>
        <v>0</v>
      </c>
      <c r="AB190" s="97"/>
      <c r="AC190" s="97"/>
      <c r="AD190" s="98"/>
      <c r="AE190" s="2734">
        <f>SUMIF($A$86:$A$178,$A190,AE$86:AE$178)-SUMIF($A$86:$A$178,$A190,AF$86:AF$178)</f>
        <v>0</v>
      </c>
      <c r="AF190" s="97"/>
      <c r="AG190" s="97"/>
      <c r="AH190" s="98"/>
      <c r="AI190" s="2734">
        <f>SUMIF($A$86:$A$178,$A190,AI$86:AI$178)-SUMIF($A$86:$A$178,$A190,AJ$86:AJ$178)</f>
        <v>0</v>
      </c>
      <c r="AJ190" s="97"/>
      <c r="AK190" s="97"/>
      <c r="AL190" s="98"/>
      <c r="AM190" s="2734">
        <f>SUMIF($A$86:$A$178,$A190,AM$86:AM$178)-SUMIF($A$86:$A$178,$A190,AN$86:AN$178)</f>
        <v>0</v>
      </c>
      <c r="AN190" s="97"/>
      <c r="AO190" s="97"/>
      <c r="AP190" s="98"/>
      <c r="AQ190" s="2734">
        <f>SUMIF($A$86:$A$178,$A190,AQ$86:AQ$178)-SUMIF($A$86:$A$178,$A190,AR$86:AR$178)</f>
        <v>0</v>
      </c>
      <c r="AR190" s="97"/>
      <c r="AS190" s="97"/>
      <c r="AT190" s="98"/>
      <c r="AU190" s="2734">
        <f>SUMIF($A$86:$A$178,$A190,AU$86:AU$178)-SUMIF($A$86:$A$178,$A190,AV$86:AV$178)</f>
        <v>0</v>
      </c>
      <c r="AV190" s="97"/>
      <c r="AW190" s="97"/>
      <c r="AX190" s="98"/>
      <c r="AY190" s="2734">
        <f>SUMIF($A$86:$A$178,$A190,AY$86:AY$178)-SUMIF($A$86:$A$178,$A190,AZ$86:AZ$178)</f>
        <v>0</v>
      </c>
      <c r="AZ190" s="97"/>
      <c r="BA190" s="97"/>
      <c r="BB190" s="98"/>
      <c r="BC190" s="2734">
        <f>SUMIF($A$86:$A$178,$A190,BC$86:BC$178)-SUMIF($A$86:$A$178,$A190,BD$86:BD$178)</f>
        <v>0</v>
      </c>
      <c r="BD190" s="97"/>
      <c r="BE190" s="97"/>
      <c r="BF190" s="98"/>
      <c r="BG190" s="2734">
        <f>SUMIF($A$86:$A$178,$A190,BG$86:BG$178)-SUMIF($A$86:$A$178,$A190,BH$86:BH$178)</f>
        <v>0</v>
      </c>
      <c r="BH190" s="97"/>
      <c r="BI190" s="214"/>
      <c r="BJ190" s="214"/>
      <c r="BK190" s="2734">
        <f>SUMIF($A$86:$A$178,$A190,BK$86:BK$178)-SUMIF($A$86:$A$178,$A190,BL$86:BL$178)</f>
        <v>0</v>
      </c>
      <c r="BL190" s="97"/>
      <c r="BM190" s="97"/>
      <c r="BN190" s="98"/>
      <c r="BQ190" s="97"/>
      <c r="BR190" s="98"/>
      <c r="BS190" s="2734">
        <f>SUMIF($A$86:$A$178,$A190,BS$86:BS$178)-SUMIF($A$86:$A$178,$A190,BT$86:BT$178)</f>
        <v>0</v>
      </c>
      <c r="BT190" s="97"/>
      <c r="BU190" s="97"/>
      <c r="BV190" s="98"/>
      <c r="BY190" s="97"/>
      <c r="BZ190" s="98"/>
      <c r="CA190" s="2734">
        <f>SUMIF($A$86:$A$178,$A190,CA$86:CA$178)-SUMIF($A$86:$A$178,$A190,CB$86:CB$178)</f>
        <v>0</v>
      </c>
      <c r="CB190" s="97"/>
      <c r="CC190" s="97"/>
      <c r="CD190" s="98"/>
      <c r="CG190" s="97"/>
      <c r="CH190" s="98"/>
      <c r="CI190" s="2734">
        <f>SUMIF($A$86:$A$178,$A190,CI$86:CI$178)-SUMIF($A$86:$A$178,$A190,CJ$86:CJ$178)</f>
        <v>0</v>
      </c>
      <c r="CJ190" s="97"/>
      <c r="CK190" s="97"/>
      <c r="CL190" s="98"/>
      <c r="CO190" s="97"/>
      <c r="CP190" s="98"/>
      <c r="CQ190" s="2734">
        <f>SUMIF($A$86:$A$178,$A190,CQ$86:CQ$178)-SUMIF($A$86:$A$178,$A190,CR$86:CR$178)</f>
        <v>0</v>
      </c>
      <c r="CR190" s="97"/>
      <c r="CS190" s="97"/>
      <c r="CT190" s="98"/>
      <c r="CW190" s="97"/>
      <c r="CX190" s="98"/>
    </row>
    <row r="191" spans="1:102">
      <c r="A191" s="214" t="s">
        <v>757</v>
      </c>
      <c r="G191" s="2734">
        <f>SUMIF($A$86:$A$178,$A191,G$86:G$178)-SUMIF($A$86:$A$178,$A191,H$86:H$178)</f>
        <v>14826949</v>
      </c>
      <c r="J191" s="289"/>
      <c r="K191" s="289"/>
      <c r="L191" s="289"/>
      <c r="M191" s="289"/>
      <c r="N191" s="298"/>
      <c r="O191" s="2734">
        <f>SUMIF($A$86:$A$178,$A191,O$86:O$178)-SUMIF($A$86:$A$178,$A191,P$86:P$178)</f>
        <v>4652551</v>
      </c>
      <c r="P191" s="97"/>
      <c r="Q191" s="97"/>
      <c r="R191" s="98"/>
      <c r="S191" s="2734">
        <f>SUMIF($A$86:$A$178,$A191,S$86:S$178)-SUMIF($A$86:$A$178,$A191,T$86:T$178)</f>
        <v>2819442</v>
      </c>
      <c r="T191" s="97"/>
      <c r="U191" s="97"/>
      <c r="V191" s="98"/>
      <c r="W191" s="2734">
        <f>SUMIF($A$86:$A$178,$A191,W$86:W$178)-SUMIF($A$86:$A$178,$A191,X$86:X$178)</f>
        <v>5695957</v>
      </c>
      <c r="X191" s="97"/>
      <c r="Y191" s="97"/>
      <c r="Z191" s="98"/>
      <c r="AA191" s="2734">
        <f>SUMIF($A$86:$A$178,$A191,AA$86:AA$178)-SUMIF($A$86:$A$178,$A191,AB$86:AB$178)</f>
        <v>4063860</v>
      </c>
      <c r="AB191" s="97"/>
      <c r="AC191" s="97"/>
      <c r="AD191" s="98"/>
      <c r="AE191" s="2734">
        <f>SUMIF($A$86:$A$178,$A191,AE$86:AE$178)-SUMIF($A$86:$A$178,$A191,AF$86:AF$178)</f>
        <v>4196796</v>
      </c>
      <c r="AF191" s="97"/>
      <c r="AG191" s="97"/>
      <c r="AH191" s="98"/>
      <c r="AI191" s="2734">
        <f>SUMIF($A$86:$A$178,$A191,AI$86:AI$178)-SUMIF($A$86:$A$178,$A191,AJ$86:AJ$178)</f>
        <v>4293080</v>
      </c>
      <c r="AJ191" s="97"/>
      <c r="AK191" s="97"/>
      <c r="AL191" s="98"/>
      <c r="AM191" s="2734">
        <f>SUMIF($A$86:$A$178,$A191,AM$86:AM$178)-SUMIF($A$86:$A$178,$A191,AN$86:AN$178)</f>
        <v>4201412</v>
      </c>
      <c r="AN191" s="97"/>
      <c r="AO191" s="97"/>
      <c r="AP191" s="98"/>
      <c r="AQ191" s="2734">
        <f>SUMIF($A$86:$A$178,$A191,AQ$86:AQ$178)-SUMIF($A$86:$A$178,$A191,AR$86:AR$178)</f>
        <v>3727340</v>
      </c>
      <c r="AR191" s="97"/>
      <c r="AS191" s="97"/>
      <c r="AT191" s="98"/>
      <c r="AU191" s="2734">
        <f>SUMIF($A$86:$A$178,$A191,AU$86:AU$178)-SUMIF($A$86:$A$178,$A191,AV$86:AV$178)</f>
        <v>3660531</v>
      </c>
      <c r="AV191" s="97"/>
      <c r="AW191" s="97"/>
      <c r="AX191" s="98"/>
      <c r="AY191" s="2734">
        <f>SUMIF($A$86:$A$178,$A191,AY$86:AY$178)-SUMIF($A$86:$A$178,$A191,AZ$86:AZ$178)</f>
        <v>4126615</v>
      </c>
      <c r="AZ191" s="97"/>
      <c r="BA191" s="97"/>
      <c r="BB191" s="98"/>
      <c r="BC191" s="2734">
        <f>SUMIF($A$86:$A$178,$A191,BC$86:BC$178)-SUMIF($A$86:$A$178,$A191,BD$86:BD$178)</f>
        <v>3899956</v>
      </c>
      <c r="BD191" s="97"/>
      <c r="BE191" s="97"/>
      <c r="BF191" s="98"/>
      <c r="BG191" s="2734">
        <f>SUMIF($A$86:$A$178,$A191,BG$86:BG$178)-SUMIF($A$86:$A$178,$A191,BH$86:BH$178)</f>
        <v>8767535</v>
      </c>
      <c r="BH191" s="97"/>
      <c r="BI191" s="214"/>
      <c r="BJ191" s="214"/>
      <c r="BK191" s="2734">
        <f>SUMIF($A$86:$A$178,$A191,BK$86:BK$178)-SUMIF($A$86:$A$178,$A191,BL$86:BL$178)</f>
        <v>54105075</v>
      </c>
      <c r="BL191" s="97"/>
      <c r="BM191" s="97"/>
      <c r="BN191" s="98"/>
      <c r="BQ191" s="97"/>
      <c r="BR191" s="98"/>
      <c r="BS191" s="2734">
        <f>SUMIF($A$86:$A$178,$A191,BS$86:BS$178)-SUMIF($A$86:$A$178,$A191,BT$86:BT$178)</f>
        <v>51737469</v>
      </c>
      <c r="BT191" s="97"/>
      <c r="BU191" s="97"/>
      <c r="BV191" s="98"/>
      <c r="BY191" s="97"/>
      <c r="BZ191" s="98"/>
      <c r="CA191" s="2734">
        <f>SUMIF($A$86:$A$178,$A191,CA$86:CA$178)-SUMIF($A$86:$A$178,$A191,CB$86:CB$178)</f>
        <v>56091186</v>
      </c>
      <c r="CB191" s="97"/>
      <c r="CC191" s="97"/>
      <c r="CD191" s="98"/>
      <c r="CG191" s="97"/>
      <c r="CH191" s="98"/>
      <c r="CI191" s="2734">
        <f>SUMIF($A$86:$A$178,$A191,CI$86:CI$178)-SUMIF($A$86:$A$178,$A191,CJ$86:CJ$178)</f>
        <v>55461758</v>
      </c>
      <c r="CJ191" s="97"/>
      <c r="CK191" s="97"/>
      <c r="CL191" s="98"/>
      <c r="CO191" s="97"/>
      <c r="CP191" s="98"/>
      <c r="CQ191" s="2734">
        <f>SUMIF($A$86:$A$178,$A191,CQ$86:CQ$178)-SUMIF($A$86:$A$178,$A191,CR$86:CR$178)</f>
        <v>62006027</v>
      </c>
      <c r="CR191" s="97"/>
      <c r="CS191" s="97"/>
      <c r="CT191" s="98"/>
      <c r="CW191" s="97"/>
      <c r="CX191" s="98"/>
    </row>
    <row r="192" spans="1:102">
      <c r="A192" s="214" t="s">
        <v>758</v>
      </c>
      <c r="G192" s="2734">
        <f>SUMIF($A$86:$A$178,$A192,G$86:G$178)-SUMIF($A$86:$A$178,$A192,H$86:H$178)</f>
        <v>-11966001</v>
      </c>
      <c r="H192" s="97">
        <f>SUM(G186:G192)</f>
        <v>2860948</v>
      </c>
      <c r="J192" s="289"/>
      <c r="K192" s="289"/>
      <c r="L192" s="289"/>
      <c r="M192" s="289"/>
      <c r="N192" s="298"/>
      <c r="O192" s="2734">
        <f>SUMIF($A$86:$A$178,$A192,O$86:O$178)-SUMIF($A$86:$A$178,$A192,P$86:P$178)</f>
        <v>1866570</v>
      </c>
      <c r="P192" s="97">
        <f>SUM(O186:O192)</f>
        <v>6519121</v>
      </c>
      <c r="Q192" s="97"/>
      <c r="R192" s="98"/>
      <c r="S192" s="2734">
        <f>SUMIF($A$86:$A$178,$A192,S$86:S$178)-SUMIF($A$86:$A$178,$A192,T$86:T$178)</f>
        <v>1182035</v>
      </c>
      <c r="T192" s="97">
        <f>SUM(S186:S192)</f>
        <v>4001477</v>
      </c>
      <c r="U192" s="97"/>
      <c r="V192" s="98"/>
      <c r="W192" s="2734">
        <f>SUMIF($A$86:$A$178,$A192,W$86:W$178)-SUMIF($A$86:$A$178,$A192,X$86:X$178)</f>
        <v>2190465</v>
      </c>
      <c r="X192" s="97">
        <f>SUM(W186:W192)</f>
        <v>7886422</v>
      </c>
      <c r="Y192" s="97"/>
      <c r="Z192" s="98"/>
      <c r="AA192" s="2734">
        <f>SUMIF($A$86:$A$178,$A192,AA$86:AA$178)-SUMIF($A$86:$A$178,$A192,AB$86:AB$178)</f>
        <v>1514167</v>
      </c>
      <c r="AB192" s="97">
        <f>SUM(AA186:AA192)</f>
        <v>5578027</v>
      </c>
      <c r="AC192" s="97"/>
      <c r="AD192" s="98"/>
      <c r="AE192" s="2734">
        <f>SUMIF($A$86:$A$178,$A192,AE$86:AE$178)-SUMIF($A$86:$A$178,$A192,AF$86:AF$178)</f>
        <v>1600187</v>
      </c>
      <c r="AF192" s="97">
        <f>SUM(AE186:AE192)</f>
        <v>5796983</v>
      </c>
      <c r="AG192" s="97"/>
      <c r="AH192" s="98"/>
      <c r="AI192" s="2734">
        <f>SUMIF($A$86:$A$178,$A192,AI$86:AI$178)-SUMIF($A$86:$A$178,$A192,AJ$86:AJ$178)</f>
        <v>1617488</v>
      </c>
      <c r="AJ192" s="97">
        <f>SUM(AI186:AI192)</f>
        <v>5910568</v>
      </c>
      <c r="AK192" s="97"/>
      <c r="AL192" s="98"/>
      <c r="AM192" s="2734">
        <f>SUMIF($A$86:$A$178,$A192,AM$86:AM$178)-SUMIF($A$86:$A$178,$A192,AN$86:AN$178)</f>
        <v>1540943</v>
      </c>
      <c r="AN192" s="97">
        <f>SUM(AM186:AM192)</f>
        <v>5742355</v>
      </c>
      <c r="AO192" s="97"/>
      <c r="AP192" s="98"/>
      <c r="AQ192" s="2734">
        <f>SUMIF($A$86:$A$178,$A192,AQ$86:AQ$178)-SUMIF($A$86:$A$178,$A192,AR$86:AR$178)</f>
        <v>719757</v>
      </c>
      <c r="AR192" s="97">
        <f>SUM(AQ186:AQ192)</f>
        <v>4447097</v>
      </c>
      <c r="AS192" s="97"/>
      <c r="AT192" s="98"/>
      <c r="AU192" s="2734">
        <f>SUMIF($A$86:$A$178,$A192,AU$86:AU$178)-SUMIF($A$86:$A$178,$A192,AV$86:AV$178)</f>
        <v>522505</v>
      </c>
      <c r="AV192" s="97">
        <f>SUM(AU186:AU192)</f>
        <v>4183036</v>
      </c>
      <c r="AW192" s="97"/>
      <c r="AX192" s="98"/>
      <c r="AY192" s="2734">
        <f>SUMIF($A$86:$A$178,$A192,AY$86:AY$178)-SUMIF($A$86:$A$178,$A192,AZ$86:AZ$178)</f>
        <v>3168588</v>
      </c>
      <c r="AZ192" s="97">
        <f>SUM(AY186:AY192)</f>
        <v>7295203</v>
      </c>
      <c r="BA192" s="97"/>
      <c r="BB192" s="98"/>
      <c r="BC192" s="2734">
        <f>SUMIF($A$86:$A$178,$A192,BC$86:BC$178)-SUMIF($A$86:$A$178,$A192,BD$86:BD$178)</f>
        <v>1548043</v>
      </c>
      <c r="BD192" s="97">
        <f>SUM(BC186:BC192)</f>
        <v>5447999</v>
      </c>
      <c r="BE192" s="97"/>
      <c r="BF192" s="98"/>
      <c r="BG192" s="2734">
        <f>SUMIF($A$86:$A$178,$A192,BG$86:BG$178)-SUMIF($A$86:$A$178,$A192,BH$86:BH$178)</f>
        <v>3553951</v>
      </c>
      <c r="BH192" s="97">
        <f>SUM(BG186:BG192)</f>
        <v>12321486</v>
      </c>
      <c r="BI192" s="214"/>
      <c r="BJ192" s="214"/>
      <c r="BK192" s="2734">
        <f>SUMIF($A$86:$A$178,$A192,BK$86:BK$178)-SUMIF($A$86:$A$178,$A192,BL$86:BL$178)</f>
        <v>21024699</v>
      </c>
      <c r="BL192" s="97">
        <f>SUM(BK186:BK192)</f>
        <v>75129774</v>
      </c>
      <c r="BM192" s="97"/>
      <c r="BN192" s="98"/>
      <c r="BQ192" s="97"/>
      <c r="BR192" s="98"/>
      <c r="BS192" s="2734">
        <f>SUMIF($A$86:$A$178,$A192,BS$86:BS$178)-SUMIF($A$86:$A$178,$A192,BT$86:BT$178)</f>
        <v>20886387</v>
      </c>
      <c r="BT192" s="97">
        <f>SUM(BS186:BS192)</f>
        <v>72623856</v>
      </c>
      <c r="BU192" s="97"/>
      <c r="BV192" s="98"/>
      <c r="BY192" s="97"/>
      <c r="BZ192" s="98"/>
      <c r="CA192" s="2734">
        <f>SUMIF($A$86:$A$178,$A192,CA$86:CA$178)-SUMIF($A$86:$A$178,$A192,CB$86:CB$178)</f>
        <v>23241500</v>
      </c>
      <c r="CB192" s="97">
        <f>SUM(CA186:CA192)</f>
        <v>79332686</v>
      </c>
      <c r="CC192" s="97"/>
      <c r="CD192" s="98"/>
      <c r="CG192" s="97"/>
      <c r="CH192" s="98"/>
      <c r="CI192" s="2734">
        <f>SUMIF($A$86:$A$178,$A192,CI$86:CI$178)-SUMIF($A$86:$A$178,$A192,CJ$86:CJ$178)</f>
        <v>23419202</v>
      </c>
      <c r="CJ192" s="97">
        <f>SUM(CI186:CI192)</f>
        <v>78880960</v>
      </c>
      <c r="CK192" s="97"/>
      <c r="CL192" s="98"/>
      <c r="CO192" s="97"/>
      <c r="CP192" s="98"/>
      <c r="CQ192" s="2734">
        <f>SUMIF($A$86:$A$178,$A192,CQ$86:CQ$178)-SUMIF($A$86:$A$178,$A192,CR$86:CR$178)</f>
        <v>26620459</v>
      </c>
      <c r="CR192" s="97">
        <f>SUM(CQ186:CQ192)</f>
        <v>88626486</v>
      </c>
      <c r="CS192" s="97"/>
      <c r="CT192" s="98"/>
      <c r="CW192" s="97"/>
      <c r="CX192" s="98"/>
    </row>
    <row r="193" spans="1:102" s="214" customFormat="1">
      <c r="A193" s="214" t="s">
        <v>732</v>
      </c>
      <c r="G193" s="2734">
        <f>-SUMIF($A$86:$A$178,$A193,G$86:G$178)+SUMIF($A$86:$A$178,$A193,H$86:H$178)</f>
        <v>0</v>
      </c>
      <c r="J193" s="289"/>
      <c r="K193" s="289"/>
      <c r="L193" s="289"/>
      <c r="M193" s="289"/>
      <c r="N193" s="298"/>
      <c r="O193" s="2734">
        <f>-SUMIF($A$86:$A$178,$A193,O$86:O$178)+SUMIF($A$86:$A$178,$A193,P$86:P$178)</f>
        <v>0</v>
      </c>
      <c r="S193" s="2734">
        <f>-SUMIF($A$86:$A$178,$A193,S$86:S$178)+SUMIF($A$86:$A$178,$A193,T$86:T$178)</f>
        <v>0</v>
      </c>
      <c r="W193" s="2734">
        <f>-SUMIF($A$86:$A$178,$A193,W$86:W$178)+SUMIF($A$86:$A$178,$A193,X$86:X$178)</f>
        <v>0</v>
      </c>
      <c r="AA193" s="2734">
        <f>-SUMIF($A$86:$A$178,$A193,AA$86:AA$178)+SUMIF($A$86:$A$178,$A193,AB$86:AB$178)</f>
        <v>0</v>
      </c>
      <c r="AE193" s="2734">
        <f>-SUMIF($A$86:$A$178,$A193,AE$86:AE$178)+SUMIF($A$86:$A$178,$A193,AF$86:AF$178)</f>
        <v>0</v>
      </c>
      <c r="AI193" s="2734">
        <f>-SUMIF($A$86:$A$178,$A193,AI$86:AI$178)+SUMIF($A$86:$A$178,$A193,AJ$86:AJ$178)</f>
        <v>0</v>
      </c>
      <c r="AM193" s="2734">
        <f>-SUMIF($A$86:$A$178,$A193,AM$86:AM$178)+SUMIF($A$86:$A$178,$A193,AN$86:AN$178)</f>
        <v>0</v>
      </c>
      <c r="AQ193" s="2734">
        <f>-SUMIF($A$86:$A$178,$A193,AQ$86:AQ$178)+SUMIF($A$86:$A$178,$A193,AR$86:AR$178)</f>
        <v>0</v>
      </c>
      <c r="AU193" s="2734">
        <f>-SUMIF($A$86:$A$178,$A193,AU$86:AU$178)+SUMIF($A$86:$A$178,$A193,AV$86:AV$178)</f>
        <v>0</v>
      </c>
      <c r="AY193" s="2734">
        <f>-SUMIF($A$86:$A$178,$A193,AY$86:AY$178)+SUMIF($A$86:$A$178,$A193,AZ$86:AZ$178)</f>
        <v>0</v>
      </c>
      <c r="BC193" s="2734">
        <f>-SUMIF($A$86:$A$178,$A193,BC$86:BC$178)+SUMIF($A$86:$A$178,$A193,BD$86:BD$178)</f>
        <v>0</v>
      </c>
      <c r="BG193" s="2734">
        <f>-SUMIF($A$86:$A$178,$A193,BG$86:BG$178)+SUMIF($A$86:$A$178,$A193,BH$86:BH$178)</f>
        <v>0</v>
      </c>
      <c r="BK193" s="2734">
        <f>-SUMIF($A$86:$A$178,$A193,BK$86:BK$178)+SUMIF($A$86:$A$178,$A193,BL$86:BL$178)</f>
        <v>0</v>
      </c>
      <c r="BO193" s="98"/>
      <c r="BP193" s="98"/>
      <c r="BQ193" s="97"/>
      <c r="BR193" s="98"/>
      <c r="BS193" s="2734">
        <f>-SUMIF($A$86:$A$178,$A193,BS$86:BS$178)+SUMIF($A$86:$A$178,$A193,BT$86:BT$178)</f>
        <v>0</v>
      </c>
      <c r="CA193" s="2734">
        <f>-SUMIF($A$86:$A$178,$A193,CA$86:CA$178)+SUMIF($A$86:$A$178,$A193,CB$86:CB$178)</f>
        <v>0</v>
      </c>
      <c r="CI193" s="2734">
        <f>-SUMIF($A$86:$A$178,$A193,CI$86:CI$178)+SUMIF($A$86:$A$178,$A193,CJ$86:CJ$178)</f>
        <v>0</v>
      </c>
      <c r="CQ193" s="2734">
        <f>-SUMIF($A$86:$A$178,$A193,CQ$86:CQ$178)+SUMIF($A$86:$A$178,$A193,CR$86:CR$178)</f>
        <v>0</v>
      </c>
    </row>
    <row r="194" spans="1:102">
      <c r="A194" s="97" t="inlineStr">
        <is>
          <t xml:space="preserve">2143應付帳款</t>
        </is>
      </c>
      <c r="G194" s="2734">
        <f>-SUMIF($A$86:$A$178,$A194,G$86:G$178)+SUMIF($A$86:$A$178,$A194,H$86:H$178)</f>
        <v>0</v>
      </c>
      <c r="J194" s="289"/>
      <c r="K194" s="289"/>
      <c r="L194" s="289"/>
      <c r="M194" s="289"/>
      <c r="N194" s="298"/>
      <c r="O194" s="2734">
        <f>-SUMIF($A$86:$A$178,$A194,O$86:O$178)+SUMIF($A$86:$A$178,$A194,P$86:P$178)</f>
        <v>0</v>
      </c>
      <c r="P194" s="97"/>
      <c r="Q194" s="97"/>
      <c r="R194" s="98"/>
      <c r="S194" s="2734">
        <f>-SUMIF($A$86:$A$178,$A194,S$86:S$178)+SUMIF($A$86:$A$178,$A194,T$86:T$178)</f>
        <v>0</v>
      </c>
      <c r="T194" s="97"/>
      <c r="U194" s="97"/>
      <c r="V194" s="98"/>
      <c r="W194" s="2734">
        <f>-SUMIF($A$86:$A$178,$A194,W$86:W$178)+SUMIF($A$86:$A$178,$A194,X$86:X$178)</f>
        <v>0</v>
      </c>
      <c r="X194" s="97"/>
      <c r="Y194" s="97"/>
      <c r="Z194" s="98"/>
      <c r="AA194" s="2734">
        <f>-SUMIF($A$86:$A$178,$A194,AA$86:AA$178)+SUMIF($A$86:$A$178,$A194,AB$86:AB$178)</f>
        <v>0</v>
      </c>
      <c r="AB194" s="97"/>
      <c r="AC194" s="97"/>
      <c r="AD194" s="98"/>
      <c r="AE194" s="2734">
        <f>-SUMIF($A$86:$A$178,$A194,AE$86:AE$178)+SUMIF($A$86:$A$178,$A194,AF$86:AF$178)</f>
        <v>0</v>
      </c>
      <c r="AF194" s="97"/>
      <c r="AG194" s="97"/>
      <c r="AH194" s="98"/>
      <c r="AI194" s="2734">
        <f>-SUMIF($A$86:$A$178,$A194,AI$86:AI$178)+SUMIF($A$86:$A$178,$A194,AJ$86:AJ$178)</f>
        <v>0</v>
      </c>
      <c r="AJ194" s="97"/>
      <c r="AK194" s="97"/>
      <c r="AL194" s="98"/>
      <c r="AM194" s="2734">
        <f>-SUMIF($A$86:$A$178,$A194,AM$86:AM$178)+SUMIF($A$86:$A$178,$A194,AN$86:AN$178)</f>
        <v>0</v>
      </c>
      <c r="AN194" s="97"/>
      <c r="AO194" s="97"/>
      <c r="AP194" s="98"/>
      <c r="AQ194" s="2734">
        <f>-SUMIF($A$86:$A$178,$A194,AQ$86:AQ$178)+SUMIF($A$86:$A$178,$A194,AR$86:AR$178)</f>
        <v>0</v>
      </c>
      <c r="AR194" s="97"/>
      <c r="AS194" s="97"/>
      <c r="AT194" s="98"/>
      <c r="AU194" s="2734">
        <f>-SUMIF($A$86:$A$178,$A194,AU$86:AU$178)+SUMIF($A$86:$A$178,$A194,AV$86:AV$178)</f>
        <v>0</v>
      </c>
      <c r="AV194" s="97"/>
      <c r="AW194" s="97"/>
      <c r="AX194" s="98"/>
      <c r="AY194" s="2734">
        <f>-SUMIF($A$86:$A$178,$A194,AY$86:AY$178)+SUMIF($A$86:$A$178,$A194,AZ$86:AZ$178)</f>
        <v>0</v>
      </c>
      <c r="AZ194" s="97"/>
      <c r="BA194" s="97"/>
      <c r="BB194" s="98"/>
      <c r="BC194" s="2734">
        <f>-SUMIF($A$86:$A$178,$A194,BC$86:BC$178)+SUMIF($A$86:$A$178,$A194,BD$86:BD$178)</f>
        <v>0</v>
      </c>
      <c r="BD194" s="97"/>
      <c r="BE194" s="97"/>
      <c r="BF194" s="98"/>
      <c r="BG194" s="2734">
        <f>-SUMIF($A$86:$A$178,$A194,BG$86:BG$178)+SUMIF($A$86:$A$178,$A194,BH$86:BH$178)</f>
        <v>0</v>
      </c>
      <c r="BH194" s="97"/>
      <c r="BI194" s="214"/>
      <c r="BJ194" s="214"/>
      <c r="BK194" s="2734">
        <f>-SUMIF($A$86:$A$178,$A194,BK$86:BK$178)+SUMIF($A$86:$A$178,$A194,BL$86:BL$178)</f>
        <v>0</v>
      </c>
      <c r="BL194" s="97"/>
      <c r="BM194" s="214"/>
      <c r="BN194" s="98"/>
      <c r="BQ194" s="97"/>
      <c r="BR194" s="98"/>
      <c r="BS194" s="2734">
        <f>-SUMIF($A$86:$A$178,$A194,BS$86:BS$178)+SUMIF($A$86:$A$178,$A194,BT$86:BT$178)</f>
        <v>0</v>
      </c>
      <c r="BT194" s="97"/>
      <c r="BU194" s="97"/>
      <c r="BV194" s="98"/>
      <c r="BY194" s="97"/>
      <c r="BZ194" s="98"/>
      <c r="CA194" s="2734">
        <f>-SUMIF($A$86:$A$178,$A194,CA$86:CA$178)+SUMIF($A$86:$A$178,$A194,CB$86:CB$178)</f>
        <v>0</v>
      </c>
      <c r="CB194" s="97"/>
      <c r="CC194" s="97"/>
      <c r="CD194" s="98"/>
      <c r="CG194" s="97"/>
      <c r="CH194" s="98"/>
      <c r="CI194" s="2734">
        <f>-SUMIF($A$86:$A$178,$A194,CI$86:CI$178)+SUMIF($A$86:$A$178,$A194,CJ$86:CJ$178)</f>
        <v>0</v>
      </c>
      <c r="CJ194" s="97"/>
      <c r="CK194" s="97"/>
      <c r="CL194" s="98"/>
      <c r="CO194" s="97"/>
      <c r="CP194" s="98"/>
      <c r="CQ194" s="2734">
        <f>-SUMIF($A$86:$A$178,$A194,CQ$86:CQ$178)+SUMIF($A$86:$A$178,$A194,CR$86:CR$178)</f>
        <v>0</v>
      </c>
      <c r="CR194" s="97"/>
      <c r="CS194" s="97"/>
      <c r="CT194" s="98"/>
      <c r="CW194" s="97"/>
      <c r="CX194" s="98"/>
    </row>
    <row r="195" spans="1:102">
      <c r="A195" s="4" t="s">
        <v>740</v>
      </c>
      <c r="G195" s="2793">
        <f>-SUMIF($A$86:$A$178,$A195,G$86:G$178)+SUMIF($A$86:$A$178,$A195,H$86:H$178)</f>
        <v>0</v>
      </c>
      <c r="J195" s="289"/>
      <c r="K195" s="289"/>
      <c r="L195" s="289"/>
      <c r="M195" s="289"/>
      <c r="N195" s="298"/>
      <c r="O195" s="2793">
        <f>-SUMIF($A$86:$A$178,$A195,O$86:O$178)+SUMIF($A$86:$A$178,$A195,P$86:P$178)</f>
        <v>0</v>
      </c>
      <c r="P195" s="97"/>
      <c r="Q195" s="97"/>
      <c r="R195" s="98"/>
      <c r="S195" s="2793">
        <f>-SUMIF($A$86:$A$178,$A195,S$86:S$178)+SUMIF($A$86:$A$178,$A195,T$86:T$178)</f>
        <v>0</v>
      </c>
      <c r="T195" s="97"/>
      <c r="U195" s="97"/>
      <c r="V195" s="98"/>
      <c r="W195" s="2793">
        <f>-SUMIF($A$86:$A$178,$A195,W$86:W$178)+SUMIF($A$86:$A$178,$A195,X$86:X$178)</f>
        <v>0</v>
      </c>
      <c r="X195" s="97"/>
      <c r="Y195" s="97"/>
      <c r="Z195" s="98"/>
      <c r="AA195" s="2793">
        <f>-SUMIF($A$86:$A$178,$A195,AA$86:AA$178)+SUMIF($A$86:$A$178,$A195,AB$86:AB$178)</f>
        <v>0</v>
      </c>
      <c r="AB195" s="97"/>
      <c r="AC195" s="97"/>
      <c r="AD195" s="98"/>
      <c r="AE195" s="2793">
        <f>-SUMIF($A$86:$A$178,$A195,AE$86:AE$178)+SUMIF($A$86:$A$178,$A195,AF$86:AF$178)</f>
        <v>0</v>
      </c>
      <c r="AF195" s="97"/>
      <c r="AG195" s="97"/>
      <c r="AH195" s="98"/>
      <c r="AI195" s="2793">
        <f>-SUMIF($A$86:$A$178,$A195,AI$86:AI$178)+SUMIF($A$86:$A$178,$A195,AJ$86:AJ$178)</f>
        <v>0</v>
      </c>
      <c r="AJ195" s="97"/>
      <c r="AK195" s="97"/>
      <c r="AL195" s="98"/>
      <c r="AM195" s="2793">
        <f>-SUMIF($A$86:$A$178,$A195,AM$86:AM$178)+SUMIF($A$86:$A$178,$A195,AN$86:AN$178)</f>
        <v>0</v>
      </c>
      <c r="AN195" s="97"/>
      <c r="AO195" s="97"/>
      <c r="AP195" s="98"/>
      <c r="AQ195" s="2793">
        <f>-SUMIF($A$86:$A$178,$A195,AQ$86:AQ$178)+SUMIF($A$86:$A$178,$A195,AR$86:AR$178)</f>
        <v>0</v>
      </c>
      <c r="AR195" s="97"/>
      <c r="AS195" s="97"/>
      <c r="AT195" s="98"/>
      <c r="AU195" s="2793">
        <f>-SUMIF($A$86:$A$178,$A195,AU$86:AU$178)+SUMIF($A$86:$A$178,$A195,AV$86:AV$178)</f>
        <v>0</v>
      </c>
      <c r="AV195" s="97"/>
      <c r="AW195" s="97"/>
      <c r="AX195" s="98"/>
      <c r="AY195" s="2793">
        <f>-SUMIF($A$86:$A$178,$A195,AY$86:AY$178)+SUMIF($A$86:$A$178,$A195,AZ$86:AZ$178)</f>
        <v>0</v>
      </c>
      <c r="AZ195" s="97"/>
      <c r="BA195" s="97"/>
      <c r="BB195" s="98"/>
      <c r="BC195" s="2793">
        <f>-SUMIF($A$86:$A$178,$A195,BC$86:BC$178)+SUMIF($A$86:$A$178,$A195,BD$86:BD$178)</f>
        <v>0</v>
      </c>
      <c r="BD195" s="97"/>
      <c r="BE195" s="97"/>
      <c r="BF195" s="98"/>
      <c r="BG195" s="2793">
        <f>-SUMIF($A$86:$A$178,$A195,BG$86:BG$178)+SUMIF($A$86:$A$178,$A195,BH$86:BH$178)</f>
        <v>0</v>
      </c>
      <c r="BH195" s="97"/>
      <c r="BI195" s="214"/>
      <c r="BJ195" s="214"/>
      <c r="BK195" s="2793">
        <f>-SUMIF($A$86:$A$178,$A195,BK$86:BK$178)+SUMIF($A$86:$A$178,$A195,BL$86:BL$178)</f>
        <v>0</v>
      </c>
      <c r="BL195" s="97"/>
      <c r="BM195" s="214"/>
      <c r="BN195" s="98"/>
      <c r="BQ195" s="97"/>
      <c r="BR195" s="98"/>
      <c r="BS195" s="2793">
        <f>-SUMIF($A$86:$A$178,$A195,BS$86:BS$178)+SUMIF($A$86:$A$178,$A195,BT$86:BT$178)</f>
        <v>0</v>
      </c>
      <c r="BT195" s="97"/>
      <c r="BU195" s="97"/>
      <c r="BV195" s="98"/>
      <c r="BY195" s="97"/>
      <c r="BZ195" s="98"/>
      <c r="CA195" s="2793">
        <f>-SUMIF($A$86:$A$178,$A195,CA$86:CA$178)+SUMIF($A$86:$A$178,$A195,CB$86:CB$178)</f>
        <v>0</v>
      </c>
      <c r="CB195" s="97"/>
      <c r="CC195" s="97"/>
      <c r="CD195" s="98"/>
      <c r="CG195" s="97"/>
      <c r="CH195" s="98"/>
      <c r="CI195" s="2793">
        <f>-SUMIF($A$86:$A$178,$A195,CI$86:CI$178)+SUMIF($A$86:$A$178,$A195,CJ$86:CJ$178)</f>
        <v>0</v>
      </c>
      <c r="CJ195" s="97"/>
      <c r="CK195" s="97"/>
      <c r="CL195" s="98"/>
      <c r="CO195" s="97"/>
      <c r="CP195" s="98"/>
      <c r="CQ195" s="2793">
        <f>-SUMIF($A$86:$A$178,$A195,CQ$86:CQ$178)+SUMIF($A$86:$A$178,$A195,CR$86:CR$178)</f>
        <v>0</v>
      </c>
      <c r="CR195" s="97"/>
      <c r="CS195" s="97"/>
      <c r="CT195" s="98"/>
      <c r="CW195" s="97"/>
      <c r="CX195" s="98"/>
    </row>
    <row r="196" spans="1:102">
      <c r="A196" s="97" t="s">
        <v>750</v>
      </c>
      <c r="G196" s="2734">
        <f>-SUMIF($A$86:$A$178,$A196,G$86:G$178)+SUMIF($A$86:$A$178,$A196,H$86:H$178)</f>
        <v>0</v>
      </c>
      <c r="J196" s="289"/>
      <c r="K196" s="289"/>
      <c r="L196" s="289"/>
      <c r="M196" s="289"/>
      <c r="N196" s="298"/>
      <c r="O196" s="2734">
        <f>-SUMIF($A$86:$A$178,$A196,O$86:O$178)+SUMIF($A$86:$A$178,$A196,P$86:P$178)</f>
        <v>0</v>
      </c>
      <c r="P196" s="97"/>
      <c r="Q196" s="97"/>
      <c r="R196" s="98"/>
      <c r="S196" s="2734">
        <f>-SUMIF($A$86:$A$178,$A196,S$86:S$178)+SUMIF($A$86:$A$178,$A196,T$86:T$178)</f>
        <v>0</v>
      </c>
      <c r="T196" s="97"/>
      <c r="U196" s="97"/>
      <c r="V196" s="98"/>
      <c r="W196" s="2734">
        <f>-SUMIF($A$86:$A$178,$A196,W$86:W$178)+SUMIF($A$86:$A$178,$A196,X$86:X$178)</f>
        <v>0</v>
      </c>
      <c r="X196" s="97"/>
      <c r="Y196" s="97"/>
      <c r="Z196" s="98"/>
      <c r="AA196" s="2734">
        <f>-SUMIF($A$86:$A$178,$A196,AA$86:AA$178)+SUMIF($A$86:$A$178,$A196,AB$86:AB$178)</f>
        <v>0</v>
      </c>
      <c r="AB196" s="97"/>
      <c r="AC196" s="97"/>
      <c r="AD196" s="98"/>
      <c r="AE196" s="2734">
        <f>-SUMIF($A$86:$A$178,$A196,AE$86:AE$178)+SUMIF($A$86:$A$178,$A196,AF$86:AF$178)</f>
        <v>0</v>
      </c>
      <c r="AF196" s="97"/>
      <c r="AG196" s="97"/>
      <c r="AH196" s="98"/>
      <c r="AI196" s="2734">
        <f>-SUMIF($A$86:$A$178,$A196,AI$86:AI$178)+SUMIF($A$86:$A$178,$A196,AJ$86:AJ$178)</f>
        <v>0</v>
      </c>
      <c r="AJ196" s="97"/>
      <c r="AK196" s="97"/>
      <c r="AL196" s="98"/>
      <c r="AM196" s="2734">
        <f>-SUMIF($A$86:$A$178,$A196,AM$86:AM$178)+SUMIF($A$86:$A$178,$A196,AN$86:AN$178)</f>
        <v>0</v>
      </c>
      <c r="AN196" s="97"/>
      <c r="AO196" s="97"/>
      <c r="AP196" s="98"/>
      <c r="AQ196" s="2734">
        <f>-SUMIF($A$86:$A$178,$A196,AQ$86:AQ$178)+SUMIF($A$86:$A$178,$A196,AR$86:AR$178)</f>
        <v>0</v>
      </c>
      <c r="AR196" s="97"/>
      <c r="AS196" s="97"/>
      <c r="AT196" s="98"/>
      <c r="AU196" s="2734">
        <f>-SUMIF($A$86:$A$178,$A196,AU$86:AU$178)+SUMIF($A$86:$A$178,$A196,AV$86:AV$178)</f>
        <v>0</v>
      </c>
      <c r="AV196" s="97"/>
      <c r="AW196" s="97"/>
      <c r="AX196" s="98"/>
      <c r="AY196" s="2734">
        <f>-SUMIF($A$86:$A$178,$A196,AY$86:AY$178)+SUMIF($A$86:$A$178,$A196,AZ$86:AZ$178)</f>
        <v>0</v>
      </c>
      <c r="AZ196" s="97"/>
      <c r="BA196" s="97"/>
      <c r="BB196" s="98"/>
      <c r="BC196" s="2734">
        <f>-SUMIF($A$86:$A$178,$A196,BC$86:BC$178)+SUMIF($A$86:$A$178,$A196,BD$86:BD$178)</f>
        <v>0</v>
      </c>
      <c r="BD196" s="97"/>
      <c r="BE196" s="97"/>
      <c r="BF196" s="98"/>
      <c r="BG196" s="2734">
        <f>-SUMIF($A$86:$A$178,$A196,BG$86:BG$178)+SUMIF($A$86:$A$178,$A196,BH$86:BH$178)</f>
        <v>0</v>
      </c>
      <c r="BH196" s="97"/>
      <c r="BI196" s="97"/>
      <c r="BJ196" s="98"/>
      <c r="BK196" s="2734">
        <f>-SUMIF($A$86:$A$178,$A196,BK$86:BK$178)+SUMIF($A$86:$A$178,$A196,BL$86:BL$178)</f>
        <v>0</v>
      </c>
      <c r="BL196" s="97"/>
      <c r="BM196" s="214"/>
      <c r="BN196" s="98"/>
      <c r="BQ196" s="97"/>
      <c r="BR196" s="98"/>
      <c r="BS196" s="2734">
        <f>-SUMIF($A$86:$A$178,$A196,BS$86:BS$178)+SUMIF($A$86:$A$178,$A196,BT$86:BT$178)</f>
        <v>0</v>
      </c>
      <c r="BT196" s="97"/>
      <c r="BU196" s="97"/>
      <c r="BV196" s="98"/>
      <c r="BY196" s="97"/>
      <c r="BZ196" s="98"/>
      <c r="CA196" s="2734">
        <f>-SUMIF($A$86:$A$178,$A196,CA$86:CA$178)+SUMIF($A$86:$A$178,$A196,CB$86:CB$178)</f>
        <v>0</v>
      </c>
      <c r="CB196" s="97"/>
      <c r="CC196" s="97"/>
      <c r="CD196" s="98"/>
      <c r="CG196" s="97"/>
      <c r="CH196" s="98"/>
      <c r="CI196" s="2734">
        <f>-SUMIF($A$86:$A$178,$A196,CI$86:CI$178)+SUMIF($A$86:$A$178,$A196,CJ$86:CJ$178)</f>
        <v>0</v>
      </c>
      <c r="CJ196" s="97"/>
      <c r="CK196" s="97"/>
      <c r="CL196" s="98"/>
      <c r="CO196" s="97"/>
      <c r="CP196" s="98"/>
      <c r="CQ196" s="2734">
        <f>-SUMIF($A$86:$A$178,$A196,CQ$86:CQ$178)+SUMIF($A$86:$A$178,$A196,CR$86:CR$178)</f>
        <v>0</v>
      </c>
      <c r="CR196" s="97"/>
      <c r="CS196" s="97"/>
      <c r="CT196" s="98"/>
      <c r="CW196" s="97"/>
      <c r="CX196" s="98"/>
    </row>
    <row r="197" spans="1:102">
      <c r="A197" s="189" t="s">
        <v>751</v>
      </c>
      <c r="G197" s="2734">
        <f>-SUMIF($A$86:$A$178,$A197,G$86:G$178)+SUMIF($A$86:$A$178,$A197,H$86:H$178)</f>
        <v>0</v>
      </c>
      <c r="J197" s="289"/>
      <c r="K197" s="289"/>
      <c r="L197" s="289"/>
      <c r="M197" s="289"/>
      <c r="N197" s="298"/>
      <c r="O197" s="2734">
        <f>-SUMIF($A$86:$A$178,$A197,O$86:O$178)+SUMIF($A$86:$A$178,$A197,P$86:P$178)</f>
        <v>0</v>
      </c>
      <c r="P197" s="97"/>
      <c r="Q197" s="97"/>
      <c r="R197" s="98"/>
      <c r="S197" s="2734">
        <f>-SUMIF($A$86:$A$178,$A197,S$86:S$178)+SUMIF($A$86:$A$178,$A197,T$86:T$178)</f>
        <v>0</v>
      </c>
      <c r="T197" s="97"/>
      <c r="U197" s="97"/>
      <c r="V197" s="98"/>
      <c r="W197" s="2734">
        <f>-SUMIF($A$86:$A$178,$A197,W$86:W$178)+SUMIF($A$86:$A$178,$A197,X$86:X$178)</f>
        <v>0</v>
      </c>
      <c r="X197" s="97"/>
      <c r="Y197" s="97"/>
      <c r="Z197" s="98"/>
      <c r="AA197" s="2734">
        <f>-SUMIF($A$86:$A$178,$A197,AA$86:AA$178)+SUMIF($A$86:$A$178,$A197,AB$86:AB$178)</f>
        <v>0</v>
      </c>
      <c r="AB197" s="97"/>
      <c r="AC197" s="97"/>
      <c r="AD197" s="98"/>
      <c r="AE197" s="2734">
        <f>-SUMIF($A$86:$A$178,$A197,AE$86:AE$178)+SUMIF($A$86:$A$178,$A197,AF$86:AF$178)</f>
        <v>0</v>
      </c>
      <c r="AF197" s="97"/>
      <c r="AG197" s="97"/>
      <c r="AH197" s="98"/>
      <c r="AI197" s="2734">
        <f>-SUMIF($A$86:$A$178,$A197,AI$86:AI$178)+SUMIF($A$86:$A$178,$A197,AJ$86:AJ$178)</f>
        <v>0</v>
      </c>
      <c r="AJ197" s="97"/>
      <c r="AK197" s="97"/>
      <c r="AL197" s="98"/>
      <c r="AM197" s="2734">
        <f>-SUMIF($A$86:$A$178,$A197,AM$86:AM$178)+SUMIF($A$86:$A$178,$A197,AN$86:AN$178)</f>
        <v>0</v>
      </c>
      <c r="AN197" s="97"/>
      <c r="AO197" s="97"/>
      <c r="AP197" s="98"/>
      <c r="AQ197" s="2734">
        <f>-SUMIF($A$86:$A$178,$A197,AQ$86:AQ$178)+SUMIF($A$86:$A$178,$A197,AR$86:AR$178)</f>
        <v>0</v>
      </c>
      <c r="AR197" s="97"/>
      <c r="AS197" s="97"/>
      <c r="AT197" s="98"/>
      <c r="AU197" s="2734">
        <f>-SUMIF($A$86:$A$178,$A197,AU$86:AU$178)+SUMIF($A$86:$A$178,$A197,AV$86:AV$178)</f>
        <v>0</v>
      </c>
      <c r="AV197" s="97"/>
      <c r="AW197" s="97"/>
      <c r="AX197" s="98"/>
      <c r="AY197" s="2734">
        <f>-SUMIF($A$86:$A$178,$A197,AY$86:AY$178)+SUMIF($A$86:$A$178,$A197,AZ$86:AZ$178)</f>
        <v>0</v>
      </c>
      <c r="AZ197" s="97"/>
      <c r="BA197" s="97"/>
      <c r="BB197" s="98"/>
      <c r="BC197" s="2734">
        <f>-SUMIF($A$86:$A$178,$A197,BC$86:BC$178)+SUMIF($A$86:$A$178,$A197,BD$86:BD$178)</f>
        <v>0</v>
      </c>
      <c r="BD197" s="97"/>
      <c r="BE197" s="97"/>
      <c r="BF197" s="98"/>
      <c r="BG197" s="2734">
        <f>-SUMIF($A$86:$A$178,$A197,BG$86:BG$178)+SUMIF($A$86:$A$178,$A197,BH$86:BH$178)</f>
        <v>0</v>
      </c>
      <c r="BH197" s="97"/>
      <c r="BI197" s="97"/>
      <c r="BJ197" s="98"/>
      <c r="BK197" s="2734">
        <f>-SUMIF($A$86:$A$178,$A197,BK$86:BK$178)+SUMIF($A$86:$A$178,$A197,BL$86:BL$178)</f>
        <v>0</v>
      </c>
      <c r="BL197" s="97"/>
      <c r="BM197" s="214"/>
      <c r="BN197" s="98"/>
      <c r="BQ197" s="97"/>
      <c r="BR197" s="98"/>
      <c r="BS197" s="2734">
        <f>-SUMIF($A$86:$A$178,$A197,BS$86:BS$178)+SUMIF($A$86:$A$178,$A197,BT$86:BT$178)</f>
        <v>0</v>
      </c>
      <c r="BT197" s="97"/>
      <c r="BU197" s="97"/>
      <c r="BV197" s="98"/>
      <c r="BY197" s="97"/>
      <c r="BZ197" s="98"/>
      <c r="CA197" s="2734">
        <f>-SUMIF($A$86:$A$178,$A197,CA$86:CA$178)+SUMIF($A$86:$A$178,$A197,CB$86:CB$178)</f>
        <v>0</v>
      </c>
      <c r="CB197" s="97"/>
      <c r="CC197" s="97"/>
      <c r="CD197" s="98"/>
      <c r="CG197" s="97"/>
      <c r="CH197" s="98"/>
      <c r="CI197" s="2734">
        <f>-SUMIF($A$86:$A$178,$A197,CI$86:CI$178)+SUMIF($A$86:$A$178,$A197,CJ$86:CJ$178)</f>
        <v>0</v>
      </c>
      <c r="CJ197" s="97"/>
      <c r="CK197" s="97"/>
      <c r="CL197" s="98"/>
      <c r="CO197" s="97"/>
      <c r="CP197" s="98"/>
      <c r="CQ197" s="2734">
        <f>-SUMIF($A$86:$A$178,$A197,CQ$86:CQ$178)+SUMIF($A$86:$A$178,$A197,CR$86:CR$178)</f>
        <v>0</v>
      </c>
      <c r="CR197" s="97"/>
      <c r="CS197" s="97"/>
      <c r="CT197" s="98"/>
      <c r="CW197" s="97"/>
      <c r="CX197" s="98"/>
    </row>
    <row r="198" spans="1:102">
      <c r="A198" s="2790" t="s">
        <v>2574</v>
      </c>
      <c r="G198" s="2734">
        <f>-SUMIF($A$86:$A$178,$A198,G$86:G$178)+SUMIF($A$86:$A$178,$A198,H$86:H$178)</f>
        <v>278313</v>
      </c>
      <c r="J198" s="289"/>
      <c r="K198" s="302"/>
      <c r="L198" s="302"/>
      <c r="M198" s="302"/>
      <c r="N198" s="303">
        <f>+K198-M198</f>
        <v>0</v>
      </c>
      <c r="O198" s="2734">
        <f>-SUMIF($A$86:$A$178,$A198,O$86:O$178)+SUMIF($A$86:$A$178,$A198,P$86:P$178)</f>
        <v>-20613</v>
      </c>
      <c r="P198" s="97"/>
      <c r="Q198" s="97"/>
      <c r="R198" s="98"/>
      <c r="S198" s="2734">
        <f>-SUMIF($A$86:$A$178,$A198,S$86:S$178)+SUMIF($A$86:$A$178,$A198,T$86:T$178)</f>
        <v>-8132</v>
      </c>
      <c r="T198" s="97"/>
      <c r="U198" s="97"/>
      <c r="V198" s="98"/>
      <c r="W198" s="2734">
        <f>-SUMIF($A$86:$A$178,$A198,W$86:W$178)+SUMIF($A$86:$A$178,$A198,X$86:X$178)</f>
        <v>-9110</v>
      </c>
      <c r="X198" s="97"/>
      <c r="Y198" s="97"/>
      <c r="Z198" s="98"/>
      <c r="AA198" s="2734">
        <f>-SUMIF($A$86:$A$178,$A198,AA$86:AA$178)+SUMIF($A$86:$A$178,$A198,AB$86:AB$178)</f>
        <v>-22493</v>
      </c>
      <c r="AB198" s="97"/>
      <c r="AC198" s="97"/>
      <c r="AD198" s="98"/>
      <c r="AE198" s="2734">
        <f>-SUMIF($A$86:$A$178,$A198,AE$86:AE$178)+SUMIF($A$86:$A$178,$A198,AF$86:AF$178)</f>
        <v>-22492</v>
      </c>
      <c r="AF198" s="97"/>
      <c r="AG198" s="97"/>
      <c r="AH198" s="98"/>
      <c r="AI198" s="2734">
        <f>-SUMIF($A$86:$A$178,$A198,AI$86:AI$178)+SUMIF($A$86:$A$178,$A198,AJ$86:AJ$178)</f>
        <v>-22493</v>
      </c>
      <c r="AJ198" s="97"/>
      <c r="AK198" s="97"/>
      <c r="AL198" s="98"/>
      <c r="AM198" s="2734">
        <f>-SUMIF($A$86:$A$178,$A198,AM$86:AM$178)+SUMIF($A$86:$A$178,$A198,AN$86:AN$178)</f>
        <v>-24118</v>
      </c>
      <c r="AN198" s="97"/>
      <c r="AO198" s="97"/>
      <c r="AP198" s="98"/>
      <c r="AQ198" s="2734">
        <f>-SUMIF($A$86:$A$178,$A198,AQ$86:AQ$178)+SUMIF($A$86:$A$178,$A198,AR$86:AR$178)</f>
        <v>-26937</v>
      </c>
      <c r="AR198" s="97"/>
      <c r="AS198" s="97"/>
      <c r="AT198" s="98"/>
      <c r="AU198" s="2734">
        <f>-SUMIF($A$86:$A$178,$A198,AU$86:AU$178)+SUMIF($A$86:$A$178,$A198,AV$86:AV$178)</f>
        <v>-26936</v>
      </c>
      <c r="AV198" s="97"/>
      <c r="AW198" s="97"/>
      <c r="AX198" s="98"/>
      <c r="AY198" s="2734">
        <f>-SUMIF($A$86:$A$178,$A198,AY$86:AY$178)+SUMIF($A$86:$A$178,$A198,AZ$86:AZ$178)</f>
        <v>-27682</v>
      </c>
      <c r="AZ198" s="97"/>
      <c r="BA198" s="97"/>
      <c r="BB198" s="98"/>
      <c r="BC198" s="2734">
        <f>-SUMIF($A$86:$A$178,$A198,BC$86:BC$178)+SUMIF($A$86:$A$178,$A198,BD$86:BD$178)</f>
        <v>-16810</v>
      </c>
      <c r="BD198" s="97"/>
      <c r="BE198" s="97"/>
      <c r="BF198" s="98"/>
      <c r="BG198" s="2734">
        <f>-SUMIF($A$86:$A$178,$A198,BG$86:BG$178)+SUMIF($A$86:$A$178,$A198,BH$86:BH$178)</f>
        <v>-30218</v>
      </c>
      <c r="BH198" s="97"/>
      <c r="BI198" s="97"/>
      <c r="BJ198" s="98"/>
      <c r="BK198" s="2734">
        <f>-SUMIF($A$86:$A$178,$A198,BK$86:BK$178)+SUMIF($A$86:$A$178,$A198,BL$86:BL$178)</f>
        <v>-258034</v>
      </c>
      <c r="BL198" s="97"/>
      <c r="BM198" s="214"/>
      <c r="BN198" s="98"/>
      <c r="BQ198" s="97"/>
      <c r="BR198" s="98"/>
      <c r="BS198" s="2734">
        <f>-SUMIF($A$86:$A$178,$A198,BS$86:BS$178)+SUMIF($A$86:$A$178,$A198,BT$86:BT$178)</f>
        <v>0</v>
      </c>
      <c r="BT198" s="97"/>
      <c r="BU198" s="97"/>
      <c r="BV198" s="98"/>
      <c r="BY198" s="97"/>
      <c r="BZ198" s="98"/>
      <c r="CA198" s="2734">
        <f>-SUMIF($A$86:$A$178,$A198,CA$86:CA$178)+SUMIF($A$86:$A$178,$A198,CB$86:CB$178)</f>
        <v>0</v>
      </c>
      <c r="CB198" s="97"/>
      <c r="CC198" s="97"/>
      <c r="CD198" s="98"/>
      <c r="CG198" s="97"/>
      <c r="CH198" s="98"/>
      <c r="CI198" s="2734">
        <f>-SUMIF($A$86:$A$178,$A198,CI$86:CI$178)+SUMIF($A$86:$A$178,$A198,CJ$86:CJ$178)</f>
        <v>0</v>
      </c>
      <c r="CJ198" s="97"/>
      <c r="CK198" s="97"/>
      <c r="CL198" s="98"/>
      <c r="CO198" s="97"/>
      <c r="CP198" s="98"/>
      <c r="CQ198" s="2734">
        <f>-SUMIF($A$86:$A$178,$A198,CQ$86:CQ$178)+SUMIF($A$86:$A$178,$A198,CR$86:CR$178)</f>
        <v>0</v>
      </c>
      <c r="CR198" s="97"/>
      <c r="CS198" s="97"/>
      <c r="CT198" s="98"/>
      <c r="CW198" s="97"/>
      <c r="CX198" s="98"/>
    </row>
    <row r="199" spans="1:102" ht="15" customHeight="1">
      <c r="A199" s="4" t="s">
        <v>752</v>
      </c>
      <c r="G199" s="2734">
        <f>-SUMIF($A$86:$A$178,$A199,G$86:G$178)+SUMIF($A$86:$A$178,$A199,H$86:H$178)</f>
        <v>0</v>
      </c>
      <c r="J199" s="289"/>
      <c r="K199" s="302"/>
      <c r="L199" s="302"/>
      <c r="M199" s="302"/>
      <c r="N199" s="303"/>
      <c r="O199" s="2734">
        <f>-SUMIF($A$86:$A$178,$A199,O$86:O$178)+SUMIF($A$86:$A$178,$A199,P$86:P$178)</f>
        <v>0</v>
      </c>
      <c r="P199" s="97"/>
      <c r="Q199" s="97"/>
      <c r="R199" s="98"/>
      <c r="S199" s="2734">
        <f>-SUMIF($A$86:$A$178,$A199,S$86:S$178)+SUMIF($A$86:$A$178,$A199,T$86:T$178)</f>
        <v>0</v>
      </c>
      <c r="T199" s="97"/>
      <c r="U199" s="97"/>
      <c r="V199" s="98"/>
      <c r="W199" s="2734">
        <f>-SUMIF($A$86:$A$178,$A199,W$86:W$178)+SUMIF($A$86:$A$178,$A199,X$86:X$178)</f>
        <v>0</v>
      </c>
      <c r="X199" s="97"/>
      <c r="Y199" s="97"/>
      <c r="Z199" s="98"/>
      <c r="AA199" s="2734">
        <f>-SUMIF($A$86:$A$178,$A199,AA$86:AA$178)+SUMIF($A$86:$A$178,$A199,AB$86:AB$178)</f>
        <v>0</v>
      </c>
      <c r="AB199" s="97"/>
      <c r="AC199" s="97"/>
      <c r="AD199" s="98"/>
      <c r="AE199" s="2734">
        <f>-SUMIF($A$86:$A$178,$A199,AE$86:AE$178)+SUMIF($A$86:$A$178,$A199,AF$86:AF$178)</f>
        <v>0</v>
      </c>
      <c r="AF199" s="97"/>
      <c r="AG199" s="97"/>
      <c r="AH199" s="98"/>
      <c r="AI199" s="2734">
        <f>-SUMIF($A$86:$A$178,$A199,AI$86:AI$178)+SUMIF($A$86:$A$178,$A199,AJ$86:AJ$178)</f>
        <v>0</v>
      </c>
      <c r="AJ199" s="97"/>
      <c r="AK199" s="97"/>
      <c r="AL199" s="98"/>
      <c r="AM199" s="2734">
        <f>-SUMIF($A$86:$A$178,$A199,AM$86:AM$178)+SUMIF($A$86:$A$178,$A199,AN$86:AN$178)</f>
        <v>0</v>
      </c>
      <c r="AN199" s="97"/>
      <c r="AO199" s="97"/>
      <c r="AP199" s="98"/>
      <c r="AQ199" s="2734">
        <f>-SUMIF($A$86:$A$178,$A199,AQ$86:AQ$178)+SUMIF($A$86:$A$178,$A199,AR$86:AR$178)</f>
        <v>0</v>
      </c>
      <c r="AR199" s="97"/>
      <c r="AS199" s="97"/>
      <c r="AT199" s="98"/>
      <c r="AU199" s="2734">
        <f>-SUMIF($A$86:$A$178,$A199,AU$86:AU$178)+SUMIF($A$86:$A$178,$A199,AV$86:AV$178)</f>
        <v>0</v>
      </c>
      <c r="AV199" s="97"/>
      <c r="AW199" s="97"/>
      <c r="AX199" s="98"/>
      <c r="AY199" s="2734">
        <f>-SUMIF($A$86:$A$178,$A199,AY$86:AY$178)+SUMIF($A$86:$A$178,$A199,AZ$86:AZ$178)</f>
        <v>0</v>
      </c>
      <c r="AZ199" s="97"/>
      <c r="BA199" s="97"/>
      <c r="BB199" s="98"/>
      <c r="BC199" s="2734">
        <f>-SUMIF($A$86:$A$178,$A199,BC$86:BC$178)+SUMIF($A$86:$A$178,$A199,BD$86:BD$178)</f>
        <v>0</v>
      </c>
      <c r="BD199" s="97"/>
      <c r="BE199" s="97"/>
      <c r="BF199" s="98"/>
      <c r="BG199" s="2734">
        <f>-SUMIF($A$86:$A$178,$A199,BG$86:BG$178)+SUMIF($A$86:$A$178,$A199,BH$86:BH$178)</f>
        <v>0</v>
      </c>
      <c r="BH199" s="97"/>
      <c r="BI199" s="97"/>
      <c r="BJ199" s="98"/>
      <c r="BK199" s="2734">
        <f>-SUMIF($A$86:$A$178,$A199,BK$86:BK$178)+SUMIF($A$86:$A$178,$A199,BL$86:BL$178)</f>
        <v>0</v>
      </c>
      <c r="BL199" s="97"/>
      <c r="BM199" s="214"/>
      <c r="BN199" s="98"/>
      <c r="BQ199" s="97"/>
      <c r="BR199" s="98"/>
      <c r="BS199" s="2734">
        <f>-SUMIF($A$86:$A$178,$A199,BS$86:BS$178)+SUMIF($A$86:$A$178,$A199,BT$86:BT$178)</f>
        <v>0</v>
      </c>
      <c r="BT199" s="97"/>
      <c r="BU199" s="97"/>
      <c r="BV199" s="98"/>
      <c r="BY199" s="97"/>
      <c r="BZ199" s="98"/>
      <c r="CA199" s="2734">
        <f>-SUMIF($A$86:$A$178,$A199,CA$86:CA$178)+SUMIF($A$86:$A$178,$A199,CB$86:CB$178)</f>
        <v>0</v>
      </c>
      <c r="CB199" s="97"/>
      <c r="CC199" s="97"/>
      <c r="CD199" s="98"/>
      <c r="CG199" s="97"/>
      <c r="CH199" s="98"/>
      <c r="CI199" s="2734">
        <f>-SUMIF($A$86:$A$178,$A199,CI$86:CI$178)+SUMIF($A$86:$A$178,$A199,CJ$86:CJ$178)</f>
        <v>0</v>
      </c>
      <c r="CJ199" s="97"/>
      <c r="CK199" s="97"/>
      <c r="CL199" s="98"/>
      <c r="CO199" s="97"/>
      <c r="CP199" s="98"/>
      <c r="CQ199" s="2734">
        <f>-SUMIF($A$86:$A$178,$A199,CQ$86:CQ$178)+SUMIF($A$86:$A$178,$A199,CR$86:CR$178)</f>
        <v>0</v>
      </c>
      <c r="CR199" s="97"/>
      <c r="CS199" s="97"/>
      <c r="CT199" s="98"/>
      <c r="CW199" s="97"/>
      <c r="CX199" s="98"/>
    </row>
    <row r="200" spans="1:102">
      <c r="A200" s="97" t="s">
        <v>735</v>
      </c>
      <c r="G200" s="2794">
        <f>-SUMIF($A$86:$A$178,$A$200,G$86:G$178)+SUMIF($A$86:$A$178,$A$200,H$86:H$178)</f>
        <v>2582635</v>
      </c>
      <c r="H200" s="275">
        <f>SUM(G193:G203)</f>
        <v>2860948</v>
      </c>
      <c r="J200" s="289"/>
      <c r="K200" s="289"/>
      <c r="L200" s="289"/>
      <c r="M200" s="289"/>
      <c r="N200" s="289"/>
      <c r="O200" s="2794">
        <f>-SUMIF($A$86:$A$178,$A$200,O$86:O$178)+SUMIF($A$86:$A$178,$A$200,P$86:P$178)</f>
        <v>6539734</v>
      </c>
      <c r="P200" s="275">
        <f>SUM(O193:O203)</f>
        <v>6519121</v>
      </c>
      <c r="Q200" s="97"/>
      <c r="R200" s="98"/>
      <c r="S200" s="2794">
        <f>-SUMIF($A$86:$A$178,$A$200,S$86:S$178)+SUMIF($A$86:$A$178,$A$200,T$86:T$178)</f>
        <v>4009609</v>
      </c>
      <c r="T200" s="275">
        <f>SUM(S193:S203)</f>
        <v>4001477</v>
      </c>
      <c r="U200" s="97"/>
      <c r="V200" s="98"/>
      <c r="W200" s="2794">
        <f>-SUMIF($A$86:$A$178,$A$200,W$86:W$178)+SUMIF($A$86:$A$178,$A$200,X$86:X$178)</f>
        <v>7895532</v>
      </c>
      <c r="X200" s="275">
        <f>SUM(W193:W203)</f>
        <v>7886422</v>
      </c>
      <c r="Y200" s="97"/>
      <c r="Z200" s="98"/>
      <c r="AA200" s="2794">
        <f>-SUMIF($A$86:$A$178,$A$200,AA$86:AA$178)+SUMIF($A$86:$A$178,$A$200,AB$86:AB$178)</f>
        <v>5600520</v>
      </c>
      <c r="AB200" s="275">
        <f>SUM(AA193:AA203)</f>
        <v>5578027</v>
      </c>
      <c r="AC200" s="97"/>
      <c r="AD200" s="98"/>
      <c r="AE200" s="2794">
        <f>-SUMIF($A$86:$A$178,$A$200,AE$86:AE$178)+SUMIF($A$86:$A$178,$A$200,AF$86:AF$178)</f>
        <v>5819475</v>
      </c>
      <c r="AF200" s="275">
        <f>SUM(AE193:AE203)</f>
        <v>5796983</v>
      </c>
      <c r="AG200" s="97"/>
      <c r="AH200" s="98"/>
      <c r="AI200" s="2794">
        <f>-SUMIF($A$86:$A$178,$A$200,AI$86:AI$178)+SUMIF($A$86:$A$178,$A$200,AJ$86:AJ$178)</f>
        <v>5933061</v>
      </c>
      <c r="AJ200" s="275">
        <f>SUM(AI193:AI203)</f>
        <v>5910568</v>
      </c>
      <c r="AK200" s="97"/>
      <c r="AL200" s="98"/>
      <c r="AM200" s="2794">
        <f>-SUMIF($A$86:$A$178,$A$200,AM$86:AM$178)+SUMIF($A$86:$A$178,$A$200,AN$86:AN$178)</f>
        <v>5766473</v>
      </c>
      <c r="AN200" s="275">
        <f>SUM(AM193:AM203)</f>
        <v>5742355</v>
      </c>
      <c r="AO200" s="97"/>
      <c r="AP200" s="98"/>
      <c r="AQ200" s="2794">
        <f>-SUMIF($A$86:$A$178,$A$200,AQ$86:AQ$178)+SUMIF($A$86:$A$178,$A$200,AR$86:AR$178)</f>
        <v>4474034</v>
      </c>
      <c r="AR200" s="275">
        <f>SUM(AQ193:AQ203)</f>
        <v>4447097</v>
      </c>
      <c r="AS200" s="97"/>
      <c r="AT200" s="98"/>
      <c r="AU200" s="2794">
        <f>-SUMIF($A$86:$A$178,$A$200,AU$86:AU$178)+SUMIF($A$86:$A$178,$A$200,AV$86:AV$178)</f>
        <v>4209972</v>
      </c>
      <c r="AV200" s="275">
        <f>SUM(AU193:AU203)</f>
        <v>4183036</v>
      </c>
      <c r="AW200" s="97"/>
      <c r="AX200" s="98"/>
      <c r="AY200" s="2794">
        <f>-SUMIF($A$86:$A$178,$A$200,AY$86:AY$178)+SUMIF($A$86:$A$178,$A$200,AZ$86:AZ$178)</f>
        <v>7322885</v>
      </c>
      <c r="AZ200" s="275">
        <f>SUM(AY193:AY203)</f>
        <v>7295203</v>
      </c>
      <c r="BA200" s="97"/>
      <c r="BB200" s="98"/>
      <c r="BC200" s="2794">
        <f>-SUMIF($A$86:$A$178,$A$200,BC$86:BC$178)+SUMIF($A$86:$A$178,$A$200,BD$86:BD$178)</f>
        <v>5464809</v>
      </c>
      <c r="BD200" s="275">
        <f>SUM(BC193:BC203)</f>
        <v>5447999</v>
      </c>
      <c r="BE200" s="97"/>
      <c r="BF200" s="98"/>
      <c r="BG200" s="2794">
        <f>-SUMIF($A$86:$A$178,$A$200,BG$86:BG$178)+SUMIF($A$86:$A$178,$A$200,BH$86:BH$178)</f>
        <v>12351704</v>
      </c>
      <c r="BH200" s="275">
        <f>SUM(BG193:BG203)</f>
        <v>12321486</v>
      </c>
      <c r="BI200" s="97"/>
      <c r="BJ200" s="98"/>
      <c r="BK200" s="2794">
        <f>-SUMIF($A$86:$A$178,$A$200,BK$86:BK$178)+SUMIF($A$86:$A$178,$A$200,BL$86:BL$178)</f>
        <v>75387808</v>
      </c>
      <c r="BL200" s="275">
        <f>SUM(BK193:BK203)</f>
        <v>75129774</v>
      </c>
      <c r="BM200" s="214"/>
      <c r="BN200" s="98"/>
      <c r="BQ200" s="97"/>
      <c r="BR200" s="98"/>
      <c r="BS200" s="2794">
        <f>-SUMIF($A$86:$A$178,$A$200,BS$86:BS$178)+SUMIF($A$86:$A$178,$A$200,BT$86:BT$178)</f>
        <v>72623856</v>
      </c>
      <c r="BT200" s="275">
        <f>SUM(BS193:BS203)</f>
        <v>72623856</v>
      </c>
      <c r="BU200" s="97"/>
      <c r="BV200" s="98"/>
      <c r="BY200" s="97"/>
      <c r="BZ200" s="98"/>
      <c r="CA200" s="2794">
        <f>-SUMIF($A$86:$A$178,$A$200,CA$86:CA$178)+SUMIF($A$86:$A$178,$A$200,CB$86:CB$178)</f>
        <v>79332686</v>
      </c>
      <c r="CB200" s="275">
        <f>SUM(CA193:CA203)</f>
        <v>79332686</v>
      </c>
      <c r="CC200" s="97"/>
      <c r="CD200" s="98"/>
      <c r="CG200" s="97"/>
      <c r="CH200" s="98"/>
      <c r="CI200" s="2794">
        <f>-SUMIF($A$86:$A$178,$A$200,CI$86:CI$178)+SUMIF($A$86:$A$178,$A$200,CJ$86:CJ$178)</f>
        <v>78880960</v>
      </c>
      <c r="CJ200" s="275">
        <f>SUM(CI193:CI203)</f>
        <v>78880960</v>
      </c>
      <c r="CK200" s="97"/>
      <c r="CL200" s="98"/>
      <c r="CO200" s="97"/>
      <c r="CP200" s="98"/>
      <c r="CQ200" s="2794">
        <f>-SUMIF($A$86:$A$178,$A$200,CQ$86:CQ$178)+SUMIF($A$86:$A$178,$A$200,CR$86:CR$178)</f>
        <v>88626486</v>
      </c>
      <c r="CR200" s="275">
        <f>SUM(CQ193:CQ203)</f>
        <v>88626486</v>
      </c>
      <c r="CS200" s="97"/>
      <c r="CT200" s="98"/>
      <c r="CW200" s="97"/>
      <c r="CX200" s="98"/>
    </row>
    <row r="201" spans="1:102">
      <c r="G201" s="2734">
        <f>-SUMIF($A$86:$A$178,$A201,G$86:G$178)+SUMIF($A$86:$A$178,$A201,H$86:H$178)</f>
        <v>0</v>
      </c>
      <c r="H201" s="97">
        <f>+H192-H200</f>
        <v>0</v>
      </c>
      <c r="J201" s="289"/>
      <c r="K201" s="289"/>
      <c r="L201" s="289"/>
      <c r="M201" s="289"/>
      <c r="N201" s="289"/>
      <c r="O201" s="2734">
        <f>-SUMIF($A$86:$A$178,$A201,O$86:O$178)+SUMIF($A$86:$A$178,$A201,P$86:P$178)</f>
        <v>0</v>
      </c>
      <c r="P201" s="97">
        <f>+P192-P200</f>
        <v>0</v>
      </c>
      <c r="Q201" s="97"/>
      <c r="R201" s="98"/>
      <c r="S201" s="2734">
        <f>-SUMIF($A$86:$A$178,$A201,S$86:S$178)+SUMIF($A$86:$A$178,$A201,T$86:T$178)</f>
        <v>0</v>
      </c>
      <c r="T201" s="97">
        <f>+T192-T200</f>
        <v>0</v>
      </c>
      <c r="U201" s="97"/>
      <c r="V201" s="98"/>
      <c r="W201" s="2734">
        <f>-SUMIF($A$86:$A$178,$A201,W$86:W$178)+SUMIF($A$86:$A$178,$A201,X$86:X$178)</f>
        <v>0</v>
      </c>
      <c r="X201" s="97">
        <f>+X192-X200</f>
        <v>0</v>
      </c>
      <c r="Y201" s="97"/>
      <c r="Z201" s="98"/>
      <c r="AA201" s="2734">
        <f>-SUMIF($A$86:$A$178,$A201,AA$86:AA$178)+SUMIF($A$86:$A$178,$A201,AB$86:AB$178)</f>
        <v>0</v>
      </c>
      <c r="AB201" s="97">
        <f>+AB192-AB200</f>
        <v>0</v>
      </c>
      <c r="AC201" s="97"/>
      <c r="AD201" s="98"/>
      <c r="AE201" s="2734">
        <f>-SUMIF($A$86:$A$178,$A201,AE$86:AE$178)+SUMIF($A$86:$A$178,$A201,AF$86:AF$178)</f>
        <v>0</v>
      </c>
      <c r="AF201" s="97">
        <f>+AF192-AF200</f>
        <v>0</v>
      </c>
      <c r="AG201" s="97"/>
      <c r="AH201" s="98"/>
      <c r="AI201" s="2734">
        <f>-SUMIF($A$86:$A$178,$A201,AI$86:AI$178)+SUMIF($A$86:$A$178,$A201,AJ$86:AJ$178)</f>
        <v>0</v>
      </c>
      <c r="AJ201" s="97">
        <f>+AJ192-AJ200</f>
        <v>0</v>
      </c>
      <c r="AK201" s="97"/>
      <c r="AL201" s="98"/>
      <c r="AM201" s="2734">
        <f>-SUMIF($A$86:$A$178,$A201,AM$86:AM$178)+SUMIF($A$86:$A$178,$A201,AN$86:AN$178)</f>
        <v>0</v>
      </c>
      <c r="AN201" s="97">
        <f>+AN192-AN200</f>
        <v>0</v>
      </c>
      <c r="AO201" s="97"/>
      <c r="AP201" s="98"/>
      <c r="AQ201" s="2734">
        <f>-SUMIF($A$86:$A$178,$A201,AQ$86:AQ$178)+SUMIF($A$86:$A$178,$A201,AR$86:AR$178)</f>
        <v>0</v>
      </c>
      <c r="AR201" s="97">
        <f>+AR192-AR200</f>
        <v>0</v>
      </c>
      <c r="AS201" s="97"/>
      <c r="AT201" s="98"/>
      <c r="AU201" s="2734">
        <f>-SUMIF($A$86:$A$178,$A201,AU$86:AU$178)+SUMIF($A$86:$A$178,$A201,AV$86:AV$178)</f>
        <v>0</v>
      </c>
      <c r="AV201" s="97">
        <f>+AV192-AV200</f>
        <v>0</v>
      </c>
      <c r="AW201" s="97"/>
      <c r="AX201" s="98"/>
      <c r="AY201" s="2734">
        <f>-SUMIF($A$86:$A$178,$A201,AY$86:AY$178)+SUMIF($A$86:$A$178,$A201,AZ$86:AZ$178)</f>
        <v>0</v>
      </c>
      <c r="AZ201" s="97">
        <f>+AZ192-AZ200</f>
        <v>0</v>
      </c>
      <c r="BA201" s="97"/>
      <c r="BB201" s="98"/>
      <c r="BC201" s="2734">
        <f>-SUMIF($A$86:$A$178,$A201,BC$86:BC$178)+SUMIF($A$86:$A$178,$A201,BD$86:BD$178)</f>
        <v>0</v>
      </c>
      <c r="BD201" s="97">
        <f>+BD192-BD200</f>
        <v>0</v>
      </c>
      <c r="BE201" s="97"/>
      <c r="BF201" s="98"/>
      <c r="BG201" s="2734">
        <f>-SUMIF($A$86:$A$178,$A201,BG$86:BG$178)+SUMIF($A$86:$A$178,$A201,BH$86:BH$178)</f>
        <v>0</v>
      </c>
      <c r="BH201" s="97">
        <f>+BH192-BH200</f>
        <v>0</v>
      </c>
      <c r="BI201" s="97"/>
      <c r="BJ201" s="98"/>
      <c r="BK201" s="2734">
        <f>-SUMIF($A$86:$A$178,$A201,BK$86:BK$178)+SUMIF($A$86:$A$178,$A201,BL$86:BL$178)</f>
        <v>0</v>
      </c>
      <c r="BL201" s="97">
        <f>+BL192-BL200</f>
        <v>0</v>
      </c>
      <c r="BM201" s="97"/>
      <c r="BN201" s="98"/>
      <c r="BQ201" s="97"/>
      <c r="BR201" s="98"/>
      <c r="BS201" s="2734">
        <f>-SUMIF($A$86:$A$178,$A201,BS$86:BS$178)+SUMIF($A$86:$A$178,$A201,BT$86:BT$178)</f>
        <v>0</v>
      </c>
      <c r="BT201" s="97">
        <f>+BT192-BT200</f>
        <v>0</v>
      </c>
      <c r="BU201" s="97"/>
      <c r="BV201" s="98"/>
      <c r="BY201" s="97"/>
      <c r="BZ201" s="98"/>
      <c r="CA201" s="2734">
        <f>-SUMIF($A$86:$A$178,$A201,CA$86:CA$178)+SUMIF($A$86:$A$178,$A201,CB$86:CB$178)</f>
        <v>0</v>
      </c>
      <c r="CB201" s="97">
        <f>+CB192-CB200</f>
        <v>0</v>
      </c>
      <c r="CC201" s="97"/>
      <c r="CD201" s="98"/>
      <c r="CG201" s="97"/>
      <c r="CH201" s="98"/>
      <c r="CI201" s="2734">
        <f>-SUMIF($A$86:$A$178,$A201,CI$86:CI$178)+SUMIF($A$86:$A$178,$A201,CJ$86:CJ$178)</f>
        <v>0</v>
      </c>
      <c r="CJ201" s="97">
        <f>+CJ192-CJ200</f>
        <v>0</v>
      </c>
      <c r="CK201" s="97"/>
      <c r="CL201" s="98"/>
      <c r="CO201" s="97"/>
      <c r="CP201" s="98"/>
      <c r="CQ201" s="2734">
        <f>-SUMIF($A$86:$A$178,$A201,CQ$86:CQ$178)+SUMIF($A$86:$A$178,$A201,CR$86:CR$178)</f>
        <v>0</v>
      </c>
      <c r="CR201" s="97">
        <f>+CR192-CR200</f>
        <v>0</v>
      </c>
      <c r="CS201" s="97"/>
      <c r="CT201" s="98"/>
      <c r="CW201" s="97"/>
      <c r="CX201" s="98"/>
    </row>
    <row r="202" spans="1:102" ht="15" customHeight="1">
      <c r="A202" s="4"/>
      <c r="G202" s="2734"/>
      <c r="J202" s="289"/>
      <c r="K202" s="289"/>
      <c r="L202" s="289"/>
      <c r="M202" s="289"/>
      <c r="N202" s="289"/>
      <c r="O202" s="98"/>
      <c r="P202" s="97"/>
      <c r="Q202" s="97"/>
      <c r="R202" s="98"/>
      <c r="T202" s="97"/>
      <c r="U202" s="97"/>
      <c r="V202" s="98"/>
      <c r="X202" s="97"/>
      <c r="Y202" s="97"/>
      <c r="Z202" s="98"/>
      <c r="AB202" s="97"/>
      <c r="AC202" s="97"/>
      <c r="AD202" s="98"/>
      <c r="AF202" s="97"/>
      <c r="AG202" s="97"/>
      <c r="AH202" s="98"/>
      <c r="AJ202" s="97"/>
      <c r="AK202" s="97"/>
      <c r="AL202" s="98"/>
      <c r="AN202" s="97"/>
      <c r="AO202" s="97"/>
      <c r="AP202" s="98"/>
      <c r="AR202" s="97"/>
      <c r="AS202" s="97"/>
      <c r="AT202" s="98"/>
      <c r="AV202" s="97"/>
      <c r="AW202" s="97"/>
      <c r="AX202" s="98"/>
      <c r="AZ202" s="97"/>
      <c r="BA202" s="97"/>
      <c r="BB202" s="98"/>
      <c r="BD202" s="97"/>
      <c r="BE202" s="97"/>
      <c r="BF202" s="98"/>
      <c r="BH202" s="97"/>
      <c r="BI202" s="97"/>
      <c r="BJ202" s="98"/>
      <c r="BL202" s="97"/>
      <c r="BM202" s="97"/>
      <c r="BN202" s="98"/>
      <c r="BQ202" s="97"/>
      <c r="BR202" s="98"/>
      <c r="BT202" s="97"/>
      <c r="BU202" s="97"/>
      <c r="BV202" s="98"/>
      <c r="BY202" s="97"/>
      <c r="BZ202" s="98"/>
      <c r="CB202" s="97"/>
      <c r="CC202" s="97"/>
      <c r="CD202" s="98"/>
      <c r="CG202" s="97"/>
      <c r="CH202" s="98"/>
      <c r="CJ202" s="97"/>
      <c r="CK202" s="97"/>
      <c r="CL202" s="98"/>
      <c r="CO202" s="97"/>
      <c r="CP202" s="98"/>
      <c r="CR202" s="97"/>
      <c r="CS202" s="97"/>
      <c r="CT202" s="98"/>
      <c r="CW202" s="97"/>
      <c r="CX202" s="98"/>
    </row>
    <row r="203" spans="1:102">
      <c r="G203" s="98"/>
      <c r="J203" s="289"/>
      <c r="K203" s="289"/>
      <c r="L203" s="289"/>
      <c r="M203" s="289"/>
      <c r="N203" s="289"/>
      <c r="O203" s="98"/>
      <c r="P203" s="97"/>
      <c r="Q203" s="97"/>
      <c r="R203" s="98"/>
      <c r="T203" s="97"/>
      <c r="U203" s="97"/>
      <c r="V203" s="98"/>
      <c r="X203" s="97"/>
      <c r="Y203" s="97"/>
      <c r="Z203" s="98"/>
      <c r="AB203" s="97"/>
      <c r="AC203" s="97"/>
      <c r="AD203" s="98"/>
      <c r="AF203" s="97"/>
      <c r="AG203" s="97"/>
      <c r="AH203" s="98"/>
      <c r="AJ203" s="97"/>
      <c r="AK203" s="97"/>
      <c r="AL203" s="98"/>
      <c r="AN203" s="97"/>
      <c r="AO203" s="97"/>
      <c r="AP203" s="98"/>
      <c r="AR203" s="97"/>
      <c r="AS203" s="97"/>
      <c r="AT203" s="98"/>
      <c r="AV203" s="97"/>
      <c r="AW203" s="97"/>
      <c r="AX203" s="98"/>
      <c r="AZ203" s="97"/>
      <c r="BA203" s="97"/>
      <c r="BB203" s="98"/>
      <c r="BD203" s="97"/>
      <c r="BE203" s="97"/>
      <c r="BF203" s="98"/>
      <c r="BH203" s="97"/>
      <c r="BI203" s="97"/>
      <c r="BJ203" s="98"/>
      <c r="BL203" s="97"/>
      <c r="BM203" s="97"/>
      <c r="BN203" s="98"/>
      <c r="BQ203" s="97"/>
      <c r="BR203" s="98"/>
      <c r="BT203" s="97"/>
      <c r="BU203" s="97"/>
      <c r="BV203" s="98"/>
      <c r="BY203" s="97"/>
      <c r="BZ203" s="98"/>
      <c r="CB203" s="97"/>
      <c r="CC203" s="97"/>
      <c r="CD203" s="98"/>
      <c r="CG203" s="97"/>
      <c r="CH203" s="98"/>
      <c r="CJ203" s="97"/>
      <c r="CK203" s="97"/>
      <c r="CL203" s="98"/>
      <c r="CO203" s="97"/>
      <c r="CP203" s="98"/>
      <c r="CR203" s="97"/>
      <c r="CS203" s="97"/>
      <c r="CT203" s="98"/>
      <c r="CW203" s="97"/>
      <c r="CX203" s="98"/>
    </row>
    <row r="204" spans="1:102">
      <c r="H204" s="98"/>
      <c r="J204" s="289"/>
      <c r="K204" s="289"/>
      <c r="L204" s="289"/>
      <c r="M204" s="289"/>
      <c r="N204" s="289"/>
      <c r="P204" s="97"/>
      <c r="Q204" s="97"/>
      <c r="R204" s="98"/>
      <c r="S204" s="97"/>
      <c r="T204" s="97"/>
      <c r="U204" s="97"/>
      <c r="V204" s="98"/>
      <c r="W204" s="97"/>
      <c r="X204" s="97"/>
      <c r="Y204" s="97"/>
      <c r="Z204" s="98"/>
      <c r="AA204" s="97"/>
      <c r="AB204" s="97"/>
      <c r="AC204" s="97"/>
      <c r="AD204" s="98"/>
      <c r="AE204" s="97"/>
      <c r="AF204" s="97"/>
      <c r="AG204" s="97"/>
      <c r="AH204" s="98"/>
      <c r="AI204" s="97"/>
      <c r="AJ204" s="97"/>
      <c r="AK204" s="97"/>
      <c r="AL204" s="98"/>
      <c r="AM204" s="97"/>
      <c r="AN204" s="97"/>
      <c r="AO204" s="97"/>
      <c r="AP204" s="98"/>
      <c r="AQ204" s="97"/>
      <c r="AR204" s="97"/>
      <c r="AS204" s="97"/>
      <c r="AT204" s="98"/>
      <c r="AU204" s="97"/>
      <c r="AV204" s="97"/>
      <c r="AW204" s="97"/>
      <c r="AX204" s="98"/>
      <c r="AY204" s="97"/>
      <c r="AZ204" s="97"/>
      <c r="BA204" s="97"/>
      <c r="BB204" s="98"/>
      <c r="BC204" s="97"/>
      <c r="BD204" s="97"/>
      <c r="BE204" s="97"/>
      <c r="BF204" s="98"/>
      <c r="BG204" s="97"/>
      <c r="BH204" s="97"/>
      <c r="BI204" s="97"/>
      <c r="BJ204" s="98"/>
      <c r="BK204" s="97"/>
      <c r="BL204" s="97"/>
      <c r="BM204" s="97"/>
      <c r="BN204" s="98"/>
      <c r="BQ204" s="97"/>
      <c r="BR204" s="98"/>
      <c r="BS204" s="97"/>
      <c r="BT204" s="97"/>
      <c r="BU204" s="97"/>
      <c r="BV204" s="98"/>
      <c r="BY204" s="97"/>
      <c r="BZ204" s="98"/>
      <c r="CA204" s="97"/>
      <c r="CB204" s="97"/>
      <c r="CC204" s="97"/>
      <c r="CD204" s="98"/>
      <c r="CG204" s="97"/>
      <c r="CH204" s="98"/>
      <c r="CI204" s="97"/>
      <c r="CJ204" s="97"/>
      <c r="CK204" s="97"/>
      <c r="CL204" s="98"/>
      <c r="CO204" s="97"/>
      <c r="CP204" s="98"/>
      <c r="CQ204" s="97"/>
      <c r="CR204" s="97"/>
      <c r="CS204" s="97"/>
      <c r="CT204" s="98"/>
      <c r="CW204" s="97"/>
      <c r="CX204" s="98"/>
    </row>
    <row r="205" spans="1:102">
      <c r="J205" s="289"/>
      <c r="K205" s="289"/>
      <c r="L205" s="289"/>
      <c r="M205" s="289"/>
      <c r="N205" s="289"/>
      <c r="O205" s="98"/>
      <c r="Q205" s="97"/>
      <c r="R205" s="98"/>
      <c r="U205" s="97"/>
      <c r="V205" s="98"/>
      <c r="Y205" s="97"/>
      <c r="Z205" s="98"/>
      <c r="AC205" s="97"/>
      <c r="AD205" s="98"/>
      <c r="AG205" s="97"/>
      <c r="AH205" s="98"/>
      <c r="AK205" s="97"/>
      <c r="AL205" s="98"/>
      <c r="AO205" s="97"/>
      <c r="AP205" s="98"/>
      <c r="AS205" s="97"/>
      <c r="AT205" s="98"/>
      <c r="AW205" s="97"/>
      <c r="AX205" s="98"/>
      <c r="BA205" s="97"/>
      <c r="BB205" s="98"/>
      <c r="BE205" s="97"/>
      <c r="BF205" s="98"/>
      <c r="BI205" s="97"/>
      <c r="BM205" s="97"/>
      <c r="BN205" s="98"/>
      <c r="BQ205" s="97"/>
      <c r="BR205" s="98"/>
      <c r="BU205" s="97"/>
      <c r="BV205" s="98"/>
      <c r="BY205" s="97"/>
      <c r="BZ205" s="98"/>
      <c r="CC205" s="97"/>
      <c r="CD205" s="98"/>
      <c r="CG205" s="97"/>
      <c r="CH205" s="98"/>
      <c r="CK205" s="97"/>
      <c r="CL205" s="98"/>
      <c r="CO205" s="97"/>
      <c r="CP205" s="98"/>
      <c r="CS205" s="97"/>
      <c r="CT205" s="98"/>
      <c r="CW205" s="97"/>
      <c r="CX205" s="98"/>
    </row>
    <row r="206" spans="1:102">
      <c r="J206" s="289"/>
      <c r="K206" s="289"/>
      <c r="L206" s="289"/>
      <c r="M206" s="289"/>
      <c r="N206" s="289"/>
      <c r="O206" s="98"/>
      <c r="Q206" s="97"/>
      <c r="R206" s="98"/>
      <c r="U206" s="97"/>
      <c r="V206" s="98"/>
      <c r="Y206" s="97"/>
      <c r="Z206" s="98"/>
      <c r="AC206" s="97"/>
      <c r="AD206" s="98"/>
      <c r="AG206" s="97"/>
      <c r="AH206" s="98"/>
      <c r="AK206" s="97"/>
      <c r="AL206" s="98"/>
      <c r="AO206" s="97"/>
      <c r="AP206" s="98"/>
      <c r="AS206" s="97"/>
      <c r="AT206" s="98"/>
      <c r="AW206" s="97"/>
      <c r="AX206" s="98"/>
      <c r="BA206" s="97"/>
      <c r="BB206" s="98"/>
      <c r="BE206" s="97"/>
      <c r="BF206" s="98"/>
      <c r="BI206" s="97"/>
      <c r="BM206" s="97"/>
      <c r="BN206" s="98"/>
      <c r="BQ206" s="97"/>
      <c r="BR206" s="98"/>
      <c r="BU206" s="97"/>
      <c r="BV206" s="98"/>
      <c r="BY206" s="97"/>
      <c r="BZ206" s="98"/>
      <c r="CC206" s="97"/>
      <c r="CD206" s="98"/>
      <c r="CG206" s="97"/>
      <c r="CH206" s="98"/>
      <c r="CK206" s="97"/>
      <c r="CL206" s="98"/>
      <c r="CO206" s="97"/>
      <c r="CP206" s="98"/>
      <c r="CS206" s="97"/>
      <c r="CT206" s="98"/>
      <c r="CW206" s="97"/>
      <c r="CX206" s="98"/>
    </row>
    <row r="207" spans="1:102" ht="16.5" customHeight="1">
      <c r="J207" s="289"/>
      <c r="K207" s="289"/>
      <c r="L207" s="289"/>
      <c r="M207" s="289"/>
      <c r="N207" s="289"/>
      <c r="O207" s="98"/>
      <c r="Q207" s="97"/>
      <c r="R207" s="98"/>
      <c r="U207" s="97"/>
      <c r="V207" s="98"/>
      <c r="Y207" s="97"/>
      <c r="Z207" s="98"/>
      <c r="AC207" s="97"/>
      <c r="AD207" s="98"/>
      <c r="AG207" s="97"/>
      <c r="AH207" s="98"/>
      <c r="AK207" s="97"/>
      <c r="AL207" s="98"/>
      <c r="AO207" s="97"/>
      <c r="AP207" s="98"/>
      <c r="AS207" s="97"/>
      <c r="AT207" s="98"/>
      <c r="AW207" s="97"/>
      <c r="AX207" s="98"/>
      <c r="BA207" s="97"/>
      <c r="BB207" s="98"/>
      <c r="BE207" s="97"/>
      <c r="BF207" s="98"/>
      <c r="BI207" s="97"/>
      <c r="BM207" s="97"/>
      <c r="BN207" s="98"/>
      <c r="BQ207" s="97"/>
      <c r="BR207" s="98"/>
      <c r="BU207" s="97"/>
      <c r="BV207" s="98"/>
      <c r="BY207" s="97"/>
      <c r="BZ207" s="98"/>
      <c r="CC207" s="97"/>
      <c r="CD207" s="98"/>
      <c r="CG207" s="97"/>
      <c r="CH207" s="98"/>
      <c r="CK207" s="97"/>
      <c r="CL207" s="98"/>
      <c r="CO207" s="97"/>
      <c r="CP207" s="98"/>
      <c r="CS207" s="97"/>
      <c r="CT207" s="98"/>
      <c r="CW207" s="97"/>
      <c r="CX207" s="98"/>
    </row>
    <row r="208" spans="1:102">
      <c r="A208" s="208">
        <v>1</v>
      </c>
      <c r="B208" s="1405" t="s">
        <v>1980</v>
      </c>
      <c r="C208" s="1405" t="s">
        <v>1981</v>
      </c>
      <c r="D208" s="1405" t="s">
        <v>1603</v>
      </c>
      <c r="E208" s="1405" t="s">
        <v>1604</v>
      </c>
      <c r="F208" s="1405" t="s">
        <v>1605</v>
      </c>
      <c r="G208" s="1405" t="s">
        <v>1606</v>
      </c>
      <c r="H208" s="1405" t="s">
        <v>1607</v>
      </c>
      <c r="I208" s="1405" t="s">
        <v>1608</v>
      </c>
      <c r="J208" s="1405" t="s">
        <v>1609</v>
      </c>
      <c r="K208" s="1405" t="s">
        <v>1610</v>
      </c>
      <c r="L208" s="1405" t="s">
        <v>1611</v>
      </c>
      <c r="M208" s="1405" t="s">
        <v>1612</v>
      </c>
      <c r="N208" s="1405" t="s">
        <v>1613</v>
      </c>
      <c r="O208" s="1405" t="s">
        <v>1614</v>
      </c>
      <c r="P208" s="1405" t="s">
        <v>1615</v>
      </c>
      <c r="Q208" s="1405" t="s">
        <v>1616</v>
      </c>
      <c r="R208" s="1405" t="s">
        <v>1617</v>
      </c>
      <c r="S208" s="1405" t="s">
        <v>1618</v>
      </c>
      <c r="T208" s="1405" t="s">
        <v>1619</v>
      </c>
      <c r="U208" s="1405" t="s">
        <v>1620</v>
      </c>
      <c r="V208" s="1405" t="s">
        <v>1621</v>
      </c>
      <c r="W208" s="1405" t="s">
        <v>1622</v>
      </c>
      <c r="X208" s="1405" t="s">
        <v>1623</v>
      </c>
      <c r="Y208" s="1405" t="s">
        <v>1624</v>
      </c>
      <c r="Z208" s="1405" t="s">
        <v>1625</v>
      </c>
      <c r="AA208" s="1405" t="s">
        <v>1626</v>
      </c>
      <c r="AB208" s="1405" t="s">
        <v>1627</v>
      </c>
      <c r="AC208" s="1405" t="s">
        <v>1628</v>
      </c>
      <c r="AD208" s="1405" t="s">
        <v>1629</v>
      </c>
      <c r="AE208" s="1405" t="s">
        <v>1630</v>
      </c>
      <c r="AF208" s="1405" t="s">
        <v>1631</v>
      </c>
      <c r="AG208" s="1405" t="s">
        <v>1632</v>
      </c>
      <c r="AH208" s="1405" t="s">
        <v>1633</v>
      </c>
      <c r="AI208" s="1405" t="s">
        <v>1634</v>
      </c>
      <c r="AJ208" s="1405" t="s">
        <v>1635</v>
      </c>
      <c r="AK208" s="1405" t="s">
        <v>1636</v>
      </c>
      <c r="AL208" s="1405" t="s">
        <v>1637</v>
      </c>
      <c r="AM208" s="1405" t="s">
        <v>1638</v>
      </c>
      <c r="AN208" s="1405" t="s">
        <v>1639</v>
      </c>
      <c r="AO208" s="1405" t="s">
        <v>1640</v>
      </c>
      <c r="AP208" s="1405" t="s">
        <v>1641</v>
      </c>
      <c r="AQ208" s="1405" t="s">
        <v>1642</v>
      </c>
      <c r="AR208" s="1405" t="s">
        <v>1643</v>
      </c>
      <c r="AS208" s="1405" t="s">
        <v>1644</v>
      </c>
      <c r="AT208" s="1405" t="s">
        <v>1237</v>
      </c>
      <c r="AU208" s="1405" t="s">
        <v>1645</v>
      </c>
      <c r="AV208" s="1405" t="s">
        <v>1646</v>
      </c>
      <c r="AW208" s="1405" t="s">
        <v>1647</v>
      </c>
      <c r="AX208" s="1405" t="s">
        <v>1648</v>
      </c>
      <c r="AY208" s="1405" t="s">
        <v>1649</v>
      </c>
      <c r="AZ208" s="1405" t="s">
        <v>1650</v>
      </c>
      <c r="BA208" s="1405" t="s">
        <v>1651</v>
      </c>
      <c r="BB208" s="1405" t="s">
        <v>1652</v>
      </c>
      <c r="BC208" s="1405" t="s">
        <v>1653</v>
      </c>
      <c r="BD208" s="1405" t="s">
        <v>1654</v>
      </c>
      <c r="BE208" s="1405" t="s">
        <v>1655</v>
      </c>
      <c r="BF208" s="1405" t="s">
        <v>1982</v>
      </c>
      <c r="BG208" s="1405" t="s">
        <v>1983</v>
      </c>
      <c r="BH208" s="1405" t="s">
        <v>1984</v>
      </c>
      <c r="BI208" s="1405" t="s">
        <v>1985</v>
      </c>
      <c r="BJ208" s="1405" t="s">
        <v>1986</v>
      </c>
      <c r="BK208" s="1405" t="s">
        <v>1987</v>
      </c>
      <c r="BL208" s="1405" t="s">
        <v>1988</v>
      </c>
      <c r="BM208" s="1405" t="s">
        <v>1989</v>
      </c>
      <c r="BN208" s="1405" t="s">
        <v>1990</v>
      </c>
      <c r="BO208" s="1405" t="s">
        <v>1991</v>
      </c>
      <c r="BP208" s="1405" t="s">
        <v>1992</v>
      </c>
      <c r="BQ208" s="1405" t="s">
        <v>1993</v>
      </c>
      <c r="BR208" s="1405" t="s">
        <v>1994</v>
      </c>
      <c r="BS208" s="1405" t="s">
        <v>1995</v>
      </c>
      <c r="BT208" s="1405" t="s">
        <v>1996</v>
      </c>
      <c r="BU208" s="1405" t="s">
        <v>1997</v>
      </c>
      <c r="BV208" s="1405" t="s">
        <v>1998</v>
      </c>
      <c r="BW208" s="1405" t="s">
        <v>1999</v>
      </c>
      <c r="BX208" s="1405" t="s">
        <v>2000</v>
      </c>
      <c r="BY208" s="1405" t="s">
        <v>2001</v>
      </c>
      <c r="BZ208" s="1405" t="s">
        <v>2002</v>
      </c>
      <c r="CA208" s="1405" t="s">
        <v>2003</v>
      </c>
      <c r="CB208" s="1405" t="s">
        <v>2004</v>
      </c>
      <c r="CC208" s="1405" t="s">
        <v>2005</v>
      </c>
      <c r="CD208" s="1405" t="s">
        <v>2006</v>
      </c>
      <c r="CE208" s="1405" t="s">
        <v>2007</v>
      </c>
      <c r="CF208" s="1405" t="s">
        <v>2008</v>
      </c>
      <c r="CG208" s="1405" t="s">
        <v>2009</v>
      </c>
      <c r="CH208" s="1405" t="s">
        <v>2010</v>
      </c>
      <c r="CI208" s="1405" t="s">
        <v>2011</v>
      </c>
      <c r="CJ208" s="1405" t="s">
        <v>2012</v>
      </c>
      <c r="CK208" s="1405" t="s">
        <v>2013</v>
      </c>
      <c r="CL208" s="1405" t="s">
        <v>2014</v>
      </c>
      <c r="CM208" s="1405" t="s">
        <v>2015</v>
      </c>
      <c r="CN208" s="1405" t="s">
        <v>2016</v>
      </c>
      <c r="CO208" s="1405" t="s">
        <v>2017</v>
      </c>
      <c r="CP208" s="1405" t="s">
        <v>2018</v>
      </c>
      <c r="CQ208" s="1405" t="s">
        <v>2019</v>
      </c>
      <c r="CR208" s="1405" t="s">
        <v>2020</v>
      </c>
      <c r="CS208" s="1405" t="s">
        <v>2021</v>
      </c>
      <c r="CT208" s="1405" t="s">
        <v>2022</v>
      </c>
      <c r="CU208" s="1405" t="s">
        <v>2023</v>
      </c>
      <c r="CV208" s="1405" t="s">
        <v>2024</v>
      </c>
      <c r="CW208" s="1405" t="s">
        <v>2025</v>
      </c>
      <c r="CX208" s="1405" t="s">
        <v>2026</v>
      </c>
    </row>
    <row r="209" spans="1:102" ht="16.2">
      <c r="A209" s="291" t="s">
        <v>753</v>
      </c>
      <c r="B209" s="292"/>
      <c r="C209" s="292"/>
      <c r="D209" s="292"/>
      <c r="E209" s="292"/>
      <c r="F209" s="292"/>
      <c r="G209" s="304" t="str">
        <f>+G185</f>
        <v>2026/09 ~ 2026/12</v>
      </c>
      <c r="H209" s="305"/>
      <c r="I209" s="295"/>
      <c r="J209" s="296"/>
      <c r="K209" s="296"/>
      <c r="L209" s="296"/>
      <c r="M209" s="296"/>
      <c r="N209" s="296"/>
      <c r="O209" s="304" t="str">
        <f>+O185</f>
        <v>2027/1</v>
      </c>
      <c r="P209" s="305"/>
      <c r="Q209" s="295"/>
      <c r="R209" s="297"/>
      <c r="S209" s="304" t="str">
        <f>+S185</f>
        <v>2027/2</v>
      </c>
      <c r="T209" s="305"/>
      <c r="U209" s="295"/>
      <c r="V209" s="297"/>
      <c r="W209" s="304" t="str">
        <f>+W185</f>
        <v>2027/3</v>
      </c>
      <c r="X209" s="305"/>
      <c r="Y209" s="295"/>
      <c r="Z209" s="297"/>
      <c r="AA209" s="304" t="str">
        <f>+AA185</f>
        <v>2027/4</v>
      </c>
      <c r="AB209" s="305"/>
      <c r="AC209" s="295"/>
      <c r="AD209" s="297"/>
      <c r="AE209" s="304" t="str">
        <f>+AE185</f>
        <v>2027/5</v>
      </c>
      <c r="AF209" s="305"/>
      <c r="AG209" s="295"/>
      <c r="AH209" s="297"/>
      <c r="AI209" s="304" t="str">
        <f>+AI185</f>
        <v>2027/6</v>
      </c>
      <c r="AJ209" s="305"/>
      <c r="AK209" s="295"/>
      <c r="AL209" s="297"/>
      <c r="AM209" s="304" t="str">
        <f>+AM185</f>
        <v>2027/7</v>
      </c>
      <c r="AN209" s="305"/>
      <c r="AO209" s="295"/>
      <c r="AP209" s="297"/>
      <c r="AQ209" s="304" t="str">
        <f>+AQ185</f>
        <v>2027/8</v>
      </c>
      <c r="AR209" s="305"/>
      <c r="AS209" s="295"/>
      <c r="AT209" s="297"/>
      <c r="AU209" s="304" t="str">
        <f>+AU185</f>
        <v>2027/9</v>
      </c>
      <c r="AV209" s="305"/>
      <c r="AW209" s="295"/>
      <c r="AX209" s="297"/>
      <c r="AY209" s="304" t="str">
        <f>+AY185</f>
        <v>2027/10</v>
      </c>
      <c r="AZ209" s="305"/>
      <c r="BA209" s="295"/>
      <c r="BB209" s="297"/>
      <c r="BC209" s="304" t="str">
        <f>+BC185</f>
        <v>2027/11</v>
      </c>
      <c r="BD209" s="305"/>
      <c r="BE209" s="295"/>
      <c r="BF209" s="297"/>
      <c r="BG209" s="304" t="str">
        <f>+BG185</f>
        <v>2027/12</v>
      </c>
      <c r="BH209" s="305"/>
      <c r="BI209" s="305"/>
      <c r="BJ209" s="305"/>
      <c r="BK209" s="304" t="str">
        <f>+BK185</f>
        <v>Year 2027</v>
      </c>
      <c r="BL209" s="305"/>
      <c r="BM209" s="295"/>
      <c r="BN209" s="297"/>
      <c r="BQ209" s="97"/>
      <c r="BR209" s="98"/>
      <c r="BS209" s="304" t="str">
        <f>+BS185</f>
        <v>Year 2028</v>
      </c>
      <c r="BT209" s="305"/>
      <c r="BU209" s="295"/>
      <c r="BV209" s="297"/>
      <c r="BW209" s="297"/>
      <c r="BX209" s="297"/>
      <c r="BY209" s="292"/>
      <c r="BZ209" s="297"/>
      <c r="CA209" s="304" t="str">
        <f>+CA185</f>
        <v>Year 2029</v>
      </c>
      <c r="CB209" s="305"/>
      <c r="CC209" s="295"/>
      <c r="CD209" s="297"/>
      <c r="CG209" s="97"/>
      <c r="CH209" s="98"/>
      <c r="CI209" s="304" t="str">
        <f>+CI185</f>
        <v>Year 2030</v>
      </c>
      <c r="CJ209" s="305"/>
      <c r="CK209" s="295"/>
      <c r="CL209" s="297"/>
      <c r="CO209" s="97"/>
      <c r="CP209" s="98"/>
      <c r="CQ209" s="304" t="str">
        <f>+CQ185</f>
        <v>Year 2031</v>
      </c>
      <c r="CR209" s="305"/>
      <c r="CS209" s="295"/>
      <c r="CT209" s="297"/>
      <c r="CW209" s="97"/>
      <c r="CX209" s="98"/>
    </row>
    <row r="210" spans="1:102">
      <c r="A210" s="2789" t="s">
        <v>583</v>
      </c>
      <c r="B210" s="2764"/>
      <c r="G210" s="2768">
        <f>+'B0 2264預收'!F226</f>
        <v>0</v>
      </c>
      <c r="J210" s="289"/>
      <c r="K210" s="289"/>
      <c r="L210" s="289"/>
      <c r="M210" s="289"/>
      <c r="N210" s="289"/>
      <c r="O210" s="2768">
        <f>+'B0 2264預收'!J226</f>
        <v>0</v>
      </c>
      <c r="P210" s="97"/>
      <c r="Q210" s="97"/>
      <c r="R210" s="98"/>
      <c r="S210" s="2768">
        <f>+'B0 2264預收'!L226</f>
        <v>0</v>
      </c>
      <c r="T210" s="97"/>
      <c r="U210" s="97"/>
      <c r="V210" s="98"/>
      <c r="W210" s="2768">
        <f>+'B0 2264預收'!N226</f>
        <v>0</v>
      </c>
      <c r="X210" s="97"/>
      <c r="Y210" s="97"/>
      <c r="Z210" s="98"/>
      <c r="AA210" s="2768">
        <f>+'B0 2264預收'!P226</f>
        <v>0</v>
      </c>
      <c r="AB210" s="97"/>
      <c r="AC210" s="97"/>
      <c r="AD210" s="98"/>
      <c r="AE210" s="2768">
        <f>+'B0 2264預收'!R226</f>
        <v>0</v>
      </c>
      <c r="AF210" s="97"/>
      <c r="AG210" s="97"/>
      <c r="AH210" s="98"/>
      <c r="AI210" s="2768">
        <f>+'B0 2264預收'!T226</f>
        <v>0</v>
      </c>
      <c r="AJ210" s="97"/>
      <c r="AK210" s="97"/>
      <c r="AL210" s="98"/>
      <c r="AM210" s="2768">
        <f>+'B0 2264預收'!V226</f>
        <v>0</v>
      </c>
      <c r="AN210" s="97"/>
      <c r="AO210" s="97"/>
      <c r="AP210" s="98"/>
      <c r="AQ210" s="2768">
        <f>+'B0 2264預收'!X226</f>
        <v>0</v>
      </c>
      <c r="AR210" s="97"/>
      <c r="AS210" s="97"/>
      <c r="AT210" s="98"/>
      <c r="AU210" s="2768">
        <f>+'B0 2264預收'!Z226</f>
        <v>0</v>
      </c>
      <c r="AV210" s="97"/>
      <c r="AW210" s="97"/>
      <c r="AX210" s="98"/>
      <c r="AY210" s="2768">
        <f>+'B0 2264預收'!AB226</f>
        <v>0</v>
      </c>
      <c r="AZ210" s="97"/>
      <c r="BA210" s="97"/>
      <c r="BB210" s="98"/>
      <c r="BC210" s="2768">
        <f>+'B0 2264預收'!AD226</f>
        <v>0</v>
      </c>
      <c r="BD210" s="97"/>
      <c r="BE210" s="97"/>
      <c r="BF210" s="98"/>
      <c r="BG210" s="2768">
        <f>+'B0 2264預收'!AF226</f>
        <v>0</v>
      </c>
      <c r="BH210" s="97"/>
      <c r="BI210" s="97"/>
      <c r="BK210" s="2768">
        <f>+'B0 2264預收'!AH226</f>
        <v>0</v>
      </c>
      <c r="BL210" s="97"/>
      <c r="BM210" s="97"/>
      <c r="BN210" s="98"/>
      <c r="BQ210" s="97"/>
      <c r="BR210" s="98"/>
      <c r="BS210" s="2768">
        <f>+'B0 2264預收'!AL226</f>
        <v>0</v>
      </c>
      <c r="BT210" s="97"/>
      <c r="BU210" s="97"/>
      <c r="BV210" s="98"/>
      <c r="BY210" s="97"/>
      <c r="BZ210" s="98"/>
      <c r="CA210" s="2768">
        <f>+'B0 2264預收'!AP226</f>
        <v>0</v>
      </c>
      <c r="CB210" s="97"/>
      <c r="CC210" s="97"/>
      <c r="CD210" s="98"/>
      <c r="CG210" s="97"/>
      <c r="CH210" s="98"/>
      <c r="CI210" s="2768">
        <f>+'B0 2264預收'!AT226</f>
        <v>0</v>
      </c>
      <c r="CJ210" s="97"/>
      <c r="CK210" s="97"/>
      <c r="CL210" s="98"/>
      <c r="CO210" s="97"/>
      <c r="CP210" s="98"/>
      <c r="CQ210" s="2768">
        <f>+'B0 2264預收'!AX226</f>
        <v>0</v>
      </c>
      <c r="CR210" s="97"/>
      <c r="CS210" s="97"/>
      <c r="CT210" s="98"/>
      <c r="CW210" s="97"/>
      <c r="CX210" s="98"/>
    </row>
    <row r="211" spans="1:102">
      <c r="A211" s="2789" t="s">
        <v>584</v>
      </c>
      <c r="B211" s="2764"/>
      <c r="G211" s="2768">
        <f>+'B0 2264預收'!F227</f>
        <v>0</v>
      </c>
      <c r="J211" s="289"/>
      <c r="K211" s="289"/>
      <c r="L211" s="289"/>
      <c r="M211" s="289"/>
      <c r="N211" s="289"/>
      <c r="O211" s="2768">
        <f>+'B0 2264預收'!J227</f>
        <v>0</v>
      </c>
      <c r="P211" s="97"/>
      <c r="Q211" s="97"/>
      <c r="R211" s="98"/>
      <c r="S211" s="2768">
        <f>+'B0 2264預收'!L227</f>
        <v>0</v>
      </c>
      <c r="T211" s="97"/>
      <c r="U211" s="97"/>
      <c r="V211" s="98"/>
      <c r="W211" s="2768">
        <f>+'B0 2264預收'!N227</f>
        <v>0</v>
      </c>
      <c r="X211" s="97"/>
      <c r="Y211" s="97"/>
      <c r="Z211" s="98"/>
      <c r="AA211" s="2768">
        <f>+'B0 2264預收'!P227</f>
        <v>0</v>
      </c>
      <c r="AB211" s="97"/>
      <c r="AC211" s="97"/>
      <c r="AD211" s="98"/>
      <c r="AE211" s="2768">
        <f>+'B0 2264預收'!R227</f>
        <v>0</v>
      </c>
      <c r="AF211" s="97"/>
      <c r="AG211" s="97"/>
      <c r="AH211" s="98"/>
      <c r="AI211" s="2768">
        <f>+'B0 2264預收'!T227</f>
        <v>0</v>
      </c>
      <c r="AJ211" s="97"/>
      <c r="AK211" s="97"/>
      <c r="AL211" s="98"/>
      <c r="AM211" s="2768">
        <f>+'B0 2264預收'!V227</f>
        <v>0</v>
      </c>
      <c r="AN211" s="97"/>
      <c r="AO211" s="97"/>
      <c r="AP211" s="98"/>
      <c r="AQ211" s="2768">
        <f>+'B0 2264預收'!X227</f>
        <v>0</v>
      </c>
      <c r="AR211" s="97"/>
      <c r="AS211" s="97"/>
      <c r="AT211" s="98"/>
      <c r="AU211" s="2768">
        <f>+'B0 2264預收'!Z227</f>
        <v>0</v>
      </c>
      <c r="AV211" s="97"/>
      <c r="AW211" s="97"/>
      <c r="AX211" s="98"/>
      <c r="AY211" s="2768">
        <f>+'B0 2264預收'!AB227</f>
        <v>0</v>
      </c>
      <c r="AZ211" s="97"/>
      <c r="BA211" s="97"/>
      <c r="BB211" s="98"/>
      <c r="BC211" s="2768">
        <f>+'B0 2264預收'!AD227</f>
        <v>0</v>
      </c>
      <c r="BD211" s="97"/>
      <c r="BE211" s="97"/>
      <c r="BF211" s="98"/>
      <c r="BG211" s="2768">
        <f>+'B0 2264預收'!AF227</f>
        <v>0</v>
      </c>
      <c r="BH211" s="97"/>
      <c r="BI211" s="97"/>
      <c r="BK211" s="2768">
        <f>+'B0 2264預收'!AH227</f>
        <v>0</v>
      </c>
      <c r="BL211" s="97"/>
      <c r="BM211" s="97"/>
      <c r="BN211" s="98"/>
      <c r="BQ211" s="97"/>
      <c r="BR211" s="98"/>
      <c r="BS211" s="2768">
        <f>+'B0 2264預收'!AL227</f>
        <v>0</v>
      </c>
      <c r="BT211" s="97"/>
      <c r="BU211" s="97"/>
      <c r="BV211" s="98"/>
      <c r="BY211" s="97"/>
      <c r="BZ211" s="98"/>
      <c r="CA211" s="2768">
        <f>+'B0 2264預收'!AP227</f>
        <v>0</v>
      </c>
      <c r="CB211" s="97"/>
      <c r="CC211" s="97"/>
      <c r="CD211" s="98"/>
      <c r="CG211" s="97"/>
      <c r="CH211" s="98"/>
      <c r="CI211" s="2768">
        <f>+'B0 2264預收'!AT227</f>
        <v>0</v>
      </c>
      <c r="CJ211" s="97"/>
      <c r="CK211" s="97"/>
      <c r="CL211" s="98"/>
      <c r="CO211" s="97"/>
      <c r="CP211" s="98"/>
      <c r="CQ211" s="2768">
        <f>+'B0 2264預收'!AX227</f>
        <v>0</v>
      </c>
      <c r="CR211" s="97"/>
      <c r="CS211" s="97"/>
      <c r="CT211" s="98"/>
      <c r="CW211" s="97"/>
      <c r="CX211" s="98"/>
    </row>
    <row r="212" spans="1:102">
      <c r="A212" s="2743" t="s">
        <v>2533</v>
      </c>
      <c r="B212" s="2764"/>
      <c r="G212" s="2768">
        <f>+'B0 2264預收'!F228</f>
        <v>7286475</v>
      </c>
      <c r="J212" s="289"/>
      <c r="K212" s="289"/>
      <c r="L212" s="289"/>
      <c r="M212" s="289"/>
      <c r="N212" s="289"/>
      <c r="O212" s="2768">
        <f>+'B0 2264預收'!J228</f>
        <v>1815975</v>
      </c>
      <c r="P212" s="97"/>
      <c r="Q212" s="97"/>
      <c r="R212" s="98"/>
      <c r="S212" s="2768">
        <f>+'B0 2264預收'!L228</f>
        <v>0</v>
      </c>
      <c r="T212" s="97"/>
      <c r="U212" s="97"/>
      <c r="V212" s="98"/>
      <c r="W212" s="2768">
        <f>+'B0 2264預收'!N228</f>
        <v>1746150</v>
      </c>
      <c r="X212" s="97"/>
      <c r="Y212" s="97"/>
      <c r="Z212" s="98"/>
      <c r="AA212" s="2768">
        <f>+'B0 2264預收'!P228</f>
        <v>332325</v>
      </c>
      <c r="AB212" s="97"/>
      <c r="AC212" s="97"/>
      <c r="AD212" s="98"/>
      <c r="AE212" s="2768">
        <f>+'B0 2264預收'!R228</f>
        <v>1381800</v>
      </c>
      <c r="AF212" s="97"/>
      <c r="AG212" s="97"/>
      <c r="AH212" s="98"/>
      <c r="AI212" s="2768">
        <f>+'B0 2264預收'!T228</f>
        <v>0</v>
      </c>
      <c r="AJ212" s="97"/>
      <c r="AK212" s="97"/>
      <c r="AL212" s="98"/>
      <c r="AM212" s="2768">
        <f>+'B0 2264預收'!V228</f>
        <v>2455320</v>
      </c>
      <c r="AN212" s="97"/>
      <c r="AO212" s="97"/>
      <c r="AP212" s="98"/>
      <c r="AQ212" s="2768">
        <f>+'B0 2264預收'!X228</f>
        <v>0</v>
      </c>
      <c r="AR212" s="97"/>
      <c r="AS212" s="97"/>
      <c r="AT212" s="98"/>
      <c r="AU212" s="2768">
        <f>+'B0 2264預收'!Z228</f>
        <v>0</v>
      </c>
      <c r="AV212" s="97"/>
      <c r="AW212" s="97"/>
      <c r="AX212" s="98"/>
      <c r="AY212" s="2768">
        <f>+'B0 2264預收'!AB228</f>
        <v>0</v>
      </c>
      <c r="AZ212" s="97"/>
      <c r="BA212" s="97"/>
      <c r="BB212" s="98"/>
      <c r="BC212" s="2768">
        <f>+'B0 2264預收'!AD228</f>
        <v>0</v>
      </c>
      <c r="BD212" s="97"/>
      <c r="BE212" s="97"/>
      <c r="BF212" s="98"/>
      <c r="BG212" s="2768">
        <f>+'B0 2264預收'!AF228</f>
        <v>5798205</v>
      </c>
      <c r="BH212" s="97"/>
      <c r="BI212" s="97"/>
      <c r="BJ212" s="98"/>
      <c r="BK212" s="2768">
        <f>+'B0 2264預收'!AH228</f>
        <v>13529775</v>
      </c>
      <c r="BL212" s="97"/>
      <c r="BM212" s="97"/>
      <c r="BN212" s="98"/>
      <c r="BQ212" s="97"/>
      <c r="BR212" s="98"/>
      <c r="BS212" s="2768">
        <f>+'B0 2264預收'!AL228</f>
        <v>3904005</v>
      </c>
      <c r="BT212" s="97"/>
      <c r="BU212" s="97"/>
      <c r="BV212" s="98"/>
      <c r="BY212" s="97"/>
      <c r="BZ212" s="98"/>
      <c r="CA212" s="2768">
        <f>+'B0 2264預收'!AP228</f>
        <v>4296705</v>
      </c>
      <c r="CB212" s="97"/>
      <c r="CC212" s="97"/>
      <c r="CD212" s="98"/>
      <c r="CG212" s="97"/>
      <c r="CH212" s="98"/>
      <c r="CI212" s="2768">
        <f>+'B0 2264預收'!AT228</f>
        <v>3877230</v>
      </c>
      <c r="CJ212" s="97"/>
      <c r="CK212" s="97"/>
      <c r="CL212" s="98"/>
      <c r="CO212" s="97"/>
      <c r="CP212" s="98"/>
      <c r="CQ212" s="2768">
        <f>+'B0 2264預收'!AX228</f>
        <v>2900205</v>
      </c>
      <c r="CR212" s="97"/>
      <c r="CS212" s="97"/>
      <c r="CT212" s="98"/>
      <c r="CW212" s="97"/>
      <c r="CX212" s="98"/>
    </row>
    <row r="213" spans="1:102" s="214" customFormat="1">
      <c r="A213" s="2740" t="s">
        <v>1585</v>
      </c>
      <c r="B213" s="2760"/>
      <c r="C213" s="233"/>
      <c r="D213" s="233"/>
      <c r="G213" s="2768">
        <f>+'B0 2264預收'!F229</f>
        <v>0</v>
      </c>
      <c r="J213" s="289"/>
      <c r="K213" s="289"/>
      <c r="L213" s="289"/>
      <c r="M213" s="289"/>
      <c r="N213" s="289"/>
      <c r="O213" s="2768">
        <f>+'B0 2264預收'!J229</f>
        <v>0</v>
      </c>
      <c r="S213" s="2768">
        <f>+'B0 2264預收'!L229</f>
        <v>0</v>
      </c>
      <c r="W213" s="2768">
        <f>+'B0 2264預收'!N229</f>
        <v>0</v>
      </c>
      <c r="AA213" s="2768">
        <f>+'B0 2264預收'!P229</f>
        <v>0</v>
      </c>
      <c r="AE213" s="2768">
        <f>+'B0 2264預收'!R229</f>
        <v>0</v>
      </c>
      <c r="AI213" s="2768">
        <f>+'B0 2264預收'!T229</f>
        <v>0</v>
      </c>
      <c r="AM213" s="2768">
        <f>+'B0 2264預收'!V229</f>
        <v>0</v>
      </c>
      <c r="AQ213" s="2768">
        <f>+'B0 2264預收'!X229</f>
        <v>0</v>
      </c>
      <c r="AU213" s="2768">
        <f>+'B0 2264預收'!Z229</f>
        <v>0</v>
      </c>
      <c r="AY213" s="2768">
        <f>+'B0 2264預收'!AB229</f>
        <v>0</v>
      </c>
      <c r="BC213" s="2768">
        <f>+'B0 2264預收'!AD229</f>
        <v>0</v>
      </c>
      <c r="BG213" s="2768">
        <f>+'B0 2264預收'!AF229</f>
        <v>0</v>
      </c>
      <c r="BK213" s="2768">
        <f>+'B0 2264預收'!AH229</f>
        <v>0</v>
      </c>
      <c r="BL213" s="214"/>
      <c r="BM213" s="97"/>
      <c r="BS213" s="2768">
        <f>+'B0 2264預收'!AL229</f>
        <v>0</v>
      </c>
      <c r="CA213" s="2768">
        <f>+'B0 2264預收'!AP229</f>
        <v>0</v>
      </c>
      <c r="CI213" s="2768">
        <f>+'B0 2264預收'!AT229</f>
        <v>0</v>
      </c>
      <c r="CQ213" s="2768">
        <f>+'B0 2264預收'!AX229</f>
        <v>0</v>
      </c>
    </row>
    <row r="214" spans="1:102" s="214" customFormat="1">
      <c r="A214" s="2776" t="s">
        <v>1585</v>
      </c>
      <c r="B214" s="2771"/>
      <c r="C214" s="233"/>
      <c r="D214" s="233"/>
      <c r="G214" s="2771">
        <f>+'B0 2264預收'!F230</f>
        <v>21367000</v>
      </c>
      <c r="H214" s="97">
        <f>SUM(G210:G214)</f>
        <v>28653475</v>
      </c>
      <c r="J214" s="289"/>
      <c r="K214" s="289"/>
      <c r="L214" s="289"/>
      <c r="M214" s="289"/>
      <c r="N214" s="289"/>
      <c r="O214" s="2771">
        <f>+'B0 2264預收'!J230</f>
        <v>5664668</v>
      </c>
      <c r="P214" s="97">
        <f>SUM(O210:O214)</f>
        <v>7480643</v>
      </c>
      <c r="S214" s="2771">
        <f>+'B0 2264預收'!L230</f>
        <v>5115950</v>
      </c>
      <c r="T214" s="97">
        <f>SUM(S210:S214)</f>
        <v>5115950</v>
      </c>
      <c r="W214" s="2771">
        <f>+'B0 2264預收'!N230</f>
        <v>5332918</v>
      </c>
      <c r="X214" s="97">
        <f>SUM(W210:W214)</f>
        <v>7079068</v>
      </c>
      <c r="AA214" s="2771">
        <f>+'B0 2264預收'!P230</f>
        <v>5200668</v>
      </c>
      <c r="AB214" s="97">
        <f>SUM(AA210:AA214)</f>
        <v>5532993</v>
      </c>
      <c r="AE214" s="2771">
        <f>+'B0 2264預收'!R230</f>
        <v>4783168</v>
      </c>
      <c r="AF214" s="97">
        <f>SUM(AE210:AE214)</f>
        <v>6164968</v>
      </c>
      <c r="AI214" s="2771">
        <f>+'B0 2264預收'!T230</f>
        <v>3757168</v>
      </c>
      <c r="AJ214" s="97">
        <f>SUM(AI210:AI214)</f>
        <v>3757168</v>
      </c>
      <c r="AM214" s="2771">
        <f>+'B0 2264預收'!V230</f>
        <v>5671668</v>
      </c>
      <c r="AN214" s="97">
        <f>SUM(AM210:AM214)</f>
        <v>8126988</v>
      </c>
      <c r="AQ214" s="2771">
        <f>+'B0 2264預收'!X230</f>
        <v>4487168</v>
      </c>
      <c r="AR214" s="97">
        <f>SUM(AQ210:AQ214)</f>
        <v>4487168</v>
      </c>
      <c r="AU214" s="2771">
        <f>+'B0 2264預收'!Z230</f>
        <v>4425668</v>
      </c>
      <c r="AV214" s="97">
        <f>SUM(AU210:AU214)</f>
        <v>4425668</v>
      </c>
      <c r="AY214" s="2771">
        <f>+'B0 2264預收'!AB230</f>
        <v>5743668</v>
      </c>
      <c r="AZ214" s="97">
        <f>SUM(AY210:AY214)</f>
        <v>5743668</v>
      </c>
      <c r="BC214" s="2771">
        <f>+'B0 2264預收'!AD230</f>
        <v>5423668</v>
      </c>
      <c r="BD214" s="97">
        <f>SUM(BC210:BC214)</f>
        <v>5423668</v>
      </c>
      <c r="BG214" s="2771">
        <f>+'B0 2264預收'!AF230</f>
        <v>7523652</v>
      </c>
      <c r="BH214" s="97">
        <f>SUM(BG210:BG214)</f>
        <v>13321857</v>
      </c>
      <c r="BK214" s="2771">
        <f>+'B0 2264預收'!AH230</f>
        <v>63130032</v>
      </c>
      <c r="BL214" s="97">
        <f>SUM(BK210:BK214)</f>
        <v>76659807</v>
      </c>
      <c r="BM214" s="97"/>
      <c r="BS214" s="2771">
        <f>+'B0 2264預收'!AL230</f>
        <v>72166290</v>
      </c>
      <c r="BT214" s="97">
        <f>SUM(BS210:BS214)</f>
        <v>76070295</v>
      </c>
      <c r="CA214" s="2771">
        <f>+'B0 2264預收'!AP230</f>
        <v>73760750</v>
      </c>
      <c r="CB214" s="97">
        <f>SUM(CA210:CA214)</f>
        <v>78057455</v>
      </c>
      <c r="CI214" s="2771">
        <f>+'B0 2264預收'!AT230</f>
        <v>76460917</v>
      </c>
      <c r="CJ214" s="97">
        <f>SUM(CI210:CI214)</f>
        <v>80338147</v>
      </c>
      <c r="CQ214" s="2771">
        <f>+'B0 2264預收'!AX230</f>
        <v>80894250</v>
      </c>
      <c r="CR214" s="97">
        <f>SUM(CQ210:CQ214)</f>
        <v>83794455</v>
      </c>
    </row>
    <row r="215" spans="1:102" ht="16.2">
      <c r="A215" s="97" t="s">
        <v>735</v>
      </c>
      <c r="B215" s="2778"/>
      <c r="G215" s="2768">
        <f>+'B0 2264預收'!F231</f>
        <v>3427500</v>
      </c>
      <c r="J215" s="289"/>
      <c r="K215" s="289"/>
      <c r="L215" s="289"/>
      <c r="M215" s="289"/>
      <c r="N215" s="289"/>
      <c r="O215" s="2768">
        <f>+'B0 2264預收'!J231</f>
        <v>29500</v>
      </c>
      <c r="P215" s="97"/>
      <c r="Q215" s="97"/>
      <c r="R215" s="98"/>
      <c r="S215" s="2768">
        <f>+'B0 2264預收'!L231</f>
        <v>29500</v>
      </c>
      <c r="T215" s="97"/>
      <c r="U215" s="97"/>
      <c r="V215" s="98"/>
      <c r="W215" s="2768">
        <f>+'B0 2264預收'!N231</f>
        <v>29500</v>
      </c>
      <c r="X215" s="97"/>
      <c r="Y215" s="97"/>
      <c r="Z215" s="98"/>
      <c r="AA215" s="2768">
        <f>+'B0 2264預收'!P231</f>
        <v>1294500</v>
      </c>
      <c r="AB215" s="97"/>
      <c r="AC215" s="97"/>
      <c r="AD215" s="98"/>
      <c r="AE215" s="2768">
        <f>+'B0 2264預收'!R231</f>
        <v>29500</v>
      </c>
      <c r="AF215" s="97"/>
      <c r="AG215" s="97"/>
      <c r="AH215" s="98"/>
      <c r="AI215" s="2768">
        <f>+'B0 2264預收'!T231</f>
        <v>29500</v>
      </c>
      <c r="AJ215" s="97"/>
      <c r="AK215" s="97"/>
      <c r="AL215" s="98"/>
      <c r="AM215" s="2768">
        <f>+'B0 2264預收'!V231</f>
        <v>29500</v>
      </c>
      <c r="AN215" s="97"/>
      <c r="AO215" s="97"/>
      <c r="AP215" s="98"/>
      <c r="AQ215" s="2768">
        <f>+'B0 2264預收'!X231</f>
        <v>29500</v>
      </c>
      <c r="AR215" s="97"/>
      <c r="AS215" s="97"/>
      <c r="AT215" s="98"/>
      <c r="AU215" s="2768">
        <f>+'B0 2264預收'!Z231</f>
        <v>29500</v>
      </c>
      <c r="AV215" s="97"/>
      <c r="AW215" s="97"/>
      <c r="AX215" s="98"/>
      <c r="AY215" s="2768">
        <f>+'B0 2264預收'!AB231</f>
        <v>204500</v>
      </c>
      <c r="AZ215" s="97"/>
      <c r="BA215" s="97"/>
      <c r="BB215" s="98"/>
      <c r="BC215" s="2768">
        <f>+'B0 2264預收'!AD231</f>
        <v>29500</v>
      </c>
      <c r="BD215" s="97"/>
      <c r="BE215" s="97"/>
      <c r="BF215" s="98"/>
      <c r="BG215" s="2768">
        <f>+'B0 2264預收'!AF231</f>
        <v>1229500</v>
      </c>
      <c r="BH215" s="97"/>
      <c r="BI215" s="97"/>
      <c r="BJ215" s="98"/>
      <c r="BK215" s="2768">
        <f>+'B0 2264預收'!AH231</f>
        <v>2994000</v>
      </c>
      <c r="BL215" s="97"/>
      <c r="BM215" s="97"/>
      <c r="BN215" s="98"/>
      <c r="BQ215" s="97"/>
      <c r="BR215" s="98"/>
      <c r="BS215" s="2768">
        <f>+'B0 2264預收'!AL231</f>
        <v>1470000</v>
      </c>
      <c r="BT215" s="97"/>
      <c r="BU215" s="97"/>
      <c r="BV215" s="98"/>
      <c r="BY215" s="97"/>
      <c r="BZ215" s="98"/>
      <c r="CA215" s="2768">
        <f>+'B0 2264預收'!AP231</f>
        <v>1931500</v>
      </c>
      <c r="CB215" s="97"/>
      <c r="CC215" s="97"/>
      <c r="CD215" s="98"/>
      <c r="CG215" s="97"/>
      <c r="CH215" s="98"/>
      <c r="CI215" s="2768">
        <f>+'B0 2264預收'!AT231</f>
        <v>1597500</v>
      </c>
      <c r="CJ215" s="97"/>
      <c r="CK215" s="97"/>
      <c r="CL215" s="98"/>
      <c r="CO215" s="97"/>
      <c r="CP215" s="98"/>
      <c r="CQ215" s="2768">
        <f>+'B0 2264預收'!AX231</f>
        <v>0</v>
      </c>
      <c r="CR215" s="97"/>
      <c r="CS215" s="97"/>
      <c r="CT215" s="98"/>
      <c r="CW215" s="97"/>
      <c r="CX215" s="98"/>
    </row>
    <row r="216" spans="1:102">
      <c r="A216" s="97" t="s">
        <v>759</v>
      </c>
      <c r="B216" s="2780"/>
      <c r="G216" s="2768">
        <f>+'B0 2264預收'!F232</f>
        <v>346975</v>
      </c>
      <c r="J216" s="289"/>
      <c r="K216" s="289"/>
      <c r="L216" s="289"/>
      <c r="M216" s="289"/>
      <c r="N216" s="289"/>
      <c r="O216" s="2768">
        <f>+'B0 2264預收'!J232</f>
        <v>86475</v>
      </c>
      <c r="P216" s="97"/>
      <c r="Q216" s="97"/>
      <c r="R216" s="98"/>
      <c r="S216" s="2768">
        <f>+'B0 2264預收'!L232</f>
        <v>0</v>
      </c>
      <c r="T216" s="97"/>
      <c r="U216" s="97"/>
      <c r="V216" s="98"/>
      <c r="W216" s="2768">
        <f>+'B0 2264預收'!N232</f>
        <v>83150</v>
      </c>
      <c r="X216" s="97"/>
      <c r="Y216" s="97"/>
      <c r="Z216" s="98"/>
      <c r="AA216" s="2768">
        <f>+'B0 2264預收'!P232</f>
        <v>15825</v>
      </c>
      <c r="AB216" s="97"/>
      <c r="AC216" s="97"/>
      <c r="AD216" s="98"/>
      <c r="AE216" s="2768">
        <f>+'B0 2264預收'!R232</f>
        <v>65800</v>
      </c>
      <c r="AF216" s="97"/>
      <c r="AG216" s="97"/>
      <c r="AH216" s="98"/>
      <c r="AI216" s="2768">
        <f>+'B0 2264預收'!T232</f>
        <v>0</v>
      </c>
      <c r="AJ216" s="97"/>
      <c r="AK216" s="97"/>
      <c r="AL216" s="98"/>
      <c r="AM216" s="2768">
        <f>+'B0 2264預收'!V232</f>
        <v>116920</v>
      </c>
      <c r="AN216" s="97"/>
      <c r="AO216" s="97"/>
      <c r="AP216" s="98"/>
      <c r="AQ216" s="2768">
        <f>+'B0 2264預收'!X232</f>
        <v>0</v>
      </c>
      <c r="AR216" s="97"/>
      <c r="AS216" s="97"/>
      <c r="AT216" s="98"/>
      <c r="AU216" s="2768">
        <f>+'B0 2264預收'!Z232</f>
        <v>0</v>
      </c>
      <c r="AV216" s="97"/>
      <c r="AW216" s="97"/>
      <c r="AX216" s="98"/>
      <c r="AY216" s="2768">
        <f>+'B0 2264預收'!AB232</f>
        <v>0</v>
      </c>
      <c r="AZ216" s="97"/>
      <c r="BA216" s="97"/>
      <c r="BB216" s="98"/>
      <c r="BC216" s="2768">
        <f>+'B0 2264預收'!AD232</f>
        <v>0</v>
      </c>
      <c r="BD216" s="97"/>
      <c r="BE216" s="97"/>
      <c r="BF216" s="98"/>
      <c r="BG216" s="2768">
        <f>+'B0 2264預收'!AF232</f>
        <v>276105</v>
      </c>
      <c r="BH216" s="97"/>
      <c r="BI216" s="97"/>
      <c r="BJ216" s="98"/>
      <c r="BK216" s="2768">
        <f>+'B0 2264預收'!AH232</f>
        <v>644275</v>
      </c>
      <c r="BL216" s="97"/>
      <c r="BM216" s="97"/>
      <c r="BN216" s="98"/>
      <c r="BQ216" s="97"/>
      <c r="BR216" s="98"/>
      <c r="BS216" s="2768">
        <f>+'B0 2264預收'!AL232</f>
        <v>185905</v>
      </c>
      <c r="BT216" s="97"/>
      <c r="BU216" s="97"/>
      <c r="BV216" s="98"/>
      <c r="BY216" s="97"/>
      <c r="BZ216" s="98"/>
      <c r="CA216" s="2768">
        <f>+'B0 2264預收'!AP232</f>
        <v>204605</v>
      </c>
      <c r="CB216" s="97"/>
      <c r="CC216" s="97"/>
      <c r="CD216" s="98"/>
      <c r="CG216" s="97"/>
      <c r="CH216" s="98"/>
      <c r="CI216" s="2768">
        <f>+'B0 2264預收'!AT232</f>
        <v>184630</v>
      </c>
      <c r="CJ216" s="97"/>
      <c r="CK216" s="97"/>
      <c r="CL216" s="98"/>
      <c r="CO216" s="97"/>
      <c r="CP216" s="98"/>
      <c r="CQ216" s="2768">
        <f>+'B0 2264預收'!AX232</f>
        <v>138105</v>
      </c>
      <c r="CR216" s="97"/>
      <c r="CS216" s="97"/>
      <c r="CT216" s="98"/>
      <c r="CW216" s="97"/>
      <c r="CX216" s="98"/>
    </row>
    <row r="217" spans="1:102">
      <c r="A217" s="275" t="s">
        <v>2572</v>
      </c>
      <c r="B217" s="2779"/>
      <c r="G217" s="2771">
        <f>+'B0 2264預收'!F233</f>
        <v>24879000</v>
      </c>
      <c r="H217" s="275">
        <f>SUM(G215:G217)</f>
        <v>28653475</v>
      </c>
      <c r="J217" s="289"/>
      <c r="K217" s="289"/>
      <c r="L217" s="289"/>
      <c r="M217" s="289"/>
      <c r="N217" s="289"/>
      <c r="O217" s="2771">
        <f>+'B0 2264預收'!J233</f>
        <v>7364668</v>
      </c>
      <c r="P217" s="275">
        <f>SUM(O215:O217)</f>
        <v>7480643</v>
      </c>
      <c r="Q217" s="97"/>
      <c r="R217" s="98"/>
      <c r="S217" s="2771">
        <f>+'B0 2264預收'!L233</f>
        <v>5086450</v>
      </c>
      <c r="T217" s="275">
        <f>SUM(S215:S217)</f>
        <v>5115950</v>
      </c>
      <c r="U217" s="97"/>
      <c r="V217" s="98"/>
      <c r="W217" s="2771">
        <f>+'B0 2264預收'!N233</f>
        <v>6966418</v>
      </c>
      <c r="X217" s="275">
        <f>SUM(W215:W217)</f>
        <v>7079068</v>
      </c>
      <c r="Y217" s="97"/>
      <c r="Z217" s="98"/>
      <c r="AA217" s="2771">
        <f>+'B0 2264預收'!P233</f>
        <v>4222668</v>
      </c>
      <c r="AB217" s="275">
        <f>SUM(AA215:AA217)</f>
        <v>5532993</v>
      </c>
      <c r="AC217" s="97"/>
      <c r="AD217" s="98"/>
      <c r="AE217" s="2771">
        <f>+'B0 2264預收'!R233</f>
        <v>6069668</v>
      </c>
      <c r="AF217" s="275">
        <f>SUM(AE215:AE217)</f>
        <v>6164968</v>
      </c>
      <c r="AG217" s="97"/>
      <c r="AH217" s="98"/>
      <c r="AI217" s="2771">
        <f>+'B0 2264預收'!T233</f>
        <v>3727668</v>
      </c>
      <c r="AJ217" s="275">
        <f>SUM(AI215:AI217)</f>
        <v>3757168</v>
      </c>
      <c r="AK217" s="97"/>
      <c r="AL217" s="98"/>
      <c r="AM217" s="2771">
        <f>+'B0 2264預收'!V233</f>
        <v>7980568</v>
      </c>
      <c r="AN217" s="275">
        <f>SUM(AM215:AM217)</f>
        <v>8126988</v>
      </c>
      <c r="AO217" s="97"/>
      <c r="AP217" s="98"/>
      <c r="AQ217" s="2771">
        <f>+'B0 2264預收'!X233</f>
        <v>4457668</v>
      </c>
      <c r="AR217" s="275">
        <f>SUM(AQ215:AQ217)</f>
        <v>4487168</v>
      </c>
      <c r="AS217" s="97"/>
      <c r="AT217" s="98"/>
      <c r="AU217" s="2771">
        <f>+'B0 2264預收'!Z233</f>
        <v>4396168</v>
      </c>
      <c r="AV217" s="275">
        <f>SUM(AU215:AU217)</f>
        <v>4425668</v>
      </c>
      <c r="AW217" s="97"/>
      <c r="AX217" s="98"/>
      <c r="AY217" s="2771">
        <f>+'B0 2264預收'!AB233</f>
        <v>5539168</v>
      </c>
      <c r="AZ217" s="275">
        <f>SUM(AY215:AY217)</f>
        <v>5743668</v>
      </c>
      <c r="BA217" s="97"/>
      <c r="BB217" s="98"/>
      <c r="BC217" s="2771">
        <f>+'B0 2264預收'!AD233</f>
        <v>5394168</v>
      </c>
      <c r="BD217" s="275">
        <f>SUM(BC215:BC217)</f>
        <v>5423668</v>
      </c>
      <c r="BE217" s="97"/>
      <c r="BF217" s="98"/>
      <c r="BG217" s="2771">
        <f>+'B0 2264預收'!AF233</f>
        <v>11816252</v>
      </c>
      <c r="BH217" s="275">
        <f>SUM(BG215:BG217)</f>
        <v>13321857</v>
      </c>
      <c r="BI217" s="97"/>
      <c r="BJ217" s="98"/>
      <c r="BK217" s="2771">
        <f>+'B0 2264預收'!AH233</f>
        <v>73021532</v>
      </c>
      <c r="BL217" s="275">
        <f>SUM(BK215:BK217)</f>
        <v>76659807</v>
      </c>
      <c r="BM217" s="97"/>
      <c r="BN217" s="98"/>
      <c r="BQ217" s="97"/>
      <c r="BR217" s="98"/>
      <c r="BS217" s="2771">
        <f>+'B0 2264預收'!AL233</f>
        <v>74414390</v>
      </c>
      <c r="BT217" s="275">
        <f>SUM(BS215:BS217)</f>
        <v>76070295</v>
      </c>
      <c r="BU217" s="97"/>
      <c r="BV217" s="98"/>
      <c r="BY217" s="97"/>
      <c r="BZ217" s="98"/>
      <c r="CA217" s="2771">
        <f>+'B0 2264預收'!AP233</f>
        <v>75921350</v>
      </c>
      <c r="CB217" s="275">
        <f>SUM(CA215:CA217)</f>
        <v>78057455</v>
      </c>
      <c r="CC217" s="97"/>
      <c r="CD217" s="98"/>
      <c r="CG217" s="97"/>
      <c r="CH217" s="98"/>
      <c r="CI217" s="2771">
        <f>+'B0 2264預收'!AT233</f>
        <v>78556017</v>
      </c>
      <c r="CJ217" s="275">
        <f>SUM(CI215:CI217)</f>
        <v>80338147</v>
      </c>
      <c r="CK217" s="97"/>
      <c r="CL217" s="98"/>
      <c r="CO217" s="97"/>
      <c r="CP217" s="98"/>
      <c r="CQ217" s="2771">
        <f>+'B0 2264預收'!AX233</f>
        <v>83656350</v>
      </c>
      <c r="CR217" s="275">
        <f>SUM(CQ215:CQ217)</f>
        <v>83794455</v>
      </c>
      <c r="CS217" s="97"/>
      <c r="CT217" s="98"/>
      <c r="CW217" s="97"/>
      <c r="CX217" s="98"/>
    </row>
    <row r="218" spans="1:102">
      <c r="G218" s="2731"/>
      <c r="H218" s="97">
        <f>+H214-H217</f>
        <v>0</v>
      </c>
      <c r="J218" s="289"/>
      <c r="K218" s="289"/>
      <c r="L218" s="289"/>
      <c r="M218" s="289"/>
      <c r="N218" s="289"/>
      <c r="P218" s="97">
        <f>+P214-P217</f>
        <v>0</v>
      </c>
      <c r="Q218" s="97"/>
      <c r="R218" s="98"/>
      <c r="S218" s="97"/>
      <c r="T218" s="97">
        <f>+T214-T217</f>
        <v>0</v>
      </c>
      <c r="U218" s="97"/>
      <c r="V218" s="98"/>
      <c r="W218" s="97"/>
      <c r="X218" s="97">
        <f>+X214-X217</f>
        <v>0</v>
      </c>
      <c r="Y218" s="97"/>
      <c r="Z218" s="98"/>
      <c r="AA218" s="97"/>
      <c r="AB218" s="97">
        <f>+AB214-AB217</f>
        <v>0</v>
      </c>
      <c r="AC218" s="97"/>
      <c r="AD218" s="98"/>
      <c r="AE218" s="97"/>
      <c r="AF218" s="97">
        <f>+AF214-AF217</f>
        <v>0</v>
      </c>
      <c r="AG218" s="97"/>
      <c r="AH218" s="98"/>
      <c r="AI218" s="97"/>
      <c r="AJ218" s="97">
        <f>+AJ214-AJ217</f>
        <v>0</v>
      </c>
      <c r="AK218" s="97"/>
      <c r="AL218" s="98"/>
      <c r="AM218" s="97"/>
      <c r="AN218" s="97">
        <f>+AN214-AN217</f>
        <v>0</v>
      </c>
      <c r="AO218" s="97"/>
      <c r="AP218" s="98"/>
      <c r="AQ218" s="97"/>
      <c r="AR218" s="97">
        <f>+AR214-AR217</f>
        <v>0</v>
      </c>
      <c r="AS218" s="97"/>
      <c r="AT218" s="98"/>
      <c r="AU218" s="97"/>
      <c r="AV218" s="97">
        <f>+AV214-AV217</f>
        <v>0</v>
      </c>
      <c r="AW218" s="97"/>
      <c r="AX218" s="98"/>
      <c r="AY218" s="97"/>
      <c r="AZ218" s="97">
        <f>+AZ214-AZ217</f>
        <v>0</v>
      </c>
      <c r="BA218" s="97"/>
      <c r="BB218" s="98"/>
      <c r="BC218" s="97"/>
      <c r="BD218" s="97">
        <f>+BD214-BD217</f>
        <v>0</v>
      </c>
      <c r="BE218" s="97"/>
      <c r="BF218" s="98"/>
      <c r="BG218" s="97"/>
      <c r="BH218" s="97">
        <f>+BH214-BH217</f>
        <v>0</v>
      </c>
      <c r="BI218" s="97"/>
      <c r="BJ218" s="98"/>
      <c r="BK218" s="97"/>
      <c r="BL218" s="97">
        <f>+BL214-BL217</f>
        <v>0</v>
      </c>
      <c r="BM218" s="97"/>
      <c r="BN218" s="98"/>
      <c r="BQ218" s="97"/>
      <c r="BR218" s="98"/>
      <c r="BS218" s="97"/>
      <c r="BT218" s="97">
        <f>+BT214-BT217</f>
        <v>0</v>
      </c>
      <c r="BU218" s="97"/>
      <c r="BV218" s="98"/>
      <c r="BY218" s="97"/>
      <c r="BZ218" s="98"/>
      <c r="CA218" s="97"/>
      <c r="CB218" s="97">
        <f>+CB214-CB217</f>
        <v>0</v>
      </c>
      <c r="CC218" s="97"/>
      <c r="CD218" s="98"/>
      <c r="CG218" s="97"/>
      <c r="CH218" s="98"/>
      <c r="CI218" s="97"/>
      <c r="CJ218" s="97">
        <f>+CJ214-CJ217</f>
        <v>0</v>
      </c>
      <c r="CK218" s="97"/>
      <c r="CL218" s="98"/>
      <c r="CO218" s="97"/>
      <c r="CP218" s="98"/>
      <c r="CQ218" s="97"/>
      <c r="CR218" s="97">
        <f>+CR214-CR217</f>
        <v>0</v>
      </c>
      <c r="CS218" s="97"/>
      <c r="CT218" s="98"/>
      <c r="CW218" s="97"/>
      <c r="CX218" s="98"/>
    </row>
    <row r="219" spans="1:102">
      <c r="G219" s="2731"/>
      <c r="J219" s="289"/>
      <c r="K219" s="289"/>
      <c r="L219" s="289"/>
      <c r="M219" s="289"/>
      <c r="N219" s="289"/>
      <c r="O219" s="98"/>
      <c r="Q219" s="97"/>
      <c r="R219" s="98"/>
      <c r="S219" s="97"/>
      <c r="T219" s="97"/>
      <c r="U219" s="97"/>
      <c r="V219" s="98"/>
      <c r="Y219" s="97"/>
      <c r="Z219" s="98"/>
      <c r="AC219" s="97"/>
      <c r="AD219" s="98"/>
      <c r="AG219" s="97"/>
      <c r="AH219" s="98"/>
      <c r="AK219" s="97"/>
      <c r="AL219" s="98"/>
      <c r="AO219" s="97"/>
      <c r="AP219" s="98"/>
      <c r="AS219" s="97"/>
      <c r="AT219" s="98"/>
      <c r="AW219" s="97"/>
      <c r="AX219" s="98"/>
      <c r="BA219" s="97"/>
      <c r="BB219" s="98"/>
      <c r="BE219" s="97"/>
      <c r="BF219" s="98"/>
      <c r="BI219" s="97"/>
      <c r="BJ219" s="98"/>
      <c r="BM219" s="97"/>
      <c r="BN219" s="98"/>
      <c r="BQ219" s="97"/>
      <c r="BR219" s="98"/>
      <c r="BU219" s="97"/>
      <c r="BV219" s="98"/>
      <c r="BY219" s="97"/>
      <c r="BZ219" s="98"/>
      <c r="CC219" s="97"/>
      <c r="CD219" s="98"/>
      <c r="CG219" s="97"/>
      <c r="CH219" s="98"/>
      <c r="CK219" s="97"/>
      <c r="CL219" s="98"/>
      <c r="CO219" s="97"/>
      <c r="CP219" s="98"/>
      <c r="CS219" s="97"/>
      <c r="CT219" s="98"/>
      <c r="CW219" s="97"/>
      <c r="CX219" s="98"/>
    </row>
    <row r="220" spans="1:102" s="307" customFormat="1">
      <c r="A220" s="214"/>
      <c r="C220" s="97"/>
      <c r="D220" s="97"/>
      <c r="G220" s="2795"/>
    </row>
    <row r="221" spans="1:102">
      <c r="O221" s="98"/>
      <c r="Q221" s="97"/>
      <c r="R221" s="98"/>
      <c r="U221" s="97"/>
      <c r="V221" s="98"/>
      <c r="Y221" s="97"/>
      <c r="Z221" s="98"/>
      <c r="AC221" s="97"/>
      <c r="AD221" s="98"/>
      <c r="AG221" s="97"/>
      <c r="AH221" s="98"/>
      <c r="AK221" s="97"/>
      <c r="AL221" s="98"/>
      <c r="AO221" s="97"/>
      <c r="AP221" s="98"/>
      <c r="AS221" s="97"/>
      <c r="AT221" s="98"/>
      <c r="AW221" s="97"/>
      <c r="AX221" s="98"/>
      <c r="BA221" s="97"/>
      <c r="BB221" s="98"/>
      <c r="BE221" s="97"/>
      <c r="BF221" s="98"/>
      <c r="BI221" s="97"/>
      <c r="BJ221" s="98"/>
      <c r="BM221" s="97"/>
      <c r="BN221" s="98"/>
      <c r="BQ221" s="97"/>
      <c r="BR221" s="98"/>
      <c r="BU221" s="97"/>
      <c r="BV221" s="98"/>
      <c r="BY221" s="97"/>
      <c r="BZ221" s="98"/>
      <c r="CC221" s="97"/>
      <c r="CD221" s="98"/>
      <c r="CG221" s="97"/>
      <c r="CH221" s="98"/>
      <c r="CK221" s="97"/>
      <c r="CL221" s="98"/>
      <c r="CO221" s="97"/>
      <c r="CP221" s="98"/>
      <c r="CS221" s="97"/>
      <c r="CT221" s="98"/>
      <c r="CW221" s="97"/>
      <c r="CX221" s="98"/>
    </row>
    <row r="222" spans="1:102">
      <c r="O222" s="98"/>
      <c r="Q222" s="97"/>
      <c r="R222" s="98"/>
      <c r="U222" s="97"/>
      <c r="V222" s="98"/>
      <c r="Y222" s="97"/>
      <c r="Z222" s="98"/>
      <c r="AC222" s="97"/>
      <c r="AD222" s="98"/>
      <c r="AG222" s="97"/>
      <c r="AH222" s="98"/>
      <c r="AK222" s="97"/>
      <c r="AL222" s="98"/>
      <c r="AO222" s="97"/>
      <c r="AP222" s="98"/>
      <c r="AS222" s="97"/>
      <c r="AT222" s="98"/>
      <c r="AW222" s="97"/>
      <c r="AX222" s="98"/>
      <c r="BA222" s="97"/>
      <c r="BB222" s="98"/>
      <c r="BE222" s="97"/>
      <c r="BF222" s="98"/>
      <c r="BI222" s="97"/>
      <c r="BJ222" s="98"/>
      <c r="BM222" s="97"/>
      <c r="BN222" s="98"/>
      <c r="BQ222" s="97"/>
      <c r="BR222" s="98"/>
      <c r="BU222" s="97"/>
      <c r="BV222" s="98"/>
      <c r="BY222" s="97"/>
      <c r="BZ222" s="98"/>
      <c r="CC222" s="97"/>
      <c r="CD222" s="98"/>
      <c r="CG222" s="97"/>
      <c r="CH222" s="98"/>
      <c r="CK222" s="97"/>
      <c r="CL222" s="98"/>
      <c r="CO222" s="97"/>
      <c r="CP222" s="98"/>
      <c r="CS222" s="97"/>
      <c r="CT222" s="98"/>
      <c r="CW222" s="97"/>
      <c r="CX222" s="98"/>
    </row>
    <row r="223" spans="1:102">
      <c r="O223" s="98"/>
      <c r="Q223" s="97"/>
      <c r="R223" s="98"/>
      <c r="U223" s="97"/>
      <c r="V223" s="98"/>
      <c r="Y223" s="97"/>
      <c r="Z223" s="98"/>
      <c r="AC223" s="97"/>
      <c r="AD223" s="98"/>
      <c r="AG223" s="97"/>
      <c r="AH223" s="98"/>
      <c r="AK223" s="97"/>
      <c r="AL223" s="98"/>
      <c r="AO223" s="97"/>
      <c r="AP223" s="98"/>
      <c r="AS223" s="97"/>
      <c r="AT223" s="98"/>
      <c r="AW223" s="97"/>
      <c r="AX223" s="98"/>
      <c r="BA223" s="97"/>
      <c r="BB223" s="98"/>
      <c r="BE223" s="97"/>
      <c r="BF223" s="98"/>
      <c r="BI223" s="97"/>
      <c r="BJ223" s="98"/>
      <c r="BM223" s="97"/>
      <c r="BN223" s="98"/>
      <c r="BQ223" s="97"/>
      <c r="BR223" s="98"/>
      <c r="BU223" s="97"/>
      <c r="BV223" s="98"/>
      <c r="BY223" s="97"/>
      <c r="BZ223" s="98"/>
      <c r="CC223" s="97"/>
      <c r="CD223" s="98"/>
      <c r="CG223" s="97"/>
      <c r="CH223" s="98"/>
      <c r="CK223" s="97"/>
      <c r="CL223" s="98"/>
      <c r="CO223" s="97"/>
      <c r="CP223" s="98"/>
      <c r="CS223" s="97"/>
      <c r="CT223" s="98"/>
      <c r="CW223" s="97"/>
      <c r="CX223" s="98"/>
    </row>
    <row r="224" spans="1:102">
      <c r="O224" s="98"/>
      <c r="Q224" s="97"/>
      <c r="R224" s="98"/>
      <c r="U224" s="97"/>
      <c r="V224" s="98"/>
      <c r="Y224" s="97"/>
      <c r="Z224" s="98"/>
      <c r="AC224" s="97"/>
      <c r="AD224" s="98"/>
      <c r="AG224" s="97"/>
      <c r="AH224" s="98"/>
      <c r="AK224" s="97"/>
      <c r="AL224" s="98"/>
      <c r="AO224" s="97"/>
      <c r="AP224" s="98"/>
      <c r="AS224" s="97"/>
      <c r="AT224" s="98"/>
      <c r="AW224" s="97"/>
      <c r="AX224" s="98"/>
      <c r="BA224" s="97"/>
      <c r="BB224" s="98"/>
      <c r="BE224" s="97"/>
      <c r="BF224" s="98"/>
      <c r="BI224" s="97"/>
      <c r="BJ224" s="98"/>
      <c r="BM224" s="97"/>
      <c r="BN224" s="98"/>
      <c r="BQ224" s="97"/>
      <c r="BR224" s="98"/>
      <c r="BU224" s="97"/>
      <c r="BV224" s="98"/>
      <c r="BY224" s="97"/>
      <c r="BZ224" s="98"/>
      <c r="CC224" s="97"/>
      <c r="CD224" s="98"/>
      <c r="CG224" s="97"/>
      <c r="CH224" s="98"/>
      <c r="CK224" s="97"/>
      <c r="CL224" s="98"/>
      <c r="CO224" s="97"/>
      <c r="CP224" s="98"/>
      <c r="CS224" s="97"/>
      <c r="CT224" s="98"/>
      <c r="CW224" s="97"/>
      <c r="CX224" s="98"/>
    </row>
    <row r="225" spans="1:102">
      <c r="O225" s="98"/>
      <c r="Q225" s="97"/>
      <c r="R225" s="98"/>
      <c r="U225" s="97"/>
      <c r="V225" s="98"/>
      <c r="Y225" s="97"/>
      <c r="Z225" s="98"/>
      <c r="AC225" s="97"/>
      <c r="AD225" s="98"/>
      <c r="AG225" s="97"/>
      <c r="AH225" s="98"/>
      <c r="AK225" s="97"/>
      <c r="AL225" s="98"/>
      <c r="AO225" s="97"/>
      <c r="AP225" s="98"/>
      <c r="AS225" s="97"/>
      <c r="AT225" s="98"/>
      <c r="AW225" s="97"/>
      <c r="AX225" s="98"/>
      <c r="BA225" s="97"/>
      <c r="BB225" s="98"/>
      <c r="BE225" s="97"/>
      <c r="BF225" s="98"/>
      <c r="BI225" s="97"/>
      <c r="BJ225" s="98"/>
      <c r="BM225" s="97"/>
      <c r="BN225" s="98"/>
      <c r="BQ225" s="97"/>
      <c r="BR225" s="98"/>
      <c r="BU225" s="97"/>
      <c r="BV225" s="98"/>
      <c r="BY225" s="97"/>
      <c r="BZ225" s="98"/>
      <c r="CC225" s="97"/>
      <c r="CD225" s="98"/>
      <c r="CG225" s="97"/>
      <c r="CH225" s="98"/>
      <c r="CK225" s="97"/>
      <c r="CL225" s="98"/>
      <c r="CO225" s="97"/>
      <c r="CP225" s="98"/>
      <c r="CS225" s="97"/>
      <c r="CT225" s="98"/>
      <c r="CW225" s="97"/>
      <c r="CX225" s="98"/>
    </row>
    <row r="226" spans="1:102">
      <c r="O226" s="98"/>
      <c r="Q226" s="97"/>
      <c r="R226" s="98"/>
      <c r="U226" s="97"/>
      <c r="V226" s="98"/>
      <c r="Y226" s="97"/>
      <c r="Z226" s="98"/>
      <c r="AC226" s="97"/>
      <c r="AD226" s="98"/>
      <c r="AG226" s="97"/>
      <c r="AH226" s="98"/>
      <c r="AK226" s="97"/>
      <c r="AL226" s="98"/>
      <c r="AO226" s="97"/>
      <c r="AP226" s="98"/>
      <c r="AS226" s="97"/>
      <c r="AT226" s="98"/>
      <c r="AW226" s="97"/>
      <c r="AX226" s="98"/>
      <c r="BA226" s="97"/>
      <c r="BB226" s="98"/>
      <c r="BE226" s="97"/>
      <c r="BF226" s="98"/>
      <c r="BI226" s="97"/>
      <c r="BJ226" s="98"/>
      <c r="BM226" s="97"/>
      <c r="BN226" s="98"/>
      <c r="BQ226" s="97"/>
      <c r="BR226" s="98"/>
      <c r="BU226" s="97"/>
      <c r="BV226" s="98"/>
      <c r="BY226" s="97"/>
      <c r="BZ226" s="98"/>
      <c r="CC226" s="97"/>
      <c r="CD226" s="98"/>
      <c r="CG226" s="97"/>
      <c r="CH226" s="98"/>
      <c r="CK226" s="97"/>
      <c r="CL226" s="98"/>
      <c r="CO226" s="97"/>
      <c r="CP226" s="98"/>
      <c r="CS226" s="97"/>
      <c r="CT226" s="98"/>
      <c r="CW226" s="97"/>
      <c r="CX226" s="98"/>
    </row>
    <row r="227" spans="1:102" ht="16.2">
      <c r="A227" s="291" t="s">
        <v>754</v>
      </c>
      <c r="B227" s="291"/>
      <c r="C227" s="291"/>
      <c r="D227" s="291"/>
      <c r="E227" s="292"/>
      <c r="F227" s="292"/>
      <c r="G227" s="293" t="str">
        <f>+G209</f>
        <v>2026/09 ~ 2026/12</v>
      </c>
      <c r="H227" s="294"/>
      <c r="I227" s="295"/>
      <c r="J227" s="292"/>
      <c r="K227" s="292"/>
      <c r="L227" s="292"/>
      <c r="M227" s="292"/>
      <c r="N227" s="292"/>
      <c r="O227" s="293" t="str">
        <f>+O209</f>
        <v>2027/1</v>
      </c>
      <c r="P227" s="294"/>
      <c r="Q227" s="295"/>
      <c r="R227" s="297"/>
      <c r="S227" s="293" t="str">
        <f>+S209</f>
        <v>2027/2</v>
      </c>
      <c r="T227" s="294"/>
      <c r="U227" s="295"/>
      <c r="V227" s="297"/>
      <c r="W227" s="293" t="str">
        <f>+W209</f>
        <v>2027/3</v>
      </c>
      <c r="X227" s="294"/>
      <c r="Y227" s="295"/>
      <c r="Z227" s="297"/>
      <c r="AA227" s="293" t="str">
        <f>+AA209</f>
        <v>2027/4</v>
      </c>
      <c r="AB227" s="294"/>
      <c r="AC227" s="295"/>
      <c r="AD227" s="297"/>
      <c r="AE227" s="293" t="str">
        <f>+AE209</f>
        <v>2027/5</v>
      </c>
      <c r="AF227" s="294"/>
      <c r="AG227" s="295"/>
      <c r="AH227" s="297"/>
      <c r="AI227" s="293" t="str">
        <f>+AI209</f>
        <v>2027/6</v>
      </c>
      <c r="AJ227" s="294"/>
      <c r="AK227" s="295"/>
      <c r="AL227" s="297"/>
      <c r="AM227" s="293" t="str">
        <f>+AM209</f>
        <v>2027/7</v>
      </c>
      <c r="AN227" s="294"/>
      <c r="AO227" s="295"/>
      <c r="AP227" s="297"/>
      <c r="AQ227" s="293" t="str">
        <f>+AQ209</f>
        <v>2027/8</v>
      </c>
      <c r="AR227" s="294"/>
      <c r="AS227" s="295"/>
      <c r="AT227" s="297"/>
      <c r="AU227" s="293" t="str">
        <f>+AU209</f>
        <v>2027/9</v>
      </c>
      <c r="AV227" s="294"/>
      <c r="AW227" s="295"/>
      <c r="AX227" s="297"/>
      <c r="AY227" s="293" t="str">
        <f>+AY209</f>
        <v>2027/10</v>
      </c>
      <c r="AZ227" s="294"/>
      <c r="BA227" s="295"/>
      <c r="BB227" s="297"/>
      <c r="BC227" s="293" t="str">
        <f>+BC209</f>
        <v>2027/11</v>
      </c>
      <c r="BD227" s="294"/>
      <c r="BE227" s="295"/>
      <c r="BF227" s="297"/>
      <c r="BG227" s="293" t="str">
        <f>+BG209</f>
        <v>2027/12</v>
      </c>
      <c r="BH227" s="294"/>
      <c r="BI227" s="295"/>
      <c r="BJ227" s="297"/>
      <c r="BK227" s="293" t="str">
        <f>+BK209</f>
        <v>Year 2027</v>
      </c>
      <c r="BL227" s="294"/>
      <c r="BM227" s="295"/>
      <c r="BN227" s="297"/>
      <c r="BQ227" s="97"/>
      <c r="BR227" s="98"/>
      <c r="BS227" s="293" t="str">
        <f>+BS209</f>
        <v>Year 2028</v>
      </c>
      <c r="BT227" s="294"/>
      <c r="BU227" s="295"/>
      <c r="BV227" s="297"/>
      <c r="BW227" s="297"/>
      <c r="BX227" s="297"/>
      <c r="BY227" s="292"/>
      <c r="BZ227" s="297"/>
      <c r="CA227" s="293" t="str">
        <f>+CA209</f>
        <v>Year 2029</v>
      </c>
      <c r="CB227" s="294"/>
      <c r="CC227" s="295"/>
      <c r="CD227" s="297"/>
      <c r="CG227" s="97"/>
      <c r="CH227" s="98"/>
      <c r="CI227" s="293" t="str">
        <f>+CI209</f>
        <v>Year 2030</v>
      </c>
      <c r="CJ227" s="294"/>
      <c r="CK227" s="295"/>
      <c r="CL227" s="297"/>
      <c r="CO227" s="97"/>
      <c r="CP227" s="98"/>
      <c r="CQ227" s="293" t="str">
        <f>+CQ209</f>
        <v>Year 2031</v>
      </c>
      <c r="CR227" s="294"/>
      <c r="CS227" s="295"/>
      <c r="CT227" s="297"/>
      <c r="CW227" s="97"/>
      <c r="CX227" s="98"/>
    </row>
    <row r="228" spans="1:102">
      <c r="A228" s="98" t="s">
        <v>734</v>
      </c>
      <c r="B228" s="98"/>
      <c r="G228" s="97">
        <f>SUMIF($A$186:$A$226,$A228,G$186:G$226)</f>
        <v>0</v>
      </c>
      <c r="O228" s="97">
        <f>SUMIF($A$186:$A$226,$A228,O$186:O$226)</f>
        <v>0</v>
      </c>
      <c r="P228" s="97"/>
      <c r="Q228" s="97"/>
      <c r="R228" s="98"/>
      <c r="S228" s="97">
        <f>SUMIF($A$186:$A$226,$A228,S$186:S$226)</f>
        <v>0</v>
      </c>
      <c r="T228" s="97"/>
      <c r="U228" s="97"/>
      <c r="V228" s="98"/>
      <c r="W228" s="97">
        <f>SUMIF($A$186:$A$226,$A228,W$186:W$226)</f>
        <v>0</v>
      </c>
      <c r="X228" s="97"/>
      <c r="Y228" s="97"/>
      <c r="Z228" s="98"/>
      <c r="AA228" s="97">
        <f>SUMIF($A$186:$A$226,$A228,AA$186:AA$226)</f>
        <v>0</v>
      </c>
      <c r="AB228" s="97"/>
      <c r="AC228" s="97"/>
      <c r="AD228" s="98"/>
      <c r="AE228" s="97">
        <f>SUMIF($A$186:$A$226,$A228,AE$186:AE$226)</f>
        <v>0</v>
      </c>
      <c r="AF228" s="97"/>
      <c r="AG228" s="97"/>
      <c r="AH228" s="98"/>
      <c r="AI228" s="97">
        <f>SUMIF($A$186:$A$226,$A228,AI$186:AI$226)</f>
        <v>0</v>
      </c>
      <c r="AJ228" s="97"/>
      <c r="AK228" s="97"/>
      <c r="AL228" s="98"/>
      <c r="AM228" s="97">
        <f>SUMIF($A$186:$A$226,$A228,AM$186:AM$226)</f>
        <v>0</v>
      </c>
      <c r="AN228" s="97"/>
      <c r="AO228" s="97"/>
      <c r="AP228" s="98"/>
      <c r="AQ228" s="97">
        <f>SUMIF($A$186:$A$226,$A228,AQ$186:AQ$226)</f>
        <v>0</v>
      </c>
      <c r="AR228" s="97"/>
      <c r="AS228" s="97"/>
      <c r="AT228" s="98"/>
      <c r="AU228" s="97">
        <f>SUMIF($A$186:$A$226,$A228,AU$186:AU$226)</f>
        <v>0</v>
      </c>
      <c r="AV228" s="97"/>
      <c r="AW228" s="97"/>
      <c r="AX228" s="98"/>
      <c r="AY228" s="97">
        <f>SUMIF($A$186:$A$226,$A228,AY$186:AY$226)</f>
        <v>0</v>
      </c>
      <c r="AZ228" s="97"/>
      <c r="BA228" s="97"/>
      <c r="BB228" s="98"/>
      <c r="BC228" s="97">
        <f>SUMIF($A$186:$A$226,$A228,BC$186:BC$226)</f>
        <v>0</v>
      </c>
      <c r="BD228" s="97"/>
      <c r="BE228" s="97"/>
      <c r="BF228" s="98"/>
      <c r="BG228" s="97">
        <f>SUMIF($A$186:$A$226,$A228,BG$186:BG$226)</f>
        <v>0</v>
      </c>
      <c r="BH228" s="97"/>
      <c r="BI228" s="97"/>
      <c r="BJ228" s="98"/>
      <c r="BK228" s="97">
        <f>SUMIF($A$186:$A$226,$A228,BK$186:BK$226)</f>
        <v>0</v>
      </c>
      <c r="BL228" s="97"/>
      <c r="BM228" s="97"/>
      <c r="BN228" s="98"/>
      <c r="BQ228" s="97"/>
      <c r="BR228" s="98"/>
      <c r="BS228" s="97">
        <f>SUMIF($A$186:$A$226,$A228,BS$186:BS$226)</f>
        <v>0</v>
      </c>
      <c r="BT228" s="97"/>
      <c r="BU228" s="97"/>
      <c r="BV228" s="98"/>
      <c r="BY228" s="97"/>
      <c r="BZ228" s="98"/>
      <c r="CA228" s="97">
        <f>SUMIF($A$186:$A$226,$A228,CA$186:CA$226)</f>
        <v>0</v>
      </c>
      <c r="CB228" s="97"/>
      <c r="CC228" s="97"/>
      <c r="CD228" s="98"/>
      <c r="CG228" s="97"/>
      <c r="CH228" s="98"/>
      <c r="CI228" s="97">
        <f>SUMIF($A$186:$A$226,$A228,CI$186:CI$226)</f>
        <v>0</v>
      </c>
      <c r="CJ228" s="97"/>
      <c r="CK228" s="97"/>
      <c r="CL228" s="98"/>
      <c r="CO228" s="97"/>
      <c r="CP228" s="98"/>
      <c r="CQ228" s="97">
        <f>SUMIF($A$186:$A$226,$A228,CQ$186:CQ$226)</f>
        <v>0</v>
      </c>
      <c r="CR228" s="97"/>
      <c r="CS228" s="97"/>
      <c r="CT228" s="98"/>
      <c r="CW228" s="97"/>
      <c r="CX228" s="98"/>
    </row>
    <row r="229" spans="1:102">
      <c r="A229" s="287" t="s">
        <v>755</v>
      </c>
      <c r="B229" s="287"/>
      <c r="G229" s="97">
        <f>SUMIF($A$186:$A$226,$A229,G$186:G$226)</f>
        <v>0</v>
      </c>
      <c r="O229" s="97">
        <f>SUMIF($A$186:$A$226,$A229,O$186:O$226)</f>
        <v>0</v>
      </c>
      <c r="P229" s="97"/>
      <c r="Q229" s="97"/>
      <c r="R229" s="98"/>
      <c r="S229" s="97">
        <f>SUMIF($A$186:$A$226,$A229,S$186:S$226)</f>
        <v>0</v>
      </c>
      <c r="T229" s="97"/>
      <c r="U229" s="97"/>
      <c r="V229" s="98"/>
      <c r="W229" s="97">
        <f>SUMIF($A$186:$A$226,$A229,W$186:W$226)</f>
        <v>0</v>
      </c>
      <c r="X229" s="97"/>
      <c r="Y229" s="97"/>
      <c r="Z229" s="98"/>
      <c r="AA229" s="97">
        <f>SUMIF($A$186:$A$226,$A229,AA$186:AA$226)</f>
        <v>0</v>
      </c>
      <c r="AB229" s="97"/>
      <c r="AC229" s="97"/>
      <c r="AD229" s="98"/>
      <c r="AE229" s="97">
        <f>SUMIF($A$186:$A$226,$A229,AE$186:AE$226)</f>
        <v>0</v>
      </c>
      <c r="AF229" s="97"/>
      <c r="AG229" s="97"/>
      <c r="AH229" s="98"/>
      <c r="AI229" s="97">
        <f>SUMIF($A$186:$A$226,$A229,AI$186:AI$226)</f>
        <v>0</v>
      </c>
      <c r="AJ229" s="97"/>
      <c r="AK229" s="97"/>
      <c r="AL229" s="98"/>
      <c r="AM229" s="97">
        <f>SUMIF($A$186:$A$226,$A229,AM$186:AM$226)</f>
        <v>0</v>
      </c>
      <c r="AN229" s="97"/>
      <c r="AO229" s="97"/>
      <c r="AP229" s="98"/>
      <c r="AQ229" s="97">
        <f>SUMIF($A$186:$A$226,$A229,AQ$186:AQ$226)</f>
        <v>0</v>
      </c>
      <c r="AR229" s="97"/>
      <c r="AS229" s="97"/>
      <c r="AT229" s="98"/>
      <c r="AU229" s="97">
        <f>SUMIF($A$186:$A$226,$A229,AU$186:AU$226)</f>
        <v>0</v>
      </c>
      <c r="AV229" s="97"/>
      <c r="AW229" s="97"/>
      <c r="AX229" s="98"/>
      <c r="AY229" s="97">
        <f>SUMIF($A$186:$A$226,$A229,AY$186:AY$226)</f>
        <v>0</v>
      </c>
      <c r="AZ229" s="97"/>
      <c r="BA229" s="97"/>
      <c r="BB229" s="98"/>
      <c r="BC229" s="97">
        <f>SUMIF($A$186:$A$226,$A229,BC$186:BC$226)</f>
        <v>0</v>
      </c>
      <c r="BD229" s="97"/>
      <c r="BE229" s="97"/>
      <c r="BF229" s="98"/>
      <c r="BG229" s="97">
        <f>SUMIF($A$186:$A$226,$A229,BG$186:BG$226)</f>
        <v>0</v>
      </c>
      <c r="BH229" s="97"/>
      <c r="BI229" s="97"/>
      <c r="BJ229" s="98"/>
      <c r="BK229" s="97">
        <f>SUMIF($A$186:$A$226,$A229,BK$186:BK$226)</f>
        <v>0</v>
      </c>
      <c r="BL229" s="97"/>
      <c r="BM229" s="97"/>
      <c r="BN229" s="98"/>
      <c r="BQ229" s="97"/>
      <c r="BR229" s="98"/>
      <c r="BS229" s="97">
        <f>SUMIF($A$186:$A$226,$A229,BS$186:BS$226)</f>
        <v>0</v>
      </c>
      <c r="BT229" s="97"/>
      <c r="BU229" s="97"/>
      <c r="BV229" s="98"/>
      <c r="BY229" s="97"/>
      <c r="BZ229" s="98"/>
      <c r="CA229" s="97">
        <f>SUMIF($A$186:$A$226,$A229,CA$186:CA$226)</f>
        <v>0</v>
      </c>
      <c r="CB229" s="97"/>
      <c r="CC229" s="97"/>
      <c r="CD229" s="98"/>
      <c r="CG229" s="97"/>
      <c r="CH229" s="98"/>
      <c r="CI229" s="97">
        <f>SUMIF($A$186:$A$226,$A229,CI$186:CI$226)</f>
        <v>0</v>
      </c>
      <c r="CJ229" s="97"/>
      <c r="CK229" s="97"/>
      <c r="CL229" s="98"/>
      <c r="CO229" s="97"/>
      <c r="CP229" s="98"/>
      <c r="CQ229" s="97">
        <f>SUMIF($A$186:$A$226,$A229,CQ$186:CQ$226)</f>
        <v>0</v>
      </c>
      <c r="CR229" s="97"/>
      <c r="CS229" s="97"/>
      <c r="CT229" s="98"/>
      <c r="CW229" s="97"/>
      <c r="CX229" s="98"/>
    </row>
    <row r="230" spans="1:102">
      <c r="A230" s="2740" t="s">
        <v>1585</v>
      </c>
      <c r="B230" s="98"/>
      <c r="G230" s="2731">
        <f>SUMIF($A$186:$A$226,$A230,G$186:G$226)</f>
        <v>21367000</v>
      </c>
      <c r="O230" s="2731">
        <f>SUMIF($A$186:$A$226,$A230,O$186:O$226)</f>
        <v>5664668</v>
      </c>
      <c r="P230" s="97"/>
      <c r="Q230" s="97"/>
      <c r="R230" s="98"/>
      <c r="S230" s="2731">
        <f>SUMIF($A$186:$A$226,$A230,S$186:S$226)</f>
        <v>5115950</v>
      </c>
      <c r="T230" s="97"/>
      <c r="U230" s="97"/>
      <c r="V230" s="98"/>
      <c r="W230" s="2731">
        <f>SUMIF($A$186:$A$226,$A230,W$186:W$226)</f>
        <v>5332918</v>
      </c>
      <c r="X230" s="97"/>
      <c r="Y230" s="97"/>
      <c r="Z230" s="98"/>
      <c r="AA230" s="2731">
        <f>SUMIF($A$186:$A$226,$A230,AA$186:AA$226)</f>
        <v>5200668</v>
      </c>
      <c r="AB230" s="97"/>
      <c r="AC230" s="97"/>
      <c r="AD230" s="98"/>
      <c r="AE230" s="2731">
        <f>SUMIF($A$186:$A$226,$A230,AE$186:AE$226)</f>
        <v>4783168</v>
      </c>
      <c r="AF230" s="97"/>
      <c r="AG230" s="97"/>
      <c r="AH230" s="98"/>
      <c r="AI230" s="2731">
        <f>SUMIF($A$186:$A$226,$A230,AI$186:AI$226)</f>
        <v>3757168</v>
      </c>
      <c r="AJ230" s="97"/>
      <c r="AK230" s="97"/>
      <c r="AL230" s="98"/>
      <c r="AM230" s="2731">
        <f>SUMIF($A$186:$A$226,$A230,AM$186:AM$226)</f>
        <v>5671668</v>
      </c>
      <c r="AN230" s="97"/>
      <c r="AO230" s="97"/>
      <c r="AP230" s="98"/>
      <c r="AQ230" s="2731">
        <f>SUMIF($A$186:$A$226,$A230,AQ$186:AQ$226)</f>
        <v>4487168</v>
      </c>
      <c r="AR230" s="97"/>
      <c r="AS230" s="97"/>
      <c r="AT230" s="98"/>
      <c r="AU230" s="2731">
        <f>SUMIF($A$186:$A$226,$A230,AU$186:AU$226)</f>
        <v>4425668</v>
      </c>
      <c r="AV230" s="97"/>
      <c r="AW230" s="97"/>
      <c r="AX230" s="98"/>
      <c r="AY230" s="2731">
        <f>SUMIF($A$186:$A$226,$A230,AY$186:AY$226)</f>
        <v>5743668</v>
      </c>
      <c r="AZ230" s="97"/>
      <c r="BA230" s="97"/>
      <c r="BB230" s="98"/>
      <c r="BC230" s="2731">
        <f>SUMIF($A$186:$A$226,$A230,BC$186:BC$226)</f>
        <v>5423668</v>
      </c>
      <c r="BD230" s="97"/>
      <c r="BE230" s="97"/>
      <c r="BF230" s="98"/>
      <c r="BG230" s="2731">
        <f>SUMIF($A$186:$A$226,$A230,BG$186:BG$226)</f>
        <v>7523652</v>
      </c>
      <c r="BH230" s="97"/>
      <c r="BI230" s="97"/>
      <c r="BJ230" s="98"/>
      <c r="BK230" s="2731">
        <f>SUMIF($A$186:$A$226,$A230,BK$186:BK$226)</f>
        <v>63130032</v>
      </c>
      <c r="BL230" s="97"/>
      <c r="BM230" s="97"/>
      <c r="BN230" s="98"/>
      <c r="BQ230" s="97"/>
      <c r="BR230" s="98"/>
      <c r="BS230" s="2731">
        <f>SUMIF($A$186:$A$226,$A230,BS$186:BS$226)</f>
        <v>72166290</v>
      </c>
      <c r="BT230" s="97"/>
      <c r="BU230" s="97"/>
      <c r="BV230" s="98"/>
      <c r="BY230" s="97"/>
      <c r="BZ230" s="98"/>
      <c r="CA230" s="2731">
        <f>SUMIF($A$186:$A$226,$A230,CA$186:CA$226)</f>
        <v>73760750</v>
      </c>
      <c r="CB230" s="97"/>
      <c r="CC230" s="97"/>
      <c r="CD230" s="98"/>
      <c r="CG230" s="97"/>
      <c r="CH230" s="98"/>
      <c r="CI230" s="2731">
        <f>SUMIF($A$186:$A$226,$A230,CI$186:CI$226)</f>
        <v>76460917</v>
      </c>
      <c r="CJ230" s="97"/>
      <c r="CK230" s="97"/>
      <c r="CL230" s="98"/>
      <c r="CO230" s="97"/>
      <c r="CP230" s="98"/>
      <c r="CQ230" s="2731">
        <f>SUMIF($A$186:$A$226,$A230,CQ$186:CQ$226)</f>
        <v>80894250</v>
      </c>
      <c r="CR230" s="97"/>
      <c r="CS230" s="97"/>
      <c r="CT230" s="98"/>
      <c r="CW230" s="97"/>
      <c r="CX230" s="98"/>
    </row>
    <row r="231" spans="1:102">
      <c r="A231" s="2743" t="s">
        <v>2533</v>
      </c>
      <c r="B231" s="98"/>
      <c r="G231" s="2731">
        <f>SUMIF($A$186:$A$226,$A231,G$186:G$226)</f>
        <v>7286475</v>
      </c>
      <c r="O231" s="2731">
        <f>SUMIF($A$186:$A$226,$A231,O$186:O$226)</f>
        <v>1815975</v>
      </c>
      <c r="P231" s="97"/>
      <c r="Q231" s="97"/>
      <c r="R231" s="98"/>
      <c r="S231" s="2731">
        <f>SUMIF($A$186:$A$226,$A231,S$186:S$226)</f>
        <v>0</v>
      </c>
      <c r="T231" s="97"/>
      <c r="U231" s="97"/>
      <c r="V231" s="98"/>
      <c r="W231" s="2731">
        <f>SUMIF($A$186:$A$226,$A231,W$186:W$226)</f>
        <v>1746150</v>
      </c>
      <c r="X231" s="97"/>
      <c r="Y231" s="97"/>
      <c r="Z231" s="98"/>
      <c r="AA231" s="2731">
        <f>SUMIF($A$186:$A$226,$A231,AA$186:AA$226)</f>
        <v>332325</v>
      </c>
      <c r="AB231" s="97"/>
      <c r="AC231" s="97"/>
      <c r="AD231" s="98"/>
      <c r="AE231" s="2731">
        <f>SUMIF($A$186:$A$226,$A231,AE$186:AE$226)</f>
        <v>1381800</v>
      </c>
      <c r="AF231" s="97"/>
      <c r="AG231" s="97"/>
      <c r="AH231" s="98"/>
      <c r="AI231" s="2731">
        <f>SUMIF($A$186:$A$226,$A231,AI$186:AI$226)</f>
        <v>0</v>
      </c>
      <c r="AJ231" s="97"/>
      <c r="AK231" s="97"/>
      <c r="AL231" s="98"/>
      <c r="AM231" s="2731">
        <f>SUMIF($A$186:$A$226,$A231,AM$186:AM$226)</f>
        <v>2455320</v>
      </c>
      <c r="AN231" s="97"/>
      <c r="AO231" s="97"/>
      <c r="AP231" s="98"/>
      <c r="AQ231" s="2731">
        <f>SUMIF($A$186:$A$226,$A231,AQ$186:AQ$226)</f>
        <v>0</v>
      </c>
      <c r="AR231" s="97"/>
      <c r="AS231" s="97"/>
      <c r="AT231" s="98"/>
      <c r="AU231" s="2731">
        <f>SUMIF($A$186:$A$226,$A231,AU$186:AU$226)</f>
        <v>0</v>
      </c>
      <c r="AV231" s="97"/>
      <c r="AW231" s="97"/>
      <c r="AX231" s="98"/>
      <c r="AY231" s="2731">
        <f>SUMIF($A$186:$A$226,$A231,AY$186:AY$226)</f>
        <v>0</v>
      </c>
      <c r="AZ231" s="97"/>
      <c r="BA231" s="97"/>
      <c r="BB231" s="98"/>
      <c r="BC231" s="2731">
        <f>SUMIF($A$186:$A$226,$A231,BC$186:BC$226)</f>
        <v>0</v>
      </c>
      <c r="BD231" s="97"/>
      <c r="BE231" s="97"/>
      <c r="BF231" s="98"/>
      <c r="BG231" s="2731">
        <f>SUMIF($A$186:$A$226,$A231,BG$186:BG$226)</f>
        <v>5798205</v>
      </c>
      <c r="BH231" s="97"/>
      <c r="BI231" s="97"/>
      <c r="BJ231" s="98"/>
      <c r="BK231" s="2731">
        <f>SUMIF($A$186:$A$226,$A231,BK$186:BK$226)</f>
        <v>13529775</v>
      </c>
      <c r="BL231" s="97"/>
      <c r="BM231" s="97"/>
      <c r="BN231" s="98"/>
      <c r="BQ231" s="97"/>
      <c r="BR231" s="98"/>
      <c r="BS231" s="2731">
        <f>SUMIF($A$186:$A$226,$A231,BS$186:BS$226)</f>
        <v>3904005</v>
      </c>
      <c r="BT231" s="97"/>
      <c r="BU231" s="97"/>
      <c r="BV231" s="98"/>
      <c r="BY231" s="97"/>
      <c r="BZ231" s="98"/>
      <c r="CA231" s="2731">
        <f>SUMIF($A$186:$A$226,$A231,CA$186:CA$226)</f>
        <v>4296705</v>
      </c>
      <c r="CB231" s="97"/>
      <c r="CC231" s="97"/>
      <c r="CD231" s="98"/>
      <c r="CG231" s="97"/>
      <c r="CH231" s="98"/>
      <c r="CI231" s="2731">
        <f>SUMIF($A$186:$A$226,$A231,CI$186:CI$226)</f>
        <v>3877230</v>
      </c>
      <c r="CJ231" s="97"/>
      <c r="CK231" s="97"/>
      <c r="CL231" s="98"/>
      <c r="CO231" s="97"/>
      <c r="CP231" s="98"/>
      <c r="CQ231" s="2731">
        <f>SUMIF($A$186:$A$226,$A231,CQ$186:CQ$226)</f>
        <v>2900205</v>
      </c>
      <c r="CR231" s="97"/>
      <c r="CS231" s="97"/>
      <c r="CT231" s="98"/>
      <c r="CW231" s="97"/>
      <c r="CX231" s="98"/>
    </row>
    <row r="232" spans="1:102">
      <c r="A232" s="97" t="s">
        <v>756</v>
      </c>
      <c r="G232" s="2731">
        <f>SUMIF($A$186:$A$226,$A232,G$186:G$226)</f>
        <v>0</v>
      </c>
      <c r="O232" s="2731">
        <f>SUMIF($A$186:$A$226,$A232,O$186:O$226)</f>
        <v>0</v>
      </c>
      <c r="P232" s="97"/>
      <c r="Q232" s="97"/>
      <c r="R232" s="98"/>
      <c r="S232" s="2731">
        <f>SUMIF($A$186:$A$226,$A232,S$186:S$226)</f>
        <v>0</v>
      </c>
      <c r="T232" s="97"/>
      <c r="U232" s="97"/>
      <c r="V232" s="98"/>
      <c r="W232" s="2731">
        <f>SUMIF($A$186:$A$226,$A232,W$186:W$226)</f>
        <v>0</v>
      </c>
      <c r="X232" s="97"/>
      <c r="Y232" s="97"/>
      <c r="Z232" s="98"/>
      <c r="AA232" s="2731">
        <f>SUMIF($A$186:$A$226,$A232,AA$186:AA$226)</f>
        <v>0</v>
      </c>
      <c r="AB232" s="97"/>
      <c r="AC232" s="97"/>
      <c r="AD232" s="98"/>
      <c r="AE232" s="2731">
        <f>SUMIF($A$186:$A$226,$A232,AE$186:AE$226)</f>
        <v>0</v>
      </c>
      <c r="AF232" s="97"/>
      <c r="AG232" s="97"/>
      <c r="AH232" s="98"/>
      <c r="AI232" s="2731">
        <f>SUMIF($A$186:$A$226,$A232,AI$186:AI$226)</f>
        <v>0</v>
      </c>
      <c r="AJ232" s="97"/>
      <c r="AK232" s="97"/>
      <c r="AL232" s="98"/>
      <c r="AM232" s="2731">
        <f>SUMIF($A$186:$A$226,$A232,AM$186:AM$226)</f>
        <v>0</v>
      </c>
      <c r="AN232" s="97"/>
      <c r="AO232" s="97"/>
      <c r="AP232" s="98"/>
      <c r="AQ232" s="2731">
        <f>SUMIF($A$186:$A$226,$A232,AQ$186:AQ$226)</f>
        <v>0</v>
      </c>
      <c r="AR232" s="97"/>
      <c r="AS232" s="97"/>
      <c r="AT232" s="98"/>
      <c r="AU232" s="2731">
        <f>SUMIF($A$186:$A$226,$A232,AU$186:AU$226)</f>
        <v>0</v>
      </c>
      <c r="AV232" s="97"/>
      <c r="AW232" s="97"/>
      <c r="AX232" s="98"/>
      <c r="AY232" s="2731">
        <f>SUMIF($A$186:$A$226,$A232,AY$186:AY$226)</f>
        <v>0</v>
      </c>
      <c r="AZ232" s="97"/>
      <c r="BA232" s="97"/>
      <c r="BB232" s="98"/>
      <c r="BC232" s="2731">
        <f>SUMIF($A$186:$A$226,$A232,BC$186:BC$226)</f>
        <v>0</v>
      </c>
      <c r="BD232" s="97"/>
      <c r="BE232" s="97"/>
      <c r="BF232" s="98"/>
      <c r="BG232" s="2731">
        <f>SUMIF($A$186:$A$226,$A232,BG$186:BG$226)</f>
        <v>0</v>
      </c>
      <c r="BH232" s="97"/>
      <c r="BI232" s="97"/>
      <c r="BJ232" s="98"/>
      <c r="BK232" s="2731">
        <f>SUMIF($A$186:$A$226,$A232,BK$186:BK$226)</f>
        <v>0</v>
      </c>
      <c r="BL232" s="97"/>
      <c r="BM232" s="97"/>
      <c r="BN232" s="98"/>
      <c r="BQ232" s="97"/>
      <c r="BR232" s="98"/>
      <c r="BS232" s="2731">
        <f>SUMIF($A$186:$A$226,$A232,BS$186:BS$226)</f>
        <v>0</v>
      </c>
      <c r="BT232" s="97"/>
      <c r="BU232" s="97"/>
      <c r="BV232" s="98"/>
      <c r="BY232" s="97"/>
      <c r="BZ232" s="98"/>
      <c r="CA232" s="2731">
        <f>SUMIF($A$186:$A$226,$A232,CA$186:CA$226)</f>
        <v>0</v>
      </c>
      <c r="CB232" s="97"/>
      <c r="CC232" s="97"/>
      <c r="CD232" s="98"/>
      <c r="CG232" s="97"/>
      <c r="CH232" s="98"/>
      <c r="CI232" s="2731">
        <f>SUMIF($A$186:$A$226,$A232,CI$186:CI$226)</f>
        <v>0</v>
      </c>
      <c r="CJ232" s="97"/>
      <c r="CK232" s="97"/>
      <c r="CL232" s="98"/>
      <c r="CO232" s="97"/>
      <c r="CP232" s="98"/>
      <c r="CQ232" s="2731">
        <f>SUMIF($A$186:$A$226,$A232,CQ$186:CQ$226)</f>
        <v>0</v>
      </c>
      <c r="CR232" s="97"/>
      <c r="CS232" s="97"/>
      <c r="CT232" s="98"/>
      <c r="CW232" s="97"/>
      <c r="CX232" s="98"/>
    </row>
    <row r="233" spans="1:102">
      <c r="A233" s="214" t="s">
        <v>757</v>
      </c>
      <c r="G233" s="2731">
        <f>SUMIF($A$186:$A$226,$A233,G$186:G$226)</f>
        <v>14826949</v>
      </c>
      <c r="O233" s="2731">
        <f>SUMIF($A$186:$A$226,$A233,O$186:O$226)</f>
        <v>4652551</v>
      </c>
      <c r="P233" s="97"/>
      <c r="Q233" s="97"/>
      <c r="R233" s="98"/>
      <c r="S233" s="2731">
        <f>SUMIF($A$186:$A$226,$A233,S$186:S$226)</f>
        <v>2819442</v>
      </c>
      <c r="T233" s="97"/>
      <c r="U233" s="97"/>
      <c r="V233" s="98"/>
      <c r="W233" s="2731">
        <f>SUMIF($A$186:$A$226,$A233,W$186:W$226)</f>
        <v>5695957</v>
      </c>
      <c r="X233" s="97"/>
      <c r="Y233" s="97"/>
      <c r="Z233" s="98"/>
      <c r="AA233" s="2731">
        <f>SUMIF($A$186:$A$226,$A233,AA$186:AA$226)</f>
        <v>4063860</v>
      </c>
      <c r="AB233" s="97"/>
      <c r="AC233" s="97"/>
      <c r="AD233" s="98"/>
      <c r="AE233" s="2731">
        <f>SUMIF($A$186:$A$226,$A233,AE$186:AE$226)</f>
        <v>4196796</v>
      </c>
      <c r="AF233" s="97"/>
      <c r="AG233" s="97"/>
      <c r="AH233" s="98"/>
      <c r="AI233" s="2731">
        <f>SUMIF($A$186:$A$226,$A233,AI$186:AI$226)</f>
        <v>4293080</v>
      </c>
      <c r="AJ233" s="97"/>
      <c r="AK233" s="97"/>
      <c r="AL233" s="98"/>
      <c r="AM233" s="2731">
        <f>SUMIF($A$186:$A$226,$A233,AM$186:AM$226)</f>
        <v>4201412</v>
      </c>
      <c r="AN233" s="97"/>
      <c r="AO233" s="97"/>
      <c r="AP233" s="98"/>
      <c r="AQ233" s="2731">
        <f>SUMIF($A$186:$A$226,$A233,AQ$186:AQ$226)</f>
        <v>3727340</v>
      </c>
      <c r="AR233" s="97"/>
      <c r="AS233" s="97"/>
      <c r="AT233" s="98"/>
      <c r="AU233" s="2731">
        <f>SUMIF($A$186:$A$226,$A233,AU$186:AU$226)</f>
        <v>3660531</v>
      </c>
      <c r="AV233" s="97"/>
      <c r="AW233" s="97"/>
      <c r="AX233" s="98"/>
      <c r="AY233" s="2731">
        <f>SUMIF($A$186:$A$226,$A233,AY$186:AY$226)</f>
        <v>4126615</v>
      </c>
      <c r="AZ233" s="97"/>
      <c r="BA233" s="97"/>
      <c r="BB233" s="98"/>
      <c r="BC233" s="2731">
        <f>SUMIF($A$186:$A$226,$A233,BC$186:BC$226)</f>
        <v>3899956</v>
      </c>
      <c r="BD233" s="97"/>
      <c r="BE233" s="97"/>
      <c r="BF233" s="98"/>
      <c r="BG233" s="2731">
        <f>SUMIF($A$186:$A$226,$A233,BG$186:BG$226)</f>
        <v>8767535</v>
      </c>
      <c r="BH233" s="97"/>
      <c r="BI233" s="97"/>
      <c r="BJ233" s="98"/>
      <c r="BK233" s="2731">
        <f>SUMIF($A$186:$A$226,$A233,BK$186:BK$226)</f>
        <v>54105075</v>
      </c>
      <c r="BL233" s="97"/>
      <c r="BM233" s="97"/>
      <c r="BN233" s="98"/>
      <c r="BQ233" s="97"/>
      <c r="BR233" s="98"/>
      <c r="BS233" s="2731">
        <f>SUMIF($A$186:$A$226,$A233,BS$186:BS$226)</f>
        <v>51737469</v>
      </c>
      <c r="BT233" s="97"/>
      <c r="BU233" s="97"/>
      <c r="BV233" s="98"/>
      <c r="BY233" s="97"/>
      <c r="BZ233" s="98"/>
      <c r="CA233" s="2731">
        <f>SUMIF($A$186:$A$226,$A233,CA$186:CA$226)</f>
        <v>56091186</v>
      </c>
      <c r="CB233" s="97"/>
      <c r="CC233" s="97"/>
      <c r="CD233" s="98"/>
      <c r="CG233" s="97"/>
      <c r="CH233" s="98"/>
      <c r="CI233" s="2731">
        <f>SUMIF($A$186:$A$226,$A233,CI$186:CI$226)</f>
        <v>55461758</v>
      </c>
      <c r="CJ233" s="97"/>
      <c r="CK233" s="97"/>
      <c r="CL233" s="98"/>
      <c r="CO233" s="97"/>
      <c r="CP233" s="98"/>
      <c r="CQ233" s="2731">
        <f>SUMIF($A$186:$A$226,$A233,CQ$186:CQ$226)</f>
        <v>62006027</v>
      </c>
      <c r="CR233" s="97"/>
      <c r="CS233" s="97"/>
      <c r="CT233" s="98"/>
      <c r="CW233" s="97"/>
      <c r="CX233" s="98"/>
    </row>
    <row r="234" spans="1:102">
      <c r="A234" s="2792" t="s">
        <v>758</v>
      </c>
      <c r="B234" s="214"/>
      <c r="G234" s="2781">
        <f>SUMIF($A$186:$A$226,$A234,G$186:G$226)</f>
        <v>-11966001</v>
      </c>
      <c r="H234" s="97">
        <f>SUM(G228:G234)</f>
        <v>31514423</v>
      </c>
      <c r="O234" s="2781">
        <f>SUMIF($A$186:$A$226,$A234,O$186:O$226)</f>
        <v>1866570</v>
      </c>
      <c r="P234" s="97">
        <f>SUM(O228:O234)</f>
        <v>13999764</v>
      </c>
      <c r="Q234" s="97"/>
      <c r="R234" s="98"/>
      <c r="S234" s="2781">
        <f>SUMIF($A$186:$A$226,$A234,S$186:S$226)</f>
        <v>1182035</v>
      </c>
      <c r="T234" s="97">
        <f>SUM(S228:S234)</f>
        <v>9117427</v>
      </c>
      <c r="U234" s="97"/>
      <c r="V234" s="98"/>
      <c r="W234" s="2781">
        <f>SUMIF($A$186:$A$226,$A234,W$186:W$226)</f>
        <v>2190465</v>
      </c>
      <c r="X234" s="97">
        <f>SUM(W228:W234)</f>
        <v>14965490</v>
      </c>
      <c r="Y234" s="97"/>
      <c r="Z234" s="98"/>
      <c r="AA234" s="2781">
        <f>SUMIF($A$186:$A$226,$A234,AA$186:AA$226)</f>
        <v>1514167</v>
      </c>
      <c r="AB234" s="97">
        <f>SUM(AA228:AA234)</f>
        <v>11111020</v>
      </c>
      <c r="AC234" s="97"/>
      <c r="AD234" s="98"/>
      <c r="AE234" s="2781">
        <f>SUMIF($A$186:$A$226,$A234,AE$186:AE$226)</f>
        <v>1600187</v>
      </c>
      <c r="AF234" s="97">
        <f>SUM(AE228:AE234)</f>
        <v>11961951</v>
      </c>
      <c r="AG234" s="97"/>
      <c r="AH234" s="98"/>
      <c r="AI234" s="2781">
        <f>SUMIF($A$186:$A$226,$A234,AI$186:AI$226)</f>
        <v>1617488</v>
      </c>
      <c r="AJ234" s="97">
        <f>SUM(AI228:AI234)</f>
        <v>9667736</v>
      </c>
      <c r="AK234" s="97"/>
      <c r="AL234" s="98"/>
      <c r="AM234" s="2781">
        <f>SUMIF($A$186:$A$226,$A234,AM$186:AM$226)</f>
        <v>1540943</v>
      </c>
      <c r="AN234" s="97">
        <f>SUM(AM228:AM234)</f>
        <v>13869343</v>
      </c>
      <c r="AO234" s="97"/>
      <c r="AP234" s="98"/>
      <c r="AQ234" s="2781">
        <f>SUMIF($A$186:$A$226,$A234,AQ$186:AQ$226)</f>
        <v>719757</v>
      </c>
      <c r="AR234" s="97">
        <f>SUM(AQ228:AQ234)</f>
        <v>8934265</v>
      </c>
      <c r="AS234" s="97"/>
      <c r="AT234" s="98"/>
      <c r="AU234" s="2781">
        <f>SUMIF($A$186:$A$226,$A234,AU$186:AU$226)</f>
        <v>522505</v>
      </c>
      <c r="AV234" s="97">
        <f>SUM(AU228:AU234)</f>
        <v>8608704</v>
      </c>
      <c r="AW234" s="97"/>
      <c r="AX234" s="98"/>
      <c r="AY234" s="2781">
        <f>SUMIF($A$186:$A$226,$A234,AY$186:AY$226)</f>
        <v>3168588</v>
      </c>
      <c r="AZ234" s="97">
        <f>SUM(AY228:AY234)</f>
        <v>13038871</v>
      </c>
      <c r="BA234" s="97"/>
      <c r="BB234" s="98"/>
      <c r="BC234" s="2781">
        <f>SUMIF($A$186:$A$226,$A234,BC$186:BC$226)</f>
        <v>1548043</v>
      </c>
      <c r="BD234" s="97">
        <f>SUM(BC228:BC234)</f>
        <v>10871667</v>
      </c>
      <c r="BE234" s="97"/>
      <c r="BF234" s="98"/>
      <c r="BG234" s="2781">
        <f>SUMIF($A$186:$A$226,$A234,BG$186:BG$226)</f>
        <v>3553951</v>
      </c>
      <c r="BH234" s="97">
        <f>SUM(BG228:BG234)</f>
        <v>25643343</v>
      </c>
      <c r="BI234" s="97"/>
      <c r="BJ234" s="98"/>
      <c r="BK234" s="2781">
        <f>SUMIF($A$186:$A$226,$A234,BK$186:BK$226)</f>
        <v>21024699</v>
      </c>
      <c r="BL234" s="97">
        <f>SUM(BK228:BK234)</f>
        <v>151789581</v>
      </c>
      <c r="BM234" s="97"/>
      <c r="BN234" s="98"/>
      <c r="BQ234" s="97"/>
      <c r="BR234" s="98"/>
      <c r="BS234" s="2781">
        <f>SUMIF($A$186:$A$226,$A234,BS$186:BS$226)</f>
        <v>20886387</v>
      </c>
      <c r="BT234" s="97">
        <f>SUM(BS228:BS234)</f>
        <v>148694151</v>
      </c>
      <c r="BU234" s="98"/>
      <c r="BV234" s="98"/>
      <c r="BY234" s="97"/>
      <c r="BZ234" s="98"/>
      <c r="CA234" s="2781">
        <f>SUMIF($A$186:$A$226,$A234,CA$186:CA$226)</f>
        <v>23241500</v>
      </c>
      <c r="CB234" s="97">
        <f>SUM(CA228:CA234)</f>
        <v>157390141</v>
      </c>
      <c r="CC234" s="98"/>
      <c r="CD234" s="98"/>
      <c r="CG234" s="97"/>
      <c r="CH234" s="98"/>
      <c r="CI234" s="2781">
        <f>SUMIF($A$186:$A$226,$A234,CI$186:CI$226)</f>
        <v>23419202</v>
      </c>
      <c r="CJ234" s="97">
        <f>SUM(CI228:CI234)</f>
        <v>159219107</v>
      </c>
      <c r="CK234" s="98"/>
      <c r="CL234" s="98"/>
      <c r="CO234" s="97"/>
      <c r="CP234" s="98"/>
      <c r="CQ234" s="2781">
        <f>SUMIF($A$186:$A$226,$A234,CQ$186:CQ$226)</f>
        <v>26620459</v>
      </c>
      <c r="CR234" s="97">
        <f>SUM(CQ228:CQ234)</f>
        <v>172420941</v>
      </c>
      <c r="CS234" s="98"/>
      <c r="CT234" s="98"/>
      <c r="CW234" s="97"/>
      <c r="CX234" s="98"/>
    </row>
    <row r="235" spans="1:102">
      <c r="A235" s="2791" t="s">
        <v>2573</v>
      </c>
      <c r="G235" s="2731">
        <f>SUMIF($A$186:$A$226,$A235,G$186:G$226)</f>
        <v>0</v>
      </c>
      <c r="O235" s="2731">
        <f>SUMIF($A$186:$A$226,$A235,O$186:O$226)</f>
        <v>0</v>
      </c>
      <c r="P235" s="97"/>
      <c r="Q235" s="97"/>
      <c r="R235" s="98"/>
      <c r="S235" s="2731">
        <f>SUMIF($A$186:$A$226,$A235,S$186:S$226)</f>
        <v>0</v>
      </c>
      <c r="T235" s="97"/>
      <c r="U235" s="97"/>
      <c r="V235" s="98"/>
      <c r="W235" s="2731">
        <f>SUMIF($A$186:$A$226,$A235,W$186:W$226)</f>
        <v>0</v>
      </c>
      <c r="X235" s="97"/>
      <c r="Y235" s="97"/>
      <c r="Z235" s="98"/>
      <c r="AA235" s="2731">
        <f>SUMIF($A$186:$A$226,$A235,AA$186:AA$226)</f>
        <v>0</v>
      </c>
      <c r="AB235" s="97"/>
      <c r="AC235" s="97"/>
      <c r="AD235" s="98"/>
      <c r="AE235" s="2731">
        <f>SUMIF($A$186:$A$226,$A235,AE$186:AE$226)</f>
        <v>0</v>
      </c>
      <c r="AF235" s="97"/>
      <c r="AG235" s="97"/>
      <c r="AH235" s="98"/>
      <c r="AI235" s="2731">
        <f>SUMIF($A$186:$A$226,$A235,AI$186:AI$226)</f>
        <v>0</v>
      </c>
      <c r="AJ235" s="97"/>
      <c r="AK235" s="97"/>
      <c r="AL235" s="98"/>
      <c r="AM235" s="2731">
        <f>SUMIF($A$186:$A$226,$A235,AM$186:AM$226)</f>
        <v>0</v>
      </c>
      <c r="AN235" s="97"/>
      <c r="AO235" s="97"/>
      <c r="AP235" s="98"/>
      <c r="AQ235" s="2731">
        <f>SUMIF($A$186:$A$226,$A235,AQ$186:AQ$226)</f>
        <v>0</v>
      </c>
      <c r="AR235" s="97"/>
      <c r="AS235" s="97"/>
      <c r="AT235" s="98"/>
      <c r="AU235" s="2731">
        <f>SUMIF($A$186:$A$226,$A235,AU$186:AU$226)</f>
        <v>0</v>
      </c>
      <c r="AV235" s="97"/>
      <c r="AW235" s="97"/>
      <c r="AX235" s="98"/>
      <c r="AY235" s="2731">
        <f>SUMIF($A$186:$A$226,$A235,AY$186:AY$226)</f>
        <v>0</v>
      </c>
      <c r="AZ235" s="97"/>
      <c r="BA235" s="97"/>
      <c r="BB235" s="98"/>
      <c r="BC235" s="2731">
        <f>SUMIF($A$186:$A$226,$A235,BC$186:BC$226)</f>
        <v>0</v>
      </c>
      <c r="BD235" s="97"/>
      <c r="BE235" s="97"/>
      <c r="BF235" s="98"/>
      <c r="BG235" s="2731">
        <f>SUMIF($A$186:$A$226,$A235,BG$186:BG$226)</f>
        <v>0</v>
      </c>
      <c r="BH235" s="97"/>
      <c r="BI235" s="97"/>
      <c r="BJ235" s="98"/>
      <c r="BK235" s="2731">
        <f>SUMIF($A$186:$A$226,$A235,BK$186:BK$226)</f>
        <v>0</v>
      </c>
      <c r="BL235" s="97"/>
      <c r="BM235" s="97"/>
      <c r="BN235" s="98"/>
      <c r="BQ235" s="97"/>
      <c r="BR235" s="98"/>
      <c r="BS235" s="2731">
        <f>SUMIF($A$186:$A$226,$A235,BS$186:BS$226)</f>
        <v>0</v>
      </c>
      <c r="BT235" s="97"/>
      <c r="BU235" s="97"/>
      <c r="BV235" s="98"/>
      <c r="BY235" s="97"/>
      <c r="BZ235" s="98"/>
      <c r="CA235" s="2731">
        <f>SUMIF($A$186:$A$226,$A235,CA$186:CA$226)</f>
        <v>0</v>
      </c>
      <c r="CB235" s="97"/>
      <c r="CC235" s="97"/>
      <c r="CD235" s="98"/>
      <c r="CG235" s="97"/>
      <c r="CH235" s="98"/>
      <c r="CI235" s="2731">
        <f>SUMIF($A$186:$A$226,$A235,CI$186:CI$226)</f>
        <v>0</v>
      </c>
      <c r="CJ235" s="97"/>
      <c r="CK235" s="97"/>
      <c r="CL235" s="98"/>
      <c r="CO235" s="97"/>
      <c r="CP235" s="98"/>
      <c r="CQ235" s="2731">
        <f>SUMIF($A$186:$A$226,$A235,CQ$186:CQ$226)</f>
        <v>0</v>
      </c>
      <c r="CR235" s="97"/>
      <c r="CS235" s="97"/>
      <c r="CT235" s="98"/>
      <c r="CW235" s="97"/>
      <c r="CX235" s="98"/>
    </row>
    <row r="236" spans="1:102">
      <c r="A236" s="4" t="s">
        <v>740</v>
      </c>
      <c r="B236" s="4"/>
      <c r="G236" s="2731">
        <f>SUMIF($A$186:$A$226,$A236,G$186:G$226)</f>
        <v>0</v>
      </c>
      <c r="O236" s="2731">
        <f>SUMIF($A$186:$A$226,$A236,O$186:O$226)</f>
        <v>0</v>
      </c>
      <c r="P236" s="97"/>
      <c r="Q236" s="97"/>
      <c r="R236" s="98"/>
      <c r="S236" s="2731">
        <f>SUMIF($A$186:$A$226,$A236,S$186:S$226)</f>
        <v>0</v>
      </c>
      <c r="T236" s="97"/>
      <c r="U236" s="97"/>
      <c r="V236" s="98"/>
      <c r="W236" s="2731">
        <f>SUMIF($A$186:$A$226,$A236,W$186:W$226)</f>
        <v>0</v>
      </c>
      <c r="X236" s="97"/>
      <c r="Y236" s="97"/>
      <c r="Z236" s="98"/>
      <c r="AA236" s="2731">
        <f>SUMIF($A$186:$A$226,$A236,AA$186:AA$226)</f>
        <v>0</v>
      </c>
      <c r="AB236" s="97"/>
      <c r="AC236" s="97"/>
      <c r="AD236" s="98"/>
      <c r="AE236" s="2731">
        <f>SUMIF($A$186:$A$226,$A236,AE$186:AE$226)</f>
        <v>0</v>
      </c>
      <c r="AF236" s="97"/>
      <c r="AG236" s="97"/>
      <c r="AH236" s="98"/>
      <c r="AI236" s="2731">
        <f>SUMIF($A$186:$A$226,$A236,AI$186:AI$226)</f>
        <v>0</v>
      </c>
      <c r="AJ236" s="97"/>
      <c r="AK236" s="97"/>
      <c r="AL236" s="98"/>
      <c r="AM236" s="2731">
        <f>SUMIF($A$186:$A$226,$A236,AM$186:AM$226)</f>
        <v>0</v>
      </c>
      <c r="AN236" s="97"/>
      <c r="AO236" s="97"/>
      <c r="AP236" s="98"/>
      <c r="AQ236" s="2731">
        <f>SUMIF($A$186:$A$226,$A236,AQ$186:AQ$226)</f>
        <v>0</v>
      </c>
      <c r="AR236" s="97"/>
      <c r="AS236" s="97"/>
      <c r="AT236" s="98"/>
      <c r="AU236" s="2731">
        <f>SUMIF($A$186:$A$226,$A236,AU$186:AU$226)</f>
        <v>0</v>
      </c>
      <c r="AV236" s="97"/>
      <c r="AW236" s="97"/>
      <c r="AX236" s="98"/>
      <c r="AY236" s="2731">
        <f>SUMIF($A$186:$A$226,$A236,AY$186:AY$226)</f>
        <v>0</v>
      </c>
      <c r="AZ236" s="97"/>
      <c r="BA236" s="97"/>
      <c r="BB236" s="98"/>
      <c r="BC236" s="2731">
        <f>SUMIF($A$186:$A$226,$A236,BC$186:BC$226)</f>
        <v>0</v>
      </c>
      <c r="BD236" s="97"/>
      <c r="BE236" s="97"/>
      <c r="BF236" s="98"/>
      <c r="BG236" s="2731">
        <f>SUMIF($A$186:$A$226,$A236,BG$186:BG$226)</f>
        <v>0</v>
      </c>
      <c r="BH236" s="97"/>
      <c r="BI236" s="97"/>
      <c r="BJ236" s="98"/>
      <c r="BK236" s="2731">
        <f>SUMIF($A$186:$A$226,$A236,BK$186:BK$226)</f>
        <v>0</v>
      </c>
      <c r="BL236" s="97"/>
      <c r="BM236" s="97"/>
      <c r="BN236" s="98"/>
      <c r="BQ236" s="97"/>
      <c r="BR236" s="98"/>
      <c r="BS236" s="2731">
        <f>SUMIF($A$186:$A$226,$A236,BS$186:BS$226)</f>
        <v>0</v>
      </c>
      <c r="BT236" s="97"/>
      <c r="BU236" s="97"/>
      <c r="BV236" s="98"/>
      <c r="BY236" s="97"/>
      <c r="BZ236" s="98"/>
      <c r="CA236" s="2731">
        <f>SUMIF($A$186:$A$226,$A236,CA$186:CA$226)</f>
        <v>0</v>
      </c>
      <c r="CB236" s="97"/>
      <c r="CC236" s="97"/>
      <c r="CD236" s="98"/>
      <c r="CG236" s="97"/>
      <c r="CH236" s="98"/>
      <c r="CI236" s="2731">
        <f>SUMIF($A$186:$A$226,$A236,CI$186:CI$226)</f>
        <v>0</v>
      </c>
      <c r="CJ236" s="97"/>
      <c r="CK236" s="97"/>
      <c r="CL236" s="98"/>
      <c r="CO236" s="97"/>
      <c r="CP236" s="98"/>
      <c r="CQ236" s="2731">
        <f>SUMIF($A$186:$A$226,$A236,CQ$186:CQ$226)</f>
        <v>0</v>
      </c>
      <c r="CR236" s="97"/>
      <c r="CS236" s="97"/>
      <c r="CT236" s="98"/>
      <c r="CW236" s="97"/>
      <c r="CX236" s="98"/>
    </row>
    <row r="237" spans="1:102">
      <c r="A237" s="97" t="s">
        <v>759</v>
      </c>
      <c r="G237" s="2731">
        <f>SUMIF($A$186:$A$226,$A237,G$186:G$226)</f>
        <v>346975</v>
      </c>
      <c r="O237" s="2731">
        <f>SUMIF($A$186:$A$226,$A237,O$186:O$226)</f>
        <v>86475</v>
      </c>
      <c r="P237" s="97"/>
      <c r="Q237" s="97"/>
      <c r="R237" s="98"/>
      <c r="S237" s="2731">
        <f>SUMIF($A$186:$A$226,$A237,S$186:S$226)</f>
        <v>0</v>
      </c>
      <c r="T237" s="97"/>
      <c r="U237" s="97"/>
      <c r="V237" s="98"/>
      <c r="W237" s="2731">
        <f>SUMIF($A$186:$A$226,$A237,W$186:W$226)</f>
        <v>83150</v>
      </c>
      <c r="X237" s="97"/>
      <c r="Y237" s="97"/>
      <c r="Z237" s="98"/>
      <c r="AA237" s="2731">
        <f>SUMIF($A$186:$A$226,$A237,AA$186:AA$226)</f>
        <v>15825</v>
      </c>
      <c r="AB237" s="97"/>
      <c r="AC237" s="97"/>
      <c r="AD237" s="98"/>
      <c r="AE237" s="2731">
        <f>SUMIF($A$186:$A$226,$A237,AE$186:AE$226)</f>
        <v>65800</v>
      </c>
      <c r="AF237" s="97"/>
      <c r="AG237" s="97"/>
      <c r="AH237" s="98"/>
      <c r="AI237" s="2731">
        <f>SUMIF($A$186:$A$226,$A237,AI$186:AI$226)</f>
        <v>0</v>
      </c>
      <c r="AJ237" s="97"/>
      <c r="AK237" s="97"/>
      <c r="AL237" s="98"/>
      <c r="AM237" s="2731">
        <f>SUMIF($A$186:$A$226,$A237,AM$186:AM$226)</f>
        <v>116920</v>
      </c>
      <c r="AN237" s="97"/>
      <c r="AO237" s="97"/>
      <c r="AP237" s="98"/>
      <c r="AQ237" s="2731">
        <f>SUMIF($A$186:$A$226,$A237,AQ$186:AQ$226)</f>
        <v>0</v>
      </c>
      <c r="AR237" s="97"/>
      <c r="AS237" s="97"/>
      <c r="AT237" s="98"/>
      <c r="AU237" s="2731">
        <f>SUMIF($A$186:$A$226,$A237,AU$186:AU$226)</f>
        <v>0</v>
      </c>
      <c r="AV237" s="97"/>
      <c r="AW237" s="97"/>
      <c r="AX237" s="98"/>
      <c r="AY237" s="2731">
        <f>SUMIF($A$186:$A$226,$A237,AY$186:AY$226)</f>
        <v>0</v>
      </c>
      <c r="AZ237" s="97"/>
      <c r="BA237" s="97"/>
      <c r="BB237" s="98"/>
      <c r="BC237" s="2731">
        <f>SUMIF($A$186:$A$226,$A237,BC$186:BC$226)</f>
        <v>0</v>
      </c>
      <c r="BD237" s="97"/>
      <c r="BE237" s="97"/>
      <c r="BF237" s="98"/>
      <c r="BG237" s="2731">
        <f>SUMIF($A$186:$A$226,$A237,BG$186:BG$226)</f>
        <v>276105</v>
      </c>
      <c r="BH237" s="97"/>
      <c r="BI237" s="97"/>
      <c r="BJ237" s="98"/>
      <c r="BK237" s="2731">
        <f>SUMIF($A$186:$A$226,$A237,BK$186:BK$226)</f>
        <v>644275</v>
      </c>
      <c r="BL237" s="97"/>
      <c r="BM237" s="97"/>
      <c r="BN237" s="98"/>
      <c r="BQ237" s="97"/>
      <c r="BR237" s="98"/>
      <c r="BS237" s="2731">
        <f>SUMIF($A$186:$A$226,$A237,BS$186:BS$226)</f>
        <v>185905</v>
      </c>
      <c r="BT237" s="97"/>
      <c r="BU237" s="97"/>
      <c r="BV237" s="98"/>
      <c r="BY237" s="97"/>
      <c r="BZ237" s="98"/>
      <c r="CA237" s="2731">
        <f>SUMIF($A$186:$A$226,$A237,CA$186:CA$226)</f>
        <v>204605</v>
      </c>
      <c r="CB237" s="97"/>
      <c r="CC237" s="97"/>
      <c r="CD237" s="98"/>
      <c r="CG237" s="97"/>
      <c r="CH237" s="98"/>
      <c r="CI237" s="2731">
        <f>SUMIF($A$186:$A$226,$A237,CI$186:CI$226)</f>
        <v>184630</v>
      </c>
      <c r="CJ237" s="97"/>
      <c r="CK237" s="97"/>
      <c r="CL237" s="98"/>
      <c r="CO237" s="97"/>
      <c r="CP237" s="98"/>
      <c r="CQ237" s="2731">
        <f>SUMIF($A$186:$A$226,$A237,CQ$186:CQ$226)</f>
        <v>138105</v>
      </c>
      <c r="CR237" s="97"/>
      <c r="CS237" s="97"/>
      <c r="CT237" s="98"/>
      <c r="CW237" s="97"/>
      <c r="CX237" s="98"/>
    </row>
    <row r="238" spans="1:102">
      <c r="A238" s="97" t="s">
        <v>760</v>
      </c>
      <c r="G238" s="2731">
        <f>SUMIF($A$186:$A$226,$A238,G$186:G$226)</f>
        <v>0</v>
      </c>
      <c r="O238" s="2731">
        <f>SUMIF($A$186:$A$226,$A238,O$186:O$226)</f>
        <v>0</v>
      </c>
      <c r="P238" s="97"/>
      <c r="Q238" s="97"/>
      <c r="R238" s="98"/>
      <c r="S238" s="2731">
        <f>SUMIF($A$186:$A$226,$A238,S$186:S$226)</f>
        <v>0</v>
      </c>
      <c r="T238" s="97"/>
      <c r="U238" s="97"/>
      <c r="V238" s="98"/>
      <c r="W238" s="2731">
        <f>SUMIF($A$186:$A$226,$A238,W$186:W$226)</f>
        <v>0</v>
      </c>
      <c r="X238" s="97"/>
      <c r="Y238" s="97"/>
      <c r="Z238" s="98"/>
      <c r="AA238" s="2731">
        <f>SUMIF($A$186:$A$226,$A238,AA$186:AA$226)</f>
        <v>0</v>
      </c>
      <c r="AB238" s="97"/>
      <c r="AC238" s="97"/>
      <c r="AD238" s="98"/>
      <c r="AE238" s="2731">
        <f>SUMIF($A$186:$A$226,$A238,AE$186:AE$226)</f>
        <v>0</v>
      </c>
      <c r="AF238" s="97"/>
      <c r="AG238" s="97"/>
      <c r="AH238" s="98"/>
      <c r="AI238" s="2731">
        <f>SUMIF($A$186:$A$226,$A238,AI$186:AI$226)</f>
        <v>0</v>
      </c>
      <c r="AJ238" s="97"/>
      <c r="AK238" s="97"/>
      <c r="AL238" s="98"/>
      <c r="AM238" s="2731">
        <f>SUMIF($A$186:$A$226,$A238,AM$186:AM$226)</f>
        <v>0</v>
      </c>
      <c r="AN238" s="97"/>
      <c r="AO238" s="97"/>
      <c r="AP238" s="98"/>
      <c r="AQ238" s="2731">
        <f>SUMIF($A$186:$A$226,$A238,AQ$186:AQ$226)</f>
        <v>0</v>
      </c>
      <c r="AR238" s="97"/>
      <c r="AS238" s="97"/>
      <c r="AT238" s="98"/>
      <c r="AU238" s="2731">
        <f>SUMIF($A$186:$A$226,$A238,AU$186:AU$226)</f>
        <v>0</v>
      </c>
      <c r="AV238" s="97"/>
      <c r="AW238" s="97"/>
      <c r="AX238" s="98"/>
      <c r="AY238" s="2731">
        <f>SUMIF($A$186:$A$226,$A238,AY$186:AY$226)</f>
        <v>0</v>
      </c>
      <c r="AZ238" s="97"/>
      <c r="BA238" s="97"/>
      <c r="BB238" s="98"/>
      <c r="BC238" s="2731">
        <f>SUMIF($A$186:$A$226,$A238,BC$186:BC$226)</f>
        <v>0</v>
      </c>
      <c r="BD238" s="97"/>
      <c r="BE238" s="97"/>
      <c r="BF238" s="98"/>
      <c r="BG238" s="2731">
        <f>SUMIF($A$186:$A$226,$A238,BG$186:BG$226)</f>
        <v>0</v>
      </c>
      <c r="BH238" s="97"/>
      <c r="BI238" s="97"/>
      <c r="BJ238" s="98"/>
      <c r="BK238" s="2731">
        <f>SUMIF($A$186:$A$226,$A238,BK$186:BK$226)</f>
        <v>0</v>
      </c>
      <c r="BL238" s="97"/>
      <c r="BM238" s="97"/>
      <c r="BN238" s="98"/>
      <c r="BQ238" s="97"/>
      <c r="BR238" s="98"/>
      <c r="BS238" s="2731">
        <f>SUMIF($A$186:$A$226,$A238,BS$186:BS$226)</f>
        <v>0</v>
      </c>
      <c r="BT238" s="97"/>
      <c r="BU238" s="97"/>
      <c r="BV238" s="98"/>
      <c r="BY238" s="97"/>
      <c r="BZ238" s="98"/>
      <c r="CA238" s="2731">
        <f>SUMIF($A$186:$A$226,$A238,CA$186:CA$226)</f>
        <v>0</v>
      </c>
      <c r="CB238" s="97"/>
      <c r="CC238" s="97"/>
      <c r="CD238" s="98"/>
      <c r="CG238" s="97"/>
      <c r="CH238" s="98"/>
      <c r="CI238" s="2731">
        <f>SUMIF($A$186:$A$226,$A238,CI$186:CI$226)</f>
        <v>0</v>
      </c>
      <c r="CJ238" s="97"/>
      <c r="CK238" s="97"/>
      <c r="CL238" s="98"/>
      <c r="CO238" s="97"/>
      <c r="CP238" s="98"/>
      <c r="CQ238" s="2731">
        <f>SUMIF($A$186:$A$226,$A238,CQ$186:CQ$226)</f>
        <v>0</v>
      </c>
      <c r="CR238" s="97"/>
      <c r="CS238" s="97"/>
      <c r="CT238" s="98"/>
      <c r="CW238" s="97"/>
      <c r="CX238" s="98"/>
    </row>
    <row r="239" spans="1:102">
      <c r="A239" s="2790" t="s">
        <v>2574</v>
      </c>
      <c r="G239" s="2731">
        <f>SUMIF($A$186:$A$226,$A239,G$186:G$226)</f>
        <v>278313</v>
      </c>
      <c r="O239" s="2731">
        <f>SUMIF($A$186:$A$226,$A239,O$186:O$226)</f>
        <v>-20613</v>
      </c>
      <c r="P239" s="97"/>
      <c r="Q239" s="97"/>
      <c r="R239" s="98"/>
      <c r="S239" s="2731">
        <f>SUMIF($A$186:$A$226,$A239,S$186:S$226)</f>
        <v>-8132</v>
      </c>
      <c r="T239" s="97"/>
      <c r="U239" s="97"/>
      <c r="V239" s="98"/>
      <c r="W239" s="2731">
        <f>SUMIF($A$186:$A$226,$A239,W$186:W$226)</f>
        <v>-9110</v>
      </c>
      <c r="X239" s="97"/>
      <c r="Y239" s="97"/>
      <c r="Z239" s="98"/>
      <c r="AA239" s="2731">
        <f>SUMIF($A$186:$A$226,$A239,AA$186:AA$226)</f>
        <v>-22493</v>
      </c>
      <c r="AB239" s="97"/>
      <c r="AC239" s="97"/>
      <c r="AD239" s="98"/>
      <c r="AE239" s="2731">
        <f>SUMIF($A$186:$A$226,$A239,AE$186:AE$226)</f>
        <v>-22492</v>
      </c>
      <c r="AF239" s="97"/>
      <c r="AG239" s="97"/>
      <c r="AH239" s="98"/>
      <c r="AI239" s="2731">
        <f>SUMIF($A$186:$A$226,$A239,AI$186:AI$226)</f>
        <v>-22493</v>
      </c>
      <c r="AJ239" s="97"/>
      <c r="AK239" s="97"/>
      <c r="AL239" s="98"/>
      <c r="AM239" s="2731">
        <f>SUMIF($A$186:$A$226,$A239,AM$186:AM$226)</f>
        <v>-24118</v>
      </c>
      <c r="AN239" s="97"/>
      <c r="AO239" s="97"/>
      <c r="AP239" s="98"/>
      <c r="AQ239" s="2731">
        <f>SUMIF($A$186:$A$226,$A239,AQ$186:AQ$226)</f>
        <v>-26937</v>
      </c>
      <c r="AR239" s="97"/>
      <c r="AS239" s="97"/>
      <c r="AT239" s="98"/>
      <c r="AU239" s="2731">
        <f>SUMIF($A$186:$A$226,$A239,AU$186:AU$226)</f>
        <v>-26936</v>
      </c>
      <c r="AV239" s="97"/>
      <c r="AW239" s="97"/>
      <c r="AX239" s="98"/>
      <c r="AY239" s="2731">
        <f>SUMIF($A$186:$A$226,$A239,AY$186:AY$226)</f>
        <v>-27682</v>
      </c>
      <c r="AZ239" s="97"/>
      <c r="BA239" s="97"/>
      <c r="BB239" s="98"/>
      <c r="BC239" s="2731">
        <f>SUMIF($A$186:$A$226,$A239,BC$186:BC$226)</f>
        <v>-16810</v>
      </c>
      <c r="BD239" s="97"/>
      <c r="BE239" s="97"/>
      <c r="BF239" s="98"/>
      <c r="BG239" s="2731">
        <f>SUMIF($A$186:$A$226,$A239,BG$186:BG$226)</f>
        <v>-30218</v>
      </c>
      <c r="BH239" s="97"/>
      <c r="BI239" s="97"/>
      <c r="BJ239" s="98"/>
      <c r="BK239" s="2731">
        <f>SUMIF($A$186:$A$226,$A239,BK$186:BK$226)</f>
        <v>-258034</v>
      </c>
      <c r="BL239" s="97"/>
      <c r="BM239" s="97"/>
      <c r="BN239" s="98"/>
      <c r="BQ239" s="97"/>
      <c r="BR239" s="98"/>
      <c r="BS239" s="2731">
        <f>SUMIF($A$186:$A$226,$A239,BS$186:BS$226)</f>
        <v>0</v>
      </c>
      <c r="BT239" s="97"/>
      <c r="BU239" s="97"/>
      <c r="BV239" s="98"/>
      <c r="BY239" s="97"/>
      <c r="BZ239" s="98"/>
      <c r="CA239" s="2731">
        <f>SUMIF($A$186:$A$226,$A239,CA$186:CA$226)</f>
        <v>0</v>
      </c>
      <c r="CB239" s="97"/>
      <c r="CC239" s="97"/>
      <c r="CD239" s="98"/>
      <c r="CG239" s="97"/>
      <c r="CH239" s="98"/>
      <c r="CI239" s="2731">
        <f>SUMIF($A$186:$A$226,$A239,CI$186:CI$226)</f>
        <v>0</v>
      </c>
      <c r="CJ239" s="97"/>
      <c r="CK239" s="97"/>
      <c r="CL239" s="98"/>
      <c r="CO239" s="97"/>
      <c r="CP239" s="98"/>
      <c r="CQ239" s="2731">
        <f>SUMIF($A$186:$A$226,$A239,CQ$186:CQ$226)</f>
        <v>0</v>
      </c>
      <c r="CR239" s="97"/>
      <c r="CS239" s="97"/>
      <c r="CT239" s="98"/>
      <c r="CW239" s="97"/>
      <c r="CX239" s="98"/>
    </row>
    <row r="240" spans="1:102">
      <c r="A240" s="189" t="s">
        <v>751</v>
      </c>
      <c r="G240" s="2731">
        <f>SUMIF($A$186:$A$226,$A240,G$186:G$226)</f>
        <v>0</v>
      </c>
      <c r="I240" s="97">
        <f>H243-H234</f>
        <v>0</v>
      </c>
      <c r="O240" s="2731">
        <f>SUMIF($A$186:$A$226,$A240,O$186:O$226)</f>
        <v>0</v>
      </c>
      <c r="P240" s="97"/>
      <c r="Q240" s="97">
        <f>P243-P234</f>
        <v>0</v>
      </c>
      <c r="R240" s="98"/>
      <c r="S240" s="2731">
        <f>SUMIF($A$186:$A$226,$A240,S$186:S$226)</f>
        <v>0</v>
      </c>
      <c r="T240" s="97"/>
      <c r="U240" s="97">
        <f>T243-T234</f>
        <v>0</v>
      </c>
      <c r="V240" s="98"/>
      <c r="W240" s="2731">
        <f>SUMIF($A$186:$A$226,$A240,W$186:W$226)</f>
        <v>0</v>
      </c>
      <c r="X240" s="97"/>
      <c r="Y240" s="97">
        <f>X243-X234</f>
        <v>0</v>
      </c>
      <c r="Z240" s="98"/>
      <c r="AA240" s="2731">
        <f>SUMIF($A$186:$A$226,$A240,AA$186:AA$226)</f>
        <v>0</v>
      </c>
      <c r="AB240" s="97"/>
      <c r="AC240" s="97">
        <f>AB243-AB234</f>
        <v>0</v>
      </c>
      <c r="AD240" s="98"/>
      <c r="AE240" s="2731">
        <f>SUMIF($A$186:$A$226,$A240,AE$186:AE$226)</f>
        <v>0</v>
      </c>
      <c r="AF240" s="97"/>
      <c r="AG240" s="97">
        <f>AF243-AF234</f>
        <v>0</v>
      </c>
      <c r="AH240" s="98"/>
      <c r="AI240" s="2731">
        <f>SUMIF($A$186:$A$226,$A240,AI$186:AI$226)</f>
        <v>0</v>
      </c>
      <c r="AJ240" s="97"/>
      <c r="AK240" s="97">
        <f>AJ243-AJ234</f>
        <v>0</v>
      </c>
      <c r="AL240" s="98"/>
      <c r="AM240" s="2731">
        <f>SUMIF($A$186:$A$226,$A240,AM$186:AM$226)</f>
        <v>0</v>
      </c>
      <c r="AN240" s="97"/>
      <c r="AO240" s="97">
        <f>AN243-AN234</f>
        <v>0</v>
      </c>
      <c r="AP240" s="98"/>
      <c r="AQ240" s="2731">
        <f>SUMIF($A$186:$A$226,$A240,AQ$186:AQ$226)</f>
        <v>0</v>
      </c>
      <c r="AR240" s="97"/>
      <c r="AS240" s="97">
        <f>AR243-AR234</f>
        <v>0</v>
      </c>
      <c r="AT240" s="98"/>
      <c r="AU240" s="2731">
        <f>SUMIF($A$186:$A$226,$A240,AU$186:AU$226)</f>
        <v>0</v>
      </c>
      <c r="AV240" s="97"/>
      <c r="AW240" s="97">
        <f>AV243-AV234</f>
        <v>0</v>
      </c>
      <c r="AX240" s="98"/>
      <c r="AY240" s="2731">
        <f>SUMIF($A$186:$A$226,$A240,AY$186:AY$226)</f>
        <v>0</v>
      </c>
      <c r="AZ240" s="97"/>
      <c r="BA240" s="97">
        <f>AZ243-AZ234</f>
        <v>0</v>
      </c>
      <c r="BB240" s="98"/>
      <c r="BC240" s="2731">
        <f>SUMIF($A$186:$A$226,$A240,BC$186:BC$226)</f>
        <v>0</v>
      </c>
      <c r="BD240" s="97"/>
      <c r="BE240" s="97">
        <f>BD243-BD234</f>
        <v>0</v>
      </c>
      <c r="BF240" s="98"/>
      <c r="BG240" s="2731">
        <f>SUMIF($A$186:$A$226,$A240,BG$186:BG$226)</f>
        <v>0</v>
      </c>
      <c r="BH240" s="97"/>
      <c r="BI240" s="97">
        <f>BH243-BH234</f>
        <v>0</v>
      </c>
      <c r="BJ240" s="98"/>
      <c r="BK240" s="2731">
        <f>SUMIF($A$186:$A$226,$A240,BK$186:BK$226)</f>
        <v>0</v>
      </c>
      <c r="BL240" s="97"/>
      <c r="BM240" s="97">
        <f>BL243-BL234</f>
        <v>0</v>
      </c>
      <c r="BN240" s="98"/>
      <c r="BQ240" s="97"/>
      <c r="BR240" s="98"/>
      <c r="BS240" s="2731">
        <f>SUMIF($A$186:$A$226,$A240,BS$186:BS$226)</f>
        <v>0</v>
      </c>
      <c r="BT240" s="97"/>
      <c r="BU240" s="97">
        <f>BT243-BT234</f>
        <v>0</v>
      </c>
      <c r="BV240" s="98"/>
      <c r="BY240" s="97"/>
      <c r="BZ240" s="98"/>
      <c r="CA240" s="2731">
        <f>SUMIF($A$186:$A$226,$A240,CA$186:CA$226)</f>
        <v>0</v>
      </c>
      <c r="CB240" s="97"/>
      <c r="CC240" s="97">
        <f>CB243-CB234</f>
        <v>0</v>
      </c>
      <c r="CD240" s="98"/>
      <c r="CG240" s="97"/>
      <c r="CH240" s="98"/>
      <c r="CI240" s="2731">
        <f>SUMIF($A$186:$A$226,$A240,CI$186:CI$226)</f>
        <v>0</v>
      </c>
      <c r="CJ240" s="97"/>
      <c r="CK240" s="97">
        <f>CJ243-CJ234</f>
        <v>0</v>
      </c>
      <c r="CL240" s="98"/>
      <c r="CO240" s="97"/>
      <c r="CP240" s="98"/>
      <c r="CQ240" s="2731">
        <f>SUMIF($A$186:$A$226,$A240,CQ$186:CQ$226)</f>
        <v>0</v>
      </c>
      <c r="CR240" s="97"/>
      <c r="CS240" s="97">
        <f>CR243-CR234</f>
        <v>0</v>
      </c>
      <c r="CT240" s="98"/>
      <c r="CW240" s="97"/>
      <c r="CX240" s="98"/>
    </row>
    <row r="241" spans="1:102">
      <c r="A241" s="214" t="s">
        <v>761</v>
      </c>
      <c r="G241" s="2731">
        <f>SUMIF($A$186:$A$226,$A241,G$186:G$226)</f>
        <v>24879000</v>
      </c>
      <c r="O241" s="2731">
        <f>SUMIF($A$186:$A$226,$A241,O$186:O$226)</f>
        <v>7364668</v>
      </c>
      <c r="P241" s="97"/>
      <c r="Q241" s="97"/>
      <c r="R241" s="98"/>
      <c r="S241" s="2731">
        <f>SUMIF($A$186:$A$226,$A241,S$186:S$226)</f>
        <v>5086450</v>
      </c>
      <c r="T241" s="97"/>
      <c r="U241" s="97"/>
      <c r="V241" s="98"/>
      <c r="W241" s="2731">
        <f>SUMIF($A$186:$A$226,$A241,W$186:W$226)</f>
        <v>6966418</v>
      </c>
      <c r="X241" s="97"/>
      <c r="Y241" s="97"/>
      <c r="Z241" s="98"/>
      <c r="AA241" s="2731">
        <f>SUMIF($A$186:$A$226,$A241,AA$186:AA$226)</f>
        <v>4222668</v>
      </c>
      <c r="AB241" s="97"/>
      <c r="AC241" s="97"/>
      <c r="AD241" s="98"/>
      <c r="AE241" s="2731">
        <f>SUMIF($A$186:$A$226,$A241,AE$186:AE$226)</f>
        <v>6069668</v>
      </c>
      <c r="AF241" s="97"/>
      <c r="AG241" s="97"/>
      <c r="AH241" s="98"/>
      <c r="AI241" s="2731">
        <f>SUMIF($A$186:$A$226,$A241,AI$186:AI$226)</f>
        <v>3727668</v>
      </c>
      <c r="AJ241" s="97"/>
      <c r="AK241" s="97"/>
      <c r="AL241" s="98"/>
      <c r="AM241" s="2731">
        <f>SUMIF($A$186:$A$226,$A241,AM$186:AM$226)</f>
        <v>7980568</v>
      </c>
      <c r="AN241" s="97"/>
      <c r="AO241" s="97"/>
      <c r="AP241" s="98"/>
      <c r="AQ241" s="2731">
        <f>SUMIF($A$186:$A$226,$A241,AQ$186:AQ$226)</f>
        <v>4457668</v>
      </c>
      <c r="AR241" s="97"/>
      <c r="AS241" s="97"/>
      <c r="AT241" s="98"/>
      <c r="AU241" s="2731">
        <f>SUMIF($A$186:$A$226,$A241,AU$186:AU$226)</f>
        <v>4396168</v>
      </c>
      <c r="AV241" s="97"/>
      <c r="AW241" s="97"/>
      <c r="AX241" s="98"/>
      <c r="AY241" s="2731">
        <f>SUMIF($A$186:$A$226,$A241,AY$186:AY$226)</f>
        <v>5539168</v>
      </c>
      <c r="AZ241" s="97"/>
      <c r="BA241" s="97"/>
      <c r="BB241" s="98"/>
      <c r="BC241" s="2731">
        <f>SUMIF($A$186:$A$226,$A241,BC$186:BC$226)</f>
        <v>5394168</v>
      </c>
      <c r="BD241" s="97"/>
      <c r="BE241" s="97"/>
      <c r="BF241" s="98"/>
      <c r="BG241" s="2731">
        <f>SUMIF($A$186:$A$226,$A241,BG$186:BG$226)</f>
        <v>11816252</v>
      </c>
      <c r="BH241" s="97"/>
      <c r="BI241" s="97"/>
      <c r="BJ241" s="98"/>
      <c r="BK241" s="2731">
        <f>SUMIF($A$186:$A$226,$A241,BK$186:BK$226)</f>
        <v>73021532</v>
      </c>
      <c r="BL241" s="97"/>
      <c r="BM241" s="97"/>
      <c r="BN241" s="98"/>
      <c r="BQ241" s="97"/>
      <c r="BR241" s="98"/>
      <c r="BS241" s="2731">
        <f>SUMIF($A$186:$A$226,$A241,BS$186:BS$226)</f>
        <v>74414390</v>
      </c>
      <c r="BT241" s="97"/>
      <c r="BU241" s="97"/>
      <c r="BV241" s="98"/>
      <c r="BY241" s="97"/>
      <c r="BZ241" s="98"/>
      <c r="CA241" s="2731">
        <f>SUMIF($A$186:$A$226,$A241,CA$186:CA$226)</f>
        <v>75921350</v>
      </c>
      <c r="CB241" s="97"/>
      <c r="CC241" s="97"/>
      <c r="CD241" s="98"/>
      <c r="CG241" s="97"/>
      <c r="CH241" s="98"/>
      <c r="CI241" s="2731">
        <f>SUMIF($A$186:$A$226,$A241,CI$186:CI$226)</f>
        <v>78556017</v>
      </c>
      <c r="CJ241" s="97"/>
      <c r="CK241" s="97"/>
      <c r="CL241" s="98"/>
      <c r="CO241" s="97"/>
      <c r="CP241" s="98"/>
      <c r="CQ241" s="2731">
        <f>SUMIF($A$186:$A$226,$A241,CQ$186:CQ$226)</f>
        <v>83656350</v>
      </c>
      <c r="CR241" s="97"/>
      <c r="CS241" s="97"/>
      <c r="CT241" s="98"/>
      <c r="CW241" s="97"/>
      <c r="CX241" s="98"/>
    </row>
    <row r="242" spans="1:102">
      <c r="A242" s="214" t="s">
        <v>762</v>
      </c>
      <c r="G242" s="2731">
        <f>SUMIF($A$186:$A$226,$A242,G$186:G$226)</f>
        <v>0</v>
      </c>
      <c r="O242" s="2731">
        <f>SUMIF($A$186:$A$226,$A242,O$186:O$226)</f>
        <v>0</v>
      </c>
      <c r="P242" s="97"/>
      <c r="Q242" s="97"/>
      <c r="R242" s="98"/>
      <c r="S242" s="2731">
        <f>SUMIF($A$186:$A$226,$A242,S$186:S$226)</f>
        <v>0</v>
      </c>
      <c r="T242" s="97"/>
      <c r="U242" s="97"/>
      <c r="V242" s="98"/>
      <c r="W242" s="2731">
        <f>SUMIF($A$186:$A$226,$A242,W$186:W$226)</f>
        <v>0</v>
      </c>
      <c r="X242" s="97"/>
      <c r="Y242" s="97"/>
      <c r="Z242" s="98"/>
      <c r="AA242" s="2731">
        <f>SUMIF($A$186:$A$226,$A242,AA$186:AA$226)</f>
        <v>0</v>
      </c>
      <c r="AB242" s="97"/>
      <c r="AC242" s="97"/>
      <c r="AD242" s="98"/>
      <c r="AE242" s="2731">
        <f>SUMIF($A$186:$A$226,$A242,AE$186:AE$226)</f>
        <v>0</v>
      </c>
      <c r="AF242" s="97"/>
      <c r="AG242" s="97"/>
      <c r="AH242" s="98"/>
      <c r="AI242" s="2731">
        <f>SUMIF($A$186:$A$226,$A242,AI$186:AI$226)</f>
        <v>0</v>
      </c>
      <c r="AJ242" s="97"/>
      <c r="AK242" s="97"/>
      <c r="AL242" s="98"/>
      <c r="AM242" s="2731">
        <f>SUMIF($A$186:$A$226,$A242,AM$186:AM$226)</f>
        <v>0</v>
      </c>
      <c r="AN242" s="97"/>
      <c r="AO242" s="97"/>
      <c r="AP242" s="98"/>
      <c r="AQ242" s="2731">
        <f>SUMIF($A$186:$A$226,$A242,AQ$186:AQ$226)</f>
        <v>0</v>
      </c>
      <c r="AR242" s="97"/>
      <c r="AS242" s="97"/>
      <c r="AT242" s="98"/>
      <c r="AU242" s="2731">
        <f>SUMIF($A$186:$A$226,$A242,AU$186:AU$226)</f>
        <v>0</v>
      </c>
      <c r="AV242" s="97"/>
      <c r="AW242" s="97"/>
      <c r="AX242" s="98"/>
      <c r="AY242" s="2731">
        <f>SUMIF($A$186:$A$226,$A242,AY$186:AY$226)</f>
        <v>0</v>
      </c>
      <c r="AZ242" s="97"/>
      <c r="BA242" s="97"/>
      <c r="BB242" s="98"/>
      <c r="BC242" s="2731">
        <f>SUMIF($A$186:$A$226,$A242,BC$186:BC$226)</f>
        <v>0</v>
      </c>
      <c r="BD242" s="97"/>
      <c r="BE242" s="97"/>
      <c r="BF242" s="98"/>
      <c r="BG242" s="2731">
        <f>SUMIF($A$186:$A$226,$A242,BG$186:BG$226)</f>
        <v>0</v>
      </c>
      <c r="BH242" s="97"/>
      <c r="BI242" s="97"/>
      <c r="BJ242" s="98"/>
      <c r="BK242" s="2731">
        <f>SUMIF($A$186:$A$226,$A242,BK$186:BK$226)</f>
        <v>0</v>
      </c>
      <c r="BL242" s="97"/>
      <c r="BM242" s="97"/>
      <c r="BN242" s="98"/>
      <c r="BQ242" s="97"/>
      <c r="BR242" s="98"/>
      <c r="BS242" s="2731">
        <f>SUMIF($A$186:$A$226,$A242,BS$186:BS$226)</f>
        <v>0</v>
      </c>
      <c r="BT242" s="97"/>
      <c r="BU242" s="97"/>
      <c r="BV242" s="98"/>
      <c r="BY242" s="97"/>
      <c r="BZ242" s="98"/>
      <c r="CA242" s="2731">
        <f>SUMIF($A$186:$A$226,$A242,CA$186:CA$226)</f>
        <v>0</v>
      </c>
      <c r="CB242" s="97"/>
      <c r="CC242" s="97"/>
      <c r="CD242" s="98"/>
      <c r="CG242" s="97"/>
      <c r="CH242" s="98"/>
      <c r="CI242" s="2731">
        <f>SUMIF($A$186:$A$226,$A242,CI$186:CI$226)</f>
        <v>0</v>
      </c>
      <c r="CJ242" s="97"/>
      <c r="CK242" s="97"/>
      <c r="CL242" s="98"/>
      <c r="CO242" s="97"/>
      <c r="CP242" s="98"/>
      <c r="CQ242" s="2731">
        <f>SUMIF($A$186:$A$226,$A242,CQ$186:CQ$226)</f>
        <v>0</v>
      </c>
      <c r="CR242" s="97"/>
      <c r="CS242" s="97"/>
      <c r="CT242" s="98"/>
      <c r="CW242" s="97"/>
      <c r="CX242" s="98"/>
    </row>
    <row r="243" spans="1:102">
      <c r="A243" s="97" t="s">
        <v>735</v>
      </c>
      <c r="G243" s="2731">
        <f>SUMIF($A$186:$A$226,$A243,G$186:G$226)</f>
        <v>6010135</v>
      </c>
      <c r="H243" s="275">
        <f>SUM(G235:G243)</f>
        <v>31514423</v>
      </c>
      <c r="O243" s="2731">
        <f>SUMIF($A$186:$A$226,$A243,O$186:O$226)</f>
        <v>6569234</v>
      </c>
      <c r="P243" s="275">
        <f>SUM(O235:O243)</f>
        <v>13999764</v>
      </c>
      <c r="Q243" s="97"/>
      <c r="R243" s="98"/>
      <c r="S243" s="2731">
        <f>SUMIF($A$186:$A$226,$A243,S$186:S$226)</f>
        <v>4039109</v>
      </c>
      <c r="T243" s="275">
        <f>SUM(S235:S243)</f>
        <v>9117427</v>
      </c>
      <c r="U243" s="97"/>
      <c r="V243" s="98"/>
      <c r="W243" s="2731">
        <f>SUMIF($A$186:$A$226,$A243,W$186:W$226)</f>
        <v>7925032</v>
      </c>
      <c r="X243" s="275">
        <f>SUM(W235:W243)</f>
        <v>14965490</v>
      </c>
      <c r="Y243" s="97"/>
      <c r="Z243" s="98"/>
      <c r="AA243" s="2731">
        <f>SUMIF($A$186:$A$226,$A243,AA$186:AA$226)</f>
        <v>6895020</v>
      </c>
      <c r="AB243" s="275">
        <f>SUM(AA235:AA243)</f>
        <v>11111020</v>
      </c>
      <c r="AC243" s="97"/>
      <c r="AD243" s="98"/>
      <c r="AE243" s="2731">
        <f>SUMIF($A$186:$A$226,$A243,AE$186:AE$226)</f>
        <v>5848975</v>
      </c>
      <c r="AF243" s="275">
        <f>SUM(AE235:AE243)</f>
        <v>11961951</v>
      </c>
      <c r="AG243" s="97"/>
      <c r="AH243" s="98"/>
      <c r="AI243" s="2731">
        <f>SUMIF($A$186:$A$226,$A243,AI$186:AI$226)</f>
        <v>5962561</v>
      </c>
      <c r="AJ243" s="275">
        <f>SUM(AI235:AI243)</f>
        <v>9667736</v>
      </c>
      <c r="AK243" s="97"/>
      <c r="AL243" s="98"/>
      <c r="AM243" s="2731">
        <f>SUMIF($A$186:$A$226,$A243,AM$186:AM$226)</f>
        <v>5795973</v>
      </c>
      <c r="AN243" s="275">
        <f>SUM(AM235:AM243)</f>
        <v>13869343</v>
      </c>
      <c r="AO243" s="97"/>
      <c r="AP243" s="98"/>
      <c r="AQ243" s="2731">
        <f>SUMIF($A$186:$A$226,$A243,AQ$186:AQ$226)</f>
        <v>4503534</v>
      </c>
      <c r="AR243" s="275">
        <f>SUM(AQ235:AQ243)</f>
        <v>8934265</v>
      </c>
      <c r="AS243" s="97"/>
      <c r="AT243" s="98"/>
      <c r="AU243" s="2731">
        <f>SUMIF($A$186:$A$226,$A243,AU$186:AU$226)</f>
        <v>4239472</v>
      </c>
      <c r="AV243" s="275">
        <f>SUM(AU235:AU243)</f>
        <v>8608704</v>
      </c>
      <c r="AW243" s="97"/>
      <c r="AX243" s="98"/>
      <c r="AY243" s="2731">
        <f>SUMIF($A$186:$A$226,$A243,AY$186:AY$226)</f>
        <v>7527385</v>
      </c>
      <c r="AZ243" s="275">
        <f>SUM(AY235:AY243)</f>
        <v>13038871</v>
      </c>
      <c r="BA243" s="97"/>
      <c r="BB243" s="98"/>
      <c r="BC243" s="2731">
        <f>SUMIF($A$186:$A$226,$A243,BC$186:BC$226)</f>
        <v>5494309</v>
      </c>
      <c r="BD243" s="275">
        <f>SUM(BC235:BC243)</f>
        <v>10871667</v>
      </c>
      <c r="BE243" s="97"/>
      <c r="BF243" s="98"/>
      <c r="BG243" s="2731">
        <f>SUMIF($A$186:$A$226,$A243,BG$186:BG$226)</f>
        <v>13581204</v>
      </c>
      <c r="BH243" s="275">
        <f>SUM(BG235:BG243)</f>
        <v>25643343</v>
      </c>
      <c r="BI243" s="97"/>
      <c r="BJ243" s="98"/>
      <c r="BK243" s="2731">
        <f>SUMIF($A$186:$A$226,$A243,BK$186:BK$226)</f>
        <v>78381808</v>
      </c>
      <c r="BL243" s="275">
        <f>SUM(BK235:BK243)</f>
        <v>151789581</v>
      </c>
      <c r="BM243" s="97"/>
      <c r="BN243" s="98"/>
      <c r="BQ243" s="97"/>
      <c r="BR243" s="98"/>
      <c r="BS243" s="2731">
        <f>SUMIF($A$186:$A$226,$A243,BS$186:BS$226)</f>
        <v>74093856</v>
      </c>
      <c r="BT243" s="275">
        <f>SUM(BS235:BS243)</f>
        <v>148694151</v>
      </c>
      <c r="BU243" s="97"/>
      <c r="BV243" s="98"/>
      <c r="BY243" s="97"/>
      <c r="BZ243" s="98"/>
      <c r="CA243" s="2731">
        <f>SUMIF($A$186:$A$226,$A243,CA$186:CA$226)</f>
        <v>81264186</v>
      </c>
      <c r="CB243" s="275">
        <f>SUM(CA235:CA243)</f>
        <v>157390141</v>
      </c>
      <c r="CC243" s="97"/>
      <c r="CD243" s="98"/>
      <c r="CG243" s="97"/>
      <c r="CH243" s="98"/>
      <c r="CI243" s="2731">
        <f>SUMIF($A$186:$A$226,$A243,CI$186:CI$226)</f>
        <v>80478460</v>
      </c>
      <c r="CJ243" s="275">
        <f>SUM(CI235:CI243)</f>
        <v>159219107</v>
      </c>
      <c r="CK243" s="97"/>
      <c r="CL243" s="98"/>
      <c r="CO243" s="97"/>
      <c r="CP243" s="98"/>
      <c r="CQ243" s="2731">
        <f>SUMIF($A$186:$A$226,$A243,CQ$186:CQ$226)</f>
        <v>88626486</v>
      </c>
      <c r="CR243" s="275">
        <f>SUM(CQ235:CQ243)</f>
        <v>172420941</v>
      </c>
      <c r="CS243" s="97"/>
      <c r="CT243" s="98"/>
      <c r="CW243" s="97"/>
      <c r="CX243" s="98"/>
    </row>
    <row r="244" spans="1:102">
      <c r="G244" s="2731"/>
      <c r="H244" s="286">
        <f>H234-H243</f>
        <v>0</v>
      </c>
      <c r="P244" s="286">
        <f>P234-P243</f>
        <v>0</v>
      </c>
      <c r="Q244" s="97"/>
      <c r="R244" s="98"/>
      <c r="S244" s="97"/>
      <c r="T244" s="286">
        <f>T234-T243</f>
        <v>0</v>
      </c>
      <c r="U244" s="97"/>
      <c r="V244" s="98"/>
      <c r="W244" s="97"/>
      <c r="X244" s="286">
        <f>X234-X243</f>
        <v>0</v>
      </c>
      <c r="Y244" s="97"/>
      <c r="Z244" s="98"/>
      <c r="AA244" s="97"/>
      <c r="AB244" s="286">
        <f>AB234-AB243</f>
        <v>0</v>
      </c>
      <c r="AC244" s="97"/>
      <c r="AD244" s="98"/>
      <c r="AE244" s="97"/>
      <c r="AF244" s="286">
        <f>AF234-AF243</f>
        <v>0</v>
      </c>
      <c r="AG244" s="97"/>
      <c r="AH244" s="98"/>
      <c r="AI244" s="97"/>
      <c r="AJ244" s="286">
        <f>AJ234-AJ243</f>
        <v>0</v>
      </c>
      <c r="AK244" s="97"/>
      <c r="AL244" s="98"/>
      <c r="AM244" s="97"/>
      <c r="AN244" s="286">
        <f>AN234-AN243</f>
        <v>0</v>
      </c>
      <c r="AO244" s="97"/>
      <c r="AP244" s="98"/>
      <c r="AQ244" s="97"/>
      <c r="AR244" s="286">
        <f>AR234-AR243</f>
        <v>0</v>
      </c>
      <c r="AS244" s="97"/>
      <c r="AT244" s="98"/>
      <c r="AU244" s="97"/>
      <c r="AV244" s="286">
        <f>AV234-AV243</f>
        <v>0</v>
      </c>
      <c r="AW244" s="97"/>
      <c r="AX244" s="98"/>
      <c r="AY244" s="97"/>
      <c r="AZ244" s="286">
        <f>AZ234-AZ243</f>
        <v>0</v>
      </c>
      <c r="BA244" s="97"/>
      <c r="BB244" s="98"/>
      <c r="BC244" s="97"/>
      <c r="BD244" s="286">
        <f>BD234-BD243</f>
        <v>0</v>
      </c>
      <c r="BE244" s="97"/>
      <c r="BF244" s="98"/>
      <c r="BG244" s="97"/>
      <c r="BH244" s="286">
        <f>BH234-BH243</f>
        <v>0</v>
      </c>
      <c r="BI244" s="97"/>
      <c r="BJ244" s="98"/>
      <c r="BK244" s="97"/>
      <c r="BL244" s="286">
        <f>BL234-BL243</f>
        <v>0</v>
      </c>
      <c r="BM244" s="97"/>
      <c r="BN244" s="98"/>
      <c r="BQ244" s="97"/>
      <c r="BR244" s="98"/>
      <c r="BS244" s="97"/>
      <c r="BT244" s="286">
        <f>BT234-BT243</f>
        <v>0</v>
      </c>
      <c r="BU244" s="97"/>
      <c r="BV244" s="98"/>
      <c r="BY244" s="97"/>
      <c r="BZ244" s="98"/>
      <c r="CA244" s="97"/>
      <c r="CB244" s="286">
        <f>CB234-CB243</f>
        <v>0</v>
      </c>
      <c r="CC244" s="97"/>
      <c r="CD244" s="98"/>
      <c r="CG244" s="97"/>
      <c r="CH244" s="98"/>
      <c r="CI244" s="97"/>
      <c r="CJ244" s="286">
        <f>CJ234-CJ243</f>
        <v>0</v>
      </c>
      <c r="CK244" s="97"/>
      <c r="CL244" s="98"/>
      <c r="CO244" s="97"/>
      <c r="CP244" s="98"/>
      <c r="CQ244" s="97"/>
      <c r="CR244" s="286">
        <f>CR234-CR243</f>
        <v>0</v>
      </c>
      <c r="CS244" s="97"/>
      <c r="CT244" s="98"/>
      <c r="CW244" s="97"/>
      <c r="CX244" s="98"/>
    </row>
    <row r="245" spans="1:102">
      <c r="G245" s="2731"/>
      <c r="O245" s="98"/>
      <c r="Q245" s="97"/>
      <c r="R245" s="98"/>
      <c r="U245" s="97"/>
      <c r="V245" s="98"/>
      <c r="Y245" s="97"/>
      <c r="Z245" s="98"/>
      <c r="AC245" s="97"/>
      <c r="AD245" s="98"/>
      <c r="AG245" s="97"/>
      <c r="AH245" s="98"/>
      <c r="AK245" s="97"/>
      <c r="AL245" s="98"/>
      <c r="AO245" s="97"/>
      <c r="AP245" s="98"/>
      <c r="AS245" s="97"/>
      <c r="AT245" s="98"/>
      <c r="AW245" s="97"/>
      <c r="AX245" s="98"/>
      <c r="BA245" s="97"/>
      <c r="BB245" s="98"/>
      <c r="BE245" s="97"/>
      <c r="BF245" s="98"/>
      <c r="BI245" s="97"/>
      <c r="BJ245" s="98"/>
      <c r="BM245" s="97"/>
      <c r="BN245" s="98"/>
      <c r="BQ245" s="97"/>
      <c r="BR245" s="98"/>
      <c r="BU245" s="97"/>
      <c r="BV245" s="98"/>
      <c r="BY245" s="97"/>
      <c r="BZ245" s="98"/>
      <c r="CC245" s="97"/>
      <c r="CD245" s="98"/>
      <c r="CG245" s="97"/>
      <c r="CH245" s="98"/>
      <c r="CK245" s="97"/>
      <c r="CL245" s="98"/>
      <c r="CO245" s="97"/>
      <c r="CP245" s="98"/>
      <c r="CS245" s="97"/>
      <c r="CT245" s="98"/>
      <c r="CW245" s="97"/>
      <c r="CX245" s="98"/>
    </row>
    <row r="246" spans="1:102">
      <c r="G246" s="2731"/>
      <c r="O246" s="98"/>
      <c r="Q246" s="97"/>
      <c r="R246" s="98"/>
      <c r="U246" s="97"/>
      <c r="V246" s="98"/>
      <c r="Y246" s="97"/>
      <c r="Z246" s="98"/>
      <c r="AC246" s="97"/>
      <c r="AD246" s="98"/>
      <c r="AG246" s="97"/>
      <c r="AH246" s="98"/>
      <c r="AK246" s="97"/>
      <c r="AL246" s="98"/>
      <c r="AO246" s="97"/>
      <c r="AP246" s="98"/>
      <c r="AS246" s="97"/>
      <c r="AT246" s="98"/>
      <c r="AW246" s="97"/>
      <c r="AX246" s="98"/>
      <c r="BA246" s="97"/>
      <c r="BB246" s="98"/>
      <c r="BE246" s="97"/>
      <c r="BF246" s="98"/>
      <c r="BI246" s="97"/>
      <c r="BJ246" s="98"/>
      <c r="BM246" s="97"/>
      <c r="BN246" s="98"/>
      <c r="BQ246" s="97"/>
      <c r="BR246" s="98"/>
      <c r="BU246" s="97"/>
      <c r="BV246" s="98"/>
      <c r="BY246" s="97"/>
      <c r="BZ246" s="98"/>
      <c r="CC246" s="97"/>
      <c r="CD246" s="98"/>
      <c r="CG246" s="97"/>
      <c r="CH246" s="98"/>
      <c r="CK246" s="97"/>
      <c r="CL246" s="98"/>
      <c r="CO246" s="97"/>
      <c r="CP246" s="98"/>
      <c r="CS246" s="97"/>
      <c r="CT246" s="98"/>
      <c r="CW246" s="97"/>
      <c r="CX246" s="98"/>
    </row>
    <row r="247" spans="1:102">
      <c r="G247" s="2731"/>
      <c r="O247" s="98"/>
      <c r="Q247" s="97"/>
      <c r="R247" s="98"/>
      <c r="U247" s="97"/>
      <c r="V247" s="98"/>
      <c r="Y247" s="97"/>
      <c r="Z247" s="98"/>
      <c r="AC247" s="97"/>
      <c r="AD247" s="98"/>
      <c r="AG247" s="97"/>
      <c r="AH247" s="98"/>
      <c r="AK247" s="97"/>
      <c r="AL247" s="98"/>
      <c r="AO247" s="97"/>
      <c r="AP247" s="98"/>
      <c r="AS247" s="97"/>
      <c r="AT247" s="98"/>
      <c r="AW247" s="97"/>
      <c r="AX247" s="98"/>
      <c r="BA247" s="97"/>
      <c r="BB247" s="98"/>
      <c r="BE247" s="97"/>
      <c r="BF247" s="98"/>
      <c r="BI247" s="97"/>
      <c r="BJ247" s="98"/>
      <c r="BM247" s="97"/>
      <c r="BN247" s="98"/>
      <c r="BQ247" s="97"/>
      <c r="BR247" s="98"/>
      <c r="BU247" s="97"/>
      <c r="BV247" s="98"/>
      <c r="BY247" s="97"/>
      <c r="BZ247" s="98"/>
      <c r="CC247" s="97"/>
      <c r="CD247" s="98"/>
      <c r="CG247" s="97"/>
      <c r="CH247" s="98"/>
      <c r="CK247" s="97"/>
      <c r="CL247" s="98"/>
      <c r="CO247" s="97"/>
      <c r="CP247" s="98"/>
      <c r="CS247" s="97"/>
      <c r="CT247" s="98"/>
      <c r="CW247" s="97"/>
      <c r="CX247" s="98"/>
    </row>
    <row r="248" spans="1:102">
      <c r="G248" s="2731"/>
      <c r="O248" s="98"/>
      <c r="Q248" s="97"/>
      <c r="R248" s="98"/>
      <c r="U248" s="97"/>
      <c r="V248" s="98"/>
      <c r="Y248" s="97"/>
      <c r="Z248" s="98"/>
      <c r="AC248" s="97"/>
      <c r="AD248" s="98"/>
      <c r="AG248" s="97"/>
      <c r="AH248" s="98"/>
      <c r="AK248" s="97"/>
      <c r="AL248" s="98"/>
      <c r="AO248" s="97"/>
      <c r="AP248" s="98"/>
      <c r="AS248" s="97"/>
      <c r="AT248" s="98"/>
      <c r="AW248" s="97"/>
      <c r="AX248" s="98"/>
      <c r="BA248" s="97"/>
      <c r="BB248" s="98"/>
      <c r="BE248" s="97"/>
      <c r="BF248" s="98"/>
      <c r="BI248" s="97"/>
      <c r="BJ248" s="98"/>
      <c r="BM248" s="97"/>
      <c r="BN248" s="98"/>
      <c r="BQ248" s="97"/>
      <c r="BR248" s="98"/>
      <c r="BU248" s="97"/>
      <c r="BV248" s="98"/>
      <c r="BY248" s="97"/>
      <c r="BZ248" s="98"/>
      <c r="CC248" s="97"/>
      <c r="CD248" s="98"/>
      <c r="CG248" s="97"/>
      <c r="CH248" s="98"/>
      <c r="CK248" s="97"/>
      <c r="CL248" s="98"/>
      <c r="CO248" s="97"/>
      <c r="CP248" s="98"/>
      <c r="CS248" s="97"/>
      <c r="CT248" s="98"/>
      <c r="CW248" s="97"/>
      <c r="CX248" s="98"/>
    </row>
    <row r="249" spans="1:102">
      <c r="O249" s="98"/>
      <c r="Q249" s="97"/>
      <c r="R249" s="98"/>
      <c r="U249" s="97"/>
      <c r="V249" s="98"/>
      <c r="Y249" s="97"/>
      <c r="Z249" s="98"/>
      <c r="AC249" s="97"/>
      <c r="AD249" s="98"/>
      <c r="AG249" s="97"/>
      <c r="AH249" s="98"/>
      <c r="AK249" s="97"/>
      <c r="AL249" s="98"/>
      <c r="AO249" s="97"/>
      <c r="AP249" s="98"/>
      <c r="AS249" s="97"/>
      <c r="AT249" s="98"/>
      <c r="AW249" s="97"/>
      <c r="AX249" s="98"/>
      <c r="BA249" s="97"/>
      <c r="BB249" s="98"/>
      <c r="BE249" s="97"/>
      <c r="BF249" s="98"/>
      <c r="BI249" s="97"/>
      <c r="BJ249" s="98"/>
      <c r="BM249" s="97"/>
      <c r="BN249" s="98"/>
      <c r="BQ249" s="97"/>
      <c r="BR249" s="98"/>
      <c r="BU249" s="97"/>
      <c r="BV249" s="98"/>
      <c r="BY249" s="97"/>
      <c r="BZ249" s="98"/>
      <c r="CC249" s="97"/>
      <c r="CD249" s="98"/>
      <c r="CG249" s="97"/>
      <c r="CH249" s="98"/>
      <c r="CK249" s="97"/>
      <c r="CL249" s="98"/>
      <c r="CO249" s="97"/>
      <c r="CP249" s="98"/>
      <c r="CS249" s="97"/>
      <c r="CT249" s="98"/>
      <c r="CW249" s="97"/>
      <c r="CX249" s="98"/>
    </row>
    <row r="250" spans="1:102">
      <c r="O250" s="98"/>
      <c r="Q250" s="97"/>
      <c r="R250" s="98"/>
      <c r="U250" s="97"/>
      <c r="V250" s="98"/>
      <c r="Y250" s="97"/>
      <c r="Z250" s="98"/>
      <c r="AC250" s="97"/>
      <c r="AD250" s="98"/>
      <c r="AG250" s="97"/>
      <c r="AH250" s="98"/>
      <c r="AK250" s="97"/>
      <c r="AL250" s="98"/>
      <c r="AO250" s="97"/>
      <c r="AP250" s="98"/>
      <c r="AS250" s="97"/>
      <c r="AT250" s="98"/>
      <c r="AW250" s="97"/>
      <c r="AX250" s="98"/>
      <c r="BA250" s="97"/>
      <c r="BB250" s="98"/>
      <c r="BE250" s="97"/>
      <c r="BF250" s="98"/>
      <c r="BI250" s="97"/>
      <c r="BJ250" s="98"/>
      <c r="BM250" s="97"/>
      <c r="BN250" s="98"/>
      <c r="BQ250" s="97"/>
      <c r="BR250" s="98"/>
      <c r="BU250" s="97"/>
      <c r="BV250" s="98"/>
      <c r="BY250" s="97"/>
      <c r="BZ250" s="98"/>
      <c r="CC250" s="97"/>
      <c r="CD250" s="98"/>
      <c r="CG250" s="97"/>
      <c r="CH250" s="98"/>
      <c r="CK250" s="97"/>
      <c r="CL250" s="98"/>
      <c r="CO250" s="97"/>
      <c r="CP250" s="98"/>
      <c r="CS250" s="97"/>
      <c r="CT250" s="98"/>
      <c r="CW250" s="97"/>
      <c r="CX250" s="98"/>
    </row>
    <row r="251" spans="1:102">
      <c r="O251" s="98"/>
      <c r="Q251" s="97"/>
      <c r="R251" s="98"/>
      <c r="U251" s="97"/>
      <c r="V251" s="98"/>
      <c r="Y251" s="97"/>
      <c r="Z251" s="98"/>
      <c r="AC251" s="97"/>
      <c r="AD251" s="98"/>
      <c r="AG251" s="97"/>
      <c r="AH251" s="98"/>
      <c r="AK251" s="97"/>
      <c r="AL251" s="98"/>
      <c r="AO251" s="97"/>
      <c r="AP251" s="98"/>
      <c r="AS251" s="97"/>
      <c r="AT251" s="98"/>
      <c r="AW251" s="97"/>
      <c r="AX251" s="98"/>
      <c r="BA251" s="97"/>
      <c r="BB251" s="98"/>
      <c r="BE251" s="97"/>
      <c r="BF251" s="98"/>
      <c r="BI251" s="97"/>
      <c r="BJ251" s="98"/>
      <c r="BK251" s="97"/>
      <c r="BM251" s="97"/>
      <c r="BN251" s="98"/>
      <c r="BQ251" s="97"/>
      <c r="BR251" s="98"/>
      <c r="BU251" s="97"/>
      <c r="BV251" s="98"/>
      <c r="BY251" s="97"/>
      <c r="BZ251" s="98"/>
      <c r="CC251" s="97"/>
      <c r="CD251" s="98"/>
      <c r="CG251" s="97"/>
      <c r="CH251" s="98"/>
      <c r="CK251" s="97"/>
      <c r="CL251" s="98"/>
      <c r="CO251" s="97"/>
      <c r="CP251" s="98"/>
      <c r="CS251" s="97"/>
      <c r="CT251" s="98"/>
      <c r="CW251" s="97"/>
      <c r="CX251" s="98"/>
    </row>
    <row r="252" spans="1:102">
      <c r="O252" s="98"/>
      <c r="Q252" s="97"/>
      <c r="R252" s="98"/>
      <c r="U252" s="97"/>
      <c r="V252" s="98"/>
      <c r="Y252" s="97"/>
      <c r="Z252" s="98"/>
      <c r="AC252" s="97"/>
      <c r="AD252" s="98"/>
      <c r="AG252" s="97"/>
      <c r="AH252" s="98"/>
      <c r="AK252" s="97"/>
      <c r="AL252" s="98"/>
      <c r="AO252" s="97"/>
      <c r="AP252" s="98"/>
      <c r="AS252" s="97"/>
      <c r="AT252" s="98"/>
      <c r="AW252" s="97"/>
      <c r="AX252" s="98"/>
      <c r="BA252" s="97"/>
      <c r="BB252" s="98"/>
      <c r="BE252" s="97"/>
      <c r="BF252" s="98"/>
      <c r="BI252" s="97"/>
      <c r="BJ252" s="98"/>
      <c r="BM252" s="97"/>
      <c r="BN252" s="98"/>
      <c r="BQ252" s="97"/>
      <c r="BR252" s="98"/>
      <c r="BU252" s="97"/>
      <c r="BV252" s="98"/>
      <c r="BY252" s="97"/>
      <c r="BZ252" s="98"/>
      <c r="CC252" s="97"/>
      <c r="CD252" s="98"/>
      <c r="CG252" s="97"/>
      <c r="CH252" s="98"/>
      <c r="CK252" s="97"/>
      <c r="CL252" s="98"/>
      <c r="CO252" s="97"/>
      <c r="CP252" s="98"/>
      <c r="CS252" s="97"/>
      <c r="CT252" s="98"/>
      <c r="CW252" s="97"/>
      <c r="CX252" s="98"/>
    </row>
  </sheetData>
  <autoFilter ref="D1:D249" xr:uid="{00000000-0009-0000-0000-000005000000}"/>
  <mergeCells count="1">
    <mergeCell ref="D3:G3"/>
  </mergeCells>
  <phoneticPr fontId="101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DD7EE"/>
    <pageSetUpPr fitToPage="1"/>
  </sheetPr>
  <dimension ref="A1:EF240"/>
  <sheetViews>
    <sheetView showGridLines="0" zoomScale="70" zoomScaleNormal="70" workbookViewId="0">
      <pane xSplit="2" ySplit="5" topLeftCell="C147" activePane="bottomRight" state="frozen"/>
      <selection pane="topRight" activeCell="C1" sqref="C1"/>
      <selection pane="bottomLeft" activeCell="A133" sqref="A133"/>
      <selection pane="bottomRight" activeCell="A230" sqref="A230"/>
    </sheetView>
  </sheetViews>
  <sheetFormatPr defaultColWidth="9" defaultRowHeight="15.6" outlineLevelRow="1" outlineLevelCol="1"/>
  <cols>
    <col min="1" max="1" width="13.6640625" style="97" customWidth="1"/>
    <col min="2" max="2" width="35.88671875" style="97" customWidth="1"/>
    <col min="3" max="3" width="10.33203125" style="97" customWidth="1"/>
    <col min="4" max="4" width="19.77734375" style="97" customWidth="1" outlineLevel="1"/>
    <col min="5" max="5" width="16.44140625" style="97" customWidth="1" outlineLevel="1"/>
    <col min="6" max="7" width="17.6640625" style="97" customWidth="1"/>
    <col min="8" max="9" width="16.44140625" style="97" customWidth="1"/>
    <col min="10" max="10" width="15.44140625" style="98" customWidth="1" outlineLevel="1"/>
    <col min="11" max="11" width="15.44140625" style="97" customWidth="1" outlineLevel="1"/>
    <col min="12" max="12" width="15.44140625" style="98" customWidth="1" outlineLevel="1"/>
    <col min="13" max="13" width="15.44140625" style="97" customWidth="1" outlineLevel="1"/>
    <col min="14" max="14" width="15.44140625" style="98" customWidth="1" outlineLevel="1"/>
    <col min="15" max="15" width="15.44140625" style="97" customWidth="1" outlineLevel="1"/>
    <col min="16" max="16" width="15.44140625" style="98" customWidth="1" outlineLevel="1"/>
    <col min="17" max="17" width="15.44140625" style="97" customWidth="1" outlineLevel="1"/>
    <col min="18" max="18" width="15.44140625" style="98" customWidth="1" outlineLevel="1"/>
    <col min="19" max="19" width="13.44140625" style="97" customWidth="1" outlineLevel="1"/>
    <col min="20" max="20" width="15.44140625" style="98" customWidth="1" outlineLevel="1"/>
    <col min="21" max="21" width="13.44140625" style="97" customWidth="1" outlineLevel="1"/>
    <col min="22" max="22" width="15.44140625" style="98" customWidth="1" outlineLevel="1"/>
    <col min="23" max="23" width="15.44140625" style="97" customWidth="1" outlineLevel="1"/>
    <col min="24" max="24" width="15.44140625" style="98" customWidth="1" outlineLevel="1"/>
    <col min="25" max="25" width="15.44140625" style="97" customWidth="1" outlineLevel="1"/>
    <col min="26" max="26" width="15.44140625" style="98" customWidth="1" outlineLevel="1"/>
    <col min="27" max="27" width="15.44140625" style="97" customWidth="1" outlineLevel="1"/>
    <col min="28" max="28" width="15.44140625" style="98" customWidth="1" outlineLevel="1"/>
    <col min="29" max="29" width="15.44140625" style="97" customWidth="1" outlineLevel="1"/>
    <col min="30" max="30" width="15.44140625" style="98" customWidth="1" outlineLevel="1"/>
    <col min="31" max="31" width="15.44140625" style="97" customWidth="1" outlineLevel="1"/>
    <col min="32" max="32" width="15.44140625" style="98" customWidth="1" outlineLevel="1"/>
    <col min="33" max="33" width="15.44140625" style="97" customWidth="1" outlineLevel="1"/>
    <col min="34" max="34" width="15.44140625" style="98" customWidth="1"/>
    <col min="35" max="35" width="15.44140625" style="97" customWidth="1"/>
    <col min="36" max="36" width="16.44140625" style="98" customWidth="1"/>
    <col min="37" max="37" width="16.44140625" style="97" customWidth="1"/>
    <col min="38" max="38" width="16.44140625" style="98" customWidth="1"/>
    <col min="39" max="39" width="16.44140625" style="97" customWidth="1"/>
    <col min="40" max="40" width="16.44140625" style="98" customWidth="1"/>
    <col min="41" max="41" width="17.88671875" style="97" customWidth="1"/>
    <col min="42" max="42" width="16.44140625" style="98" customWidth="1"/>
    <col min="43" max="43" width="16.44140625" style="97" customWidth="1"/>
    <col min="44" max="44" width="17.88671875" style="98" customWidth="1"/>
    <col min="45" max="45" width="17.88671875" style="97" customWidth="1"/>
    <col min="46" max="46" width="16.44140625" style="98" customWidth="1"/>
    <col min="47" max="47" width="16.44140625" style="97" customWidth="1"/>
    <col min="48" max="48" width="17.88671875" style="98" customWidth="1"/>
    <col min="49" max="49" width="17.88671875" style="97" customWidth="1"/>
    <col min="50" max="50" width="16.44140625" style="98" customWidth="1"/>
    <col min="51" max="51" width="16.44140625" style="97" customWidth="1"/>
    <col min="52" max="52" width="17.88671875" style="98" customWidth="1"/>
    <col min="53" max="53" width="17.88671875" style="97" customWidth="1"/>
    <col min="54" max="16384" width="9" style="98"/>
  </cols>
  <sheetData>
    <row r="1" spans="1:53">
      <c r="A1" s="100" t="s">
        <v>2027</v>
      </c>
      <c r="B1" s="101" t="s">
        <v>590</v>
      </c>
      <c r="C1" s="101"/>
      <c r="D1" s="2737" t="s">
        <v>2516</v>
      </c>
      <c r="E1" s="2737" t="s">
        <v>1604</v>
      </c>
      <c r="F1" s="2737" t="s">
        <v>1605</v>
      </c>
      <c r="G1" s="2737" t="s">
        <v>1606</v>
      </c>
      <c r="H1" s="2737" t="s">
        <v>1607</v>
      </c>
      <c r="I1" s="2737" t="s">
        <v>1608</v>
      </c>
      <c r="J1" s="2737" t="s">
        <v>1609</v>
      </c>
      <c r="K1" s="2737" t="s">
        <v>1610</v>
      </c>
      <c r="L1" s="2737" t="s">
        <v>1612</v>
      </c>
      <c r="M1" s="2737" t="s">
        <v>1613</v>
      </c>
      <c r="N1" s="2737" t="s">
        <v>1615</v>
      </c>
      <c r="O1" s="2737" t="s">
        <v>1616</v>
      </c>
      <c r="P1" s="2737" t="s">
        <v>1618</v>
      </c>
      <c r="Q1" s="2737" t="s">
        <v>1619</v>
      </c>
      <c r="R1" s="2737" t="s">
        <v>1621</v>
      </c>
      <c r="S1" s="2737" t="s">
        <v>1622</v>
      </c>
      <c r="T1" s="2737" t="s">
        <v>1624</v>
      </c>
      <c r="U1" s="2737" t="s">
        <v>1625</v>
      </c>
      <c r="V1" s="2737" t="s">
        <v>1627</v>
      </c>
      <c r="W1" s="2737" t="s">
        <v>1628</v>
      </c>
      <c r="X1" s="2737" t="s">
        <v>1630</v>
      </c>
      <c r="Y1" s="2737" t="s">
        <v>1631</v>
      </c>
      <c r="Z1" s="2737" t="s">
        <v>1633</v>
      </c>
      <c r="AA1" s="2737" t="s">
        <v>1634</v>
      </c>
      <c r="AB1" s="2737" t="s">
        <v>1636</v>
      </c>
      <c r="AC1" s="2737" t="s">
        <v>1637</v>
      </c>
      <c r="AD1" s="2737" t="s">
        <v>1639</v>
      </c>
      <c r="AE1" s="2737" t="s">
        <v>1640</v>
      </c>
      <c r="AF1" s="2737" t="s">
        <v>1642</v>
      </c>
      <c r="AG1" s="2737" t="s">
        <v>1643</v>
      </c>
      <c r="AH1" s="2737" t="s">
        <v>1237</v>
      </c>
      <c r="AI1" s="2737" t="s">
        <v>1645</v>
      </c>
      <c r="AJ1" s="2737" t="s">
        <v>1646</v>
      </c>
      <c r="AK1" s="2737" t="s">
        <v>1647</v>
      </c>
      <c r="AL1" s="2737" t="s">
        <v>1648</v>
      </c>
      <c r="AM1" s="2737" t="s">
        <v>1649</v>
      </c>
      <c r="AN1" s="2737" t="s">
        <v>1651</v>
      </c>
      <c r="AO1" s="2737" t="s">
        <v>1652</v>
      </c>
      <c r="AP1" s="2737" t="s">
        <v>1653</v>
      </c>
      <c r="AQ1" s="2737" t="s">
        <v>1654</v>
      </c>
      <c r="AR1" s="2737" t="s">
        <v>1982</v>
      </c>
      <c r="AS1" s="2737" t="s">
        <v>1983</v>
      </c>
      <c r="AT1" s="2737" t="s">
        <v>1984</v>
      </c>
      <c r="AU1" s="2737" t="s">
        <v>1985</v>
      </c>
      <c r="AV1" s="2737" t="s">
        <v>1987</v>
      </c>
      <c r="AW1" s="2737" t="s">
        <v>1988</v>
      </c>
      <c r="AX1" s="2737" t="s">
        <v>1989</v>
      </c>
      <c r="AY1" s="2737" t="s">
        <v>1990</v>
      </c>
      <c r="AZ1" s="2737" t="s">
        <v>1992</v>
      </c>
      <c r="BA1" s="2737" t="s">
        <v>1993</v>
      </c>
    </row>
    <row r="2" spans="1:53" s="311" customFormat="1">
      <c r="A2" s="310"/>
      <c r="B2" s="1413"/>
      <c r="C2" s="1413"/>
      <c r="D2" s="1414"/>
      <c r="E2" s="1414"/>
      <c r="F2" s="1414"/>
      <c r="G2" s="1414"/>
      <c r="H2" s="1414"/>
      <c r="I2" s="1414"/>
      <c r="J2" s="1414"/>
      <c r="K2" s="1414"/>
      <c r="L2" s="1414"/>
      <c r="M2" s="1414"/>
      <c r="N2" s="1414"/>
      <c r="O2" s="1414"/>
      <c r="P2" s="1414"/>
      <c r="Q2" s="1414"/>
      <c r="R2" s="1414"/>
      <c r="S2" s="1414"/>
      <c r="T2" s="1414"/>
      <c r="U2" s="1414"/>
      <c r="V2" s="1414"/>
      <c r="W2" s="1414"/>
      <c r="X2" s="1414"/>
      <c r="Y2" s="1414"/>
      <c r="Z2" s="1414"/>
      <c r="AA2" s="1414"/>
      <c r="AB2" s="1414"/>
      <c r="AC2" s="1414"/>
      <c r="AD2" s="1414"/>
      <c r="AE2" s="1414"/>
      <c r="AF2" s="1414"/>
      <c r="AG2" s="1414"/>
      <c r="AH2" s="1414"/>
      <c r="AI2" s="1414"/>
      <c r="AJ2" s="1414"/>
      <c r="AK2" s="1414"/>
      <c r="AL2" s="1414"/>
      <c r="AM2" s="1414"/>
      <c r="AN2" s="1414"/>
      <c r="AO2" s="1414"/>
      <c r="AP2" s="1414"/>
      <c r="AQ2" s="1414"/>
      <c r="AR2" s="1414"/>
      <c r="AS2" s="1414"/>
      <c r="AT2" s="1414"/>
      <c r="AU2" s="1414"/>
      <c r="AV2" s="1414"/>
      <c r="AW2" s="1414"/>
      <c r="AX2" s="1414"/>
      <c r="AY2" s="1414"/>
      <c r="AZ2" s="1414"/>
      <c r="BA2" s="1414"/>
    </row>
    <row r="3" spans="1:53" ht="16.5" customHeight="1">
      <c r="A3" s="203" t="s">
        <v>763</v>
      </c>
      <c r="B3" s="98"/>
      <c r="C3" s="98"/>
      <c r="D3" s="2466" t="s">
        <v>2028</v>
      </c>
      <c r="E3" s="2467"/>
      <c r="F3" s="2462" t="s">
        <v>593</v>
      </c>
      <c r="G3" s="2463"/>
      <c r="H3" s="2460" t="s">
        <v>2029</v>
      </c>
      <c r="I3" s="2461"/>
      <c r="J3" s="2462" t="s">
        <v>595</v>
      </c>
      <c r="K3" s="2463"/>
      <c r="L3" s="2462" t="s">
        <v>596</v>
      </c>
      <c r="M3" s="2463"/>
      <c r="N3" s="2462" t="s">
        <v>597</v>
      </c>
      <c r="O3" s="2463"/>
      <c r="P3" s="2462" t="s">
        <v>598</v>
      </c>
      <c r="Q3" s="2463"/>
      <c r="R3" s="2462" t="s">
        <v>599</v>
      </c>
      <c r="S3" s="2463"/>
      <c r="T3" s="2462" t="s">
        <v>600</v>
      </c>
      <c r="U3" s="2463"/>
      <c r="V3" s="2462" t="s">
        <v>601</v>
      </c>
      <c r="W3" s="2463"/>
      <c r="X3" s="2462" t="s">
        <v>602</v>
      </c>
      <c r="Y3" s="2463"/>
      <c r="Z3" s="2462" t="s">
        <v>603</v>
      </c>
      <c r="AA3" s="2463"/>
      <c r="AB3" s="2462" t="s">
        <v>604</v>
      </c>
      <c r="AC3" s="2463"/>
      <c r="AD3" s="2462" t="s">
        <v>605</v>
      </c>
      <c r="AE3" s="2464"/>
      <c r="AF3" s="2462" t="s">
        <v>606</v>
      </c>
      <c r="AG3" s="2463"/>
      <c r="AH3" s="2468" t="s">
        <v>24</v>
      </c>
      <c r="AI3" s="2469"/>
      <c r="AJ3" s="2460" t="s">
        <v>2030</v>
      </c>
      <c r="AK3" s="2461"/>
      <c r="AL3" s="2462" t="s">
        <v>25</v>
      </c>
      <c r="AM3" s="2463"/>
      <c r="AN3" s="2460" t="s">
        <v>2031</v>
      </c>
      <c r="AO3" s="2461"/>
      <c r="AP3" s="2462" t="s">
        <v>26</v>
      </c>
      <c r="AQ3" s="2463"/>
      <c r="AR3" s="2460" t="s">
        <v>2032</v>
      </c>
      <c r="AS3" s="2461"/>
      <c r="AT3" s="2462" t="s">
        <v>27</v>
      </c>
      <c r="AU3" s="2463"/>
      <c r="AV3" s="2460" t="s">
        <v>2033</v>
      </c>
      <c r="AW3" s="2461"/>
      <c r="AX3" s="2462" t="s">
        <v>611</v>
      </c>
      <c r="AY3" s="2463"/>
      <c r="AZ3" s="2460" t="s">
        <v>2034</v>
      </c>
      <c r="BA3" s="2461"/>
    </row>
    <row r="4" spans="1:53" s="223" customFormat="1">
      <c r="A4" s="120"/>
      <c r="B4" s="120"/>
      <c r="C4" s="1393" t="s">
        <v>1960</v>
      </c>
      <c r="D4" s="1415">
        <v>22640000</v>
      </c>
      <c r="E4" s="1415" t="s">
        <v>291</v>
      </c>
      <c r="F4" s="122">
        <v>22640000</v>
      </c>
      <c r="G4" s="122" t="s">
        <v>291</v>
      </c>
      <c r="H4" s="122">
        <v>22640000</v>
      </c>
      <c r="I4" s="122" t="s">
        <v>291</v>
      </c>
      <c r="J4" s="122">
        <v>22640000</v>
      </c>
      <c r="K4" s="122" t="s">
        <v>291</v>
      </c>
      <c r="L4" s="122">
        <v>22640000</v>
      </c>
      <c r="M4" s="122" t="s">
        <v>291</v>
      </c>
      <c r="N4" s="122">
        <v>22640000</v>
      </c>
      <c r="O4" s="122" t="s">
        <v>291</v>
      </c>
      <c r="P4" s="122">
        <v>22640000</v>
      </c>
      <c r="Q4" s="122" t="s">
        <v>291</v>
      </c>
      <c r="R4" s="122">
        <v>22640000</v>
      </c>
      <c r="S4" s="122" t="s">
        <v>291</v>
      </c>
      <c r="T4" s="122">
        <v>22640000</v>
      </c>
      <c r="U4" s="122" t="s">
        <v>291</v>
      </c>
      <c r="V4" s="122">
        <v>22640000</v>
      </c>
      <c r="W4" s="122" t="s">
        <v>291</v>
      </c>
      <c r="X4" s="122">
        <v>22640000</v>
      </c>
      <c r="Y4" s="122" t="s">
        <v>291</v>
      </c>
      <c r="Z4" s="122">
        <v>22640000</v>
      </c>
      <c r="AA4" s="122" t="s">
        <v>291</v>
      </c>
      <c r="AB4" s="122">
        <v>22640000</v>
      </c>
      <c r="AC4" s="122" t="s">
        <v>291</v>
      </c>
      <c r="AD4" s="122">
        <v>22640000</v>
      </c>
      <c r="AE4" s="122" t="s">
        <v>291</v>
      </c>
      <c r="AF4" s="122">
        <v>22640000</v>
      </c>
      <c r="AG4" s="122" t="s">
        <v>291</v>
      </c>
      <c r="AH4" s="312">
        <v>22640000</v>
      </c>
      <c r="AI4" s="312" t="s">
        <v>291</v>
      </c>
      <c r="AJ4" s="122">
        <v>22640000</v>
      </c>
      <c r="AK4" s="122" t="s">
        <v>291</v>
      </c>
      <c r="AL4" s="122">
        <v>22640000</v>
      </c>
      <c r="AM4" s="122" t="s">
        <v>291</v>
      </c>
      <c r="AN4" s="122">
        <v>22640000</v>
      </c>
      <c r="AO4" s="122" t="s">
        <v>291</v>
      </c>
      <c r="AP4" s="122">
        <v>22640000</v>
      </c>
      <c r="AQ4" s="122" t="s">
        <v>291</v>
      </c>
      <c r="AR4" s="122">
        <v>22640000</v>
      </c>
      <c r="AS4" s="122" t="s">
        <v>291</v>
      </c>
      <c r="AT4" s="122">
        <v>22640000</v>
      </c>
      <c r="AU4" s="122" t="s">
        <v>291</v>
      </c>
      <c r="AV4" s="122">
        <v>22640000</v>
      </c>
      <c r="AW4" s="122" t="s">
        <v>291</v>
      </c>
      <c r="AX4" s="122">
        <v>22640000</v>
      </c>
      <c r="AY4" s="122" t="s">
        <v>291</v>
      </c>
      <c r="AZ4" s="122">
        <v>22640000</v>
      </c>
      <c r="BA4" s="122" t="s">
        <v>291</v>
      </c>
    </row>
    <row r="5" spans="1:53" s="102" customFormat="1">
      <c r="A5" s="212" t="s">
        <v>292</v>
      </c>
      <c r="B5" s="212" t="s">
        <v>293</v>
      </c>
      <c r="C5" s="212"/>
      <c r="D5" s="1416" t="s">
        <v>764</v>
      </c>
      <c r="E5" s="1416" t="s">
        <v>763</v>
      </c>
      <c r="F5" s="133" t="s">
        <v>764</v>
      </c>
      <c r="G5" s="133" t="s">
        <v>763</v>
      </c>
      <c r="H5" s="133" t="s">
        <v>764</v>
      </c>
      <c r="I5" s="133" t="s">
        <v>763</v>
      </c>
      <c r="J5" s="133" t="s">
        <v>764</v>
      </c>
      <c r="K5" s="133" t="s">
        <v>763</v>
      </c>
      <c r="L5" s="133" t="s">
        <v>764</v>
      </c>
      <c r="M5" s="133" t="s">
        <v>763</v>
      </c>
      <c r="N5" s="133" t="s">
        <v>764</v>
      </c>
      <c r="O5" s="133" t="s">
        <v>763</v>
      </c>
      <c r="P5" s="133" t="s">
        <v>764</v>
      </c>
      <c r="Q5" s="133" t="s">
        <v>763</v>
      </c>
      <c r="R5" s="133" t="s">
        <v>764</v>
      </c>
      <c r="S5" s="133" t="s">
        <v>763</v>
      </c>
      <c r="T5" s="133" t="s">
        <v>764</v>
      </c>
      <c r="U5" s="133" t="s">
        <v>763</v>
      </c>
      <c r="V5" s="133" t="s">
        <v>764</v>
      </c>
      <c r="W5" s="133" t="s">
        <v>763</v>
      </c>
      <c r="X5" s="133" t="s">
        <v>764</v>
      </c>
      <c r="Y5" s="133" t="s">
        <v>763</v>
      </c>
      <c r="Z5" s="133" t="s">
        <v>764</v>
      </c>
      <c r="AA5" s="133" t="s">
        <v>763</v>
      </c>
      <c r="AB5" s="133" t="s">
        <v>764</v>
      </c>
      <c r="AC5" s="133" t="s">
        <v>763</v>
      </c>
      <c r="AD5" s="133" t="s">
        <v>764</v>
      </c>
      <c r="AE5" s="133" t="s">
        <v>763</v>
      </c>
      <c r="AF5" s="133" t="s">
        <v>764</v>
      </c>
      <c r="AG5" s="133" t="s">
        <v>763</v>
      </c>
      <c r="AH5" s="313" t="s">
        <v>764</v>
      </c>
      <c r="AI5" s="313" t="s">
        <v>763</v>
      </c>
      <c r="AJ5" s="133" t="s">
        <v>764</v>
      </c>
      <c r="AK5" s="133" t="s">
        <v>763</v>
      </c>
      <c r="AL5" s="133" t="s">
        <v>764</v>
      </c>
      <c r="AM5" s="133" t="s">
        <v>763</v>
      </c>
      <c r="AN5" s="133" t="s">
        <v>764</v>
      </c>
      <c r="AO5" s="133" t="s">
        <v>763</v>
      </c>
      <c r="AP5" s="133" t="s">
        <v>764</v>
      </c>
      <c r="AQ5" s="133" t="s">
        <v>763</v>
      </c>
      <c r="AR5" s="133" t="s">
        <v>764</v>
      </c>
      <c r="AS5" s="133" t="s">
        <v>763</v>
      </c>
      <c r="AT5" s="133" t="s">
        <v>764</v>
      </c>
      <c r="AU5" s="133" t="s">
        <v>763</v>
      </c>
      <c r="AV5" s="133" t="s">
        <v>764</v>
      </c>
      <c r="AW5" s="133" t="s">
        <v>763</v>
      </c>
      <c r="AX5" s="133" t="s">
        <v>764</v>
      </c>
      <c r="AY5" s="133" t="s">
        <v>763</v>
      </c>
      <c r="AZ5" s="133" t="s">
        <v>764</v>
      </c>
      <c r="BA5" s="133" t="s">
        <v>763</v>
      </c>
    </row>
    <row r="6" spans="1:53" outlineLevel="1">
      <c r="A6" s="175" t="s">
        <v>620</v>
      </c>
      <c r="B6" s="164" t="s">
        <v>621</v>
      </c>
      <c r="C6" s="164" t="s">
        <v>1037</v>
      </c>
      <c r="D6" s="242">
        <f>IFERROR(VLOOKUP(A6,計價收入預算!$A:$AW,9,0),0)</f>
        <v>1547393</v>
      </c>
      <c r="E6" s="242">
        <f t="shared" ref="E6:E28" si="0">SUM(D6:D6)</f>
        <v>1547393</v>
      </c>
      <c r="F6" s="242">
        <f>+H6-D6</f>
        <v>85000</v>
      </c>
      <c r="G6" s="242">
        <f t="shared" ref="G6:G28" si="1">SUM(F6:F6)</f>
        <v>85000</v>
      </c>
      <c r="H6" s="242">
        <f>IFERROR(VLOOKUP($A6,計價收入預算!$A:$AW,26,0),0)</f>
        <v>1632393</v>
      </c>
      <c r="I6" s="242">
        <f>SUM(H6:H6)</f>
        <v>1632393</v>
      </c>
      <c r="J6" s="242">
        <f>IFERROR(VLOOKUP($A6,計價收入預算!$A:$AW,28,0),0)</f>
        <v>0</v>
      </c>
      <c r="K6" s="242">
        <f t="shared" ref="K6:K28" si="2">SUM(J6:J6)</f>
        <v>0</v>
      </c>
      <c r="L6" s="242">
        <f>IFERROR(VLOOKUP($A6,計價收入預算!$A:$AW,29,0),0)</f>
        <v>0</v>
      </c>
      <c r="M6" s="242">
        <f>SUM(L6:L6)</f>
        <v>0</v>
      </c>
      <c r="N6" s="242">
        <f>IFERROR(VLOOKUP($A6,計價收入預算!$A:$AW,30,0),0)</f>
        <v>0</v>
      </c>
      <c r="O6" s="242">
        <f t="shared" ref="O6:O28" si="3">SUM(N6:N6)</f>
        <v>0</v>
      </c>
      <c r="P6" s="242">
        <f>IFERROR(VLOOKUP($A6,計價收入預算!$A:$AW,31,0),0)</f>
        <v>0</v>
      </c>
      <c r="Q6" s="242">
        <f t="shared" ref="Q6:Q28" si="4">SUM(P6:P6)</f>
        <v>0</v>
      </c>
      <c r="R6" s="242">
        <f>IFERROR(VLOOKUP($A6,計價收入預算!$A:$AW,32,0),0)</f>
        <v>0</v>
      </c>
      <c r="S6" s="242">
        <f t="shared" ref="S6:S28" si="5">SUM(R6:R6)</f>
        <v>0</v>
      </c>
      <c r="T6" s="242">
        <f>IFERROR(VLOOKUP($A6,計價收入預算!$A:$AW,33,0),0)</f>
        <v>0</v>
      </c>
      <c r="U6" s="242">
        <f t="shared" ref="U6:U28" si="6">SUM(T6:T6)</f>
        <v>0</v>
      </c>
      <c r="V6" s="242">
        <f>IFERROR(VLOOKUP($A6,計價收入預算!$A:$AW,34,0),0)</f>
        <v>0</v>
      </c>
      <c r="W6" s="242">
        <f t="shared" ref="W6:W28" si="7">SUM(V6:V6)</f>
        <v>0</v>
      </c>
      <c r="X6" s="242">
        <f>IFERROR(VLOOKUP($A6,計價收入預算!$A:$AW,35,0),0)</f>
        <v>0</v>
      </c>
      <c r="Y6" s="242">
        <f t="shared" ref="Y6:Y28" si="8">SUM(X6:X6)</f>
        <v>0</v>
      </c>
      <c r="Z6" s="242">
        <f>IFERROR(VLOOKUP($A6,計價收入預算!$A:$AW,36,0),0)</f>
        <v>0</v>
      </c>
      <c r="AA6" s="242">
        <f t="shared" ref="AA6:AA28" si="9">SUM(Z6:Z6)</f>
        <v>0</v>
      </c>
      <c r="AB6" s="242">
        <f>IFERROR(VLOOKUP($A6,計價收入預算!$A:$AW,37,0),0)</f>
        <v>0</v>
      </c>
      <c r="AC6" s="242">
        <f t="shared" ref="AC6:AC28" si="10">SUM(AB6:AB6)</f>
        <v>0</v>
      </c>
      <c r="AD6" s="242">
        <f>IFERROR(VLOOKUP($A6,計價收入預算!$A:$AW,38,0),0)</f>
        <v>0</v>
      </c>
      <c r="AE6" s="242">
        <f t="shared" ref="AE6:AE28" si="11">SUM(AD6:AD6)</f>
        <v>0</v>
      </c>
      <c r="AF6" s="242">
        <f>IFERROR(VLOOKUP($A6,計價收入預算!$A:$AW,39,0),0)</f>
        <v>0</v>
      </c>
      <c r="AG6" s="242">
        <f t="shared" ref="AG6:AG28" si="12">SUM(AF6:AF6)</f>
        <v>0</v>
      </c>
      <c r="AH6" s="314">
        <f>SUMIF($J$4:$AG$4,$AH$4,$J6:$AG$66)</f>
        <v>0</v>
      </c>
      <c r="AI6" s="314">
        <f t="shared" ref="AI6:AI28" si="13">SUM(AH6:AH6)</f>
        <v>0</v>
      </c>
      <c r="AJ6" s="264">
        <f>+H6+AH6</f>
        <v>1632393</v>
      </c>
      <c r="AK6" s="242">
        <f t="shared" ref="AK6:AK28" si="14">SUM(AJ6:AJ6)</f>
        <v>1632393</v>
      </c>
      <c r="AL6" s="242">
        <f>IFERROR(VLOOKUP($A6,計價收入預算!$A:$AW,42,0),0)</f>
        <v>0</v>
      </c>
      <c r="AM6" s="242">
        <f t="shared" ref="AM6:AM26" si="15">SUM(AL6:AL6)</f>
        <v>0</v>
      </c>
      <c r="AN6" s="242">
        <f>+AJ6+AL6</f>
        <v>1632393</v>
      </c>
      <c r="AO6" s="242">
        <f t="shared" ref="AO6:AO28" si="16">SUM(AN6:AN6)</f>
        <v>1632393</v>
      </c>
      <c r="AP6" s="242">
        <f>IFERROR(VLOOKUP($A6,計價收入預算!$A:$AW,43,0),0)</f>
        <v>0</v>
      </c>
      <c r="AQ6" s="242">
        <f t="shared" ref="AQ6:AQ28" si="17">SUM(AP6:AP6)</f>
        <v>0</v>
      </c>
      <c r="AR6" s="226">
        <f>+AN6+AP6</f>
        <v>1632393</v>
      </c>
      <c r="AS6" s="242">
        <f t="shared" ref="AS6:AS28" si="18">SUM(AR6:AR6)</f>
        <v>1632393</v>
      </c>
      <c r="AT6" s="242">
        <f>IFERROR(VLOOKUP($A6,計價收入預算!$A:$AW,44,0),0)</f>
        <v>0</v>
      </c>
      <c r="AU6" s="242">
        <f t="shared" ref="AU6:AU28" si="19">SUM(AT6:AT6)</f>
        <v>0</v>
      </c>
      <c r="AV6" s="226">
        <f>+AR6+AT6</f>
        <v>1632393</v>
      </c>
      <c r="AW6" s="242">
        <f t="shared" ref="AW6:AW28" si="20">SUM(AV6:AV6)</f>
        <v>1632393</v>
      </c>
      <c r="AX6" s="242">
        <f>IFERROR(VLOOKUP($A6,計價收入預算!$A:$AW,45,0),0)</f>
        <v>0</v>
      </c>
      <c r="AY6" s="242">
        <f t="shared" ref="AY6:AY28" si="21">SUM(AX6:AX6)</f>
        <v>0</v>
      </c>
      <c r="AZ6" s="226">
        <f>+AV6+AX6</f>
        <v>1632393</v>
      </c>
      <c r="BA6" s="242">
        <f t="shared" ref="BA6:BA28" si="22">SUM(AZ6:AZ6)</f>
        <v>1632393</v>
      </c>
    </row>
    <row r="7" spans="1:53" outlineLevel="1">
      <c r="A7" s="175" t="s">
        <v>622</v>
      </c>
      <c r="B7" s="164" t="s">
        <v>623</v>
      </c>
      <c r="C7" s="164" t="s">
        <v>1037</v>
      </c>
      <c r="D7" s="242">
        <f>IFERROR(VLOOKUP(A7,計價收入預算!$A:$AW,9,0),0)</f>
        <v>16428000</v>
      </c>
      <c r="E7" s="242">
        <f t="shared" si="0"/>
        <v>16428000</v>
      </c>
      <c r="F7" s="242">
        <f t="shared" ref="F7:F28" si="23">+H7-D7</f>
        <v>795000</v>
      </c>
      <c r="G7" s="242">
        <f t="shared" si="1"/>
        <v>795000</v>
      </c>
      <c r="H7" s="242">
        <f>IFERROR(VLOOKUP($A7,計價收入預算!$A:$AW,26,0),0)</f>
        <v>17223000</v>
      </c>
      <c r="I7" s="242">
        <f t="shared" ref="I7:I28" si="24">SUM(H7:H7)</f>
        <v>17223000</v>
      </c>
      <c r="J7" s="242">
        <f>IFERROR(VLOOKUP($A7,計價收入預算!$A:$AW,28,0),0)</f>
        <v>0</v>
      </c>
      <c r="K7" s="242">
        <f t="shared" si="2"/>
        <v>0</v>
      </c>
      <c r="L7" s="242">
        <f>IFERROR(VLOOKUP($A7,計價收入預算!$A:$AW,29,0),0)</f>
        <v>240000</v>
      </c>
      <c r="M7" s="242">
        <f>SUM(L7:L7)</f>
        <v>240000</v>
      </c>
      <c r="N7" s="242">
        <f>IFERROR(VLOOKUP($A7,計價收入預算!$A:$AW,30,0),0)</f>
        <v>0</v>
      </c>
      <c r="O7" s="242">
        <f t="shared" si="3"/>
        <v>0</v>
      </c>
      <c r="P7" s="242">
        <f>IFERROR(VLOOKUP($A7,計價收入預算!$A:$AW,31,0),0)</f>
        <v>0</v>
      </c>
      <c r="Q7" s="242">
        <f t="shared" si="4"/>
        <v>0</v>
      </c>
      <c r="R7" s="242">
        <f>IFERROR(VLOOKUP($A7,計價收入預算!$A:$AW,32,0),0)</f>
        <v>0</v>
      </c>
      <c r="S7" s="242">
        <f t="shared" si="5"/>
        <v>0</v>
      </c>
      <c r="T7" s="242">
        <f>IFERROR(VLOOKUP($A7,計價收入預算!$A:$AW,33,0),0)</f>
        <v>0</v>
      </c>
      <c r="U7" s="242">
        <f t="shared" si="6"/>
        <v>0</v>
      </c>
      <c r="V7" s="242">
        <f>IFERROR(VLOOKUP($A7,計價收入預算!$A:$AW,34,0),0)</f>
        <v>0</v>
      </c>
      <c r="W7" s="242">
        <f t="shared" si="7"/>
        <v>0</v>
      </c>
      <c r="X7" s="242">
        <f>IFERROR(VLOOKUP($A7,計價收入預算!$A:$AW,35,0),0)</f>
        <v>0</v>
      </c>
      <c r="Y7" s="242">
        <f t="shared" si="8"/>
        <v>0</v>
      </c>
      <c r="Z7" s="242">
        <f>IFERROR(VLOOKUP($A7,計價收入預算!$A:$AW,36,0),0)</f>
        <v>0</v>
      </c>
      <c r="AA7" s="242">
        <f t="shared" si="9"/>
        <v>0</v>
      </c>
      <c r="AB7" s="242">
        <f>IFERROR(VLOOKUP($A7,計價收入預算!$A:$AW,37,0),0)</f>
        <v>0</v>
      </c>
      <c r="AC7" s="242">
        <f t="shared" si="10"/>
        <v>0</v>
      </c>
      <c r="AD7" s="242">
        <f>IFERROR(VLOOKUP($A7,計價收入預算!$A:$AW,38,0),0)</f>
        <v>0</v>
      </c>
      <c r="AE7" s="242">
        <f t="shared" si="11"/>
        <v>0</v>
      </c>
      <c r="AF7" s="242">
        <f>IFERROR(VLOOKUP($A7,計價收入預算!$A:$AW,39,0),0)</f>
        <v>345000</v>
      </c>
      <c r="AG7" s="242">
        <f t="shared" si="12"/>
        <v>345000</v>
      </c>
      <c r="AH7" s="314">
        <f>SUMIF($J$4:$AG$4,$AH$4,$J7:$AG$66)</f>
        <v>585000</v>
      </c>
      <c r="AI7" s="314">
        <f t="shared" si="13"/>
        <v>585000</v>
      </c>
      <c r="AJ7" s="264">
        <f>+H7+AH7</f>
        <v>17808000</v>
      </c>
      <c r="AK7" s="242">
        <f t="shared" si="14"/>
        <v>17808000</v>
      </c>
      <c r="AL7" s="242">
        <f>IFERROR(VLOOKUP($A7,計價收入預算!$A:$AW,42,0),0)</f>
        <v>700000</v>
      </c>
      <c r="AM7" s="242">
        <f t="shared" si="15"/>
        <v>700000</v>
      </c>
      <c r="AN7" s="242">
        <f>+AJ7+AL7</f>
        <v>18508000</v>
      </c>
      <c r="AO7" s="242">
        <f t="shared" si="16"/>
        <v>18508000</v>
      </c>
      <c r="AP7" s="242">
        <f>IFERROR(VLOOKUP($A7,計價收入預算!$A:$AW,43,0),0)</f>
        <v>6272000</v>
      </c>
      <c r="AQ7" s="242">
        <f t="shared" si="17"/>
        <v>6272000</v>
      </c>
      <c r="AR7" s="226">
        <f>+AN7+AP7</f>
        <v>24780000</v>
      </c>
      <c r="AS7" s="242">
        <f t="shared" si="18"/>
        <v>24780000</v>
      </c>
      <c r="AT7" s="242">
        <f>IFERROR(VLOOKUP($A7,計價收入預算!$A:$AW,44,0),0)</f>
        <v>0</v>
      </c>
      <c r="AU7" s="242">
        <f t="shared" si="19"/>
        <v>0</v>
      </c>
      <c r="AV7" s="226">
        <f>+AR7+AT7</f>
        <v>24780000</v>
      </c>
      <c r="AW7" s="242">
        <f t="shared" si="20"/>
        <v>24780000</v>
      </c>
      <c r="AX7" s="242">
        <f>IFERROR(VLOOKUP($A7,計價收入預算!$A:$AW,45,0),0)</f>
        <v>0</v>
      </c>
      <c r="AY7" s="242">
        <f t="shared" si="21"/>
        <v>0</v>
      </c>
      <c r="AZ7" s="226">
        <f>+AV7+AX7</f>
        <v>24780000</v>
      </c>
      <c r="BA7" s="242">
        <f t="shared" si="22"/>
        <v>24780000</v>
      </c>
    </row>
    <row r="8" spans="1:53" outlineLevel="1">
      <c r="A8" s="175" t="s">
        <v>624</v>
      </c>
      <c r="B8" s="164" t="s">
        <v>625</v>
      </c>
      <c r="C8" s="164" t="s">
        <v>1037</v>
      </c>
      <c r="D8" s="242">
        <f>IFERROR(VLOOKUP(A8,計價收入預算!$A:$AW,9,0),0)</f>
        <v>7971518</v>
      </c>
      <c r="E8" s="242">
        <f t="shared" si="0"/>
        <v>7971518</v>
      </c>
      <c r="F8" s="242">
        <f t="shared" si="23"/>
        <v>450000</v>
      </c>
      <c r="G8" s="242">
        <f t="shared" si="1"/>
        <v>450000</v>
      </c>
      <c r="H8" s="242">
        <f>IFERROR(VLOOKUP($A8,計價收入預算!$A:$AW,26,0),0)</f>
        <v>8421518</v>
      </c>
      <c r="I8" s="242">
        <f t="shared" si="24"/>
        <v>8421518</v>
      </c>
      <c r="J8" s="242">
        <f>IFERROR(VLOOKUP($A8,計價收入預算!$A:$AW,28,0),0)</f>
        <v>675000</v>
      </c>
      <c r="K8" s="242">
        <f t="shared" si="2"/>
        <v>675000</v>
      </c>
      <c r="L8" s="242">
        <f>IFERROR(VLOOKUP($A8,計價收入預算!$A:$AW,29,0),0)</f>
        <v>1136032</v>
      </c>
      <c r="M8" s="242">
        <f>SUM(L8:L8)</f>
        <v>1136032</v>
      </c>
      <c r="N8" s="242">
        <f>IFERROR(VLOOKUP($A8,計價收入預算!$A:$AW,30,0),0)</f>
        <v>75000</v>
      </c>
      <c r="O8" s="242">
        <f t="shared" si="3"/>
        <v>75000</v>
      </c>
      <c r="P8" s="242">
        <f>IFERROR(VLOOKUP($A8,計價收入預算!$A:$AW,31,0),0)</f>
        <v>75000</v>
      </c>
      <c r="Q8" s="242">
        <f t="shared" si="4"/>
        <v>75000</v>
      </c>
      <c r="R8" s="242">
        <f>IFERROR(VLOOKUP($A8,計價收入預算!$A:$AW,32,0),0)</f>
        <v>75000</v>
      </c>
      <c r="S8" s="242">
        <f t="shared" si="5"/>
        <v>75000</v>
      </c>
      <c r="T8" s="242">
        <f>IFERROR(VLOOKUP($A8,計價收入預算!$A:$AW,33,0),0)</f>
        <v>75000</v>
      </c>
      <c r="U8" s="242">
        <f t="shared" si="6"/>
        <v>75000</v>
      </c>
      <c r="V8" s="242">
        <f>IFERROR(VLOOKUP($A8,計價收入預算!$A:$AW,34,0),0)</f>
        <v>75000</v>
      </c>
      <c r="W8" s="242">
        <f t="shared" si="7"/>
        <v>75000</v>
      </c>
      <c r="X8" s="242">
        <f>IFERROR(VLOOKUP($A8,計價收入預算!$A:$AW,35,0),0)</f>
        <v>75000</v>
      </c>
      <c r="Y8" s="242">
        <f t="shared" si="8"/>
        <v>75000</v>
      </c>
      <c r="Z8" s="242">
        <f>IFERROR(VLOOKUP($A8,計價收入預算!$A:$AW,36,0),0)</f>
        <v>75000</v>
      </c>
      <c r="AA8" s="242">
        <f t="shared" si="9"/>
        <v>75000</v>
      </c>
      <c r="AB8" s="242">
        <f>IFERROR(VLOOKUP($A8,計價收入預算!$A:$AW,37,0),0)</f>
        <v>75000</v>
      </c>
      <c r="AC8" s="242">
        <f t="shared" si="10"/>
        <v>75000</v>
      </c>
      <c r="AD8" s="242">
        <f>IFERROR(VLOOKUP($A8,計價收入預算!$A:$AW,38,0),0)</f>
        <v>75000</v>
      </c>
      <c r="AE8" s="242">
        <f t="shared" si="11"/>
        <v>75000</v>
      </c>
      <c r="AF8" s="242">
        <f>IFERROR(VLOOKUP($A8,計價收入預算!$A:$AW,39,0),0)</f>
        <v>75000</v>
      </c>
      <c r="AG8" s="242">
        <f t="shared" si="12"/>
        <v>75000</v>
      </c>
      <c r="AH8" s="314">
        <f>SUMIF($J$4:$AG$4,$AH$4,$J8:$AG$66)</f>
        <v>2561032</v>
      </c>
      <c r="AI8" s="314">
        <f t="shared" si="13"/>
        <v>2561032</v>
      </c>
      <c r="AJ8" s="264">
        <f>+H8+AH8</f>
        <v>10982550</v>
      </c>
      <c r="AK8" s="242">
        <f t="shared" si="14"/>
        <v>10982550</v>
      </c>
      <c r="AL8" s="242">
        <f>IFERROR(VLOOKUP($A8,計價收入預算!$A:$AW,42,0),0)</f>
        <v>398000</v>
      </c>
      <c r="AM8" s="242">
        <f t="shared" si="15"/>
        <v>398000</v>
      </c>
      <c r="AN8" s="242">
        <f>+AJ8+AL8</f>
        <v>11380550</v>
      </c>
      <c r="AO8" s="242">
        <f t="shared" si="16"/>
        <v>11380550</v>
      </c>
      <c r="AP8" s="242">
        <f>IFERROR(VLOOKUP($A8,計價收入預算!$A:$AW,43,0),0)</f>
        <v>0</v>
      </c>
      <c r="AQ8" s="242">
        <f t="shared" si="17"/>
        <v>0</v>
      </c>
      <c r="AR8" s="226">
        <f>+AN8+AP8</f>
        <v>11380550</v>
      </c>
      <c r="AS8" s="242">
        <f t="shared" si="18"/>
        <v>11380550</v>
      </c>
      <c r="AT8" s="242">
        <f>IFERROR(VLOOKUP($A8,計價收入預算!$A:$AW,44,0),0)</f>
        <v>0</v>
      </c>
      <c r="AU8" s="242">
        <f t="shared" si="19"/>
        <v>0</v>
      </c>
      <c r="AV8" s="226">
        <f>+AR8+AT8</f>
        <v>11380550</v>
      </c>
      <c r="AW8" s="242">
        <f t="shared" si="20"/>
        <v>11380550</v>
      </c>
      <c r="AX8" s="242">
        <f>IFERROR(VLOOKUP($A8,計價收入預算!$A:$AW,45,0),0)</f>
        <v>0</v>
      </c>
      <c r="AY8" s="242">
        <f t="shared" si="21"/>
        <v>0</v>
      </c>
      <c r="AZ8" s="226">
        <f>+AV8+AX8</f>
        <v>11380550</v>
      </c>
      <c r="BA8" s="242">
        <f t="shared" si="22"/>
        <v>11380550</v>
      </c>
    </row>
    <row r="9" spans="1:53" outlineLevel="1">
      <c r="A9" s="175" t="s">
        <v>626</v>
      </c>
      <c r="B9" s="156" t="s">
        <v>627</v>
      </c>
      <c r="C9" s="156" t="s">
        <v>1037</v>
      </c>
      <c r="D9" s="242">
        <f>IFERROR(VLOOKUP(A9,計價收入預算!$A:$AW,9,0),0)</f>
        <v>1950000</v>
      </c>
      <c r="E9" s="242">
        <f t="shared" si="0"/>
        <v>1950000</v>
      </c>
      <c r="F9" s="242">
        <f t="shared" si="23"/>
        <v>0</v>
      </c>
      <c r="G9" s="242">
        <f t="shared" si="1"/>
        <v>0</v>
      </c>
      <c r="H9" s="242">
        <f>IFERROR(VLOOKUP($A9,計價收入預算!$A:$AW,26,0),0)</f>
        <v>1950000</v>
      </c>
      <c r="I9" s="242">
        <f t="shared" si="24"/>
        <v>1950000</v>
      </c>
      <c r="J9" s="242">
        <f>IFERROR(VLOOKUP($A9,計價收入預算!$A:$AW,28,0),0)</f>
        <v>0</v>
      </c>
      <c r="K9" s="242">
        <f t="shared" si="2"/>
        <v>0</v>
      </c>
      <c r="L9" s="242">
        <f>IFERROR(VLOOKUP($A9,計價收入預算!$A:$AW,29,0),0)</f>
        <v>0</v>
      </c>
      <c r="M9" s="242">
        <f>SUM(L9:L9)</f>
        <v>0</v>
      </c>
      <c r="N9" s="242">
        <f>IFERROR(VLOOKUP($A9,計價收入預算!$A:$AW,30,0),0)</f>
        <v>0</v>
      </c>
      <c r="O9" s="242">
        <f t="shared" si="3"/>
        <v>0</v>
      </c>
      <c r="P9" s="242">
        <f>IFERROR(VLOOKUP($A9,計價收入預算!$A:$AW,31,0),0)</f>
        <v>0</v>
      </c>
      <c r="Q9" s="242">
        <f t="shared" si="4"/>
        <v>0</v>
      </c>
      <c r="R9" s="242">
        <f>IFERROR(VLOOKUP($A9,計價收入預算!$A:$AW,32,0),0)</f>
        <v>0</v>
      </c>
      <c r="S9" s="242">
        <f t="shared" si="5"/>
        <v>0</v>
      </c>
      <c r="T9" s="242">
        <f>IFERROR(VLOOKUP($A9,計價收入預算!$A:$AW,33,0),0)</f>
        <v>0</v>
      </c>
      <c r="U9" s="242">
        <f t="shared" si="6"/>
        <v>0</v>
      </c>
      <c r="V9" s="242">
        <f>IFERROR(VLOOKUP($A9,計價收入預算!$A:$AW,34,0),0)</f>
        <v>0</v>
      </c>
      <c r="W9" s="242">
        <f t="shared" si="7"/>
        <v>0</v>
      </c>
      <c r="X9" s="242">
        <f>IFERROR(VLOOKUP($A9,計價收入預算!$A:$AW,35,0),0)</f>
        <v>0</v>
      </c>
      <c r="Y9" s="242">
        <f t="shared" si="8"/>
        <v>0</v>
      </c>
      <c r="Z9" s="242">
        <f>IFERROR(VLOOKUP($A9,計價收入預算!$A:$AW,36,0),0)</f>
        <v>0</v>
      </c>
      <c r="AA9" s="242">
        <f t="shared" si="9"/>
        <v>0</v>
      </c>
      <c r="AB9" s="242">
        <f>IFERROR(VLOOKUP($A9,計價收入預算!$A:$AW,37,0),0)</f>
        <v>0</v>
      </c>
      <c r="AC9" s="242">
        <f t="shared" si="10"/>
        <v>0</v>
      </c>
      <c r="AD9" s="242">
        <f>IFERROR(VLOOKUP($A9,計價收入預算!$A:$AW,38,0),0)</f>
        <v>0</v>
      </c>
      <c r="AE9" s="242">
        <f t="shared" si="11"/>
        <v>0</v>
      </c>
      <c r="AF9" s="242">
        <f>IFERROR(VLOOKUP($A9,計價收入預算!$A:$AW,39,0),0)</f>
        <v>0</v>
      </c>
      <c r="AG9" s="242">
        <f t="shared" si="12"/>
        <v>0</v>
      </c>
      <c r="AH9" s="314">
        <f>SUMIF($J$4:$AG$4,$AH$4,$J9:$AG$66)</f>
        <v>0</v>
      </c>
      <c r="AI9" s="314">
        <f t="shared" si="13"/>
        <v>0</v>
      </c>
      <c r="AJ9" s="264">
        <f>+H9+AH9</f>
        <v>1950000</v>
      </c>
      <c r="AK9" s="242">
        <f t="shared" si="14"/>
        <v>1950000</v>
      </c>
      <c r="AL9" s="242">
        <f>IFERROR(VLOOKUP($A9,計價收入預算!$A:$AW,42,0),0)</f>
        <v>0</v>
      </c>
      <c r="AM9" s="242">
        <f t="shared" si="15"/>
        <v>0</v>
      </c>
      <c r="AN9" s="242">
        <f>+AJ9+AL9</f>
        <v>1950000</v>
      </c>
      <c r="AO9" s="242">
        <f t="shared" si="16"/>
        <v>1950000</v>
      </c>
      <c r="AP9" s="242">
        <f>IFERROR(VLOOKUP($A9,計價收入預算!$A:$AW,43,0),0)</f>
        <v>0</v>
      </c>
      <c r="AQ9" s="242">
        <f t="shared" si="17"/>
        <v>0</v>
      </c>
      <c r="AR9" s="226">
        <f>+AN9+AP9</f>
        <v>1950000</v>
      </c>
      <c r="AS9" s="242">
        <f t="shared" si="18"/>
        <v>1950000</v>
      </c>
      <c r="AT9" s="242">
        <f>IFERROR(VLOOKUP($A9,計價收入預算!$A:$AW,44,0),0)</f>
        <v>0</v>
      </c>
      <c r="AU9" s="242">
        <f t="shared" si="19"/>
        <v>0</v>
      </c>
      <c r="AV9" s="226">
        <f>+AR9+AT9</f>
        <v>1950000</v>
      </c>
      <c r="AW9" s="242">
        <f t="shared" si="20"/>
        <v>1950000</v>
      </c>
      <c r="AX9" s="242">
        <f>IFERROR(VLOOKUP($A9,計價收入預算!$A:$AW,45,0),0)</f>
        <v>0</v>
      </c>
      <c r="AY9" s="242">
        <f t="shared" si="21"/>
        <v>0</v>
      </c>
      <c r="AZ9" s="226">
        <f>+AV9+AX9</f>
        <v>1950000</v>
      </c>
      <c r="BA9" s="242">
        <f t="shared" si="22"/>
        <v>1950000</v>
      </c>
    </row>
    <row r="10" spans="1:53" outlineLevel="1">
      <c r="A10" s="175" t="s">
        <v>628</v>
      </c>
      <c r="B10" s="164" t="s">
        <v>629</v>
      </c>
      <c r="C10" s="164" t="s">
        <v>1037</v>
      </c>
      <c r="D10" s="242">
        <f>IFERROR(VLOOKUP(A10,計價收入預算!$A:$AW,9,0),0)</f>
        <v>11541000</v>
      </c>
      <c r="E10" s="242">
        <f t="shared" si="0"/>
        <v>11541000</v>
      </c>
      <c r="F10" s="242">
        <f t="shared" si="23"/>
        <v>393000</v>
      </c>
      <c r="G10" s="242">
        <f t="shared" si="1"/>
        <v>393000</v>
      </c>
      <c r="H10" s="242">
        <f>IFERROR(VLOOKUP($A10,計價收入預算!$A:$AW,26,0),0)</f>
        <v>11934000</v>
      </c>
      <c r="I10" s="242">
        <f t="shared" si="24"/>
        <v>11934000</v>
      </c>
      <c r="J10" s="242">
        <f>IFERROR(VLOOKUP($A10,計價收入預算!$A:$AW,28,0),0)</f>
        <v>93000</v>
      </c>
      <c r="K10" s="242">
        <f t="shared" si="2"/>
        <v>93000</v>
      </c>
      <c r="L10" s="242">
        <f>IFERROR(VLOOKUP($A10,計價收入預算!$A:$AW,29,0),0)</f>
        <v>30000</v>
      </c>
      <c r="M10" s="242">
        <f>SUM(L10:L10)</f>
        <v>30000</v>
      </c>
      <c r="N10" s="242">
        <f>IFERROR(VLOOKUP($A10,計價收入預算!$A:$AW,30,0),0)</f>
        <v>30000</v>
      </c>
      <c r="O10" s="242">
        <f t="shared" si="3"/>
        <v>30000</v>
      </c>
      <c r="P10" s="242">
        <f>IFERROR(VLOOKUP($A10,計價收入預算!$A:$AW,31,0),0)</f>
        <v>30000</v>
      </c>
      <c r="Q10" s="242">
        <f t="shared" si="4"/>
        <v>30000</v>
      </c>
      <c r="R10" s="242">
        <f>IFERROR(VLOOKUP($A10,計價收入預算!$A:$AW,32,0),0)</f>
        <v>30000</v>
      </c>
      <c r="S10" s="242">
        <f t="shared" si="5"/>
        <v>30000</v>
      </c>
      <c r="T10" s="242">
        <f>IFERROR(VLOOKUP($A10,計價收入預算!$A:$AW,33,0),0)</f>
        <v>30000</v>
      </c>
      <c r="U10" s="242">
        <f t="shared" si="6"/>
        <v>30000</v>
      </c>
      <c r="V10" s="242">
        <f>IFERROR(VLOOKUP($A10,計價收入預算!$A:$AW,34,0),0)</f>
        <v>30000</v>
      </c>
      <c r="W10" s="242">
        <f t="shared" si="7"/>
        <v>30000</v>
      </c>
      <c r="X10" s="242">
        <f>IFERROR(VLOOKUP($A10,計價收入預算!$A:$AW,35,0),0)</f>
        <v>30000</v>
      </c>
      <c r="Y10" s="242">
        <f t="shared" si="8"/>
        <v>30000</v>
      </c>
      <c r="Z10" s="242">
        <f>IFERROR(VLOOKUP($A10,計價收入預算!$A:$AW,36,0),0)</f>
        <v>30000</v>
      </c>
      <c r="AA10" s="242">
        <f t="shared" si="9"/>
        <v>30000</v>
      </c>
      <c r="AB10" s="242">
        <f>IFERROR(VLOOKUP($A10,計價收入預算!$A:$AW,37,0),0)</f>
        <v>30000</v>
      </c>
      <c r="AC10" s="242">
        <f t="shared" si="10"/>
        <v>30000</v>
      </c>
      <c r="AD10" s="242">
        <f>IFERROR(VLOOKUP($A10,計價收入預算!$A:$AW,38,0),0)</f>
        <v>30000</v>
      </c>
      <c r="AE10" s="242">
        <f t="shared" si="11"/>
        <v>30000</v>
      </c>
      <c r="AF10" s="242">
        <f>IFERROR(VLOOKUP($A10,計價收入預算!$A:$AW,39,0),0)</f>
        <v>30000</v>
      </c>
      <c r="AG10" s="242">
        <f t="shared" si="12"/>
        <v>30000</v>
      </c>
      <c r="AH10" s="314">
        <f>SUMIF($J$4:$AG$4,$AH$4,$J10:$AG$66)</f>
        <v>423000</v>
      </c>
      <c r="AI10" s="314">
        <f t="shared" si="13"/>
        <v>423000</v>
      </c>
      <c r="AJ10" s="264">
        <f>+H10+AH10</f>
        <v>12357000</v>
      </c>
      <c r="AK10" s="242">
        <f t="shared" si="14"/>
        <v>12357000</v>
      </c>
      <c r="AL10" s="242">
        <f>IFERROR(VLOOKUP($A10,計價收入預算!$A:$AW,42,0),0)</f>
        <v>420000</v>
      </c>
      <c r="AM10" s="242">
        <f t="shared" si="15"/>
        <v>420000</v>
      </c>
      <c r="AN10" s="242">
        <f>+AJ10+AL10</f>
        <v>12777000</v>
      </c>
      <c r="AO10" s="242">
        <f t="shared" si="16"/>
        <v>12777000</v>
      </c>
      <c r="AP10" s="242">
        <f>IFERROR(VLOOKUP($A10,計價收入預算!$A:$AW,43,0),0)</f>
        <v>794000</v>
      </c>
      <c r="AQ10" s="242">
        <f t="shared" si="17"/>
        <v>794000</v>
      </c>
      <c r="AR10" s="226">
        <f>+AN10+AP10</f>
        <v>13571000</v>
      </c>
      <c r="AS10" s="242">
        <f t="shared" si="18"/>
        <v>13571000</v>
      </c>
      <c r="AT10" s="242">
        <f>IFERROR(VLOOKUP($A10,計價收入預算!$A:$AW,44,0),0)</f>
        <v>468000</v>
      </c>
      <c r="AU10" s="242">
        <f t="shared" si="19"/>
        <v>468000</v>
      </c>
      <c r="AV10" s="226">
        <f>+AR10+AT10</f>
        <v>14039000</v>
      </c>
      <c r="AW10" s="242">
        <f t="shared" si="20"/>
        <v>14039000</v>
      </c>
      <c r="AX10" s="242">
        <f>IFERROR(VLOOKUP($A10,計價收入預算!$A:$AW,45,0),0)</f>
        <v>3961000</v>
      </c>
      <c r="AY10" s="242">
        <f t="shared" si="21"/>
        <v>3961000</v>
      </c>
      <c r="AZ10" s="226">
        <f>+AV10+AX10</f>
        <v>18000000</v>
      </c>
      <c r="BA10" s="242">
        <f t="shared" si="22"/>
        <v>18000000</v>
      </c>
    </row>
    <row r="11" spans="1:53" outlineLevel="1">
      <c r="A11" s="175" t="s">
        <v>631</v>
      </c>
      <c r="B11" s="156" t="s">
        <v>632</v>
      </c>
      <c r="C11" s="156" t="s">
        <v>1037</v>
      </c>
      <c r="D11" s="242">
        <f>IFERROR(VLOOKUP(A11,計價收入預算!$A:$AW,9,0),0)</f>
        <v>3615000</v>
      </c>
      <c r="E11" s="242">
        <f t="shared" si="0"/>
        <v>3615000</v>
      </c>
      <c r="F11" s="242">
        <f t="shared" si="23"/>
        <v>765000</v>
      </c>
      <c r="G11" s="242">
        <f t="shared" si="1"/>
        <v>765000</v>
      </c>
      <c r="H11" s="242">
        <f>IFERROR(VLOOKUP($A11,計價收入預算!$A:$AW,26,0),0)</f>
        <v>4380000</v>
      </c>
      <c r="I11" s="242">
        <f t="shared" si="24"/>
        <v>4380000</v>
      </c>
      <c r="J11" s="242">
        <f>IFERROR(VLOOKUP($A11,計價收入預算!$A:$AW,28,0),0)</f>
        <v>0</v>
      </c>
      <c r="K11" s="242">
        <f t="shared" si="2"/>
        <v>0</v>
      </c>
      <c r="L11" s="242">
        <f>IFERROR(VLOOKUP($A11,計價收入預算!$A:$AW,29,0),0)</f>
        <v>0</v>
      </c>
      <c r="M11" s="242">
        <f>SUM(L11:L11)</f>
        <v>0</v>
      </c>
      <c r="N11" s="242">
        <f>IFERROR(VLOOKUP($A11,計價收入預算!$A:$AW,30,0),0)</f>
        <v>0</v>
      </c>
      <c r="O11" s="242">
        <f t="shared" si="3"/>
        <v>0</v>
      </c>
      <c r="P11" s="242">
        <f>IFERROR(VLOOKUP($A11,計價收入預算!$A:$AW,31,0),0)</f>
        <v>0</v>
      </c>
      <c r="Q11" s="242">
        <f t="shared" si="4"/>
        <v>0</v>
      </c>
      <c r="R11" s="242">
        <f>IFERROR(VLOOKUP($A11,計價收入預算!$A:$AW,32,0),0)</f>
        <v>0</v>
      </c>
      <c r="S11" s="242">
        <f t="shared" si="5"/>
        <v>0</v>
      </c>
      <c r="T11" s="242">
        <f>IFERROR(VLOOKUP($A11,計價收入預算!$A:$AW,33,0),0)</f>
        <v>0</v>
      </c>
      <c r="U11" s="242">
        <f t="shared" si="6"/>
        <v>0</v>
      </c>
      <c r="V11" s="242">
        <f>IFERROR(VLOOKUP($A11,計價收入預算!$A:$AW,34,0),0)</f>
        <v>0</v>
      </c>
      <c r="W11" s="242">
        <f t="shared" si="7"/>
        <v>0</v>
      </c>
      <c r="X11" s="242">
        <f>IFERROR(VLOOKUP($A11,計價收入預算!$A:$AW,35,0),0)</f>
        <v>0</v>
      </c>
      <c r="Y11" s="242">
        <f t="shared" si="8"/>
        <v>0</v>
      </c>
      <c r="Z11" s="242">
        <f>IFERROR(VLOOKUP($A11,計價收入預算!$A:$AW,36,0),0)</f>
        <v>0</v>
      </c>
      <c r="AA11" s="242">
        <f t="shared" si="9"/>
        <v>0</v>
      </c>
      <c r="AB11" s="242">
        <f>IFERROR(VLOOKUP($A11,計價收入預算!$A:$AW,37,0),0)</f>
        <v>0</v>
      </c>
      <c r="AC11" s="242">
        <f t="shared" si="10"/>
        <v>0</v>
      </c>
      <c r="AD11" s="242">
        <f>IFERROR(VLOOKUP($A11,計價收入預算!$A:$AW,38,0),0)</f>
        <v>0</v>
      </c>
      <c r="AE11" s="242">
        <f t="shared" si="11"/>
        <v>0</v>
      </c>
      <c r="AF11" s="242">
        <f>IFERROR(VLOOKUP($A11,計價收入預算!$A:$AW,39,0),0)</f>
        <v>0</v>
      </c>
      <c r="AG11" s="242">
        <f t="shared" si="12"/>
        <v>0</v>
      </c>
      <c r="AH11" s="314">
        <f>SUMIF($J$4:$AG$4,$AH$4,$J11:$AG$66)</f>
        <v>0</v>
      </c>
      <c r="AI11" s="314">
        <f t="shared" si="13"/>
        <v>0</v>
      </c>
      <c r="AJ11" s="264">
        <f>+H11+AH11</f>
        <v>4380000</v>
      </c>
      <c r="AK11" s="242">
        <f t="shared" si="14"/>
        <v>4380000</v>
      </c>
      <c r="AL11" s="242">
        <f>IFERROR(VLOOKUP($A11,計價收入預算!$A:$AW,42,0),0)</f>
        <v>0</v>
      </c>
      <c r="AM11" s="242">
        <f t="shared" si="15"/>
        <v>0</v>
      </c>
      <c r="AN11" s="242">
        <f>+AJ11+AL11</f>
        <v>4380000</v>
      </c>
      <c r="AO11" s="242">
        <f t="shared" si="16"/>
        <v>4380000</v>
      </c>
      <c r="AP11" s="242">
        <f>IFERROR(VLOOKUP($A11,計價收入預算!$A:$AW,43,0),0)</f>
        <v>0</v>
      </c>
      <c r="AQ11" s="242">
        <f t="shared" si="17"/>
        <v>0</v>
      </c>
      <c r="AR11" s="226">
        <f>+AN11+AP11</f>
        <v>4380000</v>
      </c>
      <c r="AS11" s="242">
        <f t="shared" si="18"/>
        <v>4380000</v>
      </c>
      <c r="AT11" s="242">
        <f>IFERROR(VLOOKUP($A11,計價收入預算!$A:$AW,44,0),0)</f>
        <v>0</v>
      </c>
      <c r="AU11" s="242">
        <f t="shared" si="19"/>
        <v>0</v>
      </c>
      <c r="AV11" s="226">
        <f>+AR11+AT11</f>
        <v>4380000</v>
      </c>
      <c r="AW11" s="242">
        <f t="shared" si="20"/>
        <v>4380000</v>
      </c>
      <c r="AX11" s="242">
        <f>IFERROR(VLOOKUP($A11,計價收入預算!$A:$AW,45,0),0)</f>
        <v>0</v>
      </c>
      <c r="AY11" s="242">
        <f t="shared" si="21"/>
        <v>0</v>
      </c>
      <c r="AZ11" s="226">
        <f>+AV11+AX11</f>
        <v>4380000</v>
      </c>
      <c r="BA11" s="242">
        <f t="shared" si="22"/>
        <v>4380000</v>
      </c>
    </row>
    <row r="12" spans="1:53" outlineLevel="1">
      <c r="A12" s="1397" t="s">
        <v>633</v>
      </c>
      <c r="B12" s="1398" t="s">
        <v>1968</v>
      </c>
      <c r="C12" s="1398" t="s">
        <v>1245</v>
      </c>
      <c r="D12" s="242">
        <f>IFERROR(VLOOKUP(A12,計價收入預算!$A:$AW,9,0),0)</f>
        <v>0</v>
      </c>
      <c r="E12" s="242">
        <f t="shared" si="0"/>
        <v>0</v>
      </c>
      <c r="F12" s="242">
        <f t="shared" si="23"/>
        <v>867500</v>
      </c>
      <c r="G12" s="242">
        <f t="shared" si="1"/>
        <v>867500</v>
      </c>
      <c r="H12" s="242">
        <f>IFERROR(VLOOKUP($A12,計價收入預算!$A:$AW,26,0),0)</f>
        <v>867500</v>
      </c>
      <c r="I12" s="242">
        <f t="shared" si="24"/>
        <v>867500</v>
      </c>
      <c r="J12" s="242">
        <f>IFERROR(VLOOKUP($A12,計價收入預算!$A:$AW,28,0),0)</f>
        <v>347000</v>
      </c>
      <c r="K12" s="242">
        <f t="shared" si="2"/>
        <v>347000</v>
      </c>
      <c r="L12" s="242">
        <f>IFERROR(VLOOKUP($A12,計價收入預算!$A:$AW,29,0),0)</f>
        <v>0</v>
      </c>
      <c r="M12" s="242">
        <f>SUM(L12:L12)</f>
        <v>0</v>
      </c>
      <c r="N12" s="242">
        <f>IFERROR(VLOOKUP($A12,計價收入預算!$A:$AW,30,0),0)</f>
        <v>347000</v>
      </c>
      <c r="O12" s="242">
        <f t="shared" si="3"/>
        <v>347000</v>
      </c>
      <c r="P12" s="242">
        <f>IFERROR(VLOOKUP($A12,計價收入預算!$A:$AW,31,0),0)</f>
        <v>0</v>
      </c>
      <c r="Q12" s="242">
        <f t="shared" si="4"/>
        <v>0</v>
      </c>
      <c r="R12" s="242">
        <f>IFERROR(VLOOKUP($A12,計價收入預算!$A:$AW,32,0),0)</f>
        <v>0</v>
      </c>
      <c r="S12" s="242">
        <f t="shared" si="5"/>
        <v>0</v>
      </c>
      <c r="T12" s="242">
        <f>IFERROR(VLOOKUP($A12,計價收入預算!$A:$AW,33,0),0)</f>
        <v>0</v>
      </c>
      <c r="U12" s="242">
        <f t="shared" si="6"/>
        <v>0</v>
      </c>
      <c r="V12" s="242">
        <f>IFERROR(VLOOKUP($A12,計價收入預算!$A:$AW,34,0),0)</f>
        <v>0</v>
      </c>
      <c r="W12" s="242">
        <f t="shared" si="7"/>
        <v>0</v>
      </c>
      <c r="X12" s="242">
        <f>IFERROR(VLOOKUP($A12,計價收入預算!$A:$AW,35,0),0)</f>
        <v>0</v>
      </c>
      <c r="Y12" s="242">
        <f t="shared" si="8"/>
        <v>0</v>
      </c>
      <c r="Z12" s="242">
        <f>IFERROR(VLOOKUP($A12,計價收入預算!$A:$AW,36,0),0)</f>
        <v>0</v>
      </c>
      <c r="AA12" s="242">
        <f t="shared" si="9"/>
        <v>0</v>
      </c>
      <c r="AB12" s="242">
        <f>IFERROR(VLOOKUP($A12,計價收入預算!$A:$AW,37,0),0)</f>
        <v>0</v>
      </c>
      <c r="AC12" s="242">
        <f t="shared" si="10"/>
        <v>0</v>
      </c>
      <c r="AD12" s="242">
        <f>IFERROR(VLOOKUP($A12,計價收入預算!$A:$AW,38,0),0)</f>
        <v>0</v>
      </c>
      <c r="AE12" s="242">
        <f t="shared" si="11"/>
        <v>0</v>
      </c>
      <c r="AF12" s="242">
        <f>IFERROR(VLOOKUP($A12,計價收入預算!$A:$AW,39,0),0)</f>
        <v>694000</v>
      </c>
      <c r="AG12" s="242">
        <f t="shared" si="12"/>
        <v>694000</v>
      </c>
      <c r="AH12" s="314">
        <f>SUMIF($J$4:$AG$4,$AH$4,$J12:$AG$66)</f>
        <v>1388000</v>
      </c>
      <c r="AI12" s="314">
        <f t="shared" si="13"/>
        <v>1388000</v>
      </c>
      <c r="AJ12" s="264">
        <f>+H12+AH12</f>
        <v>2255500</v>
      </c>
      <c r="AK12" s="242">
        <f t="shared" si="14"/>
        <v>2255500</v>
      </c>
      <c r="AL12" s="242">
        <f>IFERROR(VLOOKUP($A12,計價收入預算!$A:$AW,42,0),0)</f>
        <v>822500</v>
      </c>
      <c r="AM12" s="242">
        <f t="shared" si="15"/>
        <v>822500</v>
      </c>
      <c r="AN12" s="242">
        <f>+AJ12+AL12</f>
        <v>3078000</v>
      </c>
      <c r="AO12" s="242">
        <f t="shared" si="16"/>
        <v>3078000</v>
      </c>
      <c r="AP12" s="242">
        <f>IFERROR(VLOOKUP($A12,計價收入預算!$A:$AW,43,0),0)</f>
        <v>447000</v>
      </c>
      <c r="AQ12" s="242">
        <f t="shared" si="17"/>
        <v>447000</v>
      </c>
      <c r="AR12" s="226">
        <f>+AN12+AP12</f>
        <v>3525000</v>
      </c>
      <c r="AS12" s="242">
        <f t="shared" si="18"/>
        <v>3525000</v>
      </c>
      <c r="AT12" s="242">
        <f>IFERROR(VLOOKUP($A12,計價收入預算!$A:$AW,44,0),0)</f>
        <v>0</v>
      </c>
      <c r="AU12" s="242">
        <f t="shared" si="19"/>
        <v>0</v>
      </c>
      <c r="AV12" s="226">
        <f>+AR12+AT12</f>
        <v>3525000</v>
      </c>
      <c r="AW12" s="242">
        <f t="shared" si="20"/>
        <v>3525000</v>
      </c>
      <c r="AX12" s="242">
        <f>IFERROR(VLOOKUP($A12,計價收入預算!$A:$AW,45,0),0)</f>
        <v>0</v>
      </c>
      <c r="AY12" s="242">
        <f t="shared" si="21"/>
        <v>0</v>
      </c>
      <c r="AZ12" s="226">
        <f>+AV12+AX12</f>
        <v>3525000</v>
      </c>
      <c r="BA12" s="242">
        <f t="shared" si="22"/>
        <v>3525000</v>
      </c>
    </row>
    <row r="13" spans="1:53" ht="15" customHeight="1" outlineLevel="1">
      <c r="A13" s="175" t="s">
        <v>634</v>
      </c>
      <c r="B13" s="156" t="s">
        <v>635</v>
      </c>
      <c r="C13" s="156" t="s">
        <v>1037</v>
      </c>
      <c r="D13" s="242">
        <f>IFERROR(VLOOKUP(A13,計價收入預算!$A:$AW,9,0),0)</f>
        <v>5465000</v>
      </c>
      <c r="E13" s="242">
        <f t="shared" si="0"/>
        <v>5465000</v>
      </c>
      <c r="F13" s="242">
        <f t="shared" si="23"/>
        <v>160000</v>
      </c>
      <c r="G13" s="242">
        <f t="shared" si="1"/>
        <v>160000</v>
      </c>
      <c r="H13" s="242">
        <f>IFERROR(VLOOKUP($A13,計價收入預算!$A:$AW,26,0),0)</f>
        <v>5625000</v>
      </c>
      <c r="I13" s="242">
        <f t="shared" si="24"/>
        <v>5625000</v>
      </c>
      <c r="J13" s="242">
        <f>IFERROR(VLOOKUP($A13,計價收入預算!$A:$AW,28,0),0)</f>
        <v>160000</v>
      </c>
      <c r="K13" s="242">
        <f t="shared" si="2"/>
        <v>160000</v>
      </c>
      <c r="L13" s="242">
        <f>IFERROR(VLOOKUP($A13,計價收入預算!$A:$AW,29,0),0)</f>
        <v>160000</v>
      </c>
      <c r="M13" s="242">
        <f>SUM(L13:L13)</f>
        <v>160000</v>
      </c>
      <c r="N13" s="242">
        <f>IFERROR(VLOOKUP($A13,計價收入預算!$A:$AW,30,0),0)</f>
        <v>160000</v>
      </c>
      <c r="O13" s="242">
        <f t="shared" si="3"/>
        <v>160000</v>
      </c>
      <c r="P13" s="242">
        <f>IFERROR(VLOOKUP($A13,計價收入預算!$A:$AW,31,0),0)</f>
        <v>160000</v>
      </c>
      <c r="Q13" s="242">
        <f t="shared" si="4"/>
        <v>160000</v>
      </c>
      <c r="R13" s="242">
        <f>IFERROR(VLOOKUP($A13,計價收入預算!$A:$AW,32,0),0)</f>
        <v>160000</v>
      </c>
      <c r="S13" s="242">
        <f t="shared" si="5"/>
        <v>160000</v>
      </c>
      <c r="T13" s="242">
        <f>IFERROR(VLOOKUP($A13,計價收入預算!$A:$AW,33,0),0)</f>
        <v>160000</v>
      </c>
      <c r="U13" s="242">
        <f t="shared" si="6"/>
        <v>160000</v>
      </c>
      <c r="V13" s="242">
        <f>IFERROR(VLOOKUP($A13,計價收入預算!$A:$AW,34,0),0)</f>
        <v>160000</v>
      </c>
      <c r="W13" s="242">
        <f t="shared" si="7"/>
        <v>160000</v>
      </c>
      <c r="X13" s="242">
        <f>IFERROR(VLOOKUP($A13,計價收入預算!$A:$AW,35,0),0)</f>
        <v>160000</v>
      </c>
      <c r="Y13" s="242">
        <f t="shared" si="8"/>
        <v>160000</v>
      </c>
      <c r="Z13" s="242">
        <f>IFERROR(VLOOKUP($A13,計價收入預算!$A:$AW,36,0),0)</f>
        <v>160000</v>
      </c>
      <c r="AA13" s="242">
        <f t="shared" si="9"/>
        <v>160000</v>
      </c>
      <c r="AB13" s="242">
        <f>IFERROR(VLOOKUP($A13,計價收入預算!$A:$AW,37,0),0)</f>
        <v>160000</v>
      </c>
      <c r="AC13" s="242">
        <f t="shared" si="10"/>
        <v>160000</v>
      </c>
      <c r="AD13" s="242">
        <f>IFERROR(VLOOKUP($A13,計價收入預算!$A:$AW,38,0),0)</f>
        <v>160000</v>
      </c>
      <c r="AE13" s="242">
        <f t="shared" si="11"/>
        <v>160000</v>
      </c>
      <c r="AF13" s="242">
        <f>IFERROR(VLOOKUP($A13,計價收入預算!$A:$AW,39,0),0)</f>
        <v>415000</v>
      </c>
      <c r="AG13" s="242">
        <f t="shared" si="12"/>
        <v>415000</v>
      </c>
      <c r="AH13" s="314">
        <f>SUMIF($J$4:$AG$4,$AH$4,$J13:$AG$66)</f>
        <v>2175000</v>
      </c>
      <c r="AI13" s="314">
        <f t="shared" si="13"/>
        <v>2175000</v>
      </c>
      <c r="AJ13" s="264">
        <f>+H13+AH13</f>
        <v>7800000</v>
      </c>
      <c r="AK13" s="242">
        <f t="shared" si="14"/>
        <v>7800000</v>
      </c>
      <c r="AL13" s="242">
        <f>IFERROR(VLOOKUP($A13,計價收入預算!$A:$AW,42,0),0)</f>
        <v>0</v>
      </c>
      <c r="AM13" s="242">
        <f t="shared" si="15"/>
        <v>0</v>
      </c>
      <c r="AN13" s="242">
        <f>+AJ13+AL13</f>
        <v>7800000</v>
      </c>
      <c r="AO13" s="242">
        <f t="shared" si="16"/>
        <v>7800000</v>
      </c>
      <c r="AP13" s="242">
        <f>IFERROR(VLOOKUP($A13,計價收入預算!$A:$AW,43,0),0)</f>
        <v>0</v>
      </c>
      <c r="AQ13" s="242">
        <f t="shared" si="17"/>
        <v>0</v>
      </c>
      <c r="AR13" s="226">
        <f>+AN13+AP13</f>
        <v>7800000</v>
      </c>
      <c r="AS13" s="242">
        <f t="shared" si="18"/>
        <v>7800000</v>
      </c>
      <c r="AT13" s="242">
        <f>IFERROR(VLOOKUP($A13,計價收入預算!$A:$AW,44,0),0)</f>
        <v>0</v>
      </c>
      <c r="AU13" s="242">
        <f t="shared" si="19"/>
        <v>0</v>
      </c>
      <c r="AV13" s="226">
        <f>+AR13+AT13</f>
        <v>7800000</v>
      </c>
      <c r="AW13" s="242">
        <f t="shared" si="20"/>
        <v>7800000</v>
      </c>
      <c r="AX13" s="242">
        <f>IFERROR(VLOOKUP($A13,計價收入預算!$A:$AW,45,0),0)</f>
        <v>0</v>
      </c>
      <c r="AY13" s="242">
        <f t="shared" si="21"/>
        <v>0</v>
      </c>
      <c r="AZ13" s="226">
        <f>+AV13+AX13</f>
        <v>7800000</v>
      </c>
      <c r="BA13" s="242">
        <f t="shared" si="22"/>
        <v>7800000</v>
      </c>
    </row>
    <row r="14" spans="1:53" outlineLevel="1">
      <c r="A14" s="175" t="s">
        <v>636</v>
      </c>
      <c r="B14" s="164" t="s">
        <v>637</v>
      </c>
      <c r="C14" s="164" t="s">
        <v>1037</v>
      </c>
      <c r="D14" s="242">
        <f>IFERROR(VLOOKUP(A14,計價收入預算!$A:$AW,9,0),0)</f>
        <v>6868000</v>
      </c>
      <c r="E14" s="242">
        <f t="shared" si="0"/>
        <v>6868000</v>
      </c>
      <c r="F14" s="242">
        <f t="shared" si="23"/>
        <v>1745000</v>
      </c>
      <c r="G14" s="242">
        <f t="shared" si="1"/>
        <v>1745000</v>
      </c>
      <c r="H14" s="242">
        <f>IFERROR(VLOOKUP($A14,計價收入預算!$A:$AW,26,0),0)</f>
        <v>8613000</v>
      </c>
      <c r="I14" s="242">
        <f t="shared" si="24"/>
        <v>8613000</v>
      </c>
      <c r="J14" s="242">
        <f>IFERROR(VLOOKUP($A14,計價收入預算!$A:$AW,28,0),0)</f>
        <v>431668</v>
      </c>
      <c r="K14" s="242">
        <f t="shared" si="2"/>
        <v>431668</v>
      </c>
      <c r="L14" s="242">
        <f>IFERROR(VLOOKUP($A14,計價收入預算!$A:$AW,29,0),0)</f>
        <v>731668</v>
      </c>
      <c r="M14" s="242">
        <f>SUM(L14:L14)</f>
        <v>731668</v>
      </c>
      <c r="N14" s="242">
        <f>IFERROR(VLOOKUP($A14,計價收入預算!$A:$AW,30,0),0)</f>
        <v>431668</v>
      </c>
      <c r="O14" s="242">
        <f t="shared" si="3"/>
        <v>431668</v>
      </c>
      <c r="P14" s="242">
        <f>IFERROR(VLOOKUP($A14,計價收入預算!$A:$AW,31,0),0)</f>
        <v>431668</v>
      </c>
      <c r="Q14" s="242">
        <f t="shared" si="4"/>
        <v>431668</v>
      </c>
      <c r="R14" s="242">
        <f>IFERROR(VLOOKUP($A14,計價收入預算!$A:$AW,32,0),0)</f>
        <v>431668</v>
      </c>
      <c r="S14" s="242">
        <f t="shared" si="5"/>
        <v>431668</v>
      </c>
      <c r="T14" s="242">
        <f>IFERROR(VLOOKUP($A14,計價收入預算!$A:$AW,33,0),0)</f>
        <v>431668</v>
      </c>
      <c r="U14" s="242">
        <f t="shared" si="6"/>
        <v>431668</v>
      </c>
      <c r="V14" s="242">
        <f>IFERROR(VLOOKUP($A14,計價收入預算!$A:$AW,34,0),0)</f>
        <v>431668</v>
      </c>
      <c r="W14" s="242">
        <f t="shared" si="7"/>
        <v>431668</v>
      </c>
      <c r="X14" s="242">
        <f>IFERROR(VLOOKUP($A14,計價收入預算!$A:$AW,35,0),0)</f>
        <v>431668</v>
      </c>
      <c r="Y14" s="242">
        <f t="shared" si="8"/>
        <v>431668</v>
      </c>
      <c r="Z14" s="242">
        <f>IFERROR(VLOOKUP($A14,計價收入預算!$A:$AW,36,0),0)</f>
        <v>431668</v>
      </c>
      <c r="AA14" s="242">
        <f t="shared" si="9"/>
        <v>431668</v>
      </c>
      <c r="AB14" s="242">
        <f>IFERROR(VLOOKUP($A14,計價收入預算!$A:$AW,37,0),0)</f>
        <v>431668</v>
      </c>
      <c r="AC14" s="242">
        <f t="shared" si="10"/>
        <v>431668</v>
      </c>
      <c r="AD14" s="242">
        <f>IFERROR(VLOOKUP($A14,計價收入預算!$A:$AW,38,0),0)</f>
        <v>431668</v>
      </c>
      <c r="AE14" s="242">
        <f t="shared" si="11"/>
        <v>431668</v>
      </c>
      <c r="AF14" s="242">
        <f>IFERROR(VLOOKUP($A14,計價收入預算!$A:$AW,39,0),0)</f>
        <v>431652</v>
      </c>
      <c r="AG14" s="242">
        <f t="shared" si="12"/>
        <v>431652</v>
      </c>
      <c r="AH14" s="314">
        <f>SUMIF($J$4:$AG$4,$AH$4,$J14:$AG$66)</f>
        <v>5480000</v>
      </c>
      <c r="AI14" s="314">
        <f t="shared" si="13"/>
        <v>5480000</v>
      </c>
      <c r="AJ14" s="264">
        <f>+H14+AH14</f>
        <v>14093000</v>
      </c>
      <c r="AK14" s="242">
        <f t="shared" si="14"/>
        <v>14093000</v>
      </c>
      <c r="AL14" s="242">
        <f>IFERROR(VLOOKUP($A14,計價收入預算!$A:$AW,42,0),0)</f>
        <v>3500000</v>
      </c>
      <c r="AM14" s="242">
        <f t="shared" si="15"/>
        <v>3500000</v>
      </c>
      <c r="AN14" s="242">
        <f>+AJ14+AL14</f>
        <v>17593000</v>
      </c>
      <c r="AO14" s="242">
        <f t="shared" si="16"/>
        <v>17593000</v>
      </c>
      <c r="AP14" s="242">
        <f>IFERROR(VLOOKUP($A14,計價收入預算!$A:$AW,43,0),0)</f>
        <v>1850000</v>
      </c>
      <c r="AQ14" s="242">
        <f t="shared" si="17"/>
        <v>1850000</v>
      </c>
      <c r="AR14" s="226">
        <f>+AN14+AP14</f>
        <v>19443000</v>
      </c>
      <c r="AS14" s="242">
        <f t="shared" si="18"/>
        <v>19443000</v>
      </c>
      <c r="AT14" s="242">
        <f>IFERROR(VLOOKUP($A14,計價收入預算!$A:$AW,44,0),0)</f>
        <v>2170000</v>
      </c>
      <c r="AU14" s="242">
        <f t="shared" si="19"/>
        <v>2170000</v>
      </c>
      <c r="AV14" s="226">
        <f>+AR14+AT14</f>
        <v>21613000</v>
      </c>
      <c r="AW14" s="242">
        <f t="shared" si="20"/>
        <v>21613000</v>
      </c>
      <c r="AX14" s="242">
        <f>IFERROR(VLOOKUP($A14,計價收入預算!$A:$AW,45,0),0)</f>
        <v>2050000</v>
      </c>
      <c r="AY14" s="242">
        <f t="shared" si="21"/>
        <v>2050000</v>
      </c>
      <c r="AZ14" s="226">
        <f>+AV14+AX14</f>
        <v>23663000</v>
      </c>
      <c r="BA14" s="242">
        <f t="shared" si="22"/>
        <v>23663000</v>
      </c>
    </row>
    <row r="15" spans="1:53" outlineLevel="1">
      <c r="A15" s="175" t="s">
        <v>638</v>
      </c>
      <c r="B15" s="164" t="s">
        <v>639</v>
      </c>
      <c r="C15" s="164" t="s">
        <v>1037</v>
      </c>
      <c r="D15" s="242">
        <f>IFERROR(VLOOKUP(A15,計價收入預算!$A:$AW,9,0),0)</f>
        <v>2888750</v>
      </c>
      <c r="E15" s="242">
        <f t="shared" si="0"/>
        <v>2888750</v>
      </c>
      <c r="F15" s="242">
        <f t="shared" si="23"/>
        <v>2342500</v>
      </c>
      <c r="G15" s="242">
        <f t="shared" si="1"/>
        <v>2342500</v>
      </c>
      <c r="H15" s="242">
        <f>IFERROR(VLOOKUP($A15,計價收入預算!$A:$AW,26,0),0)</f>
        <v>5231250</v>
      </c>
      <c r="I15" s="242">
        <f t="shared" si="24"/>
        <v>5231250</v>
      </c>
      <c r="J15" s="242">
        <f>IFERROR(VLOOKUP($A15,計價收入預算!$A:$AW,28,0),0)</f>
        <v>1740000</v>
      </c>
      <c r="K15" s="242">
        <f t="shared" si="2"/>
        <v>1740000</v>
      </c>
      <c r="L15" s="242">
        <f>IFERROR(VLOOKUP($A15,計價收入預算!$A:$AW,29,0),0)</f>
        <v>393250</v>
      </c>
      <c r="M15" s="242">
        <f>SUM(L15:L15)</f>
        <v>393250</v>
      </c>
      <c r="N15" s="242">
        <f>IFERROR(VLOOKUP($A15,計價收入預算!$A:$AW,30,0),0)</f>
        <v>900000</v>
      </c>
      <c r="O15" s="242">
        <f t="shared" si="3"/>
        <v>900000</v>
      </c>
      <c r="P15" s="242">
        <f>IFERROR(VLOOKUP($A15,計價收入預算!$A:$AW,31,0),0)</f>
        <v>60000</v>
      </c>
      <c r="Q15" s="242">
        <f t="shared" si="4"/>
        <v>60000</v>
      </c>
      <c r="R15" s="242">
        <f>IFERROR(VLOOKUP($A15,計價收入預算!$A:$AW,32,0),0)</f>
        <v>900000</v>
      </c>
      <c r="S15" s="242">
        <f t="shared" si="5"/>
        <v>900000</v>
      </c>
      <c r="T15" s="242">
        <f>IFERROR(VLOOKUP($A15,計價收入預算!$A:$AW,33,0),0)</f>
        <v>60000</v>
      </c>
      <c r="U15" s="242">
        <f t="shared" si="6"/>
        <v>60000</v>
      </c>
      <c r="V15" s="242">
        <f>IFERROR(VLOOKUP($A15,計價收入預算!$A:$AW,34,0),0)</f>
        <v>900000</v>
      </c>
      <c r="W15" s="242">
        <f t="shared" si="7"/>
        <v>900000</v>
      </c>
      <c r="X15" s="242">
        <f>IFERROR(VLOOKUP($A15,計價收入預算!$A:$AW,35,0),0)</f>
        <v>230000</v>
      </c>
      <c r="Y15" s="242">
        <f t="shared" si="8"/>
        <v>230000</v>
      </c>
      <c r="Z15" s="242">
        <f>IFERROR(VLOOKUP($A15,計價收入預算!$A:$AW,36,0),0)</f>
        <v>230000</v>
      </c>
      <c r="AA15" s="242">
        <f t="shared" si="9"/>
        <v>230000</v>
      </c>
      <c r="AB15" s="242">
        <f>IFERROR(VLOOKUP($A15,計價收入預算!$A:$AW,37,0),0)</f>
        <v>60000</v>
      </c>
      <c r="AC15" s="242">
        <f t="shared" si="10"/>
        <v>60000</v>
      </c>
      <c r="AD15" s="242">
        <f>IFERROR(VLOOKUP($A15,計價收入預算!$A:$AW,38,0),0)</f>
        <v>60000</v>
      </c>
      <c r="AE15" s="242">
        <f t="shared" si="11"/>
        <v>60000</v>
      </c>
      <c r="AF15" s="242">
        <f>IFERROR(VLOOKUP($A15,計價收入預算!$A:$AW,39,0),0)</f>
        <v>920000</v>
      </c>
      <c r="AG15" s="242">
        <f t="shared" si="12"/>
        <v>920000</v>
      </c>
      <c r="AH15" s="314">
        <f>SUMIF($J$4:$AG$4,$AH$4,$J15:$AG$66)</f>
        <v>6453250</v>
      </c>
      <c r="AI15" s="314">
        <f t="shared" si="13"/>
        <v>6453250</v>
      </c>
      <c r="AJ15" s="264">
        <f>+H15+AH15</f>
        <v>11684500</v>
      </c>
      <c r="AK15" s="242">
        <f t="shared" si="14"/>
        <v>11684500</v>
      </c>
      <c r="AL15" s="242">
        <f>IFERROR(VLOOKUP($A15,計價收入預算!$A:$AW,42,0),0)</f>
        <v>4793250</v>
      </c>
      <c r="AM15" s="242">
        <f t="shared" si="15"/>
        <v>4793250</v>
      </c>
      <c r="AN15" s="242">
        <f>+AJ15+AL15</f>
        <v>16477750</v>
      </c>
      <c r="AO15" s="242">
        <f t="shared" si="16"/>
        <v>16477750</v>
      </c>
      <c r="AP15" s="242">
        <f>IFERROR(VLOOKUP($A15,計價收入預算!$A:$AW,43,0),0)</f>
        <v>4276250</v>
      </c>
      <c r="AQ15" s="242">
        <f t="shared" si="17"/>
        <v>4276250</v>
      </c>
      <c r="AR15" s="226">
        <f>+AN15+AP15</f>
        <v>20754000</v>
      </c>
      <c r="AS15" s="242">
        <f t="shared" si="18"/>
        <v>20754000</v>
      </c>
      <c r="AT15" s="242">
        <f>IFERROR(VLOOKUP($A15,計價收入預算!$A:$AW,44,0),0)</f>
        <v>3577750</v>
      </c>
      <c r="AU15" s="242">
        <f t="shared" si="19"/>
        <v>3577750</v>
      </c>
      <c r="AV15" s="226">
        <f>+AR15+AT15</f>
        <v>24331750</v>
      </c>
      <c r="AW15" s="242">
        <f t="shared" si="20"/>
        <v>24331750</v>
      </c>
      <c r="AX15" s="242">
        <f>IFERROR(VLOOKUP($A15,計價收入預算!$A:$AW,45,0),0)</f>
        <v>3297750</v>
      </c>
      <c r="AY15" s="242">
        <f t="shared" si="21"/>
        <v>3297750</v>
      </c>
      <c r="AZ15" s="226">
        <f>+AV15+AX15</f>
        <v>27629500</v>
      </c>
      <c r="BA15" s="242">
        <f t="shared" si="22"/>
        <v>27629500</v>
      </c>
    </row>
    <row r="16" spans="1:53" outlineLevel="1">
      <c r="A16" s="1397" t="s">
        <v>640</v>
      </c>
      <c r="B16" s="1398" t="s">
        <v>1969</v>
      </c>
      <c r="C16" s="1398" t="s">
        <v>1245</v>
      </c>
      <c r="D16" s="242">
        <f>IFERROR(VLOOKUP(A16,計價收入預算!$A:$AW,9,0),0)</f>
        <v>4000000</v>
      </c>
      <c r="E16" s="242">
        <f t="shared" si="0"/>
        <v>4000000</v>
      </c>
      <c r="F16" s="242">
        <f t="shared" si="23"/>
        <v>190000</v>
      </c>
      <c r="G16" s="242">
        <f t="shared" si="1"/>
        <v>190000</v>
      </c>
      <c r="H16" s="242">
        <f>IFERROR(VLOOKUP($A16,計價收入預算!$A:$AW,26,0),0)</f>
        <v>4190000</v>
      </c>
      <c r="I16" s="242">
        <f t="shared" si="24"/>
        <v>4190000</v>
      </c>
      <c r="J16" s="242">
        <f>IFERROR(VLOOKUP($A16,計價收入預算!$A:$AW,28,0),0)</f>
        <v>0</v>
      </c>
      <c r="K16" s="242">
        <f t="shared" si="2"/>
        <v>0</v>
      </c>
      <c r="L16" s="242">
        <f>IFERROR(VLOOKUP($A16,計價收入預算!$A:$AW,29,0),0)</f>
        <v>0</v>
      </c>
      <c r="M16" s="242">
        <f>SUM(L16:L16)</f>
        <v>0</v>
      </c>
      <c r="N16" s="242">
        <f>IFERROR(VLOOKUP($A16,計價收入預算!$A:$AW,30,0),0)</f>
        <v>0</v>
      </c>
      <c r="O16" s="242">
        <f t="shared" si="3"/>
        <v>0</v>
      </c>
      <c r="P16" s="242">
        <f>IFERROR(VLOOKUP($A16,計價收入預算!$A:$AW,31,0),0)</f>
        <v>0</v>
      </c>
      <c r="Q16" s="242">
        <f t="shared" si="4"/>
        <v>0</v>
      </c>
      <c r="R16" s="242">
        <f>IFERROR(VLOOKUP($A16,計價收入預算!$A:$AW,32,0),0)</f>
        <v>0</v>
      </c>
      <c r="S16" s="242">
        <f t="shared" si="5"/>
        <v>0</v>
      </c>
      <c r="T16" s="242">
        <f>IFERROR(VLOOKUP($A16,計價收入預算!$A:$AW,33,0),0)</f>
        <v>0</v>
      </c>
      <c r="U16" s="242">
        <f t="shared" si="6"/>
        <v>0</v>
      </c>
      <c r="V16" s="242">
        <f>IFERROR(VLOOKUP($A16,計價收入預算!$A:$AW,34,0),0)</f>
        <v>0</v>
      </c>
      <c r="W16" s="242">
        <f t="shared" si="7"/>
        <v>0</v>
      </c>
      <c r="X16" s="242">
        <f>IFERROR(VLOOKUP($A16,計價收入預算!$A:$AW,35,0),0)</f>
        <v>0</v>
      </c>
      <c r="Y16" s="242">
        <f t="shared" si="8"/>
        <v>0</v>
      </c>
      <c r="Z16" s="242">
        <f>IFERROR(VLOOKUP($A16,計價收入預算!$A:$AW,36,0),0)</f>
        <v>0</v>
      </c>
      <c r="AA16" s="242">
        <f t="shared" si="9"/>
        <v>0</v>
      </c>
      <c r="AB16" s="242">
        <f>IFERROR(VLOOKUP($A16,計價收入預算!$A:$AW,37,0),0)</f>
        <v>0</v>
      </c>
      <c r="AC16" s="242">
        <f t="shared" si="10"/>
        <v>0</v>
      </c>
      <c r="AD16" s="242">
        <f>IFERROR(VLOOKUP($A16,計價收入預算!$A:$AW,38,0),0)</f>
        <v>0</v>
      </c>
      <c r="AE16" s="242">
        <f t="shared" si="11"/>
        <v>0</v>
      </c>
      <c r="AF16" s="242">
        <f>IFERROR(VLOOKUP($A16,計價收入預算!$A:$AW,39,0),0)</f>
        <v>810000</v>
      </c>
      <c r="AG16" s="242">
        <f t="shared" si="12"/>
        <v>810000</v>
      </c>
      <c r="AH16" s="314">
        <f>SUMIF($J$4:$AG$4,$AH$4,$J16:$AG$66)</f>
        <v>810000</v>
      </c>
      <c r="AI16" s="314">
        <f t="shared" si="13"/>
        <v>810000</v>
      </c>
      <c r="AJ16" s="264">
        <f>+H16+AH16</f>
        <v>5000000</v>
      </c>
      <c r="AK16" s="242">
        <f t="shared" si="14"/>
        <v>5000000</v>
      </c>
      <c r="AL16" s="242">
        <f>IFERROR(VLOOKUP($A16,計價收入預算!$A:$AW,42,0),0)</f>
        <v>0</v>
      </c>
      <c r="AM16" s="242">
        <f t="shared" si="15"/>
        <v>0</v>
      </c>
      <c r="AN16" s="242">
        <f>+AJ16+AL16</f>
        <v>5000000</v>
      </c>
      <c r="AO16" s="242">
        <f t="shared" si="16"/>
        <v>5000000</v>
      </c>
      <c r="AP16" s="242">
        <f>IFERROR(VLOOKUP($A16,計價收入預算!$A:$AW,43,0),0)</f>
        <v>0</v>
      </c>
      <c r="AQ16" s="242">
        <f t="shared" si="17"/>
        <v>0</v>
      </c>
      <c r="AR16" s="226">
        <f>+AN16+AP16</f>
        <v>5000000</v>
      </c>
      <c r="AS16" s="242">
        <f t="shared" si="18"/>
        <v>5000000</v>
      </c>
      <c r="AT16" s="242">
        <f>IFERROR(VLOOKUP($A16,計價收入預算!$A:$AW,44,0),0)</f>
        <v>0</v>
      </c>
      <c r="AU16" s="242">
        <f t="shared" si="19"/>
        <v>0</v>
      </c>
      <c r="AV16" s="226">
        <f>+AR16+AT16</f>
        <v>5000000</v>
      </c>
      <c r="AW16" s="242">
        <f t="shared" si="20"/>
        <v>5000000</v>
      </c>
      <c r="AX16" s="242">
        <f>IFERROR(VLOOKUP($A16,計價收入預算!$A:$AW,45,0),0)</f>
        <v>0</v>
      </c>
      <c r="AY16" s="242">
        <f t="shared" si="21"/>
        <v>0</v>
      </c>
      <c r="AZ16" s="226">
        <f>+AV16+AX16</f>
        <v>5000000</v>
      </c>
      <c r="BA16" s="242">
        <f t="shared" si="22"/>
        <v>5000000</v>
      </c>
    </row>
    <row r="17" spans="1:53" outlineLevel="1">
      <c r="A17" s="1397" t="s">
        <v>641</v>
      </c>
      <c r="B17" s="1402" t="s">
        <v>1970</v>
      </c>
      <c r="C17" s="1402" t="s">
        <v>1245</v>
      </c>
      <c r="D17" s="242">
        <f>IFERROR(VLOOKUP(A17,計價收入預算!$A:$AW,9,0),0)</f>
        <v>2280000</v>
      </c>
      <c r="E17" s="242">
        <f t="shared" si="0"/>
        <v>2280000</v>
      </c>
      <c r="F17" s="242">
        <f t="shared" si="23"/>
        <v>1140000</v>
      </c>
      <c r="G17" s="242">
        <f t="shared" si="1"/>
        <v>1140000</v>
      </c>
      <c r="H17" s="242">
        <f>IFERROR(VLOOKUP($A17,計價收入預算!$A:$AW,26,0),0)</f>
        <v>3420000</v>
      </c>
      <c r="I17" s="242">
        <f t="shared" si="24"/>
        <v>3420000</v>
      </c>
      <c r="J17" s="242">
        <f>IFERROR(VLOOKUP($A17,計價收入預算!$A:$AW,28,0),0)</f>
        <v>0</v>
      </c>
      <c r="K17" s="242">
        <f t="shared" si="2"/>
        <v>0</v>
      </c>
      <c r="L17" s="242">
        <f>IFERROR(VLOOKUP($A17,計價收入預算!$A:$AW,29,0),0)</f>
        <v>0</v>
      </c>
      <c r="M17" s="242">
        <f>SUM(L17:L17)</f>
        <v>0</v>
      </c>
      <c r="N17" s="242">
        <f>IFERROR(VLOOKUP($A17,計價收入預算!$A:$AW,30,0),0)</f>
        <v>0</v>
      </c>
      <c r="O17" s="242">
        <f t="shared" si="3"/>
        <v>0</v>
      </c>
      <c r="P17" s="242">
        <f>IFERROR(VLOOKUP($A17,計價收入預算!$A:$AW,31,0),0)</f>
        <v>0</v>
      </c>
      <c r="Q17" s="242">
        <f t="shared" si="4"/>
        <v>0</v>
      </c>
      <c r="R17" s="242">
        <f>IFERROR(VLOOKUP($A17,計價收入預算!$A:$AW,32,0),0)</f>
        <v>0</v>
      </c>
      <c r="S17" s="242">
        <f t="shared" si="5"/>
        <v>0</v>
      </c>
      <c r="T17" s="242">
        <f>IFERROR(VLOOKUP($A17,計價收入預算!$A:$AW,33,0),0)</f>
        <v>0</v>
      </c>
      <c r="U17" s="242">
        <f t="shared" si="6"/>
        <v>0</v>
      </c>
      <c r="V17" s="242">
        <f>IFERROR(VLOOKUP($A17,計價收入預算!$A:$AW,34,0),0)</f>
        <v>1022400</v>
      </c>
      <c r="W17" s="242">
        <f t="shared" si="7"/>
        <v>1022400</v>
      </c>
      <c r="X17" s="242">
        <f>IFERROR(VLOOKUP($A17,計價收入預算!$A:$AW,35,0),0)</f>
        <v>0</v>
      </c>
      <c r="Y17" s="242">
        <f t="shared" si="8"/>
        <v>0</v>
      </c>
      <c r="Z17" s="242">
        <f>IFERROR(VLOOKUP($A17,計價收入預算!$A:$AW,36,0),0)</f>
        <v>0</v>
      </c>
      <c r="AA17" s="242">
        <f t="shared" si="9"/>
        <v>0</v>
      </c>
      <c r="AB17" s="242">
        <f>IFERROR(VLOOKUP($A17,計價收入預算!$A:$AW,37,0),0)</f>
        <v>0</v>
      </c>
      <c r="AC17" s="242">
        <f t="shared" si="10"/>
        <v>0</v>
      </c>
      <c r="AD17" s="242">
        <f>IFERROR(VLOOKUP($A17,計價收入預算!$A:$AW,38,0),0)</f>
        <v>0</v>
      </c>
      <c r="AE17" s="242">
        <f t="shared" si="11"/>
        <v>0</v>
      </c>
      <c r="AF17" s="242">
        <f>IFERROR(VLOOKUP($A17,計價收入預算!$A:$AW,39,0),0)</f>
        <v>117600</v>
      </c>
      <c r="AG17" s="242">
        <f t="shared" si="12"/>
        <v>117600</v>
      </c>
      <c r="AH17" s="314">
        <f>SUMIF($J$4:$AG$4,$AH$4,$J17:$AG$66)</f>
        <v>1140000</v>
      </c>
      <c r="AI17" s="314">
        <f t="shared" si="13"/>
        <v>1140000</v>
      </c>
      <c r="AJ17" s="264">
        <f>+H17+AH17</f>
        <v>4560000</v>
      </c>
      <c r="AK17" s="242">
        <f t="shared" si="14"/>
        <v>4560000</v>
      </c>
      <c r="AL17" s="242">
        <f>IFERROR(VLOOKUP($A17,計價收入預算!$A:$AW,42,0),0)</f>
        <v>1045100</v>
      </c>
      <c r="AM17" s="242">
        <f t="shared" si="15"/>
        <v>1045100</v>
      </c>
      <c r="AN17" s="242">
        <f>+AJ17+AL17</f>
        <v>5605100</v>
      </c>
      <c r="AO17" s="242">
        <f t="shared" si="16"/>
        <v>5605100</v>
      </c>
      <c r="AP17" s="242">
        <f>IFERROR(VLOOKUP($A17,計價收入預算!$A:$AW,43,0),0)</f>
        <v>1098100</v>
      </c>
      <c r="AQ17" s="242">
        <f t="shared" si="17"/>
        <v>1098100</v>
      </c>
      <c r="AR17" s="226">
        <f>+AN17+AP17</f>
        <v>6703200</v>
      </c>
      <c r="AS17" s="242">
        <f t="shared" si="18"/>
        <v>6703200</v>
      </c>
      <c r="AT17" s="242">
        <f>IFERROR(VLOOKUP($A17,計價收入預算!$A:$AW,44,0),0)</f>
        <v>1151100</v>
      </c>
      <c r="AU17" s="242">
        <f t="shared" si="19"/>
        <v>1151100</v>
      </c>
      <c r="AV17" s="226">
        <f>+AR17+AT17</f>
        <v>7854300</v>
      </c>
      <c r="AW17" s="242">
        <f t="shared" si="20"/>
        <v>7854300</v>
      </c>
      <c r="AX17" s="242">
        <f>IFERROR(VLOOKUP($A17,計價收入預算!$A:$AW,45,0),0)</f>
        <v>1204100</v>
      </c>
      <c r="AY17" s="242">
        <f t="shared" si="21"/>
        <v>1204100</v>
      </c>
      <c r="AZ17" s="226">
        <f>+AV17+AX17</f>
        <v>9058400</v>
      </c>
      <c r="BA17" s="242">
        <f t="shared" si="22"/>
        <v>9058400</v>
      </c>
    </row>
    <row r="18" spans="1:53" outlineLevel="1">
      <c r="A18" s="1397" t="s">
        <v>642</v>
      </c>
      <c r="B18" s="1403" t="s">
        <v>1971</v>
      </c>
      <c r="C18" s="1403" t="s">
        <v>1245</v>
      </c>
      <c r="D18" s="242">
        <f>IFERROR(VLOOKUP(A18,計價收入預算!$A:$AW,9,0),0)</f>
        <v>2256000</v>
      </c>
      <c r="E18" s="242">
        <f t="shared" si="0"/>
        <v>2256000</v>
      </c>
      <c r="F18" s="242">
        <f t="shared" si="23"/>
        <v>658000</v>
      </c>
      <c r="G18" s="242">
        <f t="shared" si="1"/>
        <v>658000</v>
      </c>
      <c r="H18" s="242">
        <f>IFERROR(VLOOKUP($A18,計價收入預算!$A:$AW,26,0),0)</f>
        <v>2914000</v>
      </c>
      <c r="I18" s="242">
        <f t="shared" si="24"/>
        <v>2914000</v>
      </c>
      <c r="J18" s="242">
        <f>IFERROR(VLOOKUP($A18,計價收入預算!$A:$AW,28,0),0)</f>
        <v>658000</v>
      </c>
      <c r="K18" s="242">
        <f t="shared" si="2"/>
        <v>658000</v>
      </c>
      <c r="L18" s="242">
        <f>IFERROR(VLOOKUP($A18,計價收入預算!$A:$AW,29,0),0)</f>
        <v>0</v>
      </c>
      <c r="M18" s="242">
        <f>SUM(L18:L18)</f>
        <v>0</v>
      </c>
      <c r="N18" s="242">
        <f>IFERROR(VLOOKUP($A18,計價收入預算!$A:$AW,30,0),0)</f>
        <v>1316000</v>
      </c>
      <c r="O18" s="242">
        <f t="shared" si="3"/>
        <v>1316000</v>
      </c>
      <c r="P18" s="242">
        <f>IFERROR(VLOOKUP($A18,計價收入預算!$A:$AW,31,0),0)</f>
        <v>0</v>
      </c>
      <c r="Q18" s="242">
        <f t="shared" si="4"/>
        <v>0</v>
      </c>
      <c r="R18" s="242">
        <f>IFERROR(VLOOKUP($A18,計價收入預算!$A:$AW,32,0),0)</f>
        <v>1316000</v>
      </c>
      <c r="S18" s="242">
        <f t="shared" si="5"/>
        <v>1316000</v>
      </c>
      <c r="T18" s="242">
        <f>IFERROR(VLOOKUP($A18,計價收入預算!$A:$AW,33,0),0)</f>
        <v>0</v>
      </c>
      <c r="U18" s="242">
        <f t="shared" si="6"/>
        <v>0</v>
      </c>
      <c r="V18" s="242">
        <f>IFERROR(VLOOKUP($A18,計價收入預算!$A:$AW,34,0),0)</f>
        <v>1316000</v>
      </c>
      <c r="W18" s="242">
        <f t="shared" si="7"/>
        <v>1316000</v>
      </c>
      <c r="X18" s="242">
        <f>IFERROR(VLOOKUP($A18,計價收入預算!$A:$AW,35,0),0)</f>
        <v>0</v>
      </c>
      <c r="Y18" s="242">
        <f t="shared" si="8"/>
        <v>0</v>
      </c>
      <c r="Z18" s="242">
        <f>IFERROR(VLOOKUP($A18,計價收入預算!$A:$AW,36,0),0)</f>
        <v>0</v>
      </c>
      <c r="AA18" s="242">
        <f t="shared" si="9"/>
        <v>0</v>
      </c>
      <c r="AB18" s="242">
        <f>IFERROR(VLOOKUP($A18,計價收入預算!$A:$AW,37,0),0)</f>
        <v>0</v>
      </c>
      <c r="AC18" s="242">
        <f t="shared" si="10"/>
        <v>0</v>
      </c>
      <c r="AD18" s="242">
        <f>IFERROR(VLOOKUP($A18,計價收入預算!$A:$AW,38,0),0)</f>
        <v>0</v>
      </c>
      <c r="AE18" s="242">
        <f t="shared" si="11"/>
        <v>0</v>
      </c>
      <c r="AF18" s="242">
        <f>IFERROR(VLOOKUP($A18,計價收入預算!$A:$AW,39,0),0)</f>
        <v>1880000</v>
      </c>
      <c r="AG18" s="242">
        <f t="shared" si="12"/>
        <v>1880000</v>
      </c>
      <c r="AH18" s="314">
        <f>SUMIF($J$4:$AG$4,$AH$4,$J18:$AG$66)</f>
        <v>6486000</v>
      </c>
      <c r="AI18" s="314">
        <f t="shared" si="13"/>
        <v>6486000</v>
      </c>
      <c r="AJ18" s="264">
        <f>+H18+AH18</f>
        <v>9400000</v>
      </c>
      <c r="AK18" s="242">
        <f t="shared" si="14"/>
        <v>9400000</v>
      </c>
      <c r="AL18" s="242">
        <f>IFERROR(VLOOKUP($A18,計價收入預算!$A:$AW,42,0),0)</f>
        <v>0</v>
      </c>
      <c r="AM18" s="242">
        <f t="shared" si="15"/>
        <v>0</v>
      </c>
      <c r="AN18" s="242">
        <f>+AJ18+AL18</f>
        <v>9400000</v>
      </c>
      <c r="AO18" s="242">
        <f t="shared" si="16"/>
        <v>9400000</v>
      </c>
      <c r="AP18" s="242">
        <f>IFERROR(VLOOKUP($A18,計價收入預算!$A:$AW,43,0),0)</f>
        <v>0</v>
      </c>
      <c r="AQ18" s="242">
        <f t="shared" si="17"/>
        <v>0</v>
      </c>
      <c r="AR18" s="226">
        <f>+AN18+AP18</f>
        <v>9400000</v>
      </c>
      <c r="AS18" s="242">
        <f t="shared" si="18"/>
        <v>9400000</v>
      </c>
      <c r="AT18" s="242">
        <f>IFERROR(VLOOKUP($A18,計價收入預算!$A:$AW,44,0),0)</f>
        <v>0</v>
      </c>
      <c r="AU18" s="242">
        <f t="shared" si="19"/>
        <v>0</v>
      </c>
      <c r="AV18" s="226">
        <f>+AR18+AT18</f>
        <v>9400000</v>
      </c>
      <c r="AW18" s="242">
        <f t="shared" si="20"/>
        <v>9400000</v>
      </c>
      <c r="AX18" s="242">
        <f>IFERROR(VLOOKUP($A18,計價收入預算!$A:$AW,45,0),0)</f>
        <v>0</v>
      </c>
      <c r="AY18" s="242">
        <f t="shared" si="21"/>
        <v>0</v>
      </c>
      <c r="AZ18" s="226">
        <f>+AV18+AX18</f>
        <v>9400000</v>
      </c>
      <c r="BA18" s="242">
        <f t="shared" si="22"/>
        <v>9400000</v>
      </c>
    </row>
    <row r="19" spans="1:53" ht="16.5" customHeight="1" outlineLevel="1">
      <c r="A19" s="1397" t="s">
        <v>643</v>
      </c>
      <c r="B19" s="1403" t="s">
        <v>1972</v>
      </c>
      <c r="C19" s="1403" t="s">
        <v>1245</v>
      </c>
      <c r="D19" s="242">
        <f>IFERROR(VLOOKUP(A19,計價收入預算!$A:$AW,9,0),0)</f>
        <v>0</v>
      </c>
      <c r="E19" s="242">
        <f t="shared" si="0"/>
        <v>0</v>
      </c>
      <c r="F19" s="242">
        <f t="shared" si="23"/>
        <v>1330000</v>
      </c>
      <c r="G19" s="242">
        <f t="shared" si="1"/>
        <v>1330000</v>
      </c>
      <c r="H19" s="242">
        <f>IFERROR(VLOOKUP($A19,計價收入預算!$A:$AW,26,0),0)</f>
        <v>1330000</v>
      </c>
      <c r="I19" s="242">
        <f t="shared" si="24"/>
        <v>1330000</v>
      </c>
      <c r="J19" s="242">
        <f>IFERROR(VLOOKUP($A19,計價收入預算!$A:$AW,28,0),0)</f>
        <v>0</v>
      </c>
      <c r="K19" s="242">
        <f t="shared" si="2"/>
        <v>0</v>
      </c>
      <c r="L19" s="242">
        <f>IFERROR(VLOOKUP($A19,計價收入預算!$A:$AW,29,0),0)</f>
        <v>0</v>
      </c>
      <c r="M19" s="242">
        <f>SUM(L19:L19)</f>
        <v>0</v>
      </c>
      <c r="N19" s="242">
        <f>IFERROR(VLOOKUP($A19,計價收入預算!$A:$AW,30,0),0)</f>
        <v>0</v>
      </c>
      <c r="O19" s="242">
        <f t="shared" si="3"/>
        <v>0</v>
      </c>
      <c r="P19" s="242">
        <f>IFERROR(VLOOKUP($A19,計價收入預算!$A:$AW,31,0),0)</f>
        <v>0</v>
      </c>
      <c r="Q19" s="242">
        <f t="shared" si="4"/>
        <v>0</v>
      </c>
      <c r="R19" s="242">
        <f>IFERROR(VLOOKUP($A19,計價收入預算!$A:$AW,32,0),0)</f>
        <v>0</v>
      </c>
      <c r="S19" s="242">
        <f t="shared" si="5"/>
        <v>0</v>
      </c>
      <c r="T19" s="242">
        <f>IFERROR(VLOOKUP($A19,計價收入預算!$A:$AW,33,0),0)</f>
        <v>0</v>
      </c>
      <c r="U19" s="242">
        <f t="shared" si="6"/>
        <v>0</v>
      </c>
      <c r="V19" s="242">
        <f>IFERROR(VLOOKUP($A19,計價收入預算!$A:$AW,34,0),0)</f>
        <v>0</v>
      </c>
      <c r="W19" s="242">
        <f t="shared" si="7"/>
        <v>0</v>
      </c>
      <c r="X19" s="242">
        <f>IFERROR(VLOOKUP($A19,計價收入預算!$A:$AW,35,0),0)</f>
        <v>0</v>
      </c>
      <c r="Y19" s="242">
        <f t="shared" si="8"/>
        <v>0</v>
      </c>
      <c r="Z19" s="242">
        <f>IFERROR(VLOOKUP($A19,計價收入預算!$A:$AW,36,0),0)</f>
        <v>0</v>
      </c>
      <c r="AA19" s="242">
        <f t="shared" si="9"/>
        <v>0</v>
      </c>
      <c r="AB19" s="242">
        <f>IFERROR(VLOOKUP($A19,計價收入預算!$A:$AW,37,0),0)</f>
        <v>0</v>
      </c>
      <c r="AC19" s="242">
        <f t="shared" si="10"/>
        <v>0</v>
      </c>
      <c r="AD19" s="242">
        <f>IFERROR(VLOOKUP($A19,計價收入預算!$A:$AW,38,0),0)</f>
        <v>0</v>
      </c>
      <c r="AE19" s="242">
        <f t="shared" si="11"/>
        <v>0</v>
      </c>
      <c r="AF19" s="242">
        <f>IFERROR(VLOOKUP($A19,計價收入預算!$A:$AW,39,0),0)</f>
        <v>0</v>
      </c>
      <c r="AG19" s="242">
        <f t="shared" si="12"/>
        <v>0</v>
      </c>
      <c r="AH19" s="314">
        <f>SUMIF($J$4:$AG$4,$AH$4,$J19:$AG$66)</f>
        <v>0</v>
      </c>
      <c r="AI19" s="314">
        <f t="shared" si="13"/>
        <v>0</v>
      </c>
      <c r="AJ19" s="264">
        <f>+H19+AH19</f>
        <v>1330000</v>
      </c>
      <c r="AK19" s="242">
        <f t="shared" si="14"/>
        <v>1330000</v>
      </c>
      <c r="AL19" s="242">
        <f>IFERROR(VLOOKUP($A19,計價收入預算!$A:$AW,42,0),0)</f>
        <v>0</v>
      </c>
      <c r="AM19" s="242">
        <f t="shared" si="15"/>
        <v>0</v>
      </c>
      <c r="AN19" s="242">
        <f>+AJ19+AL19</f>
        <v>1330000</v>
      </c>
      <c r="AO19" s="242">
        <f t="shared" si="16"/>
        <v>1330000</v>
      </c>
      <c r="AP19" s="242">
        <f>IFERROR(VLOOKUP($A19,計價收入預算!$A:$AW,43,0),0)</f>
        <v>0</v>
      </c>
      <c r="AQ19" s="242">
        <f t="shared" si="17"/>
        <v>0</v>
      </c>
      <c r="AR19" s="226">
        <f>+AN19+AP19</f>
        <v>1330000</v>
      </c>
      <c r="AS19" s="242">
        <f t="shared" si="18"/>
        <v>1330000</v>
      </c>
      <c r="AT19" s="242">
        <f>IFERROR(VLOOKUP($A19,計價收入預算!$A:$AW,44,0),0)</f>
        <v>0</v>
      </c>
      <c r="AU19" s="242">
        <f t="shared" si="19"/>
        <v>0</v>
      </c>
      <c r="AV19" s="226">
        <f>+AR19+AT19</f>
        <v>1330000</v>
      </c>
      <c r="AW19" s="242">
        <f t="shared" si="20"/>
        <v>1330000</v>
      </c>
      <c r="AX19" s="242">
        <f>IFERROR(VLOOKUP($A19,計價收入預算!$A:$AW,45,0),0)</f>
        <v>0</v>
      </c>
      <c r="AY19" s="242">
        <f t="shared" si="21"/>
        <v>0</v>
      </c>
      <c r="AZ19" s="226">
        <f>+AV19+AX19</f>
        <v>1330000</v>
      </c>
      <c r="BA19" s="242">
        <f t="shared" si="22"/>
        <v>1330000</v>
      </c>
    </row>
    <row r="20" spans="1:53" ht="16.5" customHeight="1" outlineLevel="1">
      <c r="A20" s="1397" t="s">
        <v>644</v>
      </c>
      <c r="B20" s="1403" t="s">
        <v>1973</v>
      </c>
      <c r="C20" s="1403" t="s">
        <v>1245</v>
      </c>
      <c r="D20" s="242">
        <f>IFERROR(VLOOKUP(A20,計價收入預算!$A:$AW,9,0),0)</f>
        <v>0</v>
      </c>
      <c r="E20" s="242">
        <f t="shared" si="0"/>
        <v>0</v>
      </c>
      <c r="F20" s="242">
        <f t="shared" si="23"/>
        <v>2754000</v>
      </c>
      <c r="G20" s="242">
        <f t="shared" si="1"/>
        <v>2754000</v>
      </c>
      <c r="H20" s="242">
        <f>IFERROR(VLOOKUP($A20,計價收入預算!$A:$AW,26,0),0)</f>
        <v>2754000</v>
      </c>
      <c r="I20" s="242">
        <f t="shared" si="24"/>
        <v>2754000</v>
      </c>
      <c r="J20" s="242">
        <f>IFERROR(VLOOKUP($A20,計價收入預算!$A:$AW,28,0),0)</f>
        <v>0</v>
      </c>
      <c r="K20" s="242">
        <f t="shared" si="2"/>
        <v>0</v>
      </c>
      <c r="L20" s="242">
        <f>IFERROR(VLOOKUP($A20,計價收入預算!$A:$AW,29,0),0)</f>
        <v>0</v>
      </c>
      <c r="M20" s="242">
        <f>SUM(L20:L20)</f>
        <v>0</v>
      </c>
      <c r="N20" s="242">
        <f>IFERROR(VLOOKUP($A20,計價收入預算!$A:$AW,30,0),0)</f>
        <v>0</v>
      </c>
      <c r="O20" s="242">
        <f t="shared" si="3"/>
        <v>0</v>
      </c>
      <c r="P20" s="242">
        <f>IFERROR(VLOOKUP($A20,計價收入預算!$A:$AW,31,0),0)</f>
        <v>0</v>
      </c>
      <c r="Q20" s="242">
        <f t="shared" si="4"/>
        <v>0</v>
      </c>
      <c r="R20" s="242">
        <f>IFERROR(VLOOKUP($A20,計價收入預算!$A:$AW,32,0),0)</f>
        <v>0</v>
      </c>
      <c r="S20" s="242">
        <f t="shared" si="5"/>
        <v>0</v>
      </c>
      <c r="T20" s="242">
        <f>IFERROR(VLOOKUP($A20,計價收入預算!$A:$AW,33,0),0)</f>
        <v>0</v>
      </c>
      <c r="U20" s="242">
        <f t="shared" si="6"/>
        <v>0</v>
      </c>
      <c r="V20" s="242">
        <f>IFERROR(VLOOKUP($A20,計價收入預算!$A:$AW,34,0),0)</f>
        <v>0</v>
      </c>
      <c r="W20" s="242">
        <f t="shared" si="7"/>
        <v>0</v>
      </c>
      <c r="X20" s="242">
        <f>IFERROR(VLOOKUP($A20,計價收入預算!$A:$AW,35,0),0)</f>
        <v>0</v>
      </c>
      <c r="Y20" s="242">
        <f t="shared" si="8"/>
        <v>0</v>
      </c>
      <c r="Z20" s="242">
        <f>IFERROR(VLOOKUP($A20,計價收入預算!$A:$AW,36,0),0)</f>
        <v>0</v>
      </c>
      <c r="AA20" s="242">
        <f t="shared" si="9"/>
        <v>0</v>
      </c>
      <c r="AB20" s="242">
        <f>IFERROR(VLOOKUP($A20,計價收入預算!$A:$AW,37,0),0)</f>
        <v>0</v>
      </c>
      <c r="AC20" s="242">
        <f t="shared" si="10"/>
        <v>0</v>
      </c>
      <c r="AD20" s="242">
        <f>IFERROR(VLOOKUP($A20,計價收入預算!$A:$AW,38,0),0)</f>
        <v>0</v>
      </c>
      <c r="AE20" s="242">
        <f t="shared" si="11"/>
        <v>0</v>
      </c>
      <c r="AF20" s="242">
        <f>IFERROR(VLOOKUP($A20,計價收入預算!$A:$AW,39,0),0)</f>
        <v>1500000</v>
      </c>
      <c r="AG20" s="242">
        <f t="shared" si="12"/>
        <v>1500000</v>
      </c>
      <c r="AH20" s="314">
        <f>SUMIF($J$4:$AG$4,$AH$4,$J20:$AG$66)</f>
        <v>1500000</v>
      </c>
      <c r="AI20" s="314">
        <f t="shared" si="13"/>
        <v>1500000</v>
      </c>
      <c r="AJ20" s="264">
        <f>+H20+AH20</f>
        <v>4254000</v>
      </c>
      <c r="AK20" s="242">
        <f t="shared" si="14"/>
        <v>4254000</v>
      </c>
      <c r="AL20" s="242">
        <f>IFERROR(VLOOKUP($A20,計價收入預算!$A:$AW,42,0),0)</f>
        <v>1330000</v>
      </c>
      <c r="AM20" s="242">
        <f t="shared" si="15"/>
        <v>1330000</v>
      </c>
      <c r="AN20" s="242">
        <f>+AJ20+AL20</f>
        <v>5584000</v>
      </c>
      <c r="AO20" s="242">
        <f t="shared" si="16"/>
        <v>5584000</v>
      </c>
      <c r="AP20" s="242">
        <f>IFERROR(VLOOKUP($A20,計價收入預算!$A:$AW,43,0),0)</f>
        <v>1406000</v>
      </c>
      <c r="AQ20" s="242">
        <f t="shared" si="17"/>
        <v>1406000</v>
      </c>
      <c r="AR20" s="226">
        <f>+AN20+AP20</f>
        <v>6990000</v>
      </c>
      <c r="AS20" s="242">
        <f t="shared" si="18"/>
        <v>6990000</v>
      </c>
      <c r="AT20" s="242">
        <f>IFERROR(VLOOKUP($A20,計價收入預算!$A:$AW,44,0),0)</f>
        <v>1482000</v>
      </c>
      <c r="AU20" s="242">
        <f t="shared" si="19"/>
        <v>1482000</v>
      </c>
      <c r="AV20" s="226">
        <f>+AR20+AT20</f>
        <v>8472000</v>
      </c>
      <c r="AW20" s="242">
        <f t="shared" si="20"/>
        <v>8472000</v>
      </c>
      <c r="AX20" s="242">
        <f>IFERROR(VLOOKUP($A20,計價收入預算!$A:$AW,45,0),0)</f>
        <v>1558000</v>
      </c>
      <c r="AY20" s="242">
        <f t="shared" si="21"/>
        <v>1558000</v>
      </c>
      <c r="AZ20" s="226">
        <f>+AV20+AX20</f>
        <v>10030000</v>
      </c>
      <c r="BA20" s="242">
        <f t="shared" si="22"/>
        <v>10030000</v>
      </c>
    </row>
    <row r="21" spans="1:53" ht="16.5" customHeight="1" outlineLevel="1">
      <c r="A21" s="175" t="s">
        <v>645</v>
      </c>
      <c r="B21" s="169" t="s">
        <v>646</v>
      </c>
      <c r="C21" s="169" t="s">
        <v>1037</v>
      </c>
      <c r="D21" s="242">
        <f>IFERROR(VLOOKUP(A21,計價收入預算!$A:$AW,9,0),0)</f>
        <v>0</v>
      </c>
      <c r="E21" s="242">
        <f t="shared" si="0"/>
        <v>0</v>
      </c>
      <c r="F21" s="242">
        <f t="shared" si="23"/>
        <v>0</v>
      </c>
      <c r="G21" s="242">
        <f t="shared" si="1"/>
        <v>0</v>
      </c>
      <c r="H21" s="242">
        <f>IFERROR(VLOOKUP($A21,計價收入預算!$A:$AW,26,0),0)</f>
        <v>0</v>
      </c>
      <c r="I21" s="242">
        <f t="shared" si="24"/>
        <v>0</v>
      </c>
      <c r="J21" s="242">
        <f>IFERROR(VLOOKUP($A21,計價收入預算!$A:$AW,28,0),0)</f>
        <v>392000</v>
      </c>
      <c r="K21" s="242">
        <f t="shared" si="2"/>
        <v>392000</v>
      </c>
      <c r="L21" s="242">
        <f>IFERROR(VLOOKUP($A21,計價收入預算!$A:$AW,29,0),0)</f>
        <v>392000</v>
      </c>
      <c r="M21" s="242">
        <f>SUM(L21:L21)</f>
        <v>392000</v>
      </c>
      <c r="N21" s="242">
        <f>IFERROR(VLOOKUP($A21,計價收入預算!$A:$AW,30,0),0)</f>
        <v>392000</v>
      </c>
      <c r="O21" s="242">
        <f t="shared" si="3"/>
        <v>392000</v>
      </c>
      <c r="P21" s="242">
        <f>IFERROR(VLOOKUP($A21,計價收入預算!$A:$AW,31,0),0)</f>
        <v>392000</v>
      </c>
      <c r="Q21" s="242">
        <f t="shared" si="4"/>
        <v>392000</v>
      </c>
      <c r="R21" s="242">
        <f>IFERROR(VLOOKUP($A21,計價收入預算!$A:$AW,32,0),0)</f>
        <v>392000</v>
      </c>
      <c r="S21" s="242">
        <f t="shared" si="5"/>
        <v>392000</v>
      </c>
      <c r="T21" s="242">
        <f>IFERROR(VLOOKUP($A21,計價收入預算!$A:$AW,33,0),0)</f>
        <v>392000</v>
      </c>
      <c r="U21" s="242">
        <f t="shared" si="6"/>
        <v>392000</v>
      </c>
      <c r="V21" s="242">
        <f>IFERROR(VLOOKUP($A21,計價收入預算!$A:$AW,34,0),0)</f>
        <v>392000</v>
      </c>
      <c r="W21" s="242">
        <f t="shared" si="7"/>
        <v>392000</v>
      </c>
      <c r="X21" s="242">
        <f>IFERROR(VLOOKUP($A21,計價收入預算!$A:$AW,35,0),0)</f>
        <v>392000</v>
      </c>
      <c r="Y21" s="242">
        <f t="shared" si="8"/>
        <v>392000</v>
      </c>
      <c r="Z21" s="242">
        <f>IFERROR(VLOOKUP($A21,計價收入預算!$A:$AW,36,0),0)</f>
        <v>392000</v>
      </c>
      <c r="AA21" s="242">
        <f t="shared" si="9"/>
        <v>392000</v>
      </c>
      <c r="AB21" s="242">
        <f>IFERROR(VLOOKUP($A21,計價收入預算!$A:$AW,37,0),0)</f>
        <v>392000</v>
      </c>
      <c r="AC21" s="242">
        <f t="shared" si="10"/>
        <v>392000</v>
      </c>
      <c r="AD21" s="242">
        <f>IFERROR(VLOOKUP($A21,計價收入預算!$A:$AW,38,0),0)</f>
        <v>392000</v>
      </c>
      <c r="AE21" s="242">
        <f t="shared" si="11"/>
        <v>392000</v>
      </c>
      <c r="AF21" s="242">
        <f>IFERROR(VLOOKUP($A21,計價收入預算!$A:$AW,39,0),0)</f>
        <v>392000</v>
      </c>
      <c r="AG21" s="242">
        <f t="shared" si="12"/>
        <v>392000</v>
      </c>
      <c r="AH21" s="314">
        <f>SUMIF($J$4:$AG$4,$AH$4,$J21:$AG$66)</f>
        <v>4704000</v>
      </c>
      <c r="AI21" s="314">
        <f t="shared" si="13"/>
        <v>4704000</v>
      </c>
      <c r="AJ21" s="264">
        <f>+H21+AH21</f>
        <v>4704000</v>
      </c>
      <c r="AK21" s="242">
        <f t="shared" si="14"/>
        <v>4704000</v>
      </c>
      <c r="AL21" s="242">
        <f>IFERROR(VLOOKUP($A21,計價收入預算!$A:$AW,42,0),0)</f>
        <v>4200000</v>
      </c>
      <c r="AM21" s="242">
        <f t="shared" si="15"/>
        <v>4200000</v>
      </c>
      <c r="AN21" s="242">
        <f>+AJ21+AL21</f>
        <v>8904000</v>
      </c>
      <c r="AO21" s="242">
        <f t="shared" si="16"/>
        <v>8904000</v>
      </c>
      <c r="AP21" s="242">
        <f>IFERROR(VLOOKUP($A21,計價收入預算!$A:$AW,43,0),0)</f>
        <v>2220000</v>
      </c>
      <c r="AQ21" s="242">
        <f t="shared" si="17"/>
        <v>2220000</v>
      </c>
      <c r="AR21" s="226">
        <f>+AN21+AP21</f>
        <v>11124000</v>
      </c>
      <c r="AS21" s="242">
        <f t="shared" si="18"/>
        <v>11124000</v>
      </c>
      <c r="AT21" s="242">
        <f>IFERROR(VLOOKUP($A21,計價收入預算!$A:$AW,44,0),0)</f>
        <v>3061500</v>
      </c>
      <c r="AU21" s="242">
        <f t="shared" si="19"/>
        <v>3061500</v>
      </c>
      <c r="AV21" s="226">
        <f>+AR21+AT21</f>
        <v>14185500</v>
      </c>
      <c r="AW21" s="242">
        <f t="shared" si="20"/>
        <v>14185500</v>
      </c>
      <c r="AX21" s="242">
        <f>IFERROR(VLOOKUP($A21,計價收入預算!$A:$AW,45,0),0)</f>
        <v>0</v>
      </c>
      <c r="AY21" s="242">
        <f t="shared" si="21"/>
        <v>0</v>
      </c>
      <c r="AZ21" s="226">
        <f>+AV21+AX21</f>
        <v>14185500</v>
      </c>
      <c r="BA21" s="242">
        <f t="shared" si="22"/>
        <v>14185500</v>
      </c>
    </row>
    <row r="22" spans="1:53" ht="16.5" customHeight="1" outlineLevel="1">
      <c r="A22" s="175" t="s">
        <v>654</v>
      </c>
      <c r="B22" s="172" t="s">
        <v>655</v>
      </c>
      <c r="C22" s="169" t="s">
        <v>1037</v>
      </c>
      <c r="D22" s="242">
        <f>IFERROR(VLOOKUP(A22,計價收入預算!$A:$AW,9,0),0)</f>
        <v>0</v>
      </c>
      <c r="E22" s="242">
        <f t="shared" si="0"/>
        <v>0</v>
      </c>
      <c r="F22" s="242">
        <f t="shared" si="23"/>
        <v>0</v>
      </c>
      <c r="G22" s="242">
        <f t="shared" si="1"/>
        <v>0</v>
      </c>
      <c r="H22" s="242">
        <f>IFERROR(VLOOKUP($A22,計價收入預算!$A:$AW,26,0),0)</f>
        <v>0</v>
      </c>
      <c r="I22" s="242">
        <f t="shared" si="24"/>
        <v>0</v>
      </c>
      <c r="J22" s="242">
        <f>IFERROR(VLOOKUP($A22,計價收入預算!$A:$AW,28,0),0)</f>
        <v>0</v>
      </c>
      <c r="K22" s="242">
        <f t="shared" si="2"/>
        <v>0</v>
      </c>
      <c r="L22" s="242">
        <f>IFERROR(VLOOKUP($A22,計價收入預算!$A:$AW,29,0),0)</f>
        <v>0</v>
      </c>
      <c r="M22" s="242">
        <f>SUM(L22:L22)</f>
        <v>0</v>
      </c>
      <c r="N22" s="242">
        <f>IFERROR(VLOOKUP($A22,計價收入預算!$A:$AW,30,0),0)</f>
        <v>0</v>
      </c>
      <c r="O22" s="242">
        <f t="shared" si="3"/>
        <v>0</v>
      </c>
      <c r="P22" s="242">
        <f>IFERROR(VLOOKUP($A22,計價收入預算!$A:$AW,31,0),0)</f>
        <v>0</v>
      </c>
      <c r="Q22" s="242">
        <f t="shared" si="4"/>
        <v>0</v>
      </c>
      <c r="R22" s="242">
        <f>IFERROR(VLOOKUP($A22,計價收入預算!$A:$AW,32,0),0)</f>
        <v>0</v>
      </c>
      <c r="S22" s="242">
        <f t="shared" si="5"/>
        <v>0</v>
      </c>
      <c r="T22" s="242">
        <f>IFERROR(VLOOKUP($A22,計價收入預算!$A:$AW,33,0),0)</f>
        <v>0</v>
      </c>
      <c r="U22" s="242">
        <f t="shared" si="6"/>
        <v>0</v>
      </c>
      <c r="V22" s="242">
        <f>IFERROR(VLOOKUP($A22,計價收入預算!$A:$AW,34,0),0)</f>
        <v>0</v>
      </c>
      <c r="W22" s="242">
        <f t="shared" si="7"/>
        <v>0</v>
      </c>
      <c r="X22" s="242">
        <f>IFERROR(VLOOKUP($A22,計價收入預算!$A:$AW,35,0),0)</f>
        <v>0</v>
      </c>
      <c r="Y22" s="242">
        <f t="shared" si="8"/>
        <v>0</v>
      </c>
      <c r="Z22" s="242">
        <f>IFERROR(VLOOKUP($A22,計價收入預算!$A:$AW,36,0),0)</f>
        <v>0</v>
      </c>
      <c r="AA22" s="242">
        <f t="shared" si="9"/>
        <v>0</v>
      </c>
      <c r="AB22" s="242">
        <f>IFERROR(VLOOKUP($A22,計價收入預算!$A:$AW,37,0),0)</f>
        <v>0</v>
      </c>
      <c r="AC22" s="242">
        <f t="shared" si="10"/>
        <v>0</v>
      </c>
      <c r="AD22" s="242">
        <f>IFERROR(VLOOKUP($A22,計價收入預算!$A:$AW,38,0),0)</f>
        <v>0</v>
      </c>
      <c r="AE22" s="242">
        <f t="shared" si="11"/>
        <v>0</v>
      </c>
      <c r="AF22" s="242">
        <f>IFERROR(VLOOKUP($A22,計價收入預算!$A:$AW,39,0),0)</f>
        <v>0</v>
      </c>
      <c r="AG22" s="242">
        <f t="shared" si="12"/>
        <v>0</v>
      </c>
      <c r="AH22" s="314">
        <f>SUMIF($J$4:$AG$4,$AH$4,$J22:$AG$66)</f>
        <v>0</v>
      </c>
      <c r="AI22" s="314">
        <f t="shared" si="13"/>
        <v>0</v>
      </c>
      <c r="AJ22" s="264">
        <f>+H22+AH22</f>
        <v>0</v>
      </c>
      <c r="AK22" s="242">
        <f t="shared" si="14"/>
        <v>0</v>
      </c>
      <c r="AL22" s="242">
        <f>IFERROR(VLOOKUP($A22,計價收入預算!$A:$AW,42,0),0)</f>
        <v>0</v>
      </c>
      <c r="AM22" s="242">
        <f t="shared" si="15"/>
        <v>0</v>
      </c>
      <c r="AN22" s="242">
        <f>+AJ22+AL22</f>
        <v>0</v>
      </c>
      <c r="AO22" s="242">
        <f t="shared" si="16"/>
        <v>0</v>
      </c>
      <c r="AP22" s="242">
        <f>IFERROR(VLOOKUP($A22,計價收入預算!$A:$AW,43,0),0)</f>
        <v>0</v>
      </c>
      <c r="AQ22" s="242">
        <f t="shared" si="17"/>
        <v>0</v>
      </c>
      <c r="AR22" s="226">
        <f>+AN22+AP22</f>
        <v>0</v>
      </c>
      <c r="AS22" s="242">
        <f t="shared" si="18"/>
        <v>0</v>
      </c>
      <c r="AT22" s="242">
        <f>IFERROR(VLOOKUP($A22,計價收入預算!$A:$AW,44,0),0)</f>
        <v>0</v>
      </c>
      <c r="AU22" s="242">
        <f t="shared" si="19"/>
        <v>0</v>
      </c>
      <c r="AV22" s="226">
        <f>+AR22+AT22</f>
        <v>0</v>
      </c>
      <c r="AW22" s="242">
        <f t="shared" si="20"/>
        <v>0</v>
      </c>
      <c r="AX22" s="242">
        <f>IFERROR(VLOOKUP($A22,計價收入預算!$A:$AW,45,0),0)</f>
        <v>0</v>
      </c>
      <c r="AY22" s="242">
        <f t="shared" si="21"/>
        <v>0</v>
      </c>
      <c r="AZ22" s="226">
        <f>+AV22+AX22</f>
        <v>0</v>
      </c>
      <c r="BA22" s="242">
        <f t="shared" si="22"/>
        <v>0</v>
      </c>
    </row>
    <row r="23" spans="1:53" outlineLevel="1">
      <c r="A23" s="175" t="s">
        <v>656</v>
      </c>
      <c r="B23" s="172" t="s">
        <v>655</v>
      </c>
      <c r="C23" s="169" t="s">
        <v>1037</v>
      </c>
      <c r="D23" s="242">
        <f>IFERROR(VLOOKUP(A23,計價收入預算!$A:$AW,9,0),0)</f>
        <v>0</v>
      </c>
      <c r="E23" s="242">
        <f t="shared" si="0"/>
        <v>0</v>
      </c>
      <c r="F23" s="242">
        <f t="shared" si="23"/>
        <v>0</v>
      </c>
      <c r="G23" s="242">
        <f t="shared" si="1"/>
        <v>0</v>
      </c>
      <c r="H23" s="242">
        <f>IFERROR(VLOOKUP($A23,計價收入預算!$A:$AW,26,0),0)</f>
        <v>0</v>
      </c>
      <c r="I23" s="242">
        <f t="shared" si="24"/>
        <v>0</v>
      </c>
      <c r="J23" s="242">
        <f>IFERROR(VLOOKUP($A23,計價收入預算!$A:$AW,28,0),0)</f>
        <v>0</v>
      </c>
      <c r="K23" s="242">
        <f t="shared" si="2"/>
        <v>0</v>
      </c>
      <c r="L23" s="242">
        <f>IFERROR(VLOOKUP($A23,計價收入預算!$A:$AW,29,0),0)</f>
        <v>0</v>
      </c>
      <c r="M23" s="242">
        <f>SUM(L23:L23)</f>
        <v>0</v>
      </c>
      <c r="N23" s="242">
        <f>IFERROR(VLOOKUP($A23,計價收入預算!$A:$AW,30,0),0)</f>
        <v>0</v>
      </c>
      <c r="O23" s="242">
        <f t="shared" si="3"/>
        <v>0</v>
      </c>
      <c r="P23" s="242">
        <f>IFERROR(VLOOKUP($A23,計價收入預算!$A:$AW,31,0),0)</f>
        <v>0</v>
      </c>
      <c r="Q23" s="242">
        <f t="shared" si="4"/>
        <v>0</v>
      </c>
      <c r="R23" s="242">
        <f>IFERROR(VLOOKUP($A23,計價收入預算!$A:$AW,32,0),0)</f>
        <v>0</v>
      </c>
      <c r="S23" s="242">
        <f t="shared" si="5"/>
        <v>0</v>
      </c>
      <c r="T23" s="242">
        <f>IFERROR(VLOOKUP($A23,計價收入預算!$A:$AW,33,0),0)</f>
        <v>0</v>
      </c>
      <c r="U23" s="242">
        <f t="shared" si="6"/>
        <v>0</v>
      </c>
      <c r="V23" s="242">
        <f>IFERROR(VLOOKUP($A23,計價收入預算!$A:$AW,34,0),0)</f>
        <v>0</v>
      </c>
      <c r="W23" s="242">
        <f t="shared" si="7"/>
        <v>0</v>
      </c>
      <c r="X23" s="242">
        <f>IFERROR(VLOOKUP($A23,計價收入預算!$A:$AW,35,0),0)</f>
        <v>0</v>
      </c>
      <c r="Y23" s="242">
        <f t="shared" si="8"/>
        <v>0</v>
      </c>
      <c r="Z23" s="242">
        <f>IFERROR(VLOOKUP($A23,計價收入預算!$A:$AW,36,0),0)</f>
        <v>0</v>
      </c>
      <c r="AA23" s="242">
        <f t="shared" si="9"/>
        <v>0</v>
      </c>
      <c r="AB23" s="242">
        <f>IFERROR(VLOOKUP($A23,計價收入預算!$A:$AW,37,0),0)</f>
        <v>0</v>
      </c>
      <c r="AC23" s="242">
        <f t="shared" si="10"/>
        <v>0</v>
      </c>
      <c r="AD23" s="242">
        <f>IFERROR(VLOOKUP($A23,計價收入預算!$A:$AW,38,0),0)</f>
        <v>0</v>
      </c>
      <c r="AE23" s="242">
        <f t="shared" si="11"/>
        <v>0</v>
      </c>
      <c r="AF23" s="242">
        <f>IFERROR(VLOOKUP($A23,計價收入預算!$A:$AW,39,0),0)</f>
        <v>0</v>
      </c>
      <c r="AG23" s="242">
        <f t="shared" si="12"/>
        <v>0</v>
      </c>
      <c r="AH23" s="314">
        <f>SUMIF($J$4:$AG$4,$AH$4,$J23:$AG$66)</f>
        <v>0</v>
      </c>
      <c r="AI23" s="314">
        <f t="shared" si="13"/>
        <v>0</v>
      </c>
      <c r="AJ23" s="264">
        <f>+H23+AH23</f>
        <v>0</v>
      </c>
      <c r="AK23" s="242">
        <f t="shared" si="14"/>
        <v>0</v>
      </c>
      <c r="AL23" s="242">
        <f>IFERROR(VLOOKUP($A23,計價收入預算!$A:$AW,42,0),0)</f>
        <v>0</v>
      </c>
      <c r="AM23" s="242">
        <f t="shared" si="15"/>
        <v>0</v>
      </c>
      <c r="AN23" s="242">
        <f>+AJ23+AL23</f>
        <v>0</v>
      </c>
      <c r="AO23" s="242">
        <f t="shared" si="16"/>
        <v>0</v>
      </c>
      <c r="AP23" s="242">
        <f>IFERROR(VLOOKUP($A23,計價收入預算!$A:$AW,43,0),0)</f>
        <v>0</v>
      </c>
      <c r="AQ23" s="242">
        <f t="shared" si="17"/>
        <v>0</v>
      </c>
      <c r="AR23" s="226">
        <f>+AN23+AP23</f>
        <v>0</v>
      </c>
      <c r="AS23" s="242">
        <f t="shared" si="18"/>
        <v>0</v>
      </c>
      <c r="AT23" s="242">
        <f>IFERROR(VLOOKUP($A23,計價收入預算!$A:$AW,44,0),0)</f>
        <v>0</v>
      </c>
      <c r="AU23" s="242">
        <f t="shared" si="19"/>
        <v>0</v>
      </c>
      <c r="AV23" s="226">
        <f>+AR23+AT23</f>
        <v>0</v>
      </c>
      <c r="AW23" s="242">
        <f t="shared" si="20"/>
        <v>0</v>
      </c>
      <c r="AX23" s="242">
        <f>IFERROR(VLOOKUP($A23,計價收入預算!$A:$AW,45,0),0)</f>
        <v>0</v>
      </c>
      <c r="AY23" s="242">
        <f t="shared" si="21"/>
        <v>0</v>
      </c>
      <c r="AZ23" s="226">
        <f>+AV23+AX23</f>
        <v>0</v>
      </c>
      <c r="BA23" s="242">
        <f t="shared" si="22"/>
        <v>0</v>
      </c>
    </row>
    <row r="24" spans="1:53" outlineLevel="1">
      <c r="A24" s="175" t="s">
        <v>657</v>
      </c>
      <c r="B24" s="172" t="s">
        <v>658</v>
      </c>
      <c r="C24" s="169" t="s">
        <v>1037</v>
      </c>
      <c r="D24" s="242">
        <f>IFERROR(VLOOKUP(A24,計價收入預算!$A:$AW,9,0),0)</f>
        <v>0</v>
      </c>
      <c r="E24" s="242">
        <f t="shared" si="0"/>
        <v>0</v>
      </c>
      <c r="F24" s="242">
        <f t="shared" si="23"/>
        <v>0</v>
      </c>
      <c r="G24" s="242">
        <f t="shared" si="1"/>
        <v>0</v>
      </c>
      <c r="H24" s="242">
        <f>IFERROR(VLOOKUP($A24,計價收入預算!$A:$AW,26,0),0)</f>
        <v>0</v>
      </c>
      <c r="I24" s="242">
        <f t="shared" si="24"/>
        <v>0</v>
      </c>
      <c r="J24" s="242">
        <f>IFERROR(VLOOKUP($A24,計價收入預算!$A:$AW,28,0),0)</f>
        <v>0</v>
      </c>
      <c r="K24" s="242">
        <f t="shared" si="2"/>
        <v>0</v>
      </c>
      <c r="L24" s="242">
        <f>IFERROR(VLOOKUP($A24,計價收入預算!$A:$AW,29,0),0)</f>
        <v>0</v>
      </c>
      <c r="M24" s="242">
        <f>SUM(L24:L24)</f>
        <v>0</v>
      </c>
      <c r="N24" s="242">
        <f>IFERROR(VLOOKUP($A24,計價收入預算!$A:$AW,30,0),0)</f>
        <v>0</v>
      </c>
      <c r="O24" s="242">
        <f t="shared" si="3"/>
        <v>0</v>
      </c>
      <c r="P24" s="242">
        <f>IFERROR(VLOOKUP($A24,計價收入預算!$A:$AW,31,0),0)</f>
        <v>0</v>
      </c>
      <c r="Q24" s="242">
        <f t="shared" si="4"/>
        <v>0</v>
      </c>
      <c r="R24" s="242">
        <f>IFERROR(VLOOKUP($A24,計價收入預算!$A:$AW,32,0),0)</f>
        <v>0</v>
      </c>
      <c r="S24" s="242">
        <f t="shared" si="5"/>
        <v>0</v>
      </c>
      <c r="T24" s="242">
        <f>IFERROR(VLOOKUP($A24,計價收入預算!$A:$AW,33,0),0)</f>
        <v>0</v>
      </c>
      <c r="U24" s="242">
        <f t="shared" si="6"/>
        <v>0</v>
      </c>
      <c r="V24" s="242">
        <f>IFERROR(VLOOKUP($A24,計價收入預算!$A:$AW,34,0),0)</f>
        <v>0</v>
      </c>
      <c r="W24" s="242">
        <f t="shared" si="7"/>
        <v>0</v>
      </c>
      <c r="X24" s="242">
        <f>IFERROR(VLOOKUP($A24,計價收入預算!$A:$AW,35,0),0)</f>
        <v>0</v>
      </c>
      <c r="Y24" s="242">
        <f t="shared" si="8"/>
        <v>0</v>
      </c>
      <c r="Z24" s="242">
        <f>IFERROR(VLOOKUP($A24,計價收入預算!$A:$AW,36,0),0)</f>
        <v>0</v>
      </c>
      <c r="AA24" s="242">
        <f t="shared" si="9"/>
        <v>0</v>
      </c>
      <c r="AB24" s="242">
        <f>IFERROR(VLOOKUP($A24,計價收入預算!$A:$AW,37,0),0)</f>
        <v>958000</v>
      </c>
      <c r="AC24" s="242">
        <f t="shared" si="10"/>
        <v>958000</v>
      </c>
      <c r="AD24" s="242">
        <f>IFERROR(VLOOKUP($A24,計價收入預算!$A:$AW,38,0),0)</f>
        <v>958000</v>
      </c>
      <c r="AE24" s="242">
        <f t="shared" si="11"/>
        <v>958000</v>
      </c>
      <c r="AF24" s="242">
        <f>IFERROR(VLOOKUP($A24,計價收入預算!$A:$AW,39,0),0)</f>
        <v>958000</v>
      </c>
      <c r="AG24" s="242">
        <f t="shared" si="12"/>
        <v>958000</v>
      </c>
      <c r="AH24" s="314">
        <f>SUMIF($J$4:$AG$4,$AH$4,$J24:$AG$66)</f>
        <v>2874000</v>
      </c>
      <c r="AI24" s="314">
        <f t="shared" si="13"/>
        <v>2874000</v>
      </c>
      <c r="AJ24" s="264">
        <f>+H24+AH24</f>
        <v>2874000</v>
      </c>
      <c r="AK24" s="242">
        <f t="shared" si="14"/>
        <v>2874000</v>
      </c>
      <c r="AL24" s="242">
        <f>IFERROR(VLOOKUP($A24,計價收入預算!$A:$AW,42,0),0)</f>
        <v>12250000</v>
      </c>
      <c r="AM24" s="242">
        <f t="shared" si="15"/>
        <v>12250000</v>
      </c>
      <c r="AN24" s="242">
        <f>+AJ24+AL24</f>
        <v>15124000</v>
      </c>
      <c r="AO24" s="242">
        <f t="shared" si="16"/>
        <v>15124000</v>
      </c>
      <c r="AP24" s="242">
        <f>IFERROR(VLOOKUP($A24,計價收入預算!$A:$AW,43,0),0)</f>
        <v>7400000</v>
      </c>
      <c r="AQ24" s="242">
        <f t="shared" si="17"/>
        <v>7400000</v>
      </c>
      <c r="AR24" s="226">
        <f>+AN24+AP24</f>
        <v>22524000</v>
      </c>
      <c r="AS24" s="242">
        <f t="shared" si="18"/>
        <v>22524000</v>
      </c>
      <c r="AT24" s="242">
        <f>IFERROR(VLOOKUP($A24,計價收入預算!$A:$AW,44,0),0)</f>
        <v>7800000</v>
      </c>
      <c r="AU24" s="242">
        <f t="shared" si="19"/>
        <v>7800000</v>
      </c>
      <c r="AV24" s="226">
        <f>+AR24+AT24</f>
        <v>30324000</v>
      </c>
      <c r="AW24" s="242">
        <f t="shared" si="20"/>
        <v>30324000</v>
      </c>
      <c r="AX24" s="242">
        <f>IFERROR(VLOOKUP($A24,計價收入預算!$A:$AW,45,0),0)</f>
        <v>8200000</v>
      </c>
      <c r="AY24" s="242">
        <f t="shared" si="21"/>
        <v>8200000</v>
      </c>
      <c r="AZ24" s="226">
        <f>+AV24+AX24</f>
        <v>38524000</v>
      </c>
      <c r="BA24" s="242">
        <f t="shared" si="22"/>
        <v>38524000</v>
      </c>
    </row>
    <row r="25" spans="1:53" outlineLevel="1">
      <c r="A25" s="175" t="s">
        <v>659</v>
      </c>
      <c r="B25" s="172" t="s">
        <v>660</v>
      </c>
      <c r="C25" s="169" t="s">
        <v>1037</v>
      </c>
      <c r="D25" s="242">
        <f>IFERROR(VLOOKUP(A25,計價收入預算!$A:$AW,9,0),0)</f>
        <v>0</v>
      </c>
      <c r="E25" s="242">
        <f t="shared" si="0"/>
        <v>0</v>
      </c>
      <c r="F25" s="242">
        <f t="shared" si="23"/>
        <v>0</v>
      </c>
      <c r="G25" s="242">
        <f t="shared" si="1"/>
        <v>0</v>
      </c>
      <c r="H25" s="242">
        <f>IFERROR(VLOOKUP($A25,計價收入預算!$A:$AW,26,0),0)</f>
        <v>0</v>
      </c>
      <c r="I25" s="242">
        <f t="shared" si="24"/>
        <v>0</v>
      </c>
      <c r="J25" s="242">
        <f>IFERROR(VLOOKUP($A25,計價收入預算!$A:$AW,28,0),0)</f>
        <v>0</v>
      </c>
      <c r="K25" s="242">
        <f t="shared" si="2"/>
        <v>0</v>
      </c>
      <c r="L25" s="242">
        <f>IFERROR(VLOOKUP($A25,計價收入預算!$A:$AW,29,0),0)</f>
        <v>0</v>
      </c>
      <c r="M25" s="242">
        <f>SUM(L25:L25)</f>
        <v>0</v>
      </c>
      <c r="N25" s="242">
        <f>IFERROR(VLOOKUP($A25,計價收入預算!$A:$AW,30,0),0)</f>
        <v>0</v>
      </c>
      <c r="O25" s="242">
        <f t="shared" si="3"/>
        <v>0</v>
      </c>
      <c r="P25" s="242">
        <f>IFERROR(VLOOKUP($A25,計價收入預算!$A:$AW,31,0),0)</f>
        <v>0</v>
      </c>
      <c r="Q25" s="242">
        <f t="shared" si="4"/>
        <v>0</v>
      </c>
      <c r="R25" s="242">
        <f>IFERROR(VLOOKUP($A25,計價收入預算!$A:$AW,32,0),0)</f>
        <v>0</v>
      </c>
      <c r="S25" s="242">
        <f t="shared" si="5"/>
        <v>0</v>
      </c>
      <c r="T25" s="242">
        <f>IFERROR(VLOOKUP($A25,計價收入預算!$A:$AW,33,0),0)</f>
        <v>0</v>
      </c>
      <c r="U25" s="242">
        <f t="shared" si="6"/>
        <v>0</v>
      </c>
      <c r="V25" s="242">
        <f>IFERROR(VLOOKUP($A25,計價收入預算!$A:$AW,34,0),0)</f>
        <v>0</v>
      </c>
      <c r="W25" s="242">
        <f t="shared" si="7"/>
        <v>0</v>
      </c>
      <c r="X25" s="242">
        <f>IFERROR(VLOOKUP($A25,計價收入預算!$A:$AW,35,0),0)</f>
        <v>0</v>
      </c>
      <c r="Y25" s="242">
        <f t="shared" si="8"/>
        <v>0</v>
      </c>
      <c r="Z25" s="242">
        <f>IFERROR(VLOOKUP($A25,計價收入預算!$A:$AW,36,0),0)</f>
        <v>0</v>
      </c>
      <c r="AA25" s="242">
        <f t="shared" si="9"/>
        <v>0</v>
      </c>
      <c r="AB25" s="242">
        <f>IFERROR(VLOOKUP($A25,計價收入預算!$A:$AW,37,0),0)</f>
        <v>0</v>
      </c>
      <c r="AC25" s="242">
        <f t="shared" si="10"/>
        <v>0</v>
      </c>
      <c r="AD25" s="242">
        <f>IFERROR(VLOOKUP($A25,計價收入預算!$A:$AW,38,0),0)</f>
        <v>0</v>
      </c>
      <c r="AE25" s="242">
        <f t="shared" si="11"/>
        <v>0</v>
      </c>
      <c r="AF25" s="242">
        <f>IFERROR(VLOOKUP($A25,計價收入預算!$A:$AW,39,0),0)</f>
        <v>0</v>
      </c>
      <c r="AG25" s="242">
        <f t="shared" si="12"/>
        <v>0</v>
      </c>
      <c r="AH25" s="314">
        <f>SUMIF($J$4:$AG$4,$AH$4,$J25:$AG$66)</f>
        <v>0</v>
      </c>
      <c r="AI25" s="314">
        <f t="shared" si="13"/>
        <v>0</v>
      </c>
      <c r="AJ25" s="264">
        <f>+H25+AH25</f>
        <v>0</v>
      </c>
      <c r="AK25" s="242">
        <f t="shared" si="14"/>
        <v>0</v>
      </c>
      <c r="AL25" s="242">
        <f>IFERROR(VLOOKUP($A25,計價收入預算!$A:$AW,42,0),0)</f>
        <v>7000000</v>
      </c>
      <c r="AM25" s="242">
        <f t="shared" si="15"/>
        <v>7000000</v>
      </c>
      <c r="AN25" s="242">
        <f>+AJ25+AL25</f>
        <v>7000000</v>
      </c>
      <c r="AO25" s="242">
        <f t="shared" si="16"/>
        <v>7000000</v>
      </c>
      <c r="AP25" s="242">
        <f>IFERROR(VLOOKUP($A25,計價收入預算!$A:$AW,43,0),0)</f>
        <v>3700000</v>
      </c>
      <c r="AQ25" s="242">
        <f t="shared" si="17"/>
        <v>3700000</v>
      </c>
      <c r="AR25" s="226">
        <f>+AN25+AP25</f>
        <v>10700000</v>
      </c>
      <c r="AS25" s="242">
        <f t="shared" si="18"/>
        <v>10700000</v>
      </c>
      <c r="AT25" s="242">
        <f>IFERROR(VLOOKUP($A25,計價收入預算!$A:$AW,44,0),0)</f>
        <v>3900000</v>
      </c>
      <c r="AU25" s="242">
        <f t="shared" si="19"/>
        <v>3900000</v>
      </c>
      <c r="AV25" s="226">
        <f>+AR25+AT25</f>
        <v>14600000</v>
      </c>
      <c r="AW25" s="242">
        <f t="shared" si="20"/>
        <v>14600000</v>
      </c>
      <c r="AX25" s="242">
        <f>IFERROR(VLOOKUP($A25,計價收入預算!$A:$AW,45,0),0)</f>
        <v>4100000</v>
      </c>
      <c r="AY25" s="242">
        <f t="shared" si="21"/>
        <v>4100000</v>
      </c>
      <c r="AZ25" s="226">
        <f>+AV25+AX25</f>
        <v>18700000</v>
      </c>
      <c r="BA25" s="242">
        <f t="shared" si="22"/>
        <v>18700000</v>
      </c>
    </row>
    <row r="26" spans="1:53" outlineLevel="1">
      <c r="A26" s="175" t="s">
        <v>661</v>
      </c>
      <c r="B26" s="172" t="s">
        <v>662</v>
      </c>
      <c r="C26" s="169" t="s">
        <v>1037</v>
      </c>
      <c r="D26" s="242">
        <f>IFERROR(VLOOKUP(A26,計價收入預算!$A:$AW,9,0),0)</f>
        <v>0</v>
      </c>
      <c r="E26" s="242">
        <f t="shared" si="0"/>
        <v>0</v>
      </c>
      <c r="F26" s="242">
        <f t="shared" si="23"/>
        <v>0</v>
      </c>
      <c r="G26" s="242">
        <f t="shared" si="1"/>
        <v>0</v>
      </c>
      <c r="H26" s="242">
        <f>IFERROR(VLOOKUP($A26,計價收入預算!$A:$AW,26,0),0)</f>
        <v>0</v>
      </c>
      <c r="I26" s="242">
        <f t="shared" si="24"/>
        <v>0</v>
      </c>
      <c r="J26" s="242">
        <f>IFERROR(VLOOKUP($A28,計價收入預算!$A:$AW,28,0),0)</f>
        <v>0</v>
      </c>
      <c r="K26" s="242">
        <f t="shared" si="2"/>
        <v>0</v>
      </c>
      <c r="L26" s="242">
        <f>IFERROR(VLOOKUP($A29,計價收入預算!$A:$AW,29,0),0)</f>
        <v>0</v>
      </c>
      <c r="M26" s="242">
        <f>SUM(L26:L26)</f>
        <v>0</v>
      </c>
      <c r="N26" s="242">
        <f>IFERROR(VLOOKUP($A30,計價收入預算!$A:$AW,30,0),0)</f>
        <v>0</v>
      </c>
      <c r="O26" s="242">
        <f t="shared" si="3"/>
        <v>0</v>
      </c>
      <c r="P26" s="242">
        <f>IFERROR(VLOOKUP($A31,計價收入預算!$A:$AW,31,0),0)</f>
        <v>0</v>
      </c>
      <c r="Q26" s="242">
        <f t="shared" si="4"/>
        <v>0</v>
      </c>
      <c r="R26" s="242">
        <f>IFERROR(VLOOKUP($A32,計價收入預算!$A:$AW,32,0),0)</f>
        <v>0</v>
      </c>
      <c r="S26" s="242">
        <f t="shared" si="5"/>
        <v>0</v>
      </c>
      <c r="T26" s="242">
        <f>IFERROR(VLOOKUP($A33,計價收入預算!$A:$AW,33,0),0)</f>
        <v>0</v>
      </c>
      <c r="U26" s="242">
        <f t="shared" si="6"/>
        <v>0</v>
      </c>
      <c r="V26" s="242">
        <f>IFERROR(VLOOKUP($A26,計價收入預算!$A:$AW,34,0),0)</f>
        <v>0</v>
      </c>
      <c r="W26" s="242">
        <f t="shared" si="7"/>
        <v>0</v>
      </c>
      <c r="X26" s="242">
        <f>IFERROR(VLOOKUP($A35,計價收入預算!$A:$AW,35,0),0)</f>
        <v>0</v>
      </c>
      <c r="Y26" s="242">
        <f t="shared" si="8"/>
        <v>0</v>
      </c>
      <c r="Z26" s="242">
        <f>IFERROR(VLOOKUP($A36,計價收入預算!$A:$AW,36,0),0)</f>
        <v>0</v>
      </c>
      <c r="AA26" s="242">
        <f t="shared" si="9"/>
        <v>0</v>
      </c>
      <c r="AB26" s="242">
        <f>IFERROR(VLOOKUP($A37,計價收入預算!$A:$AW,37,0),0)</f>
        <v>0</v>
      </c>
      <c r="AC26" s="242">
        <f t="shared" si="10"/>
        <v>0</v>
      </c>
      <c r="AD26" s="242">
        <f>IFERROR(VLOOKUP($A38,計價收入預算!$A:$AW,38,0),0)</f>
        <v>0</v>
      </c>
      <c r="AE26" s="242">
        <f t="shared" si="11"/>
        <v>0</v>
      </c>
      <c r="AF26" s="242">
        <f>IFERROR(VLOOKUP($A39,計價收入預算!$A:$AW,39,0),0)</f>
        <v>0</v>
      </c>
      <c r="AG26" s="242">
        <f t="shared" si="12"/>
        <v>0</v>
      </c>
      <c r="AH26" s="314">
        <f>SUMIF($J$4:$AG$4,$AH$4,$J26:$AG$66)</f>
        <v>0</v>
      </c>
      <c r="AI26" s="314">
        <f t="shared" si="13"/>
        <v>0</v>
      </c>
      <c r="AJ26" s="264">
        <f>+H26+AH26</f>
        <v>0</v>
      </c>
      <c r="AK26" s="242">
        <f t="shared" si="14"/>
        <v>0</v>
      </c>
      <c r="AL26" s="242">
        <f>IFERROR(VLOOKUP($A42,計價收入預算!$A:$AW,42,0),0)</f>
        <v>0</v>
      </c>
      <c r="AM26" s="242">
        <f t="shared" si="15"/>
        <v>0</v>
      </c>
      <c r="AN26" s="242">
        <f>+AJ26+AL26</f>
        <v>0</v>
      </c>
      <c r="AO26" s="242">
        <f t="shared" si="16"/>
        <v>0</v>
      </c>
      <c r="AP26" s="242">
        <f>IFERROR(VLOOKUP($A26,計價收入預算!$A:$AW,43,0),0)</f>
        <v>7400000</v>
      </c>
      <c r="AQ26" s="242">
        <f t="shared" si="17"/>
        <v>7400000</v>
      </c>
      <c r="AR26" s="226">
        <f>+AN26+AP26</f>
        <v>7400000</v>
      </c>
      <c r="AS26" s="242">
        <f t="shared" si="18"/>
        <v>7400000</v>
      </c>
      <c r="AT26" s="242">
        <f>IFERROR(VLOOKUP($A26,計價收入預算!$A:$AW,44,0),0)</f>
        <v>7800000</v>
      </c>
      <c r="AU26" s="242">
        <f t="shared" si="19"/>
        <v>7800000</v>
      </c>
      <c r="AV26" s="226">
        <f>+AR26+AT26</f>
        <v>15200000</v>
      </c>
      <c r="AW26" s="242">
        <f t="shared" si="20"/>
        <v>15200000</v>
      </c>
      <c r="AX26" s="242">
        <f>IFERROR(VLOOKUP($A26,計價收入預算!$A:$AW,45,0),0)</f>
        <v>4100000</v>
      </c>
      <c r="AY26" s="242">
        <f t="shared" si="21"/>
        <v>4100000</v>
      </c>
      <c r="AZ26" s="226">
        <f>+AV26+AX26</f>
        <v>19300000</v>
      </c>
      <c r="BA26" s="242">
        <f t="shared" si="22"/>
        <v>19300000</v>
      </c>
    </row>
    <row r="27" spans="1:53" s="174" customFormat="1" outlineLevel="1">
      <c r="A27" s="175" t="s">
        <v>663</v>
      </c>
      <c r="B27" s="172" t="s">
        <v>664</v>
      </c>
      <c r="C27" s="169" t="s">
        <v>1037</v>
      </c>
      <c r="D27" s="242">
        <f>IFERROR(VLOOKUP(A27,計價收入預算!$A:$AW,9,0),0)</f>
        <v>0</v>
      </c>
      <c r="E27" s="254">
        <f t="shared" si="0"/>
        <v>0</v>
      </c>
      <c r="F27" s="254">
        <f t="shared" si="23"/>
        <v>0</v>
      </c>
      <c r="G27" s="254">
        <f t="shared" si="1"/>
        <v>0</v>
      </c>
      <c r="H27" s="242">
        <f>IFERROR(VLOOKUP($A27,計價收入預算!$A:$AW,26,0),0)</f>
        <v>0</v>
      </c>
      <c r="I27" s="254">
        <f t="shared" si="24"/>
        <v>0</v>
      </c>
      <c r="J27" s="242">
        <f>IFERROR(VLOOKUP($A28,計價收入預算!$A:$AW,28,0),0)</f>
        <v>0</v>
      </c>
      <c r="K27" s="254">
        <f t="shared" si="2"/>
        <v>0</v>
      </c>
      <c r="L27" s="242">
        <f>IFERROR(VLOOKUP($A29,計價收入預算!$A:$AW,29,0),0)</f>
        <v>0</v>
      </c>
      <c r="M27" s="254">
        <f>SUM(L27:L27)</f>
        <v>0</v>
      </c>
      <c r="N27" s="242">
        <f>IFERROR(VLOOKUP($A30,計價收入預算!$A:$AW,30,0),0)</f>
        <v>0</v>
      </c>
      <c r="O27" s="254">
        <f t="shared" si="3"/>
        <v>0</v>
      </c>
      <c r="P27" s="242">
        <f>IFERROR(VLOOKUP($A31,計價收入預算!$A:$AW,31,0),0)</f>
        <v>0</v>
      </c>
      <c r="Q27" s="254">
        <f t="shared" si="4"/>
        <v>0</v>
      </c>
      <c r="R27" s="242">
        <f>IFERROR(VLOOKUP($A32,計價收入預算!$A:$AW,32,0),0)</f>
        <v>0</v>
      </c>
      <c r="S27" s="254">
        <f t="shared" si="5"/>
        <v>0</v>
      </c>
      <c r="T27" s="242">
        <f>IFERROR(VLOOKUP($A33,計價收入預算!$A:$AW,33,0),0)</f>
        <v>0</v>
      </c>
      <c r="U27" s="254">
        <f t="shared" si="6"/>
        <v>0</v>
      </c>
      <c r="V27" s="242">
        <f>IFERROR(VLOOKUP($A27,計價收入預算!$A:$AW,34,0),0)</f>
        <v>0</v>
      </c>
      <c r="W27" s="254">
        <f t="shared" si="7"/>
        <v>0</v>
      </c>
      <c r="X27" s="242">
        <f>IFERROR(VLOOKUP($A35,計價收入預算!$A:$AW,35,0),0)</f>
        <v>0</v>
      </c>
      <c r="Y27" s="254">
        <f t="shared" si="8"/>
        <v>0</v>
      </c>
      <c r="Z27" s="242">
        <f>IFERROR(VLOOKUP($A36,計價收入預算!$A:$AW,36,0),0)</f>
        <v>0</v>
      </c>
      <c r="AA27" s="254">
        <f t="shared" si="9"/>
        <v>0</v>
      </c>
      <c r="AB27" s="242">
        <f>IFERROR(VLOOKUP($A37,計價收入預算!$A:$AW,37,0),0)</f>
        <v>0</v>
      </c>
      <c r="AC27" s="254">
        <f t="shared" si="10"/>
        <v>0</v>
      </c>
      <c r="AD27" s="242">
        <f>IFERROR(VLOOKUP($A38,計價收入預算!$A:$AW,38,0),0)</f>
        <v>0</v>
      </c>
      <c r="AE27" s="254">
        <f t="shared" si="11"/>
        <v>0</v>
      </c>
      <c r="AF27" s="242">
        <f>IFERROR(VLOOKUP($A39,計價收入預算!$A:$AW,39,0),0)</f>
        <v>0</v>
      </c>
      <c r="AG27" s="254">
        <f t="shared" si="12"/>
        <v>0</v>
      </c>
      <c r="AH27" s="314">
        <f>SUMIF($J$4:$AG$4,$AH$4,$J27:$AG$66)</f>
        <v>0</v>
      </c>
      <c r="AI27" s="317">
        <f t="shared" si="13"/>
        <v>0</v>
      </c>
      <c r="AJ27" s="257">
        <f>+H27+AH27</f>
        <v>0</v>
      </c>
      <c r="AK27" s="254">
        <f t="shared" si="14"/>
        <v>0</v>
      </c>
      <c r="AL27" s="242">
        <f>IFERROR(VLOOKUP($A42,計價收入預算!$A:$AW,42,0),0)</f>
        <v>0</v>
      </c>
      <c r="AM27" s="242">
        <f t="shared" ref="AM27" si="25">SUM(AL27:AL27)</f>
        <v>0</v>
      </c>
      <c r="AN27" s="254">
        <f>+AJ27+AL27</f>
        <v>0</v>
      </c>
      <c r="AO27" s="254">
        <f t="shared" si="16"/>
        <v>0</v>
      </c>
      <c r="AP27" s="242">
        <f>IFERROR(VLOOKUP($A27,計價收入預算!$A:$AW,43,0),0)</f>
        <v>0</v>
      </c>
      <c r="AQ27" s="254">
        <f t="shared" si="17"/>
        <v>0</v>
      </c>
      <c r="AR27" s="318">
        <f>+AN27+AP27</f>
        <v>0</v>
      </c>
      <c r="AS27" s="254">
        <f t="shared" si="18"/>
        <v>0</v>
      </c>
      <c r="AT27" s="242">
        <f>IFERROR(VLOOKUP($A27,計價收入預算!$A:$AW,44,0),0)</f>
        <v>7800000</v>
      </c>
      <c r="AU27" s="242">
        <f t="shared" si="19"/>
        <v>7800000</v>
      </c>
      <c r="AV27" s="318">
        <f>+AR27+AT27</f>
        <v>7800000</v>
      </c>
      <c r="AW27" s="254">
        <f t="shared" si="20"/>
        <v>7800000</v>
      </c>
      <c r="AX27" s="242">
        <f>IFERROR(VLOOKUP($A27,計價收入預算!$A:$AW,45,0),0)</f>
        <v>8200000</v>
      </c>
      <c r="AY27" s="242">
        <f t="shared" si="21"/>
        <v>8200000</v>
      </c>
      <c r="AZ27" s="226">
        <f>+AV27+AX27</f>
        <v>16000000</v>
      </c>
      <c r="BA27" s="242">
        <f t="shared" si="22"/>
        <v>16000000</v>
      </c>
    </row>
    <row r="28" spans="1:53" ht="20.25" customHeight="1" outlineLevel="1">
      <c r="A28" s="175" t="s">
        <v>665</v>
      </c>
      <c r="B28" s="172" t="s">
        <v>666</v>
      </c>
      <c r="C28" s="169" t="s">
        <v>1037</v>
      </c>
      <c r="D28" s="242">
        <f>IFERROR(VLOOKUP(A28,計價收入預算!$A:$AW,9,0),0)</f>
        <v>0</v>
      </c>
      <c r="E28" s="242">
        <f t="shared" si="0"/>
        <v>0</v>
      </c>
      <c r="F28" s="242">
        <f t="shared" si="23"/>
        <v>0</v>
      </c>
      <c r="G28" s="242">
        <f t="shared" si="1"/>
        <v>0</v>
      </c>
      <c r="H28" s="242">
        <f>IFERROR(VLOOKUP($A28,計價收入預算!$A:$AW,26,0),0)</f>
        <v>0</v>
      </c>
      <c r="I28" s="242">
        <f t="shared" si="24"/>
        <v>0</v>
      </c>
      <c r="J28" s="242">
        <f>IFERROR(VLOOKUP($A28,計價收入預算!$A:$AW,28,0),0)</f>
        <v>0</v>
      </c>
      <c r="K28" s="242">
        <f t="shared" si="2"/>
        <v>0</v>
      </c>
      <c r="L28" s="242">
        <f>IFERROR(VLOOKUP($A29,計價收入預算!$A:$AW,29,0),0)</f>
        <v>0</v>
      </c>
      <c r="M28" s="242">
        <f>SUM(L28:L28)</f>
        <v>0</v>
      </c>
      <c r="N28" s="242">
        <f>IFERROR(VLOOKUP($A28,計價收入預算!$A:$AW,30,0),0)</f>
        <v>0</v>
      </c>
      <c r="O28" s="242">
        <f t="shared" si="3"/>
        <v>0</v>
      </c>
      <c r="P28" s="242">
        <f>IFERROR(VLOOKUP($A28,計價收入預算!$A:$AW,31,0),0)</f>
        <v>0</v>
      </c>
      <c r="Q28" s="242">
        <f t="shared" si="4"/>
        <v>0</v>
      </c>
      <c r="R28" s="242">
        <f>IFERROR(VLOOKUP($A28,計價收入預算!$A:$AW,32,0),0)</f>
        <v>0</v>
      </c>
      <c r="S28" s="242">
        <f t="shared" si="5"/>
        <v>0</v>
      </c>
      <c r="T28" s="242">
        <f>IFERROR(VLOOKUP($A28,計價收入預算!$A:$AW,33,0),0)</f>
        <v>0</v>
      </c>
      <c r="U28" s="242">
        <f t="shared" si="6"/>
        <v>0</v>
      </c>
      <c r="V28" s="242">
        <f>IFERROR(VLOOKUP($A28,計價收入預算!$A:$AW,34,0),0)</f>
        <v>0</v>
      </c>
      <c r="W28" s="242">
        <f t="shared" si="7"/>
        <v>0</v>
      </c>
      <c r="X28" s="242">
        <f>IFERROR(VLOOKUP($A28,計價收入預算!$A:$AW,35,0),0)</f>
        <v>0</v>
      </c>
      <c r="Y28" s="242">
        <f t="shared" si="8"/>
        <v>0</v>
      </c>
      <c r="Z28" s="242">
        <f>IFERROR(VLOOKUP($A28,計價收入預算!$A:$AW,36,0),0)</f>
        <v>0</v>
      </c>
      <c r="AA28" s="242">
        <f t="shared" si="9"/>
        <v>0</v>
      </c>
      <c r="AB28" s="242">
        <f>IFERROR(VLOOKUP($A28,計價收入預算!$A:$AW,37,0),0)</f>
        <v>0</v>
      </c>
      <c r="AC28" s="242">
        <f t="shared" si="10"/>
        <v>0</v>
      </c>
      <c r="AD28" s="242">
        <f>IFERROR(VLOOKUP($A28,計價收入預算!$A:$AW,38,0),0)</f>
        <v>0</v>
      </c>
      <c r="AE28" s="242">
        <f t="shared" si="11"/>
        <v>0</v>
      </c>
      <c r="AF28" s="242">
        <f>IFERROR(VLOOKUP($A28,計價收入預算!$A:$AW,39,0),0)</f>
        <v>0</v>
      </c>
      <c r="AG28" s="242">
        <f t="shared" si="12"/>
        <v>0</v>
      </c>
      <c r="AH28" s="314">
        <f>SUMIF($J$4:$AG$4,$AH$4,$J28:$AG$66)</f>
        <v>0</v>
      </c>
      <c r="AI28" s="314">
        <f t="shared" si="13"/>
        <v>0</v>
      </c>
      <c r="AJ28" s="264">
        <f>+H28+AH28</f>
        <v>0</v>
      </c>
      <c r="AK28" s="242">
        <f t="shared" si="14"/>
        <v>0</v>
      </c>
      <c r="AL28" s="242">
        <f>IFERROR(VLOOKUP($A28,計價收入預算!$A:$AW,42,0),0)</f>
        <v>0</v>
      </c>
      <c r="AM28" s="242">
        <f>SUM(AL28:AL28)</f>
        <v>0</v>
      </c>
      <c r="AN28" s="242">
        <f>+AJ28+AL28</f>
        <v>0</v>
      </c>
      <c r="AO28" s="242">
        <f t="shared" si="16"/>
        <v>0</v>
      </c>
      <c r="AP28" s="242">
        <f>IFERROR(VLOOKUP($A28,計價收入預算!$A:$AW,43,0),0)</f>
        <v>0</v>
      </c>
      <c r="AQ28" s="242">
        <f t="shared" si="17"/>
        <v>0</v>
      </c>
      <c r="AR28" s="226">
        <f>+AN28+AP28</f>
        <v>0</v>
      </c>
      <c r="AS28" s="242">
        <f t="shared" si="18"/>
        <v>0</v>
      </c>
      <c r="AT28" s="242">
        <f>IFERROR(VLOOKUP($A28,計價收入預算!$A:$AW,44,0),0)</f>
        <v>0</v>
      </c>
      <c r="AU28" s="242">
        <f t="shared" si="19"/>
        <v>0</v>
      </c>
      <c r="AV28" s="226">
        <f>+AR28+AT28</f>
        <v>0</v>
      </c>
      <c r="AW28" s="242">
        <f t="shared" si="20"/>
        <v>0</v>
      </c>
      <c r="AX28" s="242">
        <f>IFERROR(VLOOKUP($A28,計價收入預算!$A:$AW,45,0),0)</f>
        <v>8200000</v>
      </c>
      <c r="AY28" s="242">
        <f t="shared" si="21"/>
        <v>8200000</v>
      </c>
      <c r="AZ28" s="226">
        <f>+AV28+AX28</f>
        <v>8200000</v>
      </c>
      <c r="BA28" s="242">
        <f t="shared" si="22"/>
        <v>8200000</v>
      </c>
    </row>
    <row r="29" spans="1:53" ht="20.25" customHeight="1" outlineLevel="1">
      <c r="A29" s="228"/>
      <c r="B29" s="229" t="s">
        <v>1966</v>
      </c>
      <c r="C29" s="229"/>
      <c r="D29" s="314">
        <f>SUM(D6:D28)</f>
        <v>66810661</v>
      </c>
      <c r="E29" s="314">
        <f t="shared" ref="E29:AJ29" si="26">SUM(E6:E28)</f>
        <v>66810661</v>
      </c>
      <c r="F29" s="314">
        <f t="shared" si="26"/>
        <v>13675000</v>
      </c>
      <c r="G29" s="314">
        <f t="shared" si="26"/>
        <v>13675000</v>
      </c>
      <c r="H29" s="314">
        <f t="shared" si="26"/>
        <v>80485661</v>
      </c>
      <c r="I29" s="314">
        <f t="shared" si="26"/>
        <v>80485661</v>
      </c>
      <c r="J29" s="314">
        <f t="shared" si="26"/>
        <v>4496668</v>
      </c>
      <c r="K29" s="314">
        <f t="shared" si="26"/>
        <v>4496668</v>
      </c>
      <c r="L29" s="314">
        <f ca="1">SUM(L6:L29)</f>
        <v>0</v>
      </c>
      <c r="M29" s="314">
        <f t="shared" ref="M29:O29" si="27">SUM(M6:M28)</f>
        <v>3082950</v>
      </c>
      <c r="N29" s="314">
        <f t="shared" si="27"/>
        <v>3651668</v>
      </c>
      <c r="O29" s="314">
        <f t="shared" si="27"/>
        <v>3651668</v>
      </c>
      <c r="P29" s="314">
        <f t="shared" ref="P29:AG29" si="28">SUM(P6:P28)</f>
        <v>1148668</v>
      </c>
      <c r="Q29" s="314">
        <f t="shared" si="28"/>
        <v>1148668</v>
      </c>
      <c r="R29" s="314">
        <f t="shared" si="28"/>
        <v>3304668</v>
      </c>
      <c r="S29" s="314">
        <f t="shared" si="28"/>
        <v>3304668</v>
      </c>
      <c r="T29" s="314">
        <f t="shared" si="28"/>
        <v>1148668</v>
      </c>
      <c r="U29" s="314">
        <f t="shared" si="28"/>
        <v>1148668</v>
      </c>
      <c r="V29" s="314">
        <f t="shared" si="28"/>
        <v>4327068</v>
      </c>
      <c r="W29" s="314">
        <f t="shared" si="28"/>
        <v>4327068</v>
      </c>
      <c r="X29" s="314">
        <f t="shared" si="28"/>
        <v>1318668</v>
      </c>
      <c r="Y29" s="314">
        <f t="shared" si="28"/>
        <v>1318668</v>
      </c>
      <c r="Z29" s="314">
        <f t="shared" si="28"/>
        <v>1318668</v>
      </c>
      <c r="AA29" s="314">
        <f t="shared" si="28"/>
        <v>1318668</v>
      </c>
      <c r="AB29" s="314">
        <f t="shared" si="28"/>
        <v>2106668</v>
      </c>
      <c r="AC29" s="314">
        <f t="shared" si="28"/>
        <v>2106668</v>
      </c>
      <c r="AD29" s="314">
        <f t="shared" si="28"/>
        <v>2106668</v>
      </c>
      <c r="AE29" s="314">
        <f t="shared" si="28"/>
        <v>2106668</v>
      </c>
      <c r="AF29" s="314">
        <f t="shared" si="28"/>
        <v>8568252</v>
      </c>
      <c r="AG29" s="314">
        <f t="shared" si="28"/>
        <v>8568252</v>
      </c>
      <c r="AH29" s="314">
        <f t="shared" si="26"/>
        <v>36579282</v>
      </c>
      <c r="AI29" s="314">
        <f t="shared" si="26"/>
        <v>36579282</v>
      </c>
      <c r="AJ29" s="314">
        <f t="shared" si="26"/>
        <v>117064943</v>
      </c>
      <c r="AK29" s="314">
        <f t="shared" ref="AK29:BA29" si="29">SUM(AK6:AK28)</f>
        <v>117064943</v>
      </c>
      <c r="AL29" s="314">
        <f t="shared" si="29"/>
        <v>36458850</v>
      </c>
      <c r="AM29" s="314">
        <f>SUM(AM6:AM28)</f>
        <v>36458850</v>
      </c>
      <c r="AN29" s="314">
        <f t="shared" si="29"/>
        <v>153523793</v>
      </c>
      <c r="AO29" s="314">
        <f t="shared" si="29"/>
        <v>153523793</v>
      </c>
      <c r="AP29" s="314">
        <f t="shared" ref="AP29" si="30">SUM(AP6:AP28)</f>
        <v>36863350</v>
      </c>
      <c r="AQ29" s="314">
        <f t="shared" si="29"/>
        <v>36863350</v>
      </c>
      <c r="AR29" s="314">
        <f t="shared" si="29"/>
        <v>190387143</v>
      </c>
      <c r="AS29" s="314">
        <f t="shared" si="29"/>
        <v>190387143</v>
      </c>
      <c r="AT29" s="314">
        <f t="shared" ref="AT29" si="31">SUM(AT6:AT28)</f>
        <v>39210350</v>
      </c>
      <c r="AU29" s="314">
        <f t="shared" si="29"/>
        <v>39210350</v>
      </c>
      <c r="AV29" s="314">
        <f t="shared" si="29"/>
        <v>229597493</v>
      </c>
      <c r="AW29" s="314">
        <f t="shared" si="29"/>
        <v>229597493</v>
      </c>
      <c r="AX29" s="314">
        <f t="shared" si="29"/>
        <v>44870850</v>
      </c>
      <c r="AY29" s="314">
        <f t="shared" si="29"/>
        <v>44870850</v>
      </c>
      <c r="AZ29" s="314">
        <f t="shared" si="29"/>
        <v>274468343</v>
      </c>
      <c r="BA29" s="314">
        <f t="shared" si="29"/>
        <v>274468343</v>
      </c>
    </row>
    <row r="30" spans="1:53" ht="20.25" customHeight="1" outlineLevel="1">
      <c r="A30" s="1397" t="s">
        <v>667</v>
      </c>
      <c r="B30" s="1404" t="s">
        <v>1974</v>
      </c>
      <c r="C30" s="1398" t="s">
        <v>1245</v>
      </c>
      <c r="D30" s="242">
        <f>IFERROR(VLOOKUP(A30,計價收入預算!$A:$AW,9,0),0)</f>
        <v>11112000</v>
      </c>
      <c r="E30" s="242">
        <f t="shared" ref="E30:E57" si="32">SUM(D30:D30)</f>
        <v>11112000</v>
      </c>
      <c r="F30" s="242">
        <f t="shared" ref="F30:F57" si="33">+H30-D30</f>
        <v>0</v>
      </c>
      <c r="G30" s="242">
        <f t="shared" ref="G30:G57" si="34">SUM(F30:F30)</f>
        <v>0</v>
      </c>
      <c r="H30" s="242">
        <f>IFERROR(VLOOKUP($A30,計價收入預算!$A:$AW,26,0),0)</f>
        <v>11112000</v>
      </c>
      <c r="I30" s="242">
        <f t="shared" ref="I30:I57" si="35">SUM(H30:H30)</f>
        <v>11112000</v>
      </c>
      <c r="J30" s="242">
        <f>IFERROR(VLOOKUP($A30,計價收入預算!$A:$AW,28,0),0)</f>
        <v>0</v>
      </c>
      <c r="K30" s="242">
        <f t="shared" ref="K30:K57" si="36">SUM(J30:J30)</f>
        <v>0</v>
      </c>
      <c r="L30" s="242">
        <f>IFERROR(VLOOKUP($A30,計價收入預算!$A:$AW,29,0),0)</f>
        <v>0</v>
      </c>
      <c r="M30" s="242">
        <f>SUM(L30:L30)</f>
        <v>0</v>
      </c>
      <c r="N30" s="242">
        <f>IFERROR(VLOOKUP($A30,計價收入預算!$A:$AW,30,0),0)</f>
        <v>0</v>
      </c>
      <c r="O30" s="242">
        <f t="shared" ref="O30:O57" si="37">SUM(N30:N30)</f>
        <v>0</v>
      </c>
      <c r="P30" s="242">
        <f>IFERROR(VLOOKUP($A31,計價收入預算!$A:$AW,31,0),0)</f>
        <v>0</v>
      </c>
      <c r="Q30" s="242">
        <f t="shared" ref="Q30:Q57" si="38">SUM(P30:P30)</f>
        <v>0</v>
      </c>
      <c r="R30" s="242">
        <f>IFERROR(VLOOKUP($A30,計價收入預算!$A:$AW,32,0),0)</f>
        <v>0</v>
      </c>
      <c r="S30" s="242">
        <f t="shared" ref="S30:S57" si="39">SUM(R30:R30)</f>
        <v>0</v>
      </c>
      <c r="T30" s="242">
        <f>IFERROR(VLOOKUP($A30,計價收入預算!$A:$AW,33,0),0)</f>
        <v>0</v>
      </c>
      <c r="U30" s="242">
        <f t="shared" ref="U30:U57" si="40">SUM(T30:T30)</f>
        <v>0</v>
      </c>
      <c r="V30" s="242">
        <f>IFERROR(VLOOKUP($A30,計價收入預算!$A:$AW,34,0),0)</f>
        <v>0</v>
      </c>
      <c r="W30" s="242">
        <f t="shared" ref="W30:W57" si="41">SUM(V30:V30)</f>
        <v>0</v>
      </c>
      <c r="X30" s="242">
        <f>IFERROR(VLOOKUP($A30,計價收入預算!$A:$AW,35,0),0)</f>
        <v>0</v>
      </c>
      <c r="Y30" s="242">
        <f t="shared" ref="Y30:Y57" si="42">SUM(X30:X30)</f>
        <v>0</v>
      </c>
      <c r="Z30" s="242">
        <f>IFERROR(VLOOKUP($A30,計價收入預算!$A:$AW,36,0),0)</f>
        <v>0</v>
      </c>
      <c r="AA30" s="242">
        <f t="shared" ref="AA30:AA57" si="43">SUM(Z30:Z30)</f>
        <v>0</v>
      </c>
      <c r="AB30" s="242">
        <f>IFERROR(VLOOKUP($A30,計價收入預算!$A:$AW,37,0),0)</f>
        <v>0</v>
      </c>
      <c r="AC30" s="242">
        <f t="shared" ref="AC30:AC57" si="44">SUM(AB30:AB30)</f>
        <v>0</v>
      </c>
      <c r="AD30" s="242">
        <f>IFERROR(VLOOKUP($A30,計價收入預算!$A:$AW,38,0),0)</f>
        <v>0</v>
      </c>
      <c r="AE30" s="242">
        <f t="shared" ref="AE30:AE57" si="45">SUM(AD30:AD30)</f>
        <v>0</v>
      </c>
      <c r="AF30" s="242">
        <f>IFERROR(VLOOKUP($A30,計價收入預算!$A:$AW,39,0),0)</f>
        <v>0</v>
      </c>
      <c r="AG30" s="242">
        <f t="shared" ref="AG30:AG57" si="46">SUM(AF30:AF30)</f>
        <v>0</v>
      </c>
      <c r="AH30" s="314">
        <f>SUMIF($J$4:$AG$4,$AH$4,$J30:$AG$66)</f>
        <v>0</v>
      </c>
      <c r="AI30" s="314">
        <f t="shared" ref="AI30:AI57" si="47">SUM(AH30:AH30)</f>
        <v>0</v>
      </c>
      <c r="AJ30" s="264">
        <f>+H30+AH30</f>
        <v>11112000</v>
      </c>
      <c r="AK30" s="242">
        <f t="shared" ref="AK30:AK57" si="48">SUM(AJ30:AJ30)</f>
        <v>11112000</v>
      </c>
      <c r="AL30" s="242">
        <f>IFERROR(VLOOKUP($A30,計價收入預算!$A:$AW,42,0),0)</f>
        <v>0</v>
      </c>
      <c r="AM30" s="242">
        <f t="shared" ref="AM30:AM57" si="49">SUM(AL30:AL30)</f>
        <v>0</v>
      </c>
      <c r="AN30" s="242">
        <f>+AJ30+AL30</f>
        <v>11112000</v>
      </c>
      <c r="AO30" s="242">
        <f t="shared" ref="AO30:AO57" si="50">SUM(AN30:AN30)</f>
        <v>11112000</v>
      </c>
      <c r="AP30" s="242">
        <f>IFERROR(VLOOKUP($A30,計價收入預算!$A:$AW,43,0),0)</f>
        <v>0</v>
      </c>
      <c r="AQ30" s="242">
        <f t="shared" ref="AQ30:AQ57" si="51">SUM(AP30:AP30)</f>
        <v>0</v>
      </c>
      <c r="AR30" s="226">
        <f>+AN30+AP30</f>
        <v>11112000</v>
      </c>
      <c r="AS30" s="242">
        <f t="shared" ref="AS30:AS57" si="52">SUM(AR30:AR30)</f>
        <v>11112000</v>
      </c>
      <c r="AT30" s="242">
        <f>IFERROR(VLOOKUP($A30,計價收入預算!$A:$AW,44,0),0)</f>
        <v>0</v>
      </c>
      <c r="AU30" s="242">
        <f t="shared" ref="AU30:AU57" si="53">SUM(AT30:AT30)</f>
        <v>0</v>
      </c>
      <c r="AV30" s="226">
        <f>+AR30+AT30</f>
        <v>11112000</v>
      </c>
      <c r="AW30" s="242">
        <f t="shared" ref="AW30:AW57" si="54">SUM(AV30:AV30)</f>
        <v>11112000</v>
      </c>
      <c r="AX30" s="242">
        <f>IFERROR(VLOOKUP($A30,計價收入預算!$A:$AW,45,0),0)</f>
        <v>0</v>
      </c>
      <c r="AY30" s="242">
        <f t="shared" ref="AY30:AY57" si="55">SUM(AX30:AX30)</f>
        <v>0</v>
      </c>
      <c r="AZ30" s="226">
        <f>+AV30+AX30</f>
        <v>11112000</v>
      </c>
      <c r="BA30" s="242">
        <f t="shared" ref="BA30:BA57" si="56">SUM(AZ30:AZ30)</f>
        <v>11112000</v>
      </c>
    </row>
    <row r="31" spans="1:53" ht="20.25" customHeight="1" outlineLevel="1">
      <c r="A31" s="175" t="s">
        <v>668</v>
      </c>
      <c r="B31" s="172" t="s">
        <v>669</v>
      </c>
      <c r="C31" s="169" t="s">
        <v>1037</v>
      </c>
      <c r="D31" s="242">
        <f>IFERROR(VLOOKUP(A31,計價收入預算!$A:$AW,9,0),0)</f>
        <v>7485000</v>
      </c>
      <c r="E31" s="242">
        <f t="shared" si="32"/>
        <v>7485000</v>
      </c>
      <c r="F31" s="242">
        <f t="shared" si="33"/>
        <v>260000</v>
      </c>
      <c r="G31" s="242">
        <f t="shared" si="34"/>
        <v>260000</v>
      </c>
      <c r="H31" s="242">
        <f>IFERROR(VLOOKUP($A31,計價收入預算!$A:$AW,26,0),0)</f>
        <v>7745000</v>
      </c>
      <c r="I31" s="242">
        <f t="shared" si="35"/>
        <v>7745000</v>
      </c>
      <c r="J31" s="242">
        <f>IFERROR(VLOOKUP($A31,計價收入預算!$A:$AW,28,0),0)</f>
        <v>75000</v>
      </c>
      <c r="K31" s="242">
        <f t="shared" si="36"/>
        <v>75000</v>
      </c>
      <c r="L31" s="242">
        <f>IFERROR(VLOOKUP($A31,計價收入預算!$A:$AW,29,0),0)</f>
        <v>0</v>
      </c>
      <c r="M31" s="242">
        <f>SUM(L31:L31)</f>
        <v>0</v>
      </c>
      <c r="N31" s="242">
        <f>IFERROR(VLOOKUP($A31,計價收入預算!$A:$AW,30,0),0)</f>
        <v>0</v>
      </c>
      <c r="O31" s="242">
        <f t="shared" si="37"/>
        <v>0</v>
      </c>
      <c r="P31" s="242">
        <f>IFERROR(VLOOKUP($A31,計價收入預算!$A:$AW,31,0),0)</f>
        <v>0</v>
      </c>
      <c r="Q31" s="242">
        <f t="shared" si="38"/>
        <v>0</v>
      </c>
      <c r="R31" s="242">
        <f>IFERROR(VLOOKUP($A31,計價收入預算!$A:$AW,32,0),0)</f>
        <v>0</v>
      </c>
      <c r="S31" s="242">
        <f t="shared" si="39"/>
        <v>0</v>
      </c>
      <c r="T31" s="242">
        <f>IFERROR(VLOOKUP($A31,計價收入預算!$A:$AW,33,0),0)</f>
        <v>0</v>
      </c>
      <c r="U31" s="242">
        <f t="shared" si="40"/>
        <v>0</v>
      </c>
      <c r="V31" s="242">
        <f>IFERROR(VLOOKUP($A31,計價收入預算!$A:$AW,34,0),0)</f>
        <v>0</v>
      </c>
      <c r="W31" s="242">
        <f t="shared" si="41"/>
        <v>0</v>
      </c>
      <c r="X31" s="242">
        <f>IFERROR(VLOOKUP($A31,計價收入預算!$A:$AW,35,0),0)</f>
        <v>0</v>
      </c>
      <c r="Y31" s="242">
        <f t="shared" si="42"/>
        <v>0</v>
      </c>
      <c r="Z31" s="242">
        <f>IFERROR(VLOOKUP($A31,計價收入預算!$A:$AW,36,0),0)</f>
        <v>0</v>
      </c>
      <c r="AA31" s="242">
        <f t="shared" si="43"/>
        <v>0</v>
      </c>
      <c r="AB31" s="242">
        <f>IFERROR(VLOOKUP($A31,計價收入預算!$A:$AW,37,0),0)</f>
        <v>0</v>
      </c>
      <c r="AC31" s="242">
        <f t="shared" si="44"/>
        <v>0</v>
      </c>
      <c r="AD31" s="242">
        <f>IFERROR(VLOOKUP($A31,計價收入預算!$A:$AW,38,0),0)</f>
        <v>0</v>
      </c>
      <c r="AE31" s="242">
        <f t="shared" si="45"/>
        <v>0</v>
      </c>
      <c r="AF31" s="242">
        <f>IFERROR(VLOOKUP($A31,計價收入預算!$A:$AW,39,0),0)</f>
        <v>0</v>
      </c>
      <c r="AG31" s="242">
        <f t="shared" si="46"/>
        <v>0</v>
      </c>
      <c r="AH31" s="314">
        <f>SUMIF($J$4:$AG$4,$AH$4,$J31:$AG$66)</f>
        <v>75000</v>
      </c>
      <c r="AI31" s="314">
        <f t="shared" si="47"/>
        <v>75000</v>
      </c>
      <c r="AJ31" s="264">
        <f>+H31+AH31</f>
        <v>7820000</v>
      </c>
      <c r="AK31" s="242">
        <f t="shared" si="48"/>
        <v>7820000</v>
      </c>
      <c r="AL31" s="242">
        <f>IFERROR(VLOOKUP($A31,計價收入預算!$A:$AW,42,0),0)</f>
        <v>0</v>
      </c>
      <c r="AM31" s="242">
        <f t="shared" si="49"/>
        <v>0</v>
      </c>
      <c r="AN31" s="242">
        <f>+AJ31+AL31</f>
        <v>7820000</v>
      </c>
      <c r="AO31" s="242">
        <f t="shared" si="50"/>
        <v>7820000</v>
      </c>
      <c r="AP31" s="242">
        <f>IFERROR(VLOOKUP($A31,計價收入預算!$A:$AW,43,0),0)</f>
        <v>0</v>
      </c>
      <c r="AQ31" s="242">
        <f t="shared" si="51"/>
        <v>0</v>
      </c>
      <c r="AR31" s="226">
        <f>+AN31+AP31</f>
        <v>7820000</v>
      </c>
      <c r="AS31" s="242">
        <f t="shared" si="52"/>
        <v>7820000</v>
      </c>
      <c r="AT31" s="242">
        <f>IFERROR(VLOOKUP($A31,計價收入預算!$A:$AW,44,0),0)</f>
        <v>0</v>
      </c>
      <c r="AU31" s="242">
        <f t="shared" si="53"/>
        <v>0</v>
      </c>
      <c r="AV31" s="226">
        <f>+AR31+AT31</f>
        <v>7820000</v>
      </c>
      <c r="AW31" s="242">
        <f t="shared" si="54"/>
        <v>7820000</v>
      </c>
      <c r="AX31" s="242">
        <f>IFERROR(VLOOKUP($A31,計價收入預算!$A:$AW,45,0),0)</f>
        <v>0</v>
      </c>
      <c r="AY31" s="242">
        <f t="shared" si="55"/>
        <v>0</v>
      </c>
      <c r="AZ31" s="226">
        <f>+AV31+AX31</f>
        <v>7820000</v>
      </c>
      <c r="BA31" s="242">
        <f t="shared" si="56"/>
        <v>7820000</v>
      </c>
    </row>
    <row r="32" spans="1:53" ht="20.25" customHeight="1" outlineLevel="1">
      <c r="A32" s="175" t="s">
        <v>670</v>
      </c>
      <c r="B32" s="172" t="s">
        <v>671</v>
      </c>
      <c r="C32" s="169" t="s">
        <v>1037</v>
      </c>
      <c r="D32" s="242">
        <f>IFERROR(VLOOKUP(A32,計價收入預算!$A:$AW,9,0),0)</f>
        <v>3920000</v>
      </c>
      <c r="E32" s="242">
        <f t="shared" si="32"/>
        <v>3920000</v>
      </c>
      <c r="F32" s="242">
        <f t="shared" si="33"/>
        <v>110000</v>
      </c>
      <c r="G32" s="242">
        <f t="shared" si="34"/>
        <v>110000</v>
      </c>
      <c r="H32" s="242">
        <f>IFERROR(VLOOKUP($A32,計價收入預算!$A:$AW,26,0),0)</f>
        <v>4030000</v>
      </c>
      <c r="I32" s="242">
        <f t="shared" si="35"/>
        <v>4030000</v>
      </c>
      <c r="J32" s="242">
        <f>IFERROR(VLOOKUP($A32,計價收入預算!$A:$AW,28,0),0)</f>
        <v>0</v>
      </c>
      <c r="K32" s="242">
        <f t="shared" si="36"/>
        <v>0</v>
      </c>
      <c r="L32" s="242">
        <f>IFERROR(VLOOKUP($A32,計價收入預算!$A:$AW,29,0),0)</f>
        <v>0</v>
      </c>
      <c r="M32" s="242">
        <f>SUM(L32:L32)</f>
        <v>0</v>
      </c>
      <c r="N32" s="242">
        <f>IFERROR(VLOOKUP($A32,計價收入預算!$A:$AW,30,0),0)</f>
        <v>0</v>
      </c>
      <c r="O32" s="242">
        <f t="shared" si="37"/>
        <v>0</v>
      </c>
      <c r="P32" s="242">
        <f>IFERROR(VLOOKUP($A32,計價收入預算!$A:$AW,31,0),0)</f>
        <v>0</v>
      </c>
      <c r="Q32" s="242">
        <f t="shared" si="38"/>
        <v>0</v>
      </c>
      <c r="R32" s="242">
        <f>IFERROR(VLOOKUP($A32,計價收入預算!$A:$AW,32,0),0)</f>
        <v>0</v>
      </c>
      <c r="S32" s="242">
        <f t="shared" si="39"/>
        <v>0</v>
      </c>
      <c r="T32" s="242">
        <f>IFERROR(VLOOKUP($A32,計價收入預算!$A:$AW,33,0),0)</f>
        <v>0</v>
      </c>
      <c r="U32" s="242">
        <f t="shared" si="40"/>
        <v>0</v>
      </c>
      <c r="V32" s="242">
        <f>IFERROR(VLOOKUP($A32,計價收入預算!$A:$AW,34,0),0)</f>
        <v>0</v>
      </c>
      <c r="W32" s="242">
        <f t="shared" si="41"/>
        <v>0</v>
      </c>
      <c r="X32" s="242">
        <f>IFERROR(VLOOKUP($A32,計價收入預算!$A:$AW,35,0),0)</f>
        <v>0</v>
      </c>
      <c r="Y32" s="242">
        <f t="shared" si="42"/>
        <v>0</v>
      </c>
      <c r="Z32" s="242">
        <f>IFERROR(VLOOKUP($A32,計價收入預算!$A:$AW,36,0),0)</f>
        <v>0</v>
      </c>
      <c r="AA32" s="242">
        <f t="shared" si="43"/>
        <v>0</v>
      </c>
      <c r="AB32" s="242">
        <f>IFERROR(VLOOKUP($A32,計價收入預算!$A:$AW,37,0),0)</f>
        <v>0</v>
      </c>
      <c r="AC32" s="242">
        <f t="shared" si="44"/>
        <v>0</v>
      </c>
      <c r="AD32" s="242">
        <f>IFERROR(VLOOKUP($A32,計價收入預算!$A:$AW,38,0),0)</f>
        <v>0</v>
      </c>
      <c r="AE32" s="242">
        <f t="shared" si="45"/>
        <v>0</v>
      </c>
      <c r="AF32" s="242">
        <f>IFERROR(VLOOKUP($A32,計價收入預算!$A:$AW,39,0),0)</f>
        <v>0</v>
      </c>
      <c r="AG32" s="242">
        <f t="shared" si="46"/>
        <v>0</v>
      </c>
      <c r="AH32" s="314">
        <f>SUMIF($J$4:$AG$4,$AH$4,$J32:$AG$66)</f>
        <v>0</v>
      </c>
      <c r="AI32" s="314">
        <f t="shared" si="47"/>
        <v>0</v>
      </c>
      <c r="AJ32" s="264">
        <f>+H32+AH32</f>
        <v>4030000</v>
      </c>
      <c r="AK32" s="242">
        <f t="shared" si="48"/>
        <v>4030000</v>
      </c>
      <c r="AL32" s="242">
        <f>IFERROR(VLOOKUP($A32,計價收入預算!$A:$AW,42,0),0)</f>
        <v>0</v>
      </c>
      <c r="AM32" s="242">
        <f t="shared" si="49"/>
        <v>0</v>
      </c>
      <c r="AN32" s="242">
        <f>+AJ32+AL32</f>
        <v>4030000</v>
      </c>
      <c r="AO32" s="242">
        <f t="shared" si="50"/>
        <v>4030000</v>
      </c>
      <c r="AP32" s="242">
        <f>IFERROR(VLOOKUP($A32,計價收入預算!$A:$AW,43,0),0)</f>
        <v>0</v>
      </c>
      <c r="AQ32" s="242">
        <f t="shared" si="51"/>
        <v>0</v>
      </c>
      <c r="AR32" s="226">
        <f>+AN32+AP32</f>
        <v>4030000</v>
      </c>
      <c r="AS32" s="242">
        <f t="shared" si="52"/>
        <v>4030000</v>
      </c>
      <c r="AT32" s="242">
        <f>IFERROR(VLOOKUP($A32,計價收入預算!$A:$AW,44,0),0)</f>
        <v>0</v>
      </c>
      <c r="AU32" s="242">
        <f t="shared" si="53"/>
        <v>0</v>
      </c>
      <c r="AV32" s="226">
        <f>+AR32+AT32</f>
        <v>4030000</v>
      </c>
      <c r="AW32" s="242">
        <f t="shared" si="54"/>
        <v>4030000</v>
      </c>
      <c r="AX32" s="242">
        <f>IFERROR(VLOOKUP($A32,計價收入預算!$A:$AW,45,0),0)</f>
        <v>0</v>
      </c>
      <c r="AY32" s="242">
        <f t="shared" si="55"/>
        <v>0</v>
      </c>
      <c r="AZ32" s="226">
        <f>+AV32+AX32</f>
        <v>4030000</v>
      </c>
      <c r="BA32" s="242">
        <f t="shared" si="56"/>
        <v>4030000</v>
      </c>
    </row>
    <row r="33" spans="1:53" ht="20.25" customHeight="1" outlineLevel="1">
      <c r="A33" s="1397" t="s">
        <v>672</v>
      </c>
      <c r="B33" s="1404" t="s">
        <v>1975</v>
      </c>
      <c r="C33" s="1398" t="s">
        <v>1245</v>
      </c>
      <c r="D33" s="242">
        <f>IFERROR(VLOOKUP(A33,計價收入預算!$A:$AW,9,0),0)</f>
        <v>867500</v>
      </c>
      <c r="E33" s="242">
        <f t="shared" si="32"/>
        <v>867500</v>
      </c>
      <c r="F33" s="242">
        <f t="shared" si="33"/>
        <v>0</v>
      </c>
      <c r="G33" s="242">
        <f t="shared" si="34"/>
        <v>0</v>
      </c>
      <c r="H33" s="242">
        <f>IFERROR(VLOOKUP($A33,計價收入預算!$A:$AW,26,0),0)</f>
        <v>867500</v>
      </c>
      <c r="I33" s="242">
        <f t="shared" si="35"/>
        <v>867500</v>
      </c>
      <c r="J33" s="242">
        <f>IFERROR(VLOOKUP($A33,計價收入預算!$A:$AW,28,0),0)</f>
        <v>724500</v>
      </c>
      <c r="K33" s="242">
        <f t="shared" si="36"/>
        <v>724500</v>
      </c>
      <c r="L33" s="242">
        <f>IFERROR(VLOOKUP($A33,計價收入預算!$A:$AW,29,0),0)</f>
        <v>0</v>
      </c>
      <c r="M33" s="242">
        <f>SUM(L33:L33)</f>
        <v>0</v>
      </c>
      <c r="N33" s="242">
        <f>IFERROR(VLOOKUP($A33,計價收入預算!$A:$AW,30,0),0)</f>
        <v>0</v>
      </c>
      <c r="O33" s="242">
        <f t="shared" si="37"/>
        <v>0</v>
      </c>
      <c r="P33" s="242">
        <f>IFERROR(VLOOKUP($A33,計價收入預算!$A:$AW,31,0),0)</f>
        <v>316500</v>
      </c>
      <c r="Q33" s="242">
        <f t="shared" si="38"/>
        <v>316500</v>
      </c>
      <c r="R33" s="242">
        <f>IFERROR(VLOOKUP($A33,計價收入預算!$A:$AW,32,0),0)</f>
        <v>0</v>
      </c>
      <c r="S33" s="242">
        <f t="shared" si="39"/>
        <v>0</v>
      </c>
      <c r="T33" s="242">
        <f>IFERROR(VLOOKUP($A33,計價收入預算!$A:$AW,33,0),0)</f>
        <v>0</v>
      </c>
      <c r="U33" s="242">
        <f t="shared" si="40"/>
        <v>0</v>
      </c>
      <c r="V33" s="242">
        <f>IFERROR(VLOOKUP($A33,計價收入預算!$A:$AW,34,0),0)</f>
        <v>0</v>
      </c>
      <c r="W33" s="242">
        <f t="shared" si="41"/>
        <v>0</v>
      </c>
      <c r="X33" s="242">
        <f>IFERROR(VLOOKUP($A33,計價收入預算!$A:$AW,35,0),0)</f>
        <v>0</v>
      </c>
      <c r="Y33" s="242">
        <f t="shared" si="42"/>
        <v>0</v>
      </c>
      <c r="Z33" s="242">
        <f>IFERROR(VLOOKUP($A33,計價收入預算!$A:$AW,36,0),0)</f>
        <v>0</v>
      </c>
      <c r="AA33" s="242">
        <f t="shared" si="43"/>
        <v>0</v>
      </c>
      <c r="AB33" s="242">
        <f>IFERROR(VLOOKUP($A33,計價收入預算!$A:$AW,37,0),0)</f>
        <v>0</v>
      </c>
      <c r="AC33" s="242">
        <f t="shared" si="44"/>
        <v>0</v>
      </c>
      <c r="AD33" s="242">
        <f>IFERROR(VLOOKUP($A33,計價收入預算!$A:$AW,38,0),0)</f>
        <v>0</v>
      </c>
      <c r="AE33" s="242">
        <f t="shared" si="45"/>
        <v>0</v>
      </c>
      <c r="AF33" s="242">
        <f>IFERROR(VLOOKUP($A33,計價收入預算!$A:$AW,39,0),0)</f>
        <v>520500</v>
      </c>
      <c r="AG33" s="242">
        <f t="shared" si="46"/>
        <v>520500</v>
      </c>
      <c r="AH33" s="314">
        <f>SUMIF($J$4:$AG$4,$AH$4,$J33:$AG$66)</f>
        <v>1561500</v>
      </c>
      <c r="AI33" s="314">
        <f t="shared" si="47"/>
        <v>1561500</v>
      </c>
      <c r="AJ33" s="264">
        <f>+H33+AH33</f>
        <v>2429000</v>
      </c>
      <c r="AK33" s="242">
        <f t="shared" si="48"/>
        <v>2429000</v>
      </c>
      <c r="AL33" s="242">
        <f>IFERROR(VLOOKUP($A33,計價收入預算!$A:$AW,42,0),0)</f>
        <v>520500</v>
      </c>
      <c r="AM33" s="242">
        <f t="shared" si="49"/>
        <v>520500</v>
      </c>
      <c r="AN33" s="242">
        <f>+AJ33+AL33</f>
        <v>2949500</v>
      </c>
      <c r="AO33" s="242">
        <f t="shared" si="50"/>
        <v>2949500</v>
      </c>
      <c r="AP33" s="242">
        <f>IFERROR(VLOOKUP($A33,計價收入預算!$A:$AW,43,0),0)</f>
        <v>1141000</v>
      </c>
      <c r="AQ33" s="242">
        <f t="shared" si="51"/>
        <v>1141000</v>
      </c>
      <c r="AR33" s="226">
        <f>+AN33+AP33</f>
        <v>4090500</v>
      </c>
      <c r="AS33" s="242">
        <f t="shared" si="52"/>
        <v>4090500</v>
      </c>
      <c r="AT33" s="242">
        <f>IFERROR(VLOOKUP($A33,計價收入預算!$A:$AW,44,0),0)</f>
        <v>1059500</v>
      </c>
      <c r="AU33" s="242">
        <f t="shared" si="53"/>
        <v>1059500</v>
      </c>
      <c r="AV33" s="226">
        <f>+AR33+AT33</f>
        <v>5150000</v>
      </c>
      <c r="AW33" s="242">
        <f t="shared" si="54"/>
        <v>5150000</v>
      </c>
      <c r="AX33" s="242">
        <f>IFERROR(VLOOKUP($A33,計價收入預算!$A:$AW,45,0),0)</f>
        <v>0</v>
      </c>
      <c r="AY33" s="242">
        <f t="shared" si="55"/>
        <v>0</v>
      </c>
      <c r="AZ33" s="226">
        <f>+AV33+AX33</f>
        <v>5150000</v>
      </c>
      <c r="BA33" s="242">
        <f t="shared" si="56"/>
        <v>5150000</v>
      </c>
    </row>
    <row r="34" spans="1:53" ht="20.25" customHeight="1" outlineLevel="1">
      <c r="A34" s="175" t="s">
        <v>673</v>
      </c>
      <c r="B34" s="172" t="s">
        <v>674</v>
      </c>
      <c r="C34" s="169" t="s">
        <v>1037</v>
      </c>
      <c r="D34" s="242">
        <f>IFERROR(VLOOKUP(A34,計價收入預算!$A:$AW,9,0),0)</f>
        <v>14190000</v>
      </c>
      <c r="E34" s="242">
        <f t="shared" si="32"/>
        <v>14190000</v>
      </c>
      <c r="F34" s="242">
        <f t="shared" si="33"/>
        <v>1830000</v>
      </c>
      <c r="G34" s="242">
        <f t="shared" si="34"/>
        <v>1830000</v>
      </c>
      <c r="H34" s="242">
        <f>IFERROR(VLOOKUP($A34,計價收入預算!$A:$AW,26,0),0)</f>
        <v>16020000</v>
      </c>
      <c r="I34" s="242">
        <f t="shared" si="35"/>
        <v>16020000</v>
      </c>
      <c r="J34" s="242">
        <f>IFERROR(VLOOKUP($A34,計價收入預算!$A:$AW,28,0),0)</f>
        <v>300000</v>
      </c>
      <c r="K34" s="242">
        <f t="shared" si="36"/>
        <v>300000</v>
      </c>
      <c r="L34" s="242">
        <f>IFERROR(VLOOKUP($A34,計價收入預算!$A:$AW,29,0),0)</f>
        <v>300000</v>
      </c>
      <c r="M34" s="242">
        <f>SUM(L34:L34)</f>
        <v>300000</v>
      </c>
      <c r="N34" s="242">
        <f>IFERROR(VLOOKUP($A34,計價收入預算!$A:$AW,30,0),0)</f>
        <v>150000</v>
      </c>
      <c r="O34" s="242">
        <f t="shared" si="37"/>
        <v>150000</v>
      </c>
      <c r="P34" s="242">
        <f>IFERROR(VLOOKUP($A34,計價收入預算!$A:$AW,31,0),0)</f>
        <v>150000</v>
      </c>
      <c r="Q34" s="242">
        <f t="shared" si="38"/>
        <v>150000</v>
      </c>
      <c r="R34" s="242">
        <f>IFERROR(VLOOKUP($A34,計價收入預算!$A:$AW,32,0),0)</f>
        <v>150000</v>
      </c>
      <c r="S34" s="242">
        <f t="shared" si="39"/>
        <v>150000</v>
      </c>
      <c r="T34" s="242">
        <f>IFERROR(VLOOKUP($A34,計價收入預算!$A:$AW,33,0),0)</f>
        <v>150000</v>
      </c>
      <c r="U34" s="242">
        <f t="shared" si="40"/>
        <v>150000</v>
      </c>
      <c r="V34" s="242">
        <f>IFERROR(VLOOKUP($A34,計價收入預算!$A:$AW,34,0),0)</f>
        <v>150000</v>
      </c>
      <c r="W34" s="242">
        <f t="shared" si="41"/>
        <v>150000</v>
      </c>
      <c r="X34" s="242">
        <f>IFERROR(VLOOKUP($A34,計價收入預算!$A:$AW,35,0),0)</f>
        <v>150000</v>
      </c>
      <c r="Y34" s="242">
        <f t="shared" si="42"/>
        <v>150000</v>
      </c>
      <c r="Z34" s="242">
        <f>IFERROR(VLOOKUP($A34,計價收入預算!$A:$AW,36,0),0)</f>
        <v>150000</v>
      </c>
      <c r="AA34" s="242">
        <f t="shared" si="43"/>
        <v>150000</v>
      </c>
      <c r="AB34" s="242">
        <f>IFERROR(VLOOKUP($A34,計價收入預算!$A:$AW,37,0),0)</f>
        <v>150000</v>
      </c>
      <c r="AC34" s="242">
        <f t="shared" si="44"/>
        <v>150000</v>
      </c>
      <c r="AD34" s="242">
        <f>IFERROR(VLOOKUP($A34,計價收入預算!$A:$AW,38,0),0)</f>
        <v>630000</v>
      </c>
      <c r="AE34" s="242">
        <f t="shared" si="45"/>
        <v>630000</v>
      </c>
      <c r="AF34" s="242">
        <f>IFERROR(VLOOKUP($A34,計價收入預算!$A:$AW,39,0),0)</f>
        <v>150000</v>
      </c>
      <c r="AG34" s="242">
        <f t="shared" si="46"/>
        <v>150000</v>
      </c>
      <c r="AH34" s="314">
        <f>SUMIF($J$4:$AG$4,$AH$4,$J34:$AG$66)</f>
        <v>2580000</v>
      </c>
      <c r="AI34" s="314">
        <f t="shared" si="47"/>
        <v>2580000</v>
      </c>
      <c r="AJ34" s="264">
        <f>+H34+AH34</f>
        <v>18600000</v>
      </c>
      <c r="AK34" s="242">
        <f t="shared" si="48"/>
        <v>18600000</v>
      </c>
      <c r="AL34" s="242">
        <f>IFERROR(VLOOKUP($A34,計價收入預算!$A:$AW,42,0),0)</f>
        <v>600000</v>
      </c>
      <c r="AM34" s="242">
        <f t="shared" si="49"/>
        <v>600000</v>
      </c>
      <c r="AN34" s="242">
        <f>+AJ34+AL34</f>
        <v>19200000</v>
      </c>
      <c r="AO34" s="242">
        <f t="shared" si="50"/>
        <v>19200000</v>
      </c>
      <c r="AP34" s="242">
        <f>IFERROR(VLOOKUP($A34,計價收入預算!$A:$AW,43,0),0)</f>
        <v>0</v>
      </c>
      <c r="AQ34" s="242">
        <f t="shared" si="51"/>
        <v>0</v>
      </c>
      <c r="AR34" s="226">
        <f>+AN34+AP34</f>
        <v>19200000</v>
      </c>
      <c r="AS34" s="242">
        <f t="shared" si="52"/>
        <v>19200000</v>
      </c>
      <c r="AT34" s="242">
        <f>IFERROR(VLOOKUP($A34,計價收入預算!$A:$AW,44,0),0)</f>
        <v>0</v>
      </c>
      <c r="AU34" s="242">
        <f t="shared" si="53"/>
        <v>0</v>
      </c>
      <c r="AV34" s="226">
        <f>+AR34+AT34</f>
        <v>19200000</v>
      </c>
      <c r="AW34" s="242">
        <f t="shared" si="54"/>
        <v>19200000</v>
      </c>
      <c r="AX34" s="242">
        <f>IFERROR(VLOOKUP($A34,計價收入預算!$A:$AW,45,0),0)</f>
        <v>0</v>
      </c>
      <c r="AY34" s="242">
        <f t="shared" si="55"/>
        <v>0</v>
      </c>
      <c r="AZ34" s="226">
        <f>+AV34+AX34</f>
        <v>19200000</v>
      </c>
      <c r="BA34" s="242">
        <f t="shared" si="56"/>
        <v>19200000</v>
      </c>
    </row>
    <row r="35" spans="1:53" ht="20.25" customHeight="1" outlineLevel="1">
      <c r="A35" s="175" t="s">
        <v>675</v>
      </c>
      <c r="B35" s="172" t="s">
        <v>676</v>
      </c>
      <c r="C35" s="169" t="s">
        <v>1037</v>
      </c>
      <c r="D35" s="242">
        <f>IFERROR(VLOOKUP(A35,計價收入預算!$A:$AW,9,0),0)</f>
        <v>4370000</v>
      </c>
      <c r="E35" s="242">
        <f t="shared" si="32"/>
        <v>4370000</v>
      </c>
      <c r="F35" s="242">
        <f t="shared" si="33"/>
        <v>570000</v>
      </c>
      <c r="G35" s="242">
        <f t="shared" si="34"/>
        <v>570000</v>
      </c>
      <c r="H35" s="242">
        <f>IFERROR(VLOOKUP($A35,計價收入預算!$A:$AW,26,0),0)</f>
        <v>4940000</v>
      </c>
      <c r="I35" s="242">
        <f t="shared" si="35"/>
        <v>4940000</v>
      </c>
      <c r="J35" s="242">
        <f>IFERROR(VLOOKUP($A35,計價收入預算!$A:$AW,28,0),0)</f>
        <v>0</v>
      </c>
      <c r="K35" s="242">
        <f t="shared" si="36"/>
        <v>0</v>
      </c>
      <c r="L35" s="242">
        <f>IFERROR(VLOOKUP($A35,計價收入預算!$A:$AW,29,0),0)</f>
        <v>0</v>
      </c>
      <c r="M35" s="242">
        <f>SUM(L35:L35)</f>
        <v>0</v>
      </c>
      <c r="N35" s="242">
        <f>IFERROR(VLOOKUP($A35,計價收入預算!$A:$AW,30,0),0)</f>
        <v>0</v>
      </c>
      <c r="O35" s="242">
        <f t="shared" si="37"/>
        <v>0</v>
      </c>
      <c r="P35" s="242">
        <f>IFERROR(VLOOKUP($A35,計價收入預算!$A:$AW,31,0),0)</f>
        <v>0</v>
      </c>
      <c r="Q35" s="242">
        <f t="shared" si="38"/>
        <v>0</v>
      </c>
      <c r="R35" s="242">
        <f>IFERROR(VLOOKUP($A35,計價收入預算!$A:$AW,32,0),0)</f>
        <v>0</v>
      </c>
      <c r="S35" s="242">
        <f t="shared" si="39"/>
        <v>0</v>
      </c>
      <c r="T35" s="242">
        <f>IFERROR(VLOOKUP($A35,計價收入預算!$A:$AW,33,0),0)</f>
        <v>0</v>
      </c>
      <c r="U35" s="242">
        <f t="shared" si="40"/>
        <v>0</v>
      </c>
      <c r="V35" s="242">
        <f>IFERROR(VLOOKUP($A35,計價收入預算!$A:$AW,34,0),0)</f>
        <v>0</v>
      </c>
      <c r="W35" s="242">
        <f t="shared" si="41"/>
        <v>0</v>
      </c>
      <c r="X35" s="242">
        <f>IFERROR(VLOOKUP($A35,計價收入預算!$A:$AW,35,0),0)</f>
        <v>0</v>
      </c>
      <c r="Y35" s="242">
        <f t="shared" si="42"/>
        <v>0</v>
      </c>
      <c r="Z35" s="242">
        <f>IFERROR(VLOOKUP($A35,計價收入預算!$A:$AW,36,0),0)</f>
        <v>0</v>
      </c>
      <c r="AA35" s="242">
        <f t="shared" si="43"/>
        <v>0</v>
      </c>
      <c r="AB35" s="242">
        <f>IFERROR(VLOOKUP($A35,計價收入預算!$A:$AW,37,0),0)</f>
        <v>0</v>
      </c>
      <c r="AC35" s="242">
        <f t="shared" si="44"/>
        <v>0</v>
      </c>
      <c r="AD35" s="242">
        <f>IFERROR(VLOOKUP($A35,計價收入預算!$A:$AW,38,0),0)</f>
        <v>0</v>
      </c>
      <c r="AE35" s="242">
        <f t="shared" si="45"/>
        <v>0</v>
      </c>
      <c r="AF35" s="242">
        <f>IFERROR(VLOOKUP($A35,計價收入預算!$A:$AW,39,0),0)</f>
        <v>0</v>
      </c>
      <c r="AG35" s="242">
        <f t="shared" si="46"/>
        <v>0</v>
      </c>
      <c r="AH35" s="314">
        <f>SUMIF($J$4:$AG$4,$AH$4,$J35:$AG$66)</f>
        <v>0</v>
      </c>
      <c r="AI35" s="314">
        <f t="shared" si="47"/>
        <v>0</v>
      </c>
      <c r="AJ35" s="264">
        <f>+H35+AH35</f>
        <v>4940000</v>
      </c>
      <c r="AK35" s="242">
        <f t="shared" si="48"/>
        <v>4940000</v>
      </c>
      <c r="AL35" s="242">
        <f>IFERROR(VLOOKUP($A35,計價收入預算!$A:$AW,42,0),0)</f>
        <v>0</v>
      </c>
      <c r="AM35" s="242">
        <f t="shared" si="49"/>
        <v>0</v>
      </c>
      <c r="AN35" s="242">
        <f>+AJ35+AL35</f>
        <v>4940000</v>
      </c>
      <c r="AO35" s="242">
        <f t="shared" si="50"/>
        <v>4940000</v>
      </c>
      <c r="AP35" s="242">
        <f>IFERROR(VLOOKUP($A35,計價收入預算!$A:$AW,43,0),0)</f>
        <v>0</v>
      </c>
      <c r="AQ35" s="242">
        <f t="shared" si="51"/>
        <v>0</v>
      </c>
      <c r="AR35" s="226">
        <f>+AN35+AP35</f>
        <v>4940000</v>
      </c>
      <c r="AS35" s="242">
        <f t="shared" si="52"/>
        <v>4940000</v>
      </c>
      <c r="AT35" s="242">
        <f>IFERROR(VLOOKUP($A35,計價收入預算!$A:$AW,44,0),0)</f>
        <v>0</v>
      </c>
      <c r="AU35" s="242">
        <f t="shared" si="53"/>
        <v>0</v>
      </c>
      <c r="AV35" s="226">
        <f>+AR35+AT35</f>
        <v>4940000</v>
      </c>
      <c r="AW35" s="242">
        <f t="shared" si="54"/>
        <v>4940000</v>
      </c>
      <c r="AX35" s="242">
        <f>IFERROR(VLOOKUP($A35,計價收入預算!$A:$AW,45,0),0)</f>
        <v>0</v>
      </c>
      <c r="AY35" s="242">
        <f t="shared" si="55"/>
        <v>0</v>
      </c>
      <c r="AZ35" s="226">
        <f>+AV35+AX35</f>
        <v>4940000</v>
      </c>
      <c r="BA35" s="242">
        <f t="shared" si="56"/>
        <v>4940000</v>
      </c>
    </row>
    <row r="36" spans="1:53" ht="20.25" customHeight="1" outlineLevel="1">
      <c r="A36" s="175" t="s">
        <v>677</v>
      </c>
      <c r="B36" s="172" t="s">
        <v>446</v>
      </c>
      <c r="C36" s="169" t="s">
        <v>1037</v>
      </c>
      <c r="D36" s="242">
        <f>IFERROR(VLOOKUP(A36,計價收入預算!$A:$AW,9,0),0)</f>
        <v>28945000</v>
      </c>
      <c r="E36" s="242">
        <f t="shared" si="32"/>
        <v>28945000</v>
      </c>
      <c r="F36" s="242">
        <f t="shared" si="33"/>
        <v>1740000</v>
      </c>
      <c r="G36" s="242">
        <f t="shared" si="34"/>
        <v>1740000</v>
      </c>
      <c r="H36" s="242">
        <f>IFERROR(VLOOKUP($A36,計價收入預算!$A:$AW,26,0),0)</f>
        <v>30685000</v>
      </c>
      <c r="I36" s="242">
        <f t="shared" si="35"/>
        <v>30685000</v>
      </c>
      <c r="J36" s="242">
        <f>IFERROR(VLOOKUP($A36,計價收入預算!$A:$AW,28,0),0)</f>
        <v>145000</v>
      </c>
      <c r="K36" s="242">
        <f t="shared" si="36"/>
        <v>145000</v>
      </c>
      <c r="L36" s="242">
        <f>IFERROR(VLOOKUP($A36,計價收入預算!$A:$AW,29,0),0)</f>
        <v>35999.999999999942</v>
      </c>
      <c r="M36" s="242">
        <f>SUM(L36:L36)</f>
        <v>35999.999999999942</v>
      </c>
      <c r="N36" s="242">
        <f>IFERROR(VLOOKUP($A36,計價收入預算!$A:$AW,30,0),0)</f>
        <v>0</v>
      </c>
      <c r="O36" s="242">
        <f t="shared" si="37"/>
        <v>0</v>
      </c>
      <c r="P36" s="242">
        <f>IFERROR(VLOOKUP($A36,計價收入預算!$A:$AW,31,0),0)</f>
        <v>0</v>
      </c>
      <c r="Q36" s="242">
        <f t="shared" si="38"/>
        <v>0</v>
      </c>
      <c r="R36" s="242">
        <f>IFERROR(VLOOKUP($A36,計價收入預算!$A:$AW,32,0),0)</f>
        <v>320000</v>
      </c>
      <c r="S36" s="242">
        <f t="shared" si="39"/>
        <v>320000</v>
      </c>
      <c r="T36" s="242">
        <f>IFERROR(VLOOKUP($A36,計價收入預算!$A:$AW,33,0),0)</f>
        <v>0</v>
      </c>
      <c r="U36" s="242">
        <f t="shared" si="40"/>
        <v>0</v>
      </c>
      <c r="V36" s="242">
        <f>IFERROR(VLOOKUP($A36,計價收入預算!$A:$AW,34,0),0)</f>
        <v>0</v>
      </c>
      <c r="W36" s="242">
        <f t="shared" si="41"/>
        <v>0</v>
      </c>
      <c r="X36" s="242">
        <f>IFERROR(VLOOKUP($A36,計價收入預算!$A:$AW,35,0),0)</f>
        <v>0</v>
      </c>
      <c r="Y36" s="242">
        <f t="shared" si="42"/>
        <v>0</v>
      </c>
      <c r="Z36" s="242">
        <f>IFERROR(VLOOKUP($A36,計價收入預算!$A:$AW,36,0),0)</f>
        <v>0</v>
      </c>
      <c r="AA36" s="242">
        <f t="shared" si="43"/>
        <v>0</v>
      </c>
      <c r="AB36" s="242">
        <f>IFERROR(VLOOKUP($A36,計價收入預算!$A:$AW,37,0),0)</f>
        <v>0</v>
      </c>
      <c r="AC36" s="242">
        <f t="shared" si="44"/>
        <v>0</v>
      </c>
      <c r="AD36" s="242">
        <f>IFERROR(VLOOKUP($A36,計價收入預算!$A:$AW,38,0),0)</f>
        <v>0</v>
      </c>
      <c r="AE36" s="242">
        <f t="shared" si="45"/>
        <v>0</v>
      </c>
      <c r="AF36" s="242">
        <f>IFERROR(VLOOKUP($A36,計價收入預算!$A:$AW,39,0),0)</f>
        <v>0</v>
      </c>
      <c r="AG36" s="242">
        <f t="shared" si="46"/>
        <v>0</v>
      </c>
      <c r="AH36" s="314">
        <f>SUMIF($J$4:$AG$4,$AH$4,$J36:$AG$66)</f>
        <v>500999.99999999994</v>
      </c>
      <c r="AI36" s="314">
        <f t="shared" si="47"/>
        <v>500999.99999999994</v>
      </c>
      <c r="AJ36" s="264">
        <f>+H36+AH36</f>
        <v>31186000</v>
      </c>
      <c r="AK36" s="242">
        <f t="shared" si="48"/>
        <v>31186000</v>
      </c>
      <c r="AL36" s="242">
        <f>IFERROR(VLOOKUP($A36,計價收入預算!$A:$AW,42,0),0)</f>
        <v>0</v>
      </c>
      <c r="AM36" s="242">
        <f t="shared" si="49"/>
        <v>0</v>
      </c>
      <c r="AN36" s="242">
        <f>+AJ36+AL36</f>
        <v>31186000</v>
      </c>
      <c r="AO36" s="242">
        <f t="shared" si="50"/>
        <v>31186000</v>
      </c>
      <c r="AP36" s="242">
        <f>IFERROR(VLOOKUP($A36,計價收入預算!$A:$AW,43,0),0)</f>
        <v>0</v>
      </c>
      <c r="AQ36" s="242">
        <f t="shared" si="51"/>
        <v>0</v>
      </c>
      <c r="AR36" s="226">
        <f>+AN36+AP36</f>
        <v>31186000</v>
      </c>
      <c r="AS36" s="242">
        <f t="shared" si="52"/>
        <v>31186000</v>
      </c>
      <c r="AT36" s="242">
        <f>IFERROR(VLOOKUP($A36,計價收入預算!$A:$AW,44,0),0)</f>
        <v>0</v>
      </c>
      <c r="AU36" s="242">
        <f t="shared" si="53"/>
        <v>0</v>
      </c>
      <c r="AV36" s="226">
        <f>+AR36+AT36</f>
        <v>31186000</v>
      </c>
      <c r="AW36" s="242">
        <f t="shared" si="54"/>
        <v>31186000</v>
      </c>
      <c r="AX36" s="242">
        <f>IFERROR(VLOOKUP($A36,計價收入預算!$A:$AW,45,0),0)</f>
        <v>0</v>
      </c>
      <c r="AY36" s="242">
        <f t="shared" si="55"/>
        <v>0</v>
      </c>
      <c r="AZ36" s="226">
        <f>+AV36+AX36</f>
        <v>31186000</v>
      </c>
      <c r="BA36" s="242">
        <f t="shared" si="56"/>
        <v>31186000</v>
      </c>
    </row>
    <row r="37" spans="1:53" ht="20.25" customHeight="1" outlineLevel="1">
      <c r="A37" s="175" t="s">
        <v>678</v>
      </c>
      <c r="B37" s="172" t="s">
        <v>679</v>
      </c>
      <c r="C37" s="169" t="s">
        <v>1037</v>
      </c>
      <c r="D37" s="242">
        <f>IFERROR(VLOOKUP(A37,計價收入預算!$A:$AW,9,0),0)</f>
        <v>2200000</v>
      </c>
      <c r="E37" s="242">
        <f t="shared" si="32"/>
        <v>2200000</v>
      </c>
      <c r="F37" s="242">
        <f t="shared" si="33"/>
        <v>0</v>
      </c>
      <c r="G37" s="242">
        <f t="shared" si="34"/>
        <v>0</v>
      </c>
      <c r="H37" s="242">
        <f>IFERROR(VLOOKUP($A37,計價收入預算!$A:$AW,26,0),0)</f>
        <v>2200000</v>
      </c>
      <c r="I37" s="242">
        <f t="shared" si="35"/>
        <v>2200000</v>
      </c>
      <c r="J37" s="242">
        <f>IFERROR(VLOOKUP($A37,計價收入預算!$A:$AW,28,0),0)</f>
        <v>0</v>
      </c>
      <c r="K37" s="242">
        <f t="shared" si="36"/>
        <v>0</v>
      </c>
      <c r="L37" s="242">
        <f>IFERROR(VLOOKUP($A37,計價收入預算!$A:$AW,29,0),0)</f>
        <v>0</v>
      </c>
      <c r="M37" s="242">
        <f>SUM(L37:L37)</f>
        <v>0</v>
      </c>
      <c r="N37" s="242">
        <f>IFERROR(VLOOKUP($A37,計價收入預算!$A:$AW,30,0),0)</f>
        <v>0</v>
      </c>
      <c r="O37" s="242">
        <f t="shared" si="37"/>
        <v>0</v>
      </c>
      <c r="P37" s="242">
        <f>IFERROR(VLOOKUP($A37,計價收入預算!$A:$AW,31,0),0)</f>
        <v>0</v>
      </c>
      <c r="Q37" s="242">
        <f t="shared" si="38"/>
        <v>0</v>
      </c>
      <c r="R37" s="242">
        <f>IFERROR(VLOOKUP($A37,計價收入預算!$A:$AW,32,0),0)</f>
        <v>0</v>
      </c>
      <c r="S37" s="242">
        <f t="shared" si="39"/>
        <v>0</v>
      </c>
      <c r="T37" s="242">
        <f>IFERROR(VLOOKUP($A37,計價收入預算!$A:$AW,33,0),0)</f>
        <v>0</v>
      </c>
      <c r="U37" s="242">
        <f t="shared" si="40"/>
        <v>0</v>
      </c>
      <c r="V37" s="242">
        <f>IFERROR(VLOOKUP($A37,計價收入預算!$A:$AW,34,0),0)</f>
        <v>0</v>
      </c>
      <c r="W37" s="242">
        <f t="shared" si="41"/>
        <v>0</v>
      </c>
      <c r="X37" s="242">
        <f>IFERROR(VLOOKUP($A37,計價收入預算!$A:$AW,35,0),0)</f>
        <v>0</v>
      </c>
      <c r="Y37" s="242">
        <f t="shared" si="42"/>
        <v>0</v>
      </c>
      <c r="Z37" s="242">
        <f>IFERROR(VLOOKUP($A37,計價收入預算!$A:$AW,36,0),0)</f>
        <v>0</v>
      </c>
      <c r="AA37" s="242">
        <f t="shared" si="43"/>
        <v>0</v>
      </c>
      <c r="AB37" s="242">
        <f>IFERROR(VLOOKUP($A37,計價收入預算!$A:$AW,37,0),0)</f>
        <v>0</v>
      </c>
      <c r="AC37" s="242">
        <f t="shared" si="44"/>
        <v>0</v>
      </c>
      <c r="AD37" s="242">
        <f>IFERROR(VLOOKUP($A37,計價收入預算!$A:$AW,38,0),0)</f>
        <v>0</v>
      </c>
      <c r="AE37" s="242">
        <f t="shared" si="45"/>
        <v>0</v>
      </c>
      <c r="AF37" s="242">
        <f>IFERROR(VLOOKUP($A37,計價收入預算!$A:$AW,39,0),0)</f>
        <v>0</v>
      </c>
      <c r="AG37" s="242">
        <f t="shared" si="46"/>
        <v>0</v>
      </c>
      <c r="AH37" s="314">
        <f>SUMIF($J$4:$AG$4,$AH$4,$J37:$AG$66)</f>
        <v>0</v>
      </c>
      <c r="AI37" s="314">
        <f t="shared" si="47"/>
        <v>0</v>
      </c>
      <c r="AJ37" s="264">
        <f>+H37+AH37</f>
        <v>2200000</v>
      </c>
      <c r="AK37" s="242">
        <f t="shared" si="48"/>
        <v>2200000</v>
      </c>
      <c r="AL37" s="242">
        <f>IFERROR(VLOOKUP($A37,計價收入預算!$A:$AW,42,0),0)</f>
        <v>0</v>
      </c>
      <c r="AM37" s="242">
        <f t="shared" si="49"/>
        <v>0</v>
      </c>
      <c r="AN37" s="242">
        <f>+AJ37+AL37</f>
        <v>2200000</v>
      </c>
      <c r="AO37" s="242">
        <f t="shared" si="50"/>
        <v>2200000</v>
      </c>
      <c r="AP37" s="242">
        <f>IFERROR(VLOOKUP($A37,計價收入預算!$A:$AW,43,0),0)</f>
        <v>0</v>
      </c>
      <c r="AQ37" s="242">
        <f t="shared" si="51"/>
        <v>0</v>
      </c>
      <c r="AR37" s="226">
        <f>+AN37+AP37</f>
        <v>2200000</v>
      </c>
      <c r="AS37" s="242">
        <f t="shared" si="52"/>
        <v>2200000</v>
      </c>
      <c r="AT37" s="242">
        <f>IFERROR(VLOOKUP($A37,計價收入預算!$A:$AW,44,0),0)</f>
        <v>0</v>
      </c>
      <c r="AU37" s="242">
        <f t="shared" si="53"/>
        <v>0</v>
      </c>
      <c r="AV37" s="226">
        <f>+AR37+AT37</f>
        <v>2200000</v>
      </c>
      <c r="AW37" s="242">
        <f t="shared" si="54"/>
        <v>2200000</v>
      </c>
      <c r="AX37" s="242">
        <f>IFERROR(VLOOKUP($A37,計價收入預算!$A:$AW,45,0),0)</f>
        <v>0</v>
      </c>
      <c r="AY37" s="242">
        <f t="shared" si="55"/>
        <v>0</v>
      </c>
      <c r="AZ37" s="226">
        <f>+AV37+AX37</f>
        <v>2200000</v>
      </c>
      <c r="BA37" s="242">
        <f t="shared" si="56"/>
        <v>2200000</v>
      </c>
    </row>
    <row r="38" spans="1:53" ht="20.25" customHeight="1" outlineLevel="1">
      <c r="A38" s="175" t="s">
        <v>680</v>
      </c>
      <c r="B38" s="172" t="s">
        <v>681</v>
      </c>
      <c r="C38" s="169" t="s">
        <v>1037</v>
      </c>
      <c r="D38" s="242">
        <f>IFERROR(VLOOKUP(A38,計價收入預算!$A:$AW,9,0),0)</f>
        <v>2975000</v>
      </c>
      <c r="E38" s="242">
        <f t="shared" si="32"/>
        <v>2975000</v>
      </c>
      <c r="F38" s="242">
        <f t="shared" si="33"/>
        <v>150000</v>
      </c>
      <c r="G38" s="242">
        <f t="shared" si="34"/>
        <v>150000</v>
      </c>
      <c r="H38" s="242">
        <f>IFERROR(VLOOKUP($A38,計價收入預算!$A:$AW,26,0),0)</f>
        <v>3125000</v>
      </c>
      <c r="I38" s="242">
        <f t="shared" si="35"/>
        <v>3125000</v>
      </c>
      <c r="J38" s="242">
        <f>IFERROR(VLOOKUP($A38,計價收入預算!$A:$AW,28,0),0)</f>
        <v>0</v>
      </c>
      <c r="K38" s="242">
        <f t="shared" si="36"/>
        <v>0</v>
      </c>
      <c r="L38" s="242">
        <f>IFERROR(VLOOKUP($A38,計價收入預算!$A:$AW,29,0),0)</f>
        <v>0</v>
      </c>
      <c r="M38" s="242">
        <f>SUM(L38:L38)</f>
        <v>0</v>
      </c>
      <c r="N38" s="242">
        <f>IFERROR(VLOOKUP($A38,計價收入預算!$A:$AW,30,0),0)</f>
        <v>0</v>
      </c>
      <c r="O38" s="242">
        <f t="shared" si="37"/>
        <v>0</v>
      </c>
      <c r="P38" s="242">
        <f>IFERROR(VLOOKUP($A38,計價收入預算!$A:$AW,31,0),0)</f>
        <v>0</v>
      </c>
      <c r="Q38" s="242">
        <f t="shared" si="38"/>
        <v>0</v>
      </c>
      <c r="R38" s="242">
        <f>IFERROR(VLOOKUP($A38,計價收入預算!$A:$AW,32,0),0)</f>
        <v>0</v>
      </c>
      <c r="S38" s="242">
        <f t="shared" si="39"/>
        <v>0</v>
      </c>
      <c r="T38" s="242">
        <f>IFERROR(VLOOKUP($A38,計價收入預算!$A:$AW,33,0),0)</f>
        <v>0</v>
      </c>
      <c r="U38" s="242">
        <f t="shared" si="40"/>
        <v>0</v>
      </c>
      <c r="V38" s="242">
        <f>IFERROR(VLOOKUP($A38,計價收入預算!$A:$AW,34,0),0)</f>
        <v>0</v>
      </c>
      <c r="W38" s="242">
        <f t="shared" si="41"/>
        <v>0</v>
      </c>
      <c r="X38" s="242">
        <f>IFERROR(VLOOKUP($A38,計價收入預算!$A:$AW,35,0),0)</f>
        <v>0</v>
      </c>
      <c r="Y38" s="242">
        <f t="shared" si="42"/>
        <v>0</v>
      </c>
      <c r="Z38" s="242">
        <f>IFERROR(VLOOKUP($A38,計價收入預算!$A:$AW,36,0),0)</f>
        <v>0</v>
      </c>
      <c r="AA38" s="242">
        <f t="shared" si="43"/>
        <v>0</v>
      </c>
      <c r="AB38" s="242">
        <f>IFERROR(VLOOKUP($A38,計價收入預算!$A:$AW,37,0),0)</f>
        <v>0</v>
      </c>
      <c r="AC38" s="242">
        <f t="shared" si="44"/>
        <v>0</v>
      </c>
      <c r="AD38" s="242">
        <f>IFERROR(VLOOKUP($A38,計價收入預算!$A:$AW,38,0),0)</f>
        <v>0</v>
      </c>
      <c r="AE38" s="242">
        <f t="shared" si="45"/>
        <v>0</v>
      </c>
      <c r="AF38" s="242">
        <f>IFERROR(VLOOKUP($A38,計價收入預算!$A:$AW,39,0),0)</f>
        <v>0</v>
      </c>
      <c r="AG38" s="242">
        <f t="shared" si="46"/>
        <v>0</v>
      </c>
      <c r="AH38" s="314">
        <f>SUMIF($J$4:$AG$4,$AH$4,$J38:$AG$66)</f>
        <v>0</v>
      </c>
      <c r="AI38" s="314">
        <f t="shared" si="47"/>
        <v>0</v>
      </c>
      <c r="AJ38" s="264">
        <f>+H38+AH38</f>
        <v>3125000</v>
      </c>
      <c r="AK38" s="242">
        <f t="shared" si="48"/>
        <v>3125000</v>
      </c>
      <c r="AL38" s="242">
        <f>IFERROR(VLOOKUP($A38,計價收入預算!$A:$AW,42,0),0)</f>
        <v>0</v>
      </c>
      <c r="AM38" s="242">
        <f t="shared" si="49"/>
        <v>0</v>
      </c>
      <c r="AN38" s="242">
        <f>+AJ38+AL38</f>
        <v>3125000</v>
      </c>
      <c r="AO38" s="242">
        <f t="shared" si="50"/>
        <v>3125000</v>
      </c>
      <c r="AP38" s="242">
        <f>IFERROR(VLOOKUP($A38,計價收入預算!$A:$AW,43,0),0)</f>
        <v>0</v>
      </c>
      <c r="AQ38" s="242">
        <f t="shared" si="51"/>
        <v>0</v>
      </c>
      <c r="AR38" s="226">
        <f>+AN38+AP38</f>
        <v>3125000</v>
      </c>
      <c r="AS38" s="242">
        <f t="shared" si="52"/>
        <v>3125000</v>
      </c>
      <c r="AT38" s="242">
        <f>IFERROR(VLOOKUP($A38,計價收入預算!$A:$AW,44,0),0)</f>
        <v>0</v>
      </c>
      <c r="AU38" s="242">
        <f t="shared" si="53"/>
        <v>0</v>
      </c>
      <c r="AV38" s="226">
        <f>+AR38+AT38</f>
        <v>3125000</v>
      </c>
      <c r="AW38" s="242">
        <f t="shared" si="54"/>
        <v>3125000</v>
      </c>
      <c r="AX38" s="242">
        <f>IFERROR(VLOOKUP($A38,計價收入預算!$A:$AW,45,0),0)</f>
        <v>0</v>
      </c>
      <c r="AY38" s="242">
        <f t="shared" si="55"/>
        <v>0</v>
      </c>
      <c r="AZ38" s="226">
        <f>+AV38+AX38</f>
        <v>3125000</v>
      </c>
      <c r="BA38" s="242">
        <f t="shared" si="56"/>
        <v>3125000</v>
      </c>
    </row>
    <row r="39" spans="1:53" ht="20.25" customHeight="1" outlineLevel="1">
      <c r="A39" s="175" t="s">
        <v>682</v>
      </c>
      <c r="B39" s="172" t="s">
        <v>683</v>
      </c>
      <c r="C39" s="169" t="s">
        <v>1037</v>
      </c>
      <c r="D39" s="242">
        <f>IFERROR(VLOOKUP(A39,計價收入預算!$A:$AW,9,0),0)</f>
        <v>1977000</v>
      </c>
      <c r="E39" s="242">
        <f t="shared" si="32"/>
        <v>1977000</v>
      </c>
      <c r="F39" s="242">
        <f t="shared" si="33"/>
        <v>65000</v>
      </c>
      <c r="G39" s="242">
        <f t="shared" si="34"/>
        <v>65000</v>
      </c>
      <c r="H39" s="242">
        <f>IFERROR(VLOOKUP($A39,計價收入預算!$A:$AW,26,0),0)</f>
        <v>2042000</v>
      </c>
      <c r="I39" s="242">
        <f t="shared" si="35"/>
        <v>2042000</v>
      </c>
      <c r="J39" s="242">
        <f>IFERROR(VLOOKUP($A39,計價收入預算!$A:$AW,28,0),0)</f>
        <v>0</v>
      </c>
      <c r="K39" s="242">
        <f t="shared" si="36"/>
        <v>0</v>
      </c>
      <c r="L39" s="242">
        <f>IFERROR(VLOOKUP($A39,計價收入預算!$A:$AW,29,0),0)</f>
        <v>0</v>
      </c>
      <c r="M39" s="242">
        <f>SUM(L39:L39)</f>
        <v>0</v>
      </c>
      <c r="N39" s="242">
        <f>IFERROR(VLOOKUP($A39,計價收入預算!$A:$AW,30,0),0)</f>
        <v>0</v>
      </c>
      <c r="O39" s="242">
        <f t="shared" si="37"/>
        <v>0</v>
      </c>
      <c r="P39" s="242">
        <f>IFERROR(VLOOKUP($A39,計價收入預算!$A:$AW,31,0),0)</f>
        <v>0</v>
      </c>
      <c r="Q39" s="242">
        <f t="shared" si="38"/>
        <v>0</v>
      </c>
      <c r="R39" s="242">
        <f>IFERROR(VLOOKUP($A39,計價收入預算!$A:$AW,32,0),0)</f>
        <v>0</v>
      </c>
      <c r="S39" s="242">
        <f t="shared" si="39"/>
        <v>0</v>
      </c>
      <c r="T39" s="242">
        <f>IFERROR(VLOOKUP($A39,計價收入預算!$A:$AW,33,0),0)</f>
        <v>0</v>
      </c>
      <c r="U39" s="242">
        <f t="shared" si="40"/>
        <v>0</v>
      </c>
      <c r="V39" s="242">
        <f>IFERROR(VLOOKUP($A39,計價收入預算!$A:$AW,34,0),0)</f>
        <v>0</v>
      </c>
      <c r="W39" s="242">
        <f t="shared" si="41"/>
        <v>0</v>
      </c>
      <c r="X39" s="242">
        <f>IFERROR(VLOOKUP($A39,計價收入預算!$A:$AW,35,0),0)</f>
        <v>0</v>
      </c>
      <c r="Y39" s="242">
        <f t="shared" si="42"/>
        <v>0</v>
      </c>
      <c r="Z39" s="242">
        <f>IFERROR(VLOOKUP($A39,計價收入預算!$A:$AW,36,0),0)</f>
        <v>0</v>
      </c>
      <c r="AA39" s="242">
        <f t="shared" si="43"/>
        <v>0</v>
      </c>
      <c r="AB39" s="242">
        <f>IFERROR(VLOOKUP($A39,計價收入預算!$A:$AW,37,0),0)</f>
        <v>0</v>
      </c>
      <c r="AC39" s="242">
        <f t="shared" si="44"/>
        <v>0</v>
      </c>
      <c r="AD39" s="242">
        <f>IFERROR(VLOOKUP($A39,計價收入預算!$A:$AW,38,0),0)</f>
        <v>0</v>
      </c>
      <c r="AE39" s="242">
        <f t="shared" si="45"/>
        <v>0</v>
      </c>
      <c r="AF39" s="242">
        <f>IFERROR(VLOOKUP($A39,計價收入預算!$A:$AW,39,0),0)</f>
        <v>0</v>
      </c>
      <c r="AG39" s="242">
        <f t="shared" si="46"/>
        <v>0</v>
      </c>
      <c r="AH39" s="314">
        <f>SUMIF($J$4:$AG$4,$AH$4,$J39:$AG$66)</f>
        <v>0</v>
      </c>
      <c r="AI39" s="314">
        <f t="shared" si="47"/>
        <v>0</v>
      </c>
      <c r="AJ39" s="264">
        <f>+H39+AH39</f>
        <v>2042000</v>
      </c>
      <c r="AK39" s="242">
        <f t="shared" si="48"/>
        <v>2042000</v>
      </c>
      <c r="AL39" s="242">
        <f>IFERROR(VLOOKUP($A42,計價收入預算!$A:$AW,42,0),0)</f>
        <v>0</v>
      </c>
      <c r="AM39" s="242">
        <f t="shared" si="49"/>
        <v>0</v>
      </c>
      <c r="AN39" s="242">
        <f>+AJ39+AL39</f>
        <v>2042000</v>
      </c>
      <c r="AO39" s="242">
        <f t="shared" si="50"/>
        <v>2042000</v>
      </c>
      <c r="AP39" s="242">
        <f>IFERROR(VLOOKUP($A39,計價收入預算!$A:$AW,43,0),0)</f>
        <v>0</v>
      </c>
      <c r="AQ39" s="242">
        <f t="shared" si="51"/>
        <v>0</v>
      </c>
      <c r="AR39" s="226">
        <f>+AN39+AP39</f>
        <v>2042000</v>
      </c>
      <c r="AS39" s="242">
        <f t="shared" si="52"/>
        <v>2042000</v>
      </c>
      <c r="AT39" s="242">
        <f>IFERROR(VLOOKUP($A39,計價收入預算!$A:$AW,44,0),0)</f>
        <v>0</v>
      </c>
      <c r="AU39" s="242">
        <f t="shared" si="53"/>
        <v>0</v>
      </c>
      <c r="AV39" s="226">
        <f>+AR39+AT39</f>
        <v>2042000</v>
      </c>
      <c r="AW39" s="242">
        <f t="shared" si="54"/>
        <v>2042000</v>
      </c>
      <c r="AX39" s="242">
        <f>IFERROR(VLOOKUP($A45,計價收入預算!$A:$AW,45,0),0)</f>
        <v>0</v>
      </c>
      <c r="AY39" s="242">
        <f t="shared" si="55"/>
        <v>0</v>
      </c>
      <c r="AZ39" s="226">
        <f>+AV39+AX39</f>
        <v>2042000</v>
      </c>
      <c r="BA39" s="242">
        <f t="shared" si="56"/>
        <v>2042000</v>
      </c>
    </row>
    <row r="40" spans="1:53" ht="20.25" customHeight="1" outlineLevel="1">
      <c r="A40" s="175" t="s">
        <v>684</v>
      </c>
      <c r="B40" s="172" t="s">
        <v>685</v>
      </c>
      <c r="C40" s="169" t="s">
        <v>1037</v>
      </c>
      <c r="D40" s="242">
        <f>IFERROR(VLOOKUP(A40,計價收入預算!$A:$AW,9,0),0)</f>
        <v>1557000</v>
      </c>
      <c r="E40" s="242">
        <f t="shared" si="32"/>
        <v>1557000</v>
      </c>
      <c r="F40" s="242">
        <f t="shared" si="33"/>
        <v>645000</v>
      </c>
      <c r="G40" s="242">
        <f t="shared" si="34"/>
        <v>645000</v>
      </c>
      <c r="H40" s="242">
        <f>IFERROR(VLOOKUP($A40,計價收入預算!$A:$AW,26,0),0)</f>
        <v>2202000</v>
      </c>
      <c r="I40" s="242">
        <f t="shared" si="35"/>
        <v>2202000</v>
      </c>
      <c r="J40" s="242">
        <f>IFERROR(VLOOKUP($A40,計價收入預算!$A:$AW,28,0),0)</f>
        <v>0</v>
      </c>
      <c r="K40" s="242">
        <f t="shared" si="36"/>
        <v>0</v>
      </c>
      <c r="L40" s="242">
        <f>IFERROR(VLOOKUP($A40,計價收入預算!$A:$AW,29,0),0)</f>
        <v>0</v>
      </c>
      <c r="M40" s="242">
        <f>SUM(L40:L40)</f>
        <v>0</v>
      </c>
      <c r="N40" s="242">
        <f>IFERROR(VLOOKUP($A40,計價收入預算!$A:$AW,30,0),0)</f>
        <v>0</v>
      </c>
      <c r="O40" s="242">
        <f t="shared" si="37"/>
        <v>0</v>
      </c>
      <c r="P40" s="242">
        <f>IFERROR(VLOOKUP($A40,計價收入預算!$A:$AW,31,0),0)</f>
        <v>0</v>
      </c>
      <c r="Q40" s="242">
        <f t="shared" si="38"/>
        <v>0</v>
      </c>
      <c r="R40" s="242">
        <f>IFERROR(VLOOKUP($A40,計價收入預算!$A:$AW,32,0),0)</f>
        <v>0</v>
      </c>
      <c r="S40" s="242">
        <f t="shared" si="39"/>
        <v>0</v>
      </c>
      <c r="T40" s="242">
        <f>IFERROR(VLOOKUP($A40,計價收入預算!$A:$AW,33,0),0)</f>
        <v>0</v>
      </c>
      <c r="U40" s="242">
        <f t="shared" si="40"/>
        <v>0</v>
      </c>
      <c r="V40" s="242">
        <f>IFERROR(VLOOKUP($A40,計價收入預算!$A:$AW,34,0),0)</f>
        <v>0</v>
      </c>
      <c r="W40" s="242">
        <f t="shared" si="41"/>
        <v>0</v>
      </c>
      <c r="X40" s="242">
        <f>IFERROR(VLOOKUP($A40,計價收入預算!$A:$AW,35,0),0)</f>
        <v>0</v>
      </c>
      <c r="Y40" s="242">
        <f t="shared" si="42"/>
        <v>0</v>
      </c>
      <c r="Z40" s="242">
        <f>IFERROR(VLOOKUP($A40,計價收入預算!$A:$AW,36,0),0)</f>
        <v>0</v>
      </c>
      <c r="AA40" s="242">
        <f t="shared" si="43"/>
        <v>0</v>
      </c>
      <c r="AB40" s="242">
        <f>IFERROR(VLOOKUP($A40,計價收入預算!$A:$AW,37,0),0)</f>
        <v>0</v>
      </c>
      <c r="AC40" s="242">
        <f t="shared" si="44"/>
        <v>0</v>
      </c>
      <c r="AD40" s="242">
        <f>IFERROR(VLOOKUP($A40,計價收入預算!$A:$AW,38,0),0)</f>
        <v>0</v>
      </c>
      <c r="AE40" s="242">
        <f t="shared" si="45"/>
        <v>0</v>
      </c>
      <c r="AF40" s="242">
        <f>IFERROR(VLOOKUP($A40,計價收入預算!$A:$AW,39,0),0)</f>
        <v>0</v>
      </c>
      <c r="AG40" s="242">
        <f t="shared" si="46"/>
        <v>0</v>
      </c>
      <c r="AH40" s="314">
        <f>SUMIF($J$4:$AG$4,$AH$4,$J40:$AG$66)</f>
        <v>0</v>
      </c>
      <c r="AI40" s="314">
        <f t="shared" si="47"/>
        <v>0</v>
      </c>
      <c r="AJ40" s="264">
        <f>+H40+AH40</f>
        <v>2202000</v>
      </c>
      <c r="AK40" s="242">
        <f t="shared" si="48"/>
        <v>2202000</v>
      </c>
      <c r="AL40" s="242">
        <f>IFERROR(VLOOKUP($A40,計價收入預算!$A:$AW,42,0),0)</f>
        <v>0</v>
      </c>
      <c r="AM40" s="242">
        <f t="shared" si="49"/>
        <v>0</v>
      </c>
      <c r="AN40" s="242">
        <f>+AJ40+AL40</f>
        <v>2202000</v>
      </c>
      <c r="AO40" s="242">
        <f t="shared" si="50"/>
        <v>2202000</v>
      </c>
      <c r="AP40" s="242">
        <f>IFERROR(VLOOKUP($A40,計價收入預算!$A:$AW,43,0),0)</f>
        <v>0</v>
      </c>
      <c r="AQ40" s="242">
        <f t="shared" si="51"/>
        <v>0</v>
      </c>
      <c r="AR40" s="226">
        <f>+AN40+AP40</f>
        <v>2202000</v>
      </c>
      <c r="AS40" s="242">
        <f t="shared" si="52"/>
        <v>2202000</v>
      </c>
      <c r="AT40" s="242">
        <f>IFERROR(VLOOKUP($A40,計價收入預算!$A:$AW,44,0),0)</f>
        <v>0</v>
      </c>
      <c r="AU40" s="242">
        <f t="shared" si="53"/>
        <v>0</v>
      </c>
      <c r="AV40" s="226">
        <f>+AR40+AT40</f>
        <v>2202000</v>
      </c>
      <c r="AW40" s="242">
        <f t="shared" si="54"/>
        <v>2202000</v>
      </c>
      <c r="AX40" s="242">
        <f>IFERROR(VLOOKUP($A40,計價收入預算!$A:$AW,45,0),0)</f>
        <v>0</v>
      </c>
      <c r="AY40" s="242">
        <f t="shared" si="55"/>
        <v>0</v>
      </c>
      <c r="AZ40" s="226">
        <f>+AV40+AX40</f>
        <v>2202000</v>
      </c>
      <c r="BA40" s="242">
        <f t="shared" si="56"/>
        <v>2202000</v>
      </c>
    </row>
    <row r="41" spans="1:53" ht="20.25" customHeight="1" outlineLevel="1">
      <c r="A41" s="175" t="s">
        <v>686</v>
      </c>
      <c r="B41" s="172" t="s">
        <v>687</v>
      </c>
      <c r="C41" s="169" t="s">
        <v>1037</v>
      </c>
      <c r="D41" s="242">
        <f>IFERROR(VLOOKUP(A41,計價收入預算!$A:$AW,9,0),0)</f>
        <v>3240000</v>
      </c>
      <c r="E41" s="242">
        <f t="shared" si="32"/>
        <v>3240000</v>
      </c>
      <c r="F41" s="242">
        <f t="shared" si="33"/>
        <v>125000</v>
      </c>
      <c r="G41" s="242">
        <f t="shared" si="34"/>
        <v>125000</v>
      </c>
      <c r="H41" s="242">
        <f>IFERROR(VLOOKUP($A41,計價收入預算!$A:$AW,26,0),0)</f>
        <v>3365000</v>
      </c>
      <c r="I41" s="242">
        <f t="shared" si="35"/>
        <v>3365000</v>
      </c>
      <c r="J41" s="242">
        <f>IFERROR(VLOOKUP($A41,計價收入預算!$A:$AW,28,0),0)</f>
        <v>0</v>
      </c>
      <c r="K41" s="242">
        <f t="shared" si="36"/>
        <v>0</v>
      </c>
      <c r="L41" s="242">
        <f>IFERROR(VLOOKUP($A41,計價收入預算!$A:$AW,29,0),0)</f>
        <v>0</v>
      </c>
      <c r="M41" s="242">
        <f>SUM(L41:L41)</f>
        <v>0</v>
      </c>
      <c r="N41" s="242">
        <f>IFERROR(VLOOKUP($A41,計價收入預算!$A:$AW,30,0),0)</f>
        <v>0</v>
      </c>
      <c r="O41" s="242">
        <f t="shared" si="37"/>
        <v>0</v>
      </c>
      <c r="P41" s="242">
        <f>IFERROR(VLOOKUP($A41,計價收入預算!$A:$AW,31,0),0)</f>
        <v>0</v>
      </c>
      <c r="Q41" s="242">
        <f t="shared" si="38"/>
        <v>0</v>
      </c>
      <c r="R41" s="242">
        <f>IFERROR(VLOOKUP($A41,計價收入預算!$A:$AW,32,0),0)</f>
        <v>0</v>
      </c>
      <c r="S41" s="242">
        <f t="shared" si="39"/>
        <v>0</v>
      </c>
      <c r="T41" s="242">
        <f>IFERROR(VLOOKUP($A41,計價收入預算!$A:$AW,33,0),0)</f>
        <v>0</v>
      </c>
      <c r="U41" s="242">
        <f t="shared" si="40"/>
        <v>0</v>
      </c>
      <c r="V41" s="242">
        <f>IFERROR(VLOOKUP($A41,計價收入預算!$A:$AW,34,0),0)</f>
        <v>0</v>
      </c>
      <c r="W41" s="242">
        <f t="shared" si="41"/>
        <v>0</v>
      </c>
      <c r="X41" s="242">
        <f>IFERROR(VLOOKUP($A41,計價收入預算!$A:$AW,35,0),0)</f>
        <v>0</v>
      </c>
      <c r="Y41" s="242">
        <f t="shared" si="42"/>
        <v>0</v>
      </c>
      <c r="Z41" s="242">
        <f>IFERROR(VLOOKUP($A41,計價收入預算!$A:$AW,36,0),0)</f>
        <v>0</v>
      </c>
      <c r="AA41" s="242">
        <f t="shared" si="43"/>
        <v>0</v>
      </c>
      <c r="AB41" s="242">
        <f>IFERROR(VLOOKUP($A41,計價收入預算!$A:$AW,37,0),0)</f>
        <v>0</v>
      </c>
      <c r="AC41" s="242">
        <f t="shared" si="44"/>
        <v>0</v>
      </c>
      <c r="AD41" s="242">
        <f>IFERROR(VLOOKUP($A41,計價收入預算!$A:$AW,38,0),0)</f>
        <v>0</v>
      </c>
      <c r="AE41" s="242">
        <f t="shared" si="45"/>
        <v>0</v>
      </c>
      <c r="AF41" s="242">
        <f>IFERROR(VLOOKUP($A41,計價收入預算!$A:$AW,39,0),0)</f>
        <v>0</v>
      </c>
      <c r="AG41" s="242">
        <f t="shared" si="46"/>
        <v>0</v>
      </c>
      <c r="AH41" s="314">
        <f>SUMIF($J$4:$AG$4,$AH$4,$J41:$AG$66)</f>
        <v>0</v>
      </c>
      <c r="AI41" s="314">
        <f t="shared" si="47"/>
        <v>0</v>
      </c>
      <c r="AJ41" s="264">
        <f>+H41+AH41</f>
        <v>3365000</v>
      </c>
      <c r="AK41" s="242">
        <f t="shared" si="48"/>
        <v>3365000</v>
      </c>
      <c r="AL41" s="242">
        <f>IFERROR(VLOOKUP($A41,計價收入預算!$A:$AW,42,0),0)</f>
        <v>0</v>
      </c>
      <c r="AM41" s="242">
        <f t="shared" si="49"/>
        <v>0</v>
      </c>
      <c r="AN41" s="242">
        <f>+AJ41+AL41</f>
        <v>3365000</v>
      </c>
      <c r="AO41" s="242">
        <f t="shared" si="50"/>
        <v>3365000</v>
      </c>
      <c r="AP41" s="242">
        <f>IFERROR(VLOOKUP($A41,計價收入預算!$A:$AW,43,0),0)</f>
        <v>0</v>
      </c>
      <c r="AQ41" s="242">
        <f t="shared" si="51"/>
        <v>0</v>
      </c>
      <c r="AR41" s="226">
        <f>+AN41+AP41</f>
        <v>3365000</v>
      </c>
      <c r="AS41" s="242">
        <f t="shared" si="52"/>
        <v>3365000</v>
      </c>
      <c r="AT41" s="242">
        <f>IFERROR(VLOOKUP($A41,計價收入預算!$A:$AW,44,0),0)</f>
        <v>0</v>
      </c>
      <c r="AU41" s="242">
        <f t="shared" si="53"/>
        <v>0</v>
      </c>
      <c r="AV41" s="226">
        <f>+AR41+AT41</f>
        <v>3365000</v>
      </c>
      <c r="AW41" s="242">
        <f t="shared" si="54"/>
        <v>3365000</v>
      </c>
      <c r="AX41" s="242">
        <f>IFERROR(VLOOKUP($A41,計價收入預算!$A:$AW,45,0),0)</f>
        <v>0</v>
      </c>
      <c r="AY41" s="242">
        <f t="shared" si="55"/>
        <v>0</v>
      </c>
      <c r="AZ41" s="226">
        <f>+AV41+AX41</f>
        <v>3365000</v>
      </c>
      <c r="BA41" s="242">
        <f t="shared" si="56"/>
        <v>3365000</v>
      </c>
    </row>
    <row r="42" spans="1:53" ht="20.25" customHeight="1" outlineLevel="1">
      <c r="A42" s="1397" t="s">
        <v>688</v>
      </c>
      <c r="B42" s="1404" t="s">
        <v>689</v>
      </c>
      <c r="C42" s="1398" t="s">
        <v>1245</v>
      </c>
      <c r="D42" s="242">
        <f>IFERROR(VLOOKUP(A42,計價收入預算!$A:$AW,9,0),0)</f>
        <v>3047620</v>
      </c>
      <c r="E42" s="242">
        <f t="shared" si="32"/>
        <v>3047620</v>
      </c>
      <c r="F42" s="242">
        <f t="shared" si="33"/>
        <v>0</v>
      </c>
      <c r="G42" s="242">
        <f t="shared" si="34"/>
        <v>0</v>
      </c>
      <c r="H42" s="242">
        <f>IFERROR(VLOOKUP($A42,計價收入預算!$A:$AW,26,0),0)</f>
        <v>3047620</v>
      </c>
      <c r="I42" s="242">
        <f t="shared" si="35"/>
        <v>3047620</v>
      </c>
      <c r="J42" s="242">
        <f>IFERROR(VLOOKUP($A42,計價收入預算!$A:$AW,28,0),0)</f>
        <v>0</v>
      </c>
      <c r="K42" s="242">
        <f t="shared" si="36"/>
        <v>0</v>
      </c>
      <c r="L42" s="242">
        <f>IFERROR(VLOOKUP($A42,計價收入預算!$A:$AW,29,0),0)</f>
        <v>0</v>
      </c>
      <c r="M42" s="242">
        <f>SUM(L42:L42)</f>
        <v>0</v>
      </c>
      <c r="N42" s="242">
        <f>IFERROR(VLOOKUP($A42,計價收入預算!$A:$AW,30,0),0)</f>
        <v>0</v>
      </c>
      <c r="O42" s="242">
        <f t="shared" si="37"/>
        <v>0</v>
      </c>
      <c r="P42" s="242">
        <f>IFERROR(VLOOKUP($A42,計價收入預算!$A:$AW,31,0),0)</f>
        <v>0</v>
      </c>
      <c r="Q42" s="242">
        <f t="shared" si="38"/>
        <v>0</v>
      </c>
      <c r="R42" s="242">
        <f>IFERROR(VLOOKUP($A42,計價收入預算!$A:$AW,32,0),0)</f>
        <v>0</v>
      </c>
      <c r="S42" s="242">
        <f t="shared" si="39"/>
        <v>0</v>
      </c>
      <c r="T42" s="242">
        <f>IFERROR(VLOOKUP($A42,計價收入預算!$A:$AW,33,0),0)</f>
        <v>0</v>
      </c>
      <c r="U42" s="242">
        <f t="shared" si="40"/>
        <v>0</v>
      </c>
      <c r="V42" s="242">
        <f>IFERROR(VLOOKUP($A42,計價收入預算!$A:$AW,34,0),0)</f>
        <v>0</v>
      </c>
      <c r="W42" s="242">
        <f t="shared" si="41"/>
        <v>0</v>
      </c>
      <c r="X42" s="242">
        <f>IFERROR(VLOOKUP($A42,計價收入預算!$A:$AW,35,0),0)</f>
        <v>0</v>
      </c>
      <c r="Y42" s="242">
        <f t="shared" si="42"/>
        <v>0</v>
      </c>
      <c r="Z42" s="242">
        <f>IFERROR(VLOOKUP($A42,計價收入預算!$A:$AW,36,0),0)</f>
        <v>0</v>
      </c>
      <c r="AA42" s="242">
        <f t="shared" si="43"/>
        <v>0</v>
      </c>
      <c r="AB42" s="242">
        <f>IFERROR(VLOOKUP($A42,計價收入預算!$A:$AW,37,0),0)</f>
        <v>0</v>
      </c>
      <c r="AC42" s="242">
        <f t="shared" si="44"/>
        <v>0</v>
      </c>
      <c r="AD42" s="242">
        <f>IFERROR(VLOOKUP($A42,計價收入預算!$A:$AW,38,0),0)</f>
        <v>0</v>
      </c>
      <c r="AE42" s="242">
        <f t="shared" si="45"/>
        <v>0</v>
      </c>
      <c r="AF42" s="242">
        <f>IFERROR(VLOOKUP($A42,計價收入預算!$A:$AW,39,0),0)</f>
        <v>0</v>
      </c>
      <c r="AG42" s="242">
        <f t="shared" si="46"/>
        <v>0</v>
      </c>
      <c r="AH42" s="314">
        <f>SUMIF($J$4:$AG$4,$AH$4,$J42:$AG$66)</f>
        <v>0</v>
      </c>
      <c r="AI42" s="314">
        <f t="shared" si="47"/>
        <v>0</v>
      </c>
      <c r="AJ42" s="264">
        <f>+H42+AH42</f>
        <v>3047620</v>
      </c>
      <c r="AK42" s="242">
        <f t="shared" si="48"/>
        <v>3047620</v>
      </c>
      <c r="AL42" s="242">
        <f>IFERROR(VLOOKUP($A42,計價收入預算!$A:$AW,42,0),0)</f>
        <v>0</v>
      </c>
      <c r="AM42" s="242">
        <f t="shared" si="49"/>
        <v>0</v>
      </c>
      <c r="AN42" s="242">
        <f>+AJ42+AL42</f>
        <v>3047620</v>
      </c>
      <c r="AO42" s="242">
        <f t="shared" si="50"/>
        <v>3047620</v>
      </c>
      <c r="AP42" s="242">
        <f>IFERROR(VLOOKUP($A42,計價收入預算!$A:$AW,43,0),0)</f>
        <v>0</v>
      </c>
      <c r="AQ42" s="242">
        <f t="shared" si="51"/>
        <v>0</v>
      </c>
      <c r="AR42" s="226">
        <f>+AN42+AP42</f>
        <v>3047620</v>
      </c>
      <c r="AS42" s="242">
        <f t="shared" si="52"/>
        <v>3047620</v>
      </c>
      <c r="AT42" s="242">
        <f>IFERROR(VLOOKUP($A42,計價收入預算!$A:$AW,44,0),0)</f>
        <v>0</v>
      </c>
      <c r="AU42" s="242">
        <f t="shared" si="53"/>
        <v>0</v>
      </c>
      <c r="AV42" s="226">
        <f>+AR42+AT42</f>
        <v>3047620</v>
      </c>
      <c r="AW42" s="242">
        <f t="shared" si="54"/>
        <v>3047620</v>
      </c>
      <c r="AX42" s="242">
        <f>IFERROR(VLOOKUP($A45,計價收入預算!$A:$AW,45,0),0)</f>
        <v>0</v>
      </c>
      <c r="AY42" s="242">
        <f t="shared" si="55"/>
        <v>0</v>
      </c>
      <c r="AZ42" s="226">
        <f>+AV42+AX42</f>
        <v>3047620</v>
      </c>
      <c r="BA42" s="242">
        <f t="shared" si="56"/>
        <v>3047620</v>
      </c>
    </row>
    <row r="43" spans="1:53" ht="20.25" customHeight="1" outlineLevel="1">
      <c r="A43" s="175" t="s">
        <v>690</v>
      </c>
      <c r="B43" s="172" t="s">
        <v>691</v>
      </c>
      <c r="C43" s="169" t="s">
        <v>1037</v>
      </c>
      <c r="D43" s="242">
        <f>IFERROR(VLOOKUP(A43,計價收入預算!$A:$AW,9,0),0)</f>
        <v>9774750</v>
      </c>
      <c r="E43" s="242">
        <f t="shared" si="32"/>
        <v>9774750</v>
      </c>
      <c r="F43" s="242">
        <f t="shared" si="33"/>
        <v>1790000</v>
      </c>
      <c r="G43" s="242">
        <f t="shared" si="34"/>
        <v>1790000</v>
      </c>
      <c r="H43" s="242">
        <f>IFERROR(VLOOKUP($A43,計價收入預算!$A:$AW,26,0),0)</f>
        <v>11564750</v>
      </c>
      <c r="I43" s="242">
        <f t="shared" si="35"/>
        <v>11564750</v>
      </c>
      <c r="J43" s="242">
        <f>IFERROR(VLOOKUP($A43,計價收入預算!$A:$AW,28,0),0)</f>
        <v>330000</v>
      </c>
      <c r="K43" s="242">
        <f t="shared" si="36"/>
        <v>330000</v>
      </c>
      <c r="L43" s="242">
        <f>IFERROR(VLOOKUP($A43,計價收入預算!$A:$AW,29,0),0)</f>
        <v>510000</v>
      </c>
      <c r="M43" s="242">
        <f>SUM(L43:L43)</f>
        <v>510000</v>
      </c>
      <c r="N43" s="242">
        <f>IFERROR(VLOOKUP($A43,計價收入預算!$A:$AW,30,0),0)</f>
        <v>1497250</v>
      </c>
      <c r="O43" s="242">
        <f t="shared" si="37"/>
        <v>1497250</v>
      </c>
      <c r="P43" s="242">
        <f>IFERROR(VLOOKUP($A43,計價收入預算!$A:$AW,31,0),0)</f>
        <v>730000</v>
      </c>
      <c r="Q43" s="242">
        <f t="shared" si="38"/>
        <v>730000</v>
      </c>
      <c r="R43" s="242">
        <f>IFERROR(VLOOKUP($A43,計價收入預算!$A:$AW,32,0),0)</f>
        <v>330000</v>
      </c>
      <c r="S43" s="242">
        <f t="shared" si="39"/>
        <v>330000</v>
      </c>
      <c r="T43" s="242">
        <f>IFERROR(VLOOKUP($A43,計價收入預算!$A:$AW,33,0),0)</f>
        <v>330000</v>
      </c>
      <c r="U43" s="242">
        <f t="shared" si="40"/>
        <v>330000</v>
      </c>
      <c r="V43" s="242">
        <f>IFERROR(VLOOKUP($A43,計價收入預算!$A:$AW,34,0),0)</f>
        <v>895000</v>
      </c>
      <c r="W43" s="242">
        <f t="shared" si="41"/>
        <v>895000</v>
      </c>
      <c r="X43" s="242">
        <f>IFERROR(VLOOKUP($A43,計價收入預算!$A:$AW,35,0),0)</f>
        <v>495000</v>
      </c>
      <c r="Y43" s="242">
        <f t="shared" si="42"/>
        <v>495000</v>
      </c>
      <c r="Z43" s="242">
        <f>IFERROR(VLOOKUP($A43,計價收入預算!$A:$AW,36,0),0)</f>
        <v>495000</v>
      </c>
      <c r="AA43" s="242">
        <f t="shared" si="43"/>
        <v>495000</v>
      </c>
      <c r="AB43" s="242">
        <f>IFERROR(VLOOKUP($A43,計價收入預算!$A:$AW,37,0),0)</f>
        <v>895000</v>
      </c>
      <c r="AC43" s="242">
        <f t="shared" si="44"/>
        <v>895000</v>
      </c>
      <c r="AD43" s="242">
        <f>IFERROR(VLOOKUP($A43,計價收入預算!$A:$AW,38,0),0)</f>
        <v>495000</v>
      </c>
      <c r="AE43" s="242">
        <f t="shared" si="45"/>
        <v>495000</v>
      </c>
      <c r="AF43" s="242">
        <f>IFERROR(VLOOKUP($A43,計價收入預算!$A:$AW,39,0),0)</f>
        <v>495000</v>
      </c>
      <c r="AG43" s="242">
        <f t="shared" si="46"/>
        <v>495000</v>
      </c>
      <c r="AH43" s="314">
        <f>SUMIF($J$4:$AG$4,$AH$4,$J43:$AG$66)</f>
        <v>7497250</v>
      </c>
      <c r="AI43" s="314">
        <f t="shared" si="47"/>
        <v>7497250</v>
      </c>
      <c r="AJ43" s="264">
        <f>+H43+AH43</f>
        <v>19062000</v>
      </c>
      <c r="AK43" s="242">
        <f t="shared" si="48"/>
        <v>19062000</v>
      </c>
      <c r="AL43" s="242">
        <f>IFERROR(VLOOKUP($A43,計價收入預算!$A:$AW,42,0),0)</f>
        <v>9275000</v>
      </c>
      <c r="AM43" s="242">
        <f t="shared" si="49"/>
        <v>9275000</v>
      </c>
      <c r="AN43" s="242">
        <f>+AJ43+AL43</f>
        <v>28337000</v>
      </c>
      <c r="AO43" s="242">
        <f t="shared" si="50"/>
        <v>28337000</v>
      </c>
      <c r="AP43" s="242">
        <f>IFERROR(VLOOKUP($A43,計價收入預算!$A:$AW,43,0),0)</f>
        <v>6730000</v>
      </c>
      <c r="AQ43" s="242">
        <f t="shared" si="51"/>
        <v>6730000</v>
      </c>
      <c r="AR43" s="226">
        <f>+AN43+AP43</f>
        <v>35067000</v>
      </c>
      <c r="AS43" s="242">
        <f t="shared" si="52"/>
        <v>35067000</v>
      </c>
      <c r="AT43" s="242">
        <f>IFERROR(VLOOKUP($A43,計價收入預算!$A:$AW,44,0),0)</f>
        <v>1109999.9999999988</v>
      </c>
      <c r="AU43" s="242">
        <f t="shared" si="53"/>
        <v>1109999.9999999988</v>
      </c>
      <c r="AV43" s="226">
        <f>+AR43+AT43</f>
        <v>36177000</v>
      </c>
      <c r="AW43" s="242">
        <f t="shared" si="54"/>
        <v>36177000</v>
      </c>
      <c r="AX43" s="242">
        <f>IFERROR(VLOOKUP($A45,計價收入預算!$A:$AW,45,0),0)</f>
        <v>0</v>
      </c>
      <c r="AY43" s="242">
        <f t="shared" si="55"/>
        <v>0</v>
      </c>
      <c r="AZ43" s="226">
        <f>+AV43+AX43</f>
        <v>36177000</v>
      </c>
      <c r="BA43" s="242">
        <f t="shared" si="56"/>
        <v>36177000</v>
      </c>
    </row>
    <row r="44" spans="1:53" ht="20.25" customHeight="1" outlineLevel="1">
      <c r="A44" s="175" t="s">
        <v>692</v>
      </c>
      <c r="B44" s="172" t="s">
        <v>693</v>
      </c>
      <c r="C44" s="169" t="s">
        <v>1037</v>
      </c>
      <c r="D44" s="242">
        <f>IFERROR(VLOOKUP(A44,計價收入預算!$A:$AW,9,0),0)</f>
        <v>1780000</v>
      </c>
      <c r="E44" s="242">
        <f t="shared" si="32"/>
        <v>1780000</v>
      </c>
      <c r="F44" s="242">
        <f t="shared" si="33"/>
        <v>80000</v>
      </c>
      <c r="G44" s="242">
        <f t="shared" si="34"/>
        <v>80000</v>
      </c>
      <c r="H44" s="242">
        <f>IFERROR(VLOOKUP($A44,計價收入預算!$A:$AW,26,0),0)</f>
        <v>1860000</v>
      </c>
      <c r="I44" s="242">
        <f t="shared" si="35"/>
        <v>1860000</v>
      </c>
      <c r="J44" s="242">
        <f>IFERROR(VLOOKUP($A44,計價收入預算!$A:$AW,28,0),0)</f>
        <v>0</v>
      </c>
      <c r="K44" s="242">
        <f t="shared" si="36"/>
        <v>0</v>
      </c>
      <c r="L44" s="242">
        <f>IFERROR(VLOOKUP($A44,計價收入預算!$A:$AW,29,0),0)</f>
        <v>0</v>
      </c>
      <c r="M44" s="242">
        <f>SUM(L44:L44)</f>
        <v>0</v>
      </c>
      <c r="N44" s="242">
        <f>IFERROR(VLOOKUP($A44,計價收入預算!$A:$AW,30,0),0)</f>
        <v>0</v>
      </c>
      <c r="O44" s="242">
        <f t="shared" si="37"/>
        <v>0</v>
      </c>
      <c r="P44" s="242">
        <f>IFERROR(VLOOKUP($A44,計價收入預算!$A:$AW,31,0),0)</f>
        <v>0</v>
      </c>
      <c r="Q44" s="242">
        <f t="shared" si="38"/>
        <v>0</v>
      </c>
      <c r="R44" s="242">
        <f>IFERROR(VLOOKUP($A44,計價收入預算!$A:$AW,32,0),0)</f>
        <v>0</v>
      </c>
      <c r="S44" s="242">
        <f t="shared" si="39"/>
        <v>0</v>
      </c>
      <c r="T44" s="242">
        <f>IFERROR(VLOOKUP($A44,計價收入預算!$A:$AW,33,0),0)</f>
        <v>0</v>
      </c>
      <c r="U44" s="242">
        <f t="shared" si="40"/>
        <v>0</v>
      </c>
      <c r="V44" s="242">
        <f>IFERROR(VLOOKUP($A44,計價收入預算!$A:$AW,34,0),0)</f>
        <v>50000</v>
      </c>
      <c r="W44" s="242">
        <f t="shared" si="41"/>
        <v>50000</v>
      </c>
      <c r="X44" s="242">
        <f>IFERROR(VLOOKUP($A44,計價收入預算!$A:$AW,35,0),0)</f>
        <v>0</v>
      </c>
      <c r="Y44" s="242">
        <f t="shared" si="42"/>
        <v>0</v>
      </c>
      <c r="Z44" s="242">
        <f>IFERROR(VLOOKUP($A44,計價收入預算!$A:$AW,36,0),0)</f>
        <v>0</v>
      </c>
      <c r="AA44" s="242">
        <f t="shared" si="43"/>
        <v>0</v>
      </c>
      <c r="AB44" s="242">
        <f>IFERROR(VLOOKUP($A44,計價收入預算!$A:$AW,37,0),0)</f>
        <v>0</v>
      </c>
      <c r="AC44" s="242">
        <f t="shared" si="44"/>
        <v>0</v>
      </c>
      <c r="AD44" s="242">
        <f>IFERROR(VLOOKUP($A44,計價收入預算!$A:$AW,38,0),0)</f>
        <v>0</v>
      </c>
      <c r="AE44" s="242">
        <f t="shared" si="45"/>
        <v>0</v>
      </c>
      <c r="AF44" s="242">
        <f>IFERROR(VLOOKUP($A44,計價收入預算!$A:$AW,39,0),0)</f>
        <v>0</v>
      </c>
      <c r="AG44" s="242">
        <f t="shared" si="46"/>
        <v>0</v>
      </c>
      <c r="AH44" s="314">
        <f>SUMIF($J$4:$AG$4,$AH$4,$J44:$AG$66)</f>
        <v>50000</v>
      </c>
      <c r="AI44" s="314">
        <f t="shared" si="47"/>
        <v>50000</v>
      </c>
      <c r="AJ44" s="264">
        <f>+H44+AH44</f>
        <v>1910000</v>
      </c>
      <c r="AK44" s="242">
        <f t="shared" si="48"/>
        <v>1910000</v>
      </c>
      <c r="AL44" s="242">
        <f>IFERROR(VLOOKUP($A44,計價收入預算!$A:$AW,42,0),0)</f>
        <v>0</v>
      </c>
      <c r="AM44" s="242">
        <f t="shared" si="49"/>
        <v>0</v>
      </c>
      <c r="AN44" s="242">
        <f>+AJ44+AL44</f>
        <v>1910000</v>
      </c>
      <c r="AO44" s="242">
        <f t="shared" si="50"/>
        <v>1910000</v>
      </c>
      <c r="AP44" s="242">
        <f>IFERROR(VLOOKUP($A44,計價收入預算!$A:$AW,43,0),0)</f>
        <v>0</v>
      </c>
      <c r="AQ44" s="242">
        <f t="shared" si="51"/>
        <v>0</v>
      </c>
      <c r="AR44" s="226">
        <f>+AN44+AP44</f>
        <v>1910000</v>
      </c>
      <c r="AS44" s="242">
        <f t="shared" si="52"/>
        <v>1910000</v>
      </c>
      <c r="AT44" s="242">
        <f>IFERROR(VLOOKUP($A44,計價收入預算!$A:$AW,44,0),0)</f>
        <v>0</v>
      </c>
      <c r="AU44" s="242">
        <f t="shared" si="53"/>
        <v>0</v>
      </c>
      <c r="AV44" s="226">
        <f>+AR44+AT44</f>
        <v>1910000</v>
      </c>
      <c r="AW44" s="242">
        <f t="shared" si="54"/>
        <v>1910000</v>
      </c>
      <c r="AX44" s="242">
        <f>IFERROR(VLOOKUP($A45,計價收入預算!$A:$AW,45,0),0)</f>
        <v>0</v>
      </c>
      <c r="AY44" s="242">
        <f t="shared" si="55"/>
        <v>0</v>
      </c>
      <c r="AZ44" s="226">
        <f>+AV44+AX44</f>
        <v>1910000</v>
      </c>
      <c r="BA44" s="242">
        <f t="shared" si="56"/>
        <v>1910000</v>
      </c>
    </row>
    <row r="45" spans="1:53" ht="20.25" customHeight="1" outlineLevel="1">
      <c r="A45" s="175" t="s">
        <v>694</v>
      </c>
      <c r="B45" s="172" t="s">
        <v>454</v>
      </c>
      <c r="C45" s="169" t="s">
        <v>1037</v>
      </c>
      <c r="D45" s="242">
        <f>IFERROR(VLOOKUP(A45,計價收入預算!$A:$AW,9,0),0)</f>
        <v>2040000</v>
      </c>
      <c r="E45" s="242">
        <f t="shared" si="32"/>
        <v>2040000</v>
      </c>
      <c r="F45" s="242">
        <f t="shared" si="33"/>
        <v>640000</v>
      </c>
      <c r="G45" s="242">
        <f t="shared" si="34"/>
        <v>640000</v>
      </c>
      <c r="H45" s="242">
        <f>IFERROR(VLOOKUP($A45,計價收入預算!$A:$AW,26,0),0)</f>
        <v>2680000</v>
      </c>
      <c r="I45" s="242">
        <f t="shared" si="35"/>
        <v>2680000</v>
      </c>
      <c r="J45" s="242">
        <f>IFERROR(VLOOKUP($A45,計價收入預算!$A:$AW,28,0),0)</f>
        <v>160000</v>
      </c>
      <c r="K45" s="242">
        <f t="shared" si="36"/>
        <v>160000</v>
      </c>
      <c r="L45" s="242">
        <f>IFERROR(VLOOKUP($A45,計價收入預算!$A:$AW,29,0),0)</f>
        <v>160000</v>
      </c>
      <c r="M45" s="242">
        <f>SUM(L45:L45)</f>
        <v>160000</v>
      </c>
      <c r="N45" s="242">
        <f>IFERROR(VLOOKUP($A45,計價收入預算!$A:$AW,30,0),0)</f>
        <v>160000</v>
      </c>
      <c r="O45" s="242">
        <f t="shared" si="37"/>
        <v>160000</v>
      </c>
      <c r="P45" s="242">
        <f>IFERROR(VLOOKUP($A45,計價收入預算!$A:$AW,31,0),0)</f>
        <v>160000</v>
      </c>
      <c r="Q45" s="242">
        <f t="shared" si="38"/>
        <v>160000</v>
      </c>
      <c r="R45" s="242">
        <f>IFERROR(VLOOKUP($A45,計價收入預算!$A:$AW,32,0),0)</f>
        <v>160000</v>
      </c>
      <c r="S45" s="242">
        <f t="shared" si="39"/>
        <v>160000</v>
      </c>
      <c r="T45" s="242">
        <f>IFERROR(VLOOKUP($A45,計價收入預算!$A:$AW,33,0),0)</f>
        <v>160000</v>
      </c>
      <c r="U45" s="242">
        <f t="shared" si="40"/>
        <v>160000</v>
      </c>
      <c r="V45" s="242">
        <f>IFERROR(VLOOKUP($A45,計價收入預算!$A:$AW,34,0),0)</f>
        <v>197000</v>
      </c>
      <c r="W45" s="242">
        <f t="shared" si="41"/>
        <v>197000</v>
      </c>
      <c r="X45" s="242">
        <f>IFERROR(VLOOKUP($A45,計價收入預算!$A:$AW,35,0),0)</f>
        <v>132500</v>
      </c>
      <c r="Y45" s="242">
        <f t="shared" si="42"/>
        <v>132500</v>
      </c>
      <c r="Z45" s="242">
        <f>IFERROR(VLOOKUP($A45,計價收入預算!$A:$AW,36,0),0)</f>
        <v>0</v>
      </c>
      <c r="AA45" s="242">
        <f t="shared" si="43"/>
        <v>0</v>
      </c>
      <c r="AB45" s="242">
        <f>IFERROR(VLOOKUP($A45,計價收入預算!$A:$AW,37,0),0)</f>
        <v>0</v>
      </c>
      <c r="AC45" s="242">
        <f t="shared" si="44"/>
        <v>0</v>
      </c>
      <c r="AD45" s="242">
        <f>IFERROR(VLOOKUP($A45,計價收入預算!$A:$AW,38,0),0)</f>
        <v>0</v>
      </c>
      <c r="AE45" s="242">
        <f t="shared" si="45"/>
        <v>0</v>
      </c>
      <c r="AF45" s="242">
        <f>IFERROR(VLOOKUP($A45,計價收入預算!$A:$AW,39,0),0)</f>
        <v>0</v>
      </c>
      <c r="AG45" s="242">
        <f t="shared" si="46"/>
        <v>0</v>
      </c>
      <c r="AH45" s="314">
        <f>SUMIF($J$4:$AG$4,$AH$4,$J45:$AG$66)</f>
        <v>1289500</v>
      </c>
      <c r="AI45" s="314">
        <f t="shared" si="47"/>
        <v>1289500</v>
      </c>
      <c r="AJ45" s="264">
        <f>+H45+AH45</f>
        <v>3969500</v>
      </c>
      <c r="AK45" s="242">
        <f t="shared" si="48"/>
        <v>3969500</v>
      </c>
      <c r="AL45" s="242">
        <f>IFERROR(VLOOKUP($A45,計價收入預算!$A:$AW,42,0),0)</f>
        <v>0</v>
      </c>
      <c r="AM45" s="242">
        <f t="shared" si="49"/>
        <v>0</v>
      </c>
      <c r="AN45" s="242">
        <f>+AJ45+AL45</f>
        <v>3969500</v>
      </c>
      <c r="AO45" s="242">
        <f t="shared" si="50"/>
        <v>3969500</v>
      </c>
      <c r="AP45" s="242">
        <f>IFERROR(VLOOKUP($A45,計價收入預算!$A:$AW,43,0),0)</f>
        <v>0</v>
      </c>
      <c r="AQ45" s="242">
        <f t="shared" si="51"/>
        <v>0</v>
      </c>
      <c r="AR45" s="226">
        <f>+AN45+AP45</f>
        <v>3969500</v>
      </c>
      <c r="AS45" s="242">
        <f t="shared" si="52"/>
        <v>3969500</v>
      </c>
      <c r="AT45" s="242">
        <f>IFERROR(VLOOKUP($A45,計價收入預算!$A:$AW,44,0),0)</f>
        <v>0</v>
      </c>
      <c r="AU45" s="242">
        <f t="shared" si="53"/>
        <v>0</v>
      </c>
      <c r="AV45" s="226">
        <f>+AR45+AT45</f>
        <v>3969500</v>
      </c>
      <c r="AW45" s="242">
        <f t="shared" si="54"/>
        <v>3969500</v>
      </c>
      <c r="AX45" s="242">
        <f>IFERROR(VLOOKUP($A45,計價收入預算!$A:$AW,45,0),0)</f>
        <v>0</v>
      </c>
      <c r="AY45" s="242">
        <f t="shared" si="55"/>
        <v>0</v>
      </c>
      <c r="AZ45" s="226">
        <f>+AV45+AX45</f>
        <v>3969500</v>
      </c>
      <c r="BA45" s="242">
        <f t="shared" si="56"/>
        <v>3969500</v>
      </c>
    </row>
    <row r="46" spans="1:53" ht="20.25" customHeight="1" outlineLevel="1">
      <c r="A46" s="175" t="s">
        <v>695</v>
      </c>
      <c r="B46" s="172" t="s">
        <v>696</v>
      </c>
      <c r="C46" s="169" t="s">
        <v>1037</v>
      </c>
      <c r="D46" s="242">
        <f>IFERROR(VLOOKUP(A46,計價收入預算!$A:$AW,9,0),0)</f>
        <v>1395000</v>
      </c>
      <c r="E46" s="242">
        <f t="shared" si="32"/>
        <v>1395000</v>
      </c>
      <c r="F46" s="242">
        <f t="shared" si="33"/>
        <v>620000</v>
      </c>
      <c r="G46" s="242">
        <f t="shared" si="34"/>
        <v>620000</v>
      </c>
      <c r="H46" s="242">
        <f>IFERROR(VLOOKUP($A46,計價收入預算!$A:$AW,26,0),0)</f>
        <v>2015000</v>
      </c>
      <c r="I46" s="242">
        <f t="shared" si="35"/>
        <v>2015000</v>
      </c>
      <c r="J46" s="242">
        <f>IFERROR(VLOOKUP($A46,計價收入預算!$A:$AW,28,0),0)</f>
        <v>155000</v>
      </c>
      <c r="K46" s="242">
        <f t="shared" si="36"/>
        <v>155000</v>
      </c>
      <c r="L46" s="242">
        <f>IFERROR(VLOOKUP($A46,計價收入預算!$A:$AW,29,0),0)</f>
        <v>155000</v>
      </c>
      <c r="M46" s="242">
        <f>SUM(L46:L46)</f>
        <v>155000</v>
      </c>
      <c r="N46" s="242">
        <f>IFERROR(VLOOKUP($A46,計價收入預算!$A:$AW,30,0),0)</f>
        <v>155000</v>
      </c>
      <c r="O46" s="242">
        <f t="shared" si="37"/>
        <v>155000</v>
      </c>
      <c r="P46" s="242">
        <f>IFERROR(VLOOKUP($A46,計價收入預算!$A:$AW,31,0),0)</f>
        <v>174999.99999999997</v>
      </c>
      <c r="Q46" s="242">
        <f t="shared" si="38"/>
        <v>174999.99999999997</v>
      </c>
      <c r="R46" s="242">
        <f>IFERROR(VLOOKUP($A46,計價收入預算!$A:$AW,32,0),0)</f>
        <v>0</v>
      </c>
      <c r="S46" s="242">
        <f t="shared" si="39"/>
        <v>0</v>
      </c>
      <c r="T46" s="242">
        <f>IFERROR(VLOOKUP($A46,計價收入預算!$A:$AW,33,0),0)</f>
        <v>0</v>
      </c>
      <c r="U46" s="242">
        <f t="shared" si="40"/>
        <v>0</v>
      </c>
      <c r="V46" s="242">
        <f>IFERROR(VLOOKUP($A46,計價收入預算!$A:$AW,34,0),0)</f>
        <v>0</v>
      </c>
      <c r="W46" s="242">
        <f t="shared" si="41"/>
        <v>0</v>
      </c>
      <c r="X46" s="242">
        <f>IFERROR(VLOOKUP($A46,計價收入預算!$A:$AW,35,0),0)</f>
        <v>0</v>
      </c>
      <c r="Y46" s="242">
        <f t="shared" si="42"/>
        <v>0</v>
      </c>
      <c r="Z46" s="242">
        <f>IFERROR(VLOOKUP($A46,計價收入預算!$A:$AW,36,0),0)</f>
        <v>0</v>
      </c>
      <c r="AA46" s="242">
        <f t="shared" si="43"/>
        <v>0</v>
      </c>
      <c r="AB46" s="242">
        <f>IFERROR(VLOOKUP($A46,計價收入預算!$A:$AW,37,0),0)</f>
        <v>0</v>
      </c>
      <c r="AC46" s="242">
        <f t="shared" si="44"/>
        <v>0</v>
      </c>
      <c r="AD46" s="242">
        <f>IFERROR(VLOOKUP($A46,計價收入預算!$A:$AW,38,0),0)</f>
        <v>0</v>
      </c>
      <c r="AE46" s="242">
        <f t="shared" si="45"/>
        <v>0</v>
      </c>
      <c r="AF46" s="242">
        <f>IFERROR(VLOOKUP($A46,計價收入預算!$A:$AW,39,0),0)</f>
        <v>0</v>
      </c>
      <c r="AG46" s="242">
        <f t="shared" si="46"/>
        <v>0</v>
      </c>
      <c r="AH46" s="314">
        <f>SUMIF($J$4:$AG$4,$AH$4,$J46:$AG$66)</f>
        <v>640000</v>
      </c>
      <c r="AI46" s="314">
        <f t="shared" si="47"/>
        <v>640000</v>
      </c>
      <c r="AJ46" s="264">
        <f>+H46+AH46</f>
        <v>2655000</v>
      </c>
      <c r="AK46" s="242">
        <f t="shared" si="48"/>
        <v>2655000</v>
      </c>
      <c r="AL46" s="242">
        <f>IFERROR(VLOOKUP($A46,計價收入預算!$A:$AW,42,0),0)</f>
        <v>0</v>
      </c>
      <c r="AM46" s="242">
        <f t="shared" si="49"/>
        <v>0</v>
      </c>
      <c r="AN46" s="242">
        <f>+AJ46+AL46</f>
        <v>2655000</v>
      </c>
      <c r="AO46" s="242">
        <f t="shared" si="50"/>
        <v>2655000</v>
      </c>
      <c r="AP46" s="242">
        <f>IFERROR(VLOOKUP($A46,計價收入預算!$A:$AW,43,0),0)</f>
        <v>0</v>
      </c>
      <c r="AQ46" s="242">
        <f t="shared" si="51"/>
        <v>0</v>
      </c>
      <c r="AR46" s="226">
        <f>+AN46+AP46</f>
        <v>2655000</v>
      </c>
      <c r="AS46" s="242">
        <f t="shared" si="52"/>
        <v>2655000</v>
      </c>
      <c r="AT46" s="242">
        <f>IFERROR(VLOOKUP($A46,計價收入預算!$A:$AW,44,0),0)</f>
        <v>0</v>
      </c>
      <c r="AU46" s="242">
        <f t="shared" si="53"/>
        <v>0</v>
      </c>
      <c r="AV46" s="226">
        <f>+AR46+AT46</f>
        <v>2655000</v>
      </c>
      <c r="AW46" s="242">
        <f t="shared" si="54"/>
        <v>2655000</v>
      </c>
      <c r="AX46" s="242">
        <f>IFERROR(VLOOKUP($A46,計價收入預算!$A:$AW,45,0),0)</f>
        <v>0</v>
      </c>
      <c r="AY46" s="242">
        <f t="shared" si="55"/>
        <v>0</v>
      </c>
      <c r="AZ46" s="226">
        <f>+AV46+AX46</f>
        <v>2655000</v>
      </c>
      <c r="BA46" s="242">
        <f t="shared" si="56"/>
        <v>2655000</v>
      </c>
    </row>
    <row r="47" spans="1:53" ht="20.25" customHeight="1" outlineLevel="1">
      <c r="A47" s="175" t="s">
        <v>697</v>
      </c>
      <c r="B47" s="172" t="s">
        <v>698</v>
      </c>
      <c r="C47" s="169" t="s">
        <v>1037</v>
      </c>
      <c r="D47" s="242">
        <f>IFERROR(VLOOKUP(A47,計價收入預算!$A:$AW,9,0),0)</f>
        <v>534000</v>
      </c>
      <c r="E47" s="242">
        <f t="shared" si="32"/>
        <v>534000</v>
      </c>
      <c r="F47" s="242">
        <f t="shared" si="33"/>
        <v>480000</v>
      </c>
      <c r="G47" s="242">
        <f t="shared" si="34"/>
        <v>480000</v>
      </c>
      <c r="H47" s="242">
        <f>IFERROR(VLOOKUP($A47,計價收入預算!$A:$AW,26,0),0)</f>
        <v>1014000</v>
      </c>
      <c r="I47" s="242">
        <f t="shared" si="35"/>
        <v>1014000</v>
      </c>
      <c r="J47" s="242">
        <f>IFERROR(VLOOKUP($A47,計價收入預算!$A:$AW,28,0),0)</f>
        <v>160000</v>
      </c>
      <c r="K47" s="242">
        <f t="shared" si="36"/>
        <v>160000</v>
      </c>
      <c r="L47" s="242">
        <f>IFERROR(VLOOKUP($A47,計價收入預算!$A:$AW,29,0),0)</f>
        <v>160000</v>
      </c>
      <c r="M47" s="242">
        <f>SUM(L47:L47)</f>
        <v>160000</v>
      </c>
      <c r="N47" s="242">
        <f>IFERROR(VLOOKUP($A47,計價收入預算!$A:$AW,30,0),0)</f>
        <v>160000</v>
      </c>
      <c r="O47" s="242">
        <f t="shared" si="37"/>
        <v>160000</v>
      </c>
      <c r="P47" s="242">
        <f>IFERROR(VLOOKUP($A47,計價收入預算!$A:$AW,31,0),0)</f>
        <v>160000</v>
      </c>
      <c r="Q47" s="242">
        <f t="shared" si="38"/>
        <v>160000</v>
      </c>
      <c r="R47" s="242">
        <f>IFERROR(VLOOKUP($A47,計價收入預算!$A:$AW,32,0),0)</f>
        <v>80000</v>
      </c>
      <c r="S47" s="242">
        <f t="shared" si="39"/>
        <v>80000</v>
      </c>
      <c r="T47" s="242">
        <f>IFERROR(VLOOKUP($A47,計價收入預算!$A:$AW,33,0),0)</f>
        <v>160000</v>
      </c>
      <c r="U47" s="242">
        <f t="shared" si="40"/>
        <v>160000</v>
      </c>
      <c r="V47" s="242">
        <f>IFERROR(VLOOKUP($A47,計價收入預算!$A:$AW,34,0),0)</f>
        <v>294000</v>
      </c>
      <c r="W47" s="242">
        <f t="shared" si="41"/>
        <v>294000</v>
      </c>
      <c r="X47" s="242">
        <f>IFERROR(VLOOKUP($A47,計價收入預算!$A:$AW,35,0),0)</f>
        <v>240000</v>
      </c>
      <c r="Y47" s="242">
        <f t="shared" si="42"/>
        <v>240000</v>
      </c>
      <c r="Z47" s="242">
        <f>IFERROR(VLOOKUP($A47,計價收入預算!$A:$AW,36,0),0)</f>
        <v>160000</v>
      </c>
      <c r="AA47" s="242">
        <f t="shared" si="43"/>
        <v>160000</v>
      </c>
      <c r="AB47" s="242">
        <f>IFERROR(VLOOKUP($A47,計價收入預算!$A:$AW,37,0),0)</f>
        <v>0</v>
      </c>
      <c r="AC47" s="242">
        <f t="shared" si="44"/>
        <v>0</v>
      </c>
      <c r="AD47" s="242">
        <f>IFERROR(VLOOKUP($A47,計價收入預算!$A:$AW,38,0),0)</f>
        <v>0</v>
      </c>
      <c r="AE47" s="242">
        <f t="shared" si="45"/>
        <v>0</v>
      </c>
      <c r="AF47" s="242">
        <f>IFERROR(VLOOKUP($A47,計價收入預算!$A:$AW,39,0),0)</f>
        <v>0</v>
      </c>
      <c r="AG47" s="242">
        <f t="shared" si="46"/>
        <v>0</v>
      </c>
      <c r="AH47" s="314">
        <f>SUMIF($J$4:$AG$4,$AH$4,$J47:$AG$66)</f>
        <v>1574000</v>
      </c>
      <c r="AI47" s="314">
        <f t="shared" si="47"/>
        <v>1574000</v>
      </c>
      <c r="AJ47" s="264">
        <f>+H47+AH47</f>
        <v>2588000</v>
      </c>
      <c r="AK47" s="242">
        <f t="shared" si="48"/>
        <v>2588000</v>
      </c>
      <c r="AL47" s="242">
        <f>IFERROR(VLOOKUP($A47,計價收入預算!$A:$AW,42,0),0)</f>
        <v>0</v>
      </c>
      <c r="AM47" s="242">
        <f t="shared" si="49"/>
        <v>0</v>
      </c>
      <c r="AN47" s="242">
        <f>+AJ47+AL47</f>
        <v>2588000</v>
      </c>
      <c r="AO47" s="242">
        <f t="shared" si="50"/>
        <v>2588000</v>
      </c>
      <c r="AP47" s="242">
        <f>IFERROR(VLOOKUP($A47,計價收入預算!$A:$AW,43,0),0)</f>
        <v>0</v>
      </c>
      <c r="AQ47" s="242">
        <f t="shared" si="51"/>
        <v>0</v>
      </c>
      <c r="AR47" s="226">
        <f>+AN47+AP47</f>
        <v>2588000</v>
      </c>
      <c r="AS47" s="242">
        <f t="shared" si="52"/>
        <v>2588000</v>
      </c>
      <c r="AT47" s="242">
        <f>IFERROR(VLOOKUP($A47,計價收入預算!$A:$AW,44,0),0)</f>
        <v>0</v>
      </c>
      <c r="AU47" s="242">
        <f t="shared" si="53"/>
        <v>0</v>
      </c>
      <c r="AV47" s="226">
        <f>+AR47+AT47</f>
        <v>2588000</v>
      </c>
      <c r="AW47" s="242">
        <f t="shared" si="54"/>
        <v>2588000</v>
      </c>
      <c r="AX47" s="242">
        <f>IFERROR(VLOOKUP($A47,計價收入預算!$A:$AW,45,0),0)</f>
        <v>0</v>
      </c>
      <c r="AY47" s="242">
        <f t="shared" si="55"/>
        <v>0</v>
      </c>
      <c r="AZ47" s="226">
        <f>+AV47+AX47</f>
        <v>2588000</v>
      </c>
      <c r="BA47" s="242">
        <f t="shared" si="56"/>
        <v>2588000</v>
      </c>
    </row>
    <row r="48" spans="1:53" ht="20.25" customHeight="1" outlineLevel="1">
      <c r="A48" s="175" t="s">
        <v>699</v>
      </c>
      <c r="B48" s="172" t="s">
        <v>700</v>
      </c>
      <c r="C48" s="169" t="s">
        <v>1037</v>
      </c>
      <c r="D48" s="242">
        <f>IFERROR(VLOOKUP(A48,計價收入預算!$A:$AW,9,0),0)</f>
        <v>160000</v>
      </c>
      <c r="E48" s="242">
        <f t="shared" si="32"/>
        <v>160000</v>
      </c>
      <c r="F48" s="242">
        <f t="shared" si="33"/>
        <v>534000</v>
      </c>
      <c r="G48" s="242">
        <f t="shared" si="34"/>
        <v>534000</v>
      </c>
      <c r="H48" s="242">
        <f>IFERROR(VLOOKUP($A48,計價收入預算!$A:$AW,26,0),0)</f>
        <v>694000</v>
      </c>
      <c r="I48" s="242">
        <f t="shared" si="35"/>
        <v>694000</v>
      </c>
      <c r="J48" s="242">
        <f>IFERROR(VLOOKUP($A48,計價收入預算!$A:$AW,28,0),0)</f>
        <v>160000</v>
      </c>
      <c r="K48" s="242">
        <f t="shared" si="36"/>
        <v>160000</v>
      </c>
      <c r="L48" s="242">
        <f>IFERROR(VLOOKUP($A48,計價收入預算!$A:$AW,29,0),0)</f>
        <v>160000</v>
      </c>
      <c r="M48" s="242">
        <f>SUM(L48:L48)</f>
        <v>160000</v>
      </c>
      <c r="N48" s="242">
        <f>IFERROR(VLOOKUP($A48,計價收入預算!$A:$AW,30,0),0)</f>
        <v>160000</v>
      </c>
      <c r="O48" s="242">
        <f t="shared" si="37"/>
        <v>160000</v>
      </c>
      <c r="P48" s="242">
        <f>IFERROR(VLOOKUP($A48,計價收入預算!$A:$AW,31,0),0)</f>
        <v>160000</v>
      </c>
      <c r="Q48" s="242">
        <f t="shared" si="38"/>
        <v>160000</v>
      </c>
      <c r="R48" s="242">
        <f>IFERROR(VLOOKUP($A48,計價收入預算!$A:$AW,32,0),0)</f>
        <v>240000</v>
      </c>
      <c r="S48" s="242">
        <f t="shared" si="39"/>
        <v>240000</v>
      </c>
      <c r="T48" s="242">
        <f>IFERROR(VLOOKUP($A48,計價收入預算!$A:$AW,33,0),0)</f>
        <v>240000</v>
      </c>
      <c r="U48" s="242">
        <f t="shared" si="40"/>
        <v>240000</v>
      </c>
      <c r="V48" s="242">
        <f>IFERROR(VLOOKUP($A48,計價收入預算!$A:$AW,34,0),0)</f>
        <v>320000</v>
      </c>
      <c r="W48" s="242">
        <f t="shared" si="41"/>
        <v>320000</v>
      </c>
      <c r="X48" s="242">
        <f>IFERROR(VLOOKUP($A48,計價收入預算!$A:$AW,35,0),0)</f>
        <v>374000</v>
      </c>
      <c r="Y48" s="242">
        <f t="shared" si="42"/>
        <v>374000</v>
      </c>
      <c r="Z48" s="242">
        <f>IFERROR(VLOOKUP($A48,計價收入預算!$A:$AW,36,0),0)</f>
        <v>320000</v>
      </c>
      <c r="AA48" s="242">
        <f t="shared" si="43"/>
        <v>320000</v>
      </c>
      <c r="AB48" s="242">
        <f>IFERROR(VLOOKUP($A48,計價收入預算!$A:$AW,37,0),0)</f>
        <v>320000</v>
      </c>
      <c r="AC48" s="242">
        <f t="shared" si="44"/>
        <v>320000</v>
      </c>
      <c r="AD48" s="242">
        <f>IFERROR(VLOOKUP($A48,計價收入預算!$A:$AW,38,0),0)</f>
        <v>240000</v>
      </c>
      <c r="AE48" s="242">
        <f t="shared" si="45"/>
        <v>240000</v>
      </c>
      <c r="AF48" s="242">
        <f>IFERROR(VLOOKUP($A48,計價收入預算!$A:$AW,39,0),0)</f>
        <v>160000</v>
      </c>
      <c r="AG48" s="242">
        <f t="shared" si="46"/>
        <v>160000</v>
      </c>
      <c r="AH48" s="314">
        <f>SUMIF($J$4:$AG$4,$AH$4,$J48:$AG$66)</f>
        <v>2854000</v>
      </c>
      <c r="AI48" s="314">
        <f t="shared" si="47"/>
        <v>2854000</v>
      </c>
      <c r="AJ48" s="264">
        <f>+H48+AH48</f>
        <v>3548000</v>
      </c>
      <c r="AK48" s="242">
        <f t="shared" si="48"/>
        <v>3548000</v>
      </c>
      <c r="AL48" s="242">
        <f>IFERROR(VLOOKUP($A48,計價收入預算!$A:$AW,42,0),0)</f>
        <v>522039.99999999971</v>
      </c>
      <c r="AM48" s="242">
        <f t="shared" si="49"/>
        <v>522039.99999999971</v>
      </c>
      <c r="AN48" s="242">
        <f>+AJ48+AL48</f>
        <v>4070039.9999999995</v>
      </c>
      <c r="AO48" s="242">
        <f t="shared" si="50"/>
        <v>4070039.9999999995</v>
      </c>
      <c r="AP48" s="242">
        <f>IFERROR(VLOOKUP($A48,計價收入預算!$A:$AW,43,0),0)</f>
        <v>0</v>
      </c>
      <c r="AQ48" s="242">
        <f t="shared" si="51"/>
        <v>0</v>
      </c>
      <c r="AR48" s="226">
        <f>+AN48+AP48</f>
        <v>4070039.9999999995</v>
      </c>
      <c r="AS48" s="242">
        <f t="shared" si="52"/>
        <v>4070039.9999999995</v>
      </c>
      <c r="AT48" s="242">
        <f>IFERROR(VLOOKUP($A48,計價收入預算!$A:$AW,44,0),0)</f>
        <v>0</v>
      </c>
      <c r="AU48" s="242">
        <f t="shared" si="53"/>
        <v>0</v>
      </c>
      <c r="AV48" s="226">
        <f>+AR48+AT48</f>
        <v>4070039.9999999995</v>
      </c>
      <c r="AW48" s="242">
        <f t="shared" si="54"/>
        <v>4070039.9999999995</v>
      </c>
      <c r="AX48" s="242">
        <f>IFERROR(VLOOKUP($A48,計價收入預算!$A:$AW,45,0),0)</f>
        <v>0</v>
      </c>
      <c r="AY48" s="242">
        <f t="shared" si="55"/>
        <v>0</v>
      </c>
      <c r="AZ48" s="226">
        <f>+AV48+AX48</f>
        <v>4070039.9999999995</v>
      </c>
      <c r="BA48" s="242">
        <f t="shared" si="56"/>
        <v>4070039.9999999995</v>
      </c>
    </row>
    <row r="49" spans="1:53" ht="20.25" customHeight="1" outlineLevel="1">
      <c r="A49" s="175" t="s">
        <v>701</v>
      </c>
      <c r="B49" s="172" t="s">
        <v>702</v>
      </c>
      <c r="C49" s="169" t="s">
        <v>1037</v>
      </c>
      <c r="D49" s="242">
        <f>IFERROR(VLOOKUP(A49,計價收入預算!$A:$AW,9,0),0)</f>
        <v>0</v>
      </c>
      <c r="E49" s="242">
        <f t="shared" si="32"/>
        <v>0</v>
      </c>
      <c r="F49" s="242">
        <f t="shared" si="33"/>
        <v>1195000</v>
      </c>
      <c r="G49" s="242">
        <f t="shared" si="34"/>
        <v>1195000</v>
      </c>
      <c r="H49" s="242">
        <f>IFERROR(VLOOKUP($A49,計價收入預算!$A:$AW,26,0),0)</f>
        <v>1195000</v>
      </c>
      <c r="I49" s="242">
        <f t="shared" si="35"/>
        <v>1195000</v>
      </c>
      <c r="J49" s="242">
        <f>IFERROR(VLOOKUP($A49,計價收入預算!$A:$AW,28,0),0)</f>
        <v>175000</v>
      </c>
      <c r="K49" s="242">
        <f t="shared" si="36"/>
        <v>175000</v>
      </c>
      <c r="L49" s="242">
        <f>IFERROR(VLOOKUP($A49,計價收入預算!$A:$AW,29,0),0)</f>
        <v>262500</v>
      </c>
      <c r="M49" s="242">
        <f>SUM(L49:L49)</f>
        <v>262500</v>
      </c>
      <c r="N49" s="242">
        <f>IFERROR(VLOOKUP($A49,計價收入預算!$A:$AW,30,0),0)</f>
        <v>262500</v>
      </c>
      <c r="O49" s="242">
        <f t="shared" si="37"/>
        <v>262500</v>
      </c>
      <c r="P49" s="242">
        <f>IFERROR(VLOOKUP($A49,計價收入預算!$A:$AW,31,0),0)</f>
        <v>262500</v>
      </c>
      <c r="Q49" s="242">
        <f t="shared" si="38"/>
        <v>262500</v>
      </c>
      <c r="R49" s="242">
        <f>IFERROR(VLOOKUP($A49,計價收入預算!$A:$AW,32,0),0)</f>
        <v>262500</v>
      </c>
      <c r="S49" s="242">
        <f t="shared" si="39"/>
        <v>262500</v>
      </c>
      <c r="T49" s="242">
        <f>IFERROR(VLOOKUP($A49,計價收入預算!$A:$AW,33,0),0)</f>
        <v>262500</v>
      </c>
      <c r="U49" s="242">
        <f t="shared" si="40"/>
        <v>262500</v>
      </c>
      <c r="V49" s="242">
        <f>IFERROR(VLOOKUP($A49,計價收入預算!$A:$AW,34,0),0)</f>
        <v>262500</v>
      </c>
      <c r="W49" s="242">
        <f t="shared" si="41"/>
        <v>262500</v>
      </c>
      <c r="X49" s="242">
        <f>IFERROR(VLOOKUP($A49,計價收入預算!$A:$AW,35,0),0)</f>
        <v>262500</v>
      </c>
      <c r="Y49" s="242">
        <f t="shared" si="42"/>
        <v>262500</v>
      </c>
      <c r="Z49" s="242">
        <f>IFERROR(VLOOKUP($A49,計價收入預算!$A:$AW,36,0),0)</f>
        <v>262500</v>
      </c>
      <c r="AA49" s="242">
        <f t="shared" si="43"/>
        <v>262500</v>
      </c>
      <c r="AB49" s="242">
        <f>IFERROR(VLOOKUP($A49,計價收入預算!$A:$AW,37,0),0)</f>
        <v>407500</v>
      </c>
      <c r="AC49" s="242">
        <f t="shared" si="44"/>
        <v>407500</v>
      </c>
      <c r="AD49" s="242">
        <f>IFERROR(VLOOKUP($A49,計價收入預算!$A:$AW,38,0),0)</f>
        <v>262500</v>
      </c>
      <c r="AE49" s="242">
        <f t="shared" si="45"/>
        <v>262500</v>
      </c>
      <c r="AF49" s="242">
        <f>IFERROR(VLOOKUP($A49,計價收入預算!$A:$AW,39,0),0)</f>
        <v>262500</v>
      </c>
      <c r="AG49" s="242">
        <f t="shared" si="46"/>
        <v>262500</v>
      </c>
      <c r="AH49" s="314">
        <f>SUMIF($J$4:$AG$4,$AH$4,$J49:$AG$66)</f>
        <v>3207500</v>
      </c>
      <c r="AI49" s="314">
        <f t="shared" si="47"/>
        <v>3207500</v>
      </c>
      <c r="AJ49" s="264">
        <f>+H49+AH49</f>
        <v>4402500</v>
      </c>
      <c r="AK49" s="242">
        <f t="shared" si="48"/>
        <v>4402500</v>
      </c>
      <c r="AL49" s="242">
        <f>IFERROR(VLOOKUP($A49,計價收入預算!$A:$AW,42,0),0)</f>
        <v>3295000</v>
      </c>
      <c r="AM49" s="242">
        <f t="shared" si="49"/>
        <v>3295000</v>
      </c>
      <c r="AN49" s="242">
        <f>+AJ49+AL49</f>
        <v>7697500</v>
      </c>
      <c r="AO49" s="242">
        <f t="shared" si="50"/>
        <v>7697500</v>
      </c>
      <c r="AP49" s="242">
        <f>IFERROR(VLOOKUP($A49,計價收入預算!$A:$AW,43,0),0)</f>
        <v>3295000</v>
      </c>
      <c r="AQ49" s="242">
        <f t="shared" si="51"/>
        <v>3295000</v>
      </c>
      <c r="AR49" s="226">
        <f>+AN49+AP49</f>
        <v>10992500</v>
      </c>
      <c r="AS49" s="242">
        <f t="shared" si="52"/>
        <v>10992500</v>
      </c>
      <c r="AT49" s="242">
        <f>IFERROR(VLOOKUP($A49,計價收入預算!$A:$AW,44,0),0)</f>
        <v>490166.99999999959</v>
      </c>
      <c r="AU49" s="242">
        <f t="shared" si="53"/>
        <v>490166.99999999959</v>
      </c>
      <c r="AV49" s="226">
        <f>+AR49+AT49</f>
        <v>11482667</v>
      </c>
      <c r="AW49" s="242">
        <f t="shared" si="54"/>
        <v>11482667</v>
      </c>
      <c r="AX49" s="242">
        <f>IFERROR(VLOOKUP($A49,計價收入預算!$A:$AW,45,0),0)</f>
        <v>0</v>
      </c>
      <c r="AY49" s="242">
        <f t="shared" si="55"/>
        <v>0</v>
      </c>
      <c r="AZ49" s="226">
        <f>+AV49+AX49</f>
        <v>11482667</v>
      </c>
      <c r="BA49" s="242">
        <f t="shared" si="56"/>
        <v>11482667</v>
      </c>
    </row>
    <row r="50" spans="1:53" ht="20.25" customHeight="1" outlineLevel="1">
      <c r="A50" s="175" t="s">
        <v>703</v>
      </c>
      <c r="B50" s="172" t="s">
        <v>704</v>
      </c>
      <c r="C50" s="169" t="s">
        <v>1037</v>
      </c>
      <c r="D50" s="242">
        <f>IFERROR(VLOOKUP(A50,計價收入預算!$A:$AW,9,0),0)</f>
        <v>0</v>
      </c>
      <c r="E50" s="242">
        <f t="shared" si="32"/>
        <v>0</v>
      </c>
      <c r="F50" s="242">
        <f t="shared" si="33"/>
        <v>370000</v>
      </c>
      <c r="G50" s="242">
        <f t="shared" si="34"/>
        <v>370000</v>
      </c>
      <c r="H50" s="242">
        <f>IFERROR(VLOOKUP($A50,計價收入預算!$A:$AW,26,0),0)</f>
        <v>370000</v>
      </c>
      <c r="I50" s="242">
        <f t="shared" si="35"/>
        <v>370000</v>
      </c>
      <c r="J50" s="242">
        <f>IFERROR(VLOOKUP($A50,計價收入預算!$A:$AW,28,0),0)</f>
        <v>85000</v>
      </c>
      <c r="K50" s="242">
        <f t="shared" si="36"/>
        <v>85000</v>
      </c>
      <c r="L50" s="242">
        <f>IFERROR(VLOOKUP($A50,計價收入預算!$A:$AW,29,0),0)</f>
        <v>85000</v>
      </c>
      <c r="M50" s="242">
        <f>SUM(L50:L50)</f>
        <v>85000</v>
      </c>
      <c r="N50" s="242">
        <f>IFERROR(VLOOKUP($A50,計價收入預算!$A:$AW,30,0),0)</f>
        <v>85000</v>
      </c>
      <c r="O50" s="242">
        <f t="shared" si="37"/>
        <v>85000</v>
      </c>
      <c r="P50" s="242">
        <f>IFERROR(VLOOKUP($A50,計價收入預算!$A:$AW,31,0),0)</f>
        <v>85000</v>
      </c>
      <c r="Q50" s="242">
        <f t="shared" si="38"/>
        <v>85000</v>
      </c>
      <c r="R50" s="242">
        <f>IFERROR(VLOOKUP($A50,計價收入預算!$A:$AW,32,0),0)</f>
        <v>85000</v>
      </c>
      <c r="S50" s="242">
        <f t="shared" si="39"/>
        <v>85000</v>
      </c>
      <c r="T50" s="242">
        <f>IFERROR(VLOOKUP($A50,計價收入預算!$A:$AW,33,0),0)</f>
        <v>85000</v>
      </c>
      <c r="U50" s="242">
        <f t="shared" si="40"/>
        <v>85000</v>
      </c>
      <c r="V50" s="242">
        <f>IFERROR(VLOOKUP($A50,計價收入預算!$A:$AW,34,0),0)</f>
        <v>85000</v>
      </c>
      <c r="W50" s="242">
        <f t="shared" si="41"/>
        <v>85000</v>
      </c>
      <c r="X50" s="242">
        <f>IFERROR(VLOOKUP($A50,計價收入預算!$A:$AW,35,0),0)</f>
        <v>85000</v>
      </c>
      <c r="Y50" s="242">
        <f t="shared" si="42"/>
        <v>85000</v>
      </c>
      <c r="Z50" s="242">
        <f>IFERROR(VLOOKUP($A50,計價收入預算!$A:$AW,36,0),0)</f>
        <v>115000</v>
      </c>
      <c r="AA50" s="242">
        <f t="shared" si="43"/>
        <v>115000</v>
      </c>
      <c r="AB50" s="242">
        <f>IFERROR(VLOOKUP($A50,計價收入預算!$A:$AW,37,0),0)</f>
        <v>85000</v>
      </c>
      <c r="AC50" s="242">
        <f t="shared" si="44"/>
        <v>85000</v>
      </c>
      <c r="AD50" s="242">
        <f>IFERROR(VLOOKUP($A50,計價收入預算!$A:$AW,38,0),0)</f>
        <v>85000</v>
      </c>
      <c r="AE50" s="242">
        <f t="shared" si="45"/>
        <v>85000</v>
      </c>
      <c r="AF50" s="242">
        <f>IFERROR(VLOOKUP($A50,計價收入預算!$A:$AW,39,0),0)</f>
        <v>85000</v>
      </c>
      <c r="AG50" s="242">
        <f t="shared" si="46"/>
        <v>85000</v>
      </c>
      <c r="AH50" s="314">
        <f>SUMIF($J$4:$AG$4,$AH$4,$J50:$AG$66)</f>
        <v>1050000</v>
      </c>
      <c r="AI50" s="314">
        <f t="shared" si="47"/>
        <v>1050000</v>
      </c>
      <c r="AJ50" s="264">
        <f>+H50+AH50</f>
        <v>1420000</v>
      </c>
      <c r="AK50" s="242">
        <f t="shared" si="48"/>
        <v>1420000</v>
      </c>
      <c r="AL50" s="242">
        <f>IFERROR(VLOOKUP($A50,計價收入預算!$A:$AW,42,0),0)</f>
        <v>540000</v>
      </c>
      <c r="AM50" s="242">
        <f t="shared" si="49"/>
        <v>540000</v>
      </c>
      <c r="AN50" s="242">
        <f>+AJ50+AL50</f>
        <v>1960000</v>
      </c>
      <c r="AO50" s="242">
        <f t="shared" si="50"/>
        <v>1960000</v>
      </c>
      <c r="AP50" s="242">
        <f>IFERROR(VLOOKUP($A50,計價收入預算!$A:$AW,43,0),0)</f>
        <v>0</v>
      </c>
      <c r="AQ50" s="242">
        <f t="shared" si="51"/>
        <v>0</v>
      </c>
      <c r="AR50" s="226">
        <f>+AN50+AP50</f>
        <v>1960000</v>
      </c>
      <c r="AS50" s="242">
        <f t="shared" si="52"/>
        <v>1960000</v>
      </c>
      <c r="AT50" s="242">
        <f>IFERROR(VLOOKUP($A50,計價收入預算!$A:$AW,44,0),0)</f>
        <v>0</v>
      </c>
      <c r="AU50" s="242">
        <f t="shared" si="53"/>
        <v>0</v>
      </c>
      <c r="AV50" s="226">
        <f>+AR50+AT50</f>
        <v>1960000</v>
      </c>
      <c r="AW50" s="242">
        <f t="shared" si="54"/>
        <v>1960000</v>
      </c>
      <c r="AX50" s="242">
        <f>IFERROR(VLOOKUP($A50,計價收入預算!$A:$AW,45,0),0)</f>
        <v>0</v>
      </c>
      <c r="AY50" s="242">
        <f t="shared" si="55"/>
        <v>0</v>
      </c>
      <c r="AZ50" s="226">
        <f>+AV50+AX50</f>
        <v>1960000</v>
      </c>
      <c r="BA50" s="242">
        <f t="shared" si="56"/>
        <v>1960000</v>
      </c>
    </row>
    <row r="51" spans="1:53" ht="20.25" customHeight="1" outlineLevel="1">
      <c r="A51" s="175" t="s">
        <v>710</v>
      </c>
      <c r="B51" s="172" t="s">
        <v>711</v>
      </c>
      <c r="C51" s="169" t="s">
        <v>1037</v>
      </c>
      <c r="D51" s="242">
        <f>IFERROR(VLOOKUP(A51,計價收入預算!$A:$AW,9,0),0)</f>
        <v>0</v>
      </c>
      <c r="E51" s="242">
        <f t="shared" si="32"/>
        <v>0</v>
      </c>
      <c r="F51" s="242">
        <f t="shared" si="33"/>
        <v>0</v>
      </c>
      <c r="G51" s="242">
        <f t="shared" si="34"/>
        <v>0</v>
      </c>
      <c r="H51" s="242">
        <f>IFERROR(VLOOKUP($A51,計價收入預算!$A:$AW,26,0),0)</f>
        <v>0</v>
      </c>
      <c r="I51" s="242">
        <f t="shared" si="35"/>
        <v>0</v>
      </c>
      <c r="J51" s="242">
        <f>IFERROR(VLOOKUP($A51,計價收入預算!$A:$AW,28,0),0)</f>
        <v>0</v>
      </c>
      <c r="K51" s="242">
        <f t="shared" si="36"/>
        <v>0</v>
      </c>
      <c r="L51" s="242">
        <f>IFERROR(VLOOKUP($A51,計價收入預算!$A:$AW,29,0),0)</f>
        <v>0</v>
      </c>
      <c r="M51" s="242">
        <f>SUM(L51:L51)</f>
        <v>0</v>
      </c>
      <c r="N51" s="242">
        <f>IFERROR(VLOOKUP($A51,計價收入預算!$A:$AW,30,0),0)</f>
        <v>0</v>
      </c>
      <c r="O51" s="242">
        <f t="shared" si="37"/>
        <v>0</v>
      </c>
      <c r="P51" s="242">
        <f>IFERROR(VLOOKUP($A51,計價收入預算!$A:$AW,31,0),0)</f>
        <v>0</v>
      </c>
      <c r="Q51" s="242">
        <f t="shared" si="38"/>
        <v>0</v>
      </c>
      <c r="R51" s="242">
        <f>IFERROR(VLOOKUP($A51,計價收入預算!$A:$AW,32,0),0)</f>
        <v>0</v>
      </c>
      <c r="S51" s="242">
        <f t="shared" si="39"/>
        <v>0</v>
      </c>
      <c r="T51" s="242">
        <f>IFERROR(VLOOKUP($A51,計價收入預算!$A:$AW,33,0),0)</f>
        <v>0</v>
      </c>
      <c r="U51" s="242">
        <f t="shared" si="40"/>
        <v>0</v>
      </c>
      <c r="V51" s="242">
        <f>IFERROR(VLOOKUP($A51,計價收入預算!$A:$AW,34,0),0)</f>
        <v>0</v>
      </c>
      <c r="W51" s="242">
        <f t="shared" si="41"/>
        <v>0</v>
      </c>
      <c r="X51" s="242">
        <f>IFERROR(VLOOKUP($A51,計價收入預算!$A:$AW,35,0),0)</f>
        <v>0</v>
      </c>
      <c r="Y51" s="242">
        <f t="shared" si="42"/>
        <v>0</v>
      </c>
      <c r="Z51" s="242">
        <f>IFERROR(VLOOKUP($A51,計價收入預算!$A:$AW,36,0),0)</f>
        <v>0</v>
      </c>
      <c r="AA51" s="242">
        <f t="shared" si="43"/>
        <v>0</v>
      </c>
      <c r="AB51" s="242">
        <f>IFERROR(VLOOKUP($A51,計價收入預算!$A:$AW,37,0),0)</f>
        <v>0</v>
      </c>
      <c r="AC51" s="242">
        <f t="shared" si="44"/>
        <v>0</v>
      </c>
      <c r="AD51" s="242">
        <f>IFERROR(VLOOKUP($A51,計價收入預算!$A:$AW,38,0),0)</f>
        <v>0</v>
      </c>
      <c r="AE51" s="242">
        <f t="shared" si="45"/>
        <v>0</v>
      </c>
      <c r="AF51" s="242">
        <f>IFERROR(VLOOKUP($A51,計價收入預算!$A:$AW,39,0),0)</f>
        <v>0</v>
      </c>
      <c r="AG51" s="242">
        <f t="shared" si="46"/>
        <v>0</v>
      </c>
      <c r="AH51" s="314">
        <f>SUMIF($J$4:$AG$4,$AH$4,$J51:$AG$66)</f>
        <v>0</v>
      </c>
      <c r="AI51" s="314">
        <f t="shared" si="47"/>
        <v>0</v>
      </c>
      <c r="AJ51" s="264">
        <f>+H51+AH51</f>
        <v>0</v>
      </c>
      <c r="AK51" s="242">
        <f t="shared" si="48"/>
        <v>0</v>
      </c>
      <c r="AL51" s="242">
        <f>IFERROR(VLOOKUP($A51,計價收入預算!$A:$AW,42,0),0)</f>
        <v>0</v>
      </c>
      <c r="AM51" s="242">
        <f t="shared" si="49"/>
        <v>0</v>
      </c>
      <c r="AN51" s="242">
        <f>+AJ51+AL51</f>
        <v>0</v>
      </c>
      <c r="AO51" s="242">
        <f t="shared" si="50"/>
        <v>0</v>
      </c>
      <c r="AP51" s="242">
        <f>IFERROR(VLOOKUP($A51,計價收入預算!$A:$AW,43,0),0)</f>
        <v>0</v>
      </c>
      <c r="AQ51" s="242">
        <f t="shared" si="51"/>
        <v>0</v>
      </c>
      <c r="AR51" s="226">
        <f>+AN51+AP51</f>
        <v>0</v>
      </c>
      <c r="AS51" s="242">
        <f t="shared" si="52"/>
        <v>0</v>
      </c>
      <c r="AT51" s="242">
        <f>IFERROR(VLOOKUP($A51,計價收入預算!$A:$AW,44,0),0)</f>
        <v>0</v>
      </c>
      <c r="AU51" s="242">
        <f t="shared" si="53"/>
        <v>0</v>
      </c>
      <c r="AV51" s="226">
        <f>+AR51+AT51</f>
        <v>0</v>
      </c>
      <c r="AW51" s="242">
        <f t="shared" si="54"/>
        <v>0</v>
      </c>
      <c r="AX51" s="242">
        <f>IFERROR(VLOOKUP($A51,計價收入預算!$A:$AW,45,0),0)</f>
        <v>0</v>
      </c>
      <c r="AY51" s="242">
        <f t="shared" si="55"/>
        <v>0</v>
      </c>
      <c r="AZ51" s="226">
        <f>+AV51+AX51</f>
        <v>0</v>
      </c>
      <c r="BA51" s="242">
        <f t="shared" si="56"/>
        <v>0</v>
      </c>
    </row>
    <row r="52" spans="1:53" ht="20.25" customHeight="1" outlineLevel="1">
      <c r="A52" s="175" t="s">
        <v>712</v>
      </c>
      <c r="B52" s="156" t="s">
        <v>711</v>
      </c>
      <c r="C52" s="169" t="s">
        <v>1037</v>
      </c>
      <c r="D52" s="242">
        <f>IFERROR(VLOOKUP(A52,計價收入預算!$A:$AW,9,0),0)</f>
        <v>0</v>
      </c>
      <c r="E52" s="242">
        <f t="shared" si="32"/>
        <v>0</v>
      </c>
      <c r="F52" s="242">
        <f t="shared" si="33"/>
        <v>0</v>
      </c>
      <c r="G52" s="242">
        <f t="shared" si="34"/>
        <v>0</v>
      </c>
      <c r="H52" s="242">
        <f>IFERROR(VLOOKUP($A52,計價收入預算!$A:$AW,26,0),0)</f>
        <v>0</v>
      </c>
      <c r="I52" s="242">
        <f t="shared" si="35"/>
        <v>0</v>
      </c>
      <c r="J52" s="242">
        <f>IFERROR(VLOOKUP($A52,計價收入預算!$A:$AW,28,0),0)</f>
        <v>0</v>
      </c>
      <c r="K52" s="242">
        <f t="shared" si="36"/>
        <v>0</v>
      </c>
      <c r="L52" s="242">
        <f>IFERROR(VLOOKUP($A52,計價收入預算!$A:$AW,29,0),0)</f>
        <v>0</v>
      </c>
      <c r="M52" s="242">
        <f>SUM(L52:L52)</f>
        <v>0</v>
      </c>
      <c r="N52" s="242">
        <f>IFERROR(VLOOKUP($A52,計價收入預算!$A:$AW,30,0),0)</f>
        <v>0</v>
      </c>
      <c r="O52" s="242">
        <f t="shared" si="37"/>
        <v>0</v>
      </c>
      <c r="P52" s="242">
        <f>IFERROR(VLOOKUP($A52,計價收入預算!$A:$AW,31,0),0)</f>
        <v>0</v>
      </c>
      <c r="Q52" s="242">
        <f t="shared" si="38"/>
        <v>0</v>
      </c>
      <c r="R52" s="242">
        <f>IFERROR(VLOOKUP($A52,計價收入預算!$A:$AW,32,0),0)</f>
        <v>0</v>
      </c>
      <c r="S52" s="242">
        <f t="shared" si="39"/>
        <v>0</v>
      </c>
      <c r="T52" s="242">
        <f>IFERROR(VLOOKUP($A52,計價收入預算!$A:$AW,33,0),0)</f>
        <v>0</v>
      </c>
      <c r="U52" s="242">
        <f t="shared" si="40"/>
        <v>0</v>
      </c>
      <c r="V52" s="242">
        <f>IFERROR(VLOOKUP($A52,計價收入預算!$A:$AW,34,0),0)</f>
        <v>0</v>
      </c>
      <c r="W52" s="242">
        <f t="shared" si="41"/>
        <v>0</v>
      </c>
      <c r="X52" s="242">
        <f>IFERROR(VLOOKUP($A52,計價收入預算!$A:$AW,35,0),0)</f>
        <v>0</v>
      </c>
      <c r="Y52" s="242">
        <f t="shared" si="42"/>
        <v>0</v>
      </c>
      <c r="Z52" s="242">
        <f>IFERROR(VLOOKUP($A52,計價收入預算!$A:$AW,36,0),0)</f>
        <v>0</v>
      </c>
      <c r="AA52" s="242">
        <f t="shared" si="43"/>
        <v>0</v>
      </c>
      <c r="AB52" s="242">
        <f>IFERROR(VLOOKUP($A52,計價收入預算!$A:$AW,37,0),0)</f>
        <v>0</v>
      </c>
      <c r="AC52" s="242">
        <f t="shared" si="44"/>
        <v>0</v>
      </c>
      <c r="AD52" s="242">
        <f>IFERROR(VLOOKUP($A52,計價收入預算!$A:$AW,38,0),0)</f>
        <v>0</v>
      </c>
      <c r="AE52" s="242">
        <f t="shared" si="45"/>
        <v>0</v>
      </c>
      <c r="AF52" s="242">
        <f>IFERROR(VLOOKUP($A52,計價收入預算!$A:$AW,39,0),0)</f>
        <v>0</v>
      </c>
      <c r="AG52" s="242">
        <f t="shared" si="46"/>
        <v>0</v>
      </c>
      <c r="AH52" s="314">
        <f>SUMIF($J$4:$AG$4,$AH$4,$J52:$AG$66)</f>
        <v>0</v>
      </c>
      <c r="AI52" s="314">
        <f t="shared" si="47"/>
        <v>0</v>
      </c>
      <c r="AJ52" s="264">
        <f>+H52+AH52</f>
        <v>0</v>
      </c>
      <c r="AK52" s="242">
        <f t="shared" si="48"/>
        <v>0</v>
      </c>
      <c r="AL52" s="242">
        <f>IFERROR(VLOOKUP($A52,計價收入預算!$A:$AW,42,0),0)</f>
        <v>0</v>
      </c>
      <c r="AM52" s="242">
        <f t="shared" si="49"/>
        <v>0</v>
      </c>
      <c r="AN52" s="242">
        <f>+AJ52+AL52</f>
        <v>0</v>
      </c>
      <c r="AO52" s="242">
        <f t="shared" si="50"/>
        <v>0</v>
      </c>
      <c r="AP52" s="242">
        <f>IFERROR(VLOOKUP($A52,計價收入預算!$A:$AW,43,0),0)</f>
        <v>0</v>
      </c>
      <c r="AQ52" s="242">
        <f t="shared" si="51"/>
        <v>0</v>
      </c>
      <c r="AR52" s="226">
        <f>+AN52+AP52</f>
        <v>0</v>
      </c>
      <c r="AS52" s="242">
        <f t="shared" si="52"/>
        <v>0</v>
      </c>
      <c r="AT52" s="242">
        <f>IFERROR(VLOOKUP($A52,計價收入預算!$A:$AW,44,0),0)</f>
        <v>0</v>
      </c>
      <c r="AU52" s="242">
        <f t="shared" si="53"/>
        <v>0</v>
      </c>
      <c r="AV52" s="226">
        <f>+AR52+AT52</f>
        <v>0</v>
      </c>
      <c r="AW52" s="242">
        <f t="shared" si="54"/>
        <v>0</v>
      </c>
      <c r="AX52" s="242">
        <f>IFERROR(VLOOKUP($A52,計價收入預算!$A:$AW,45,0),0)</f>
        <v>0</v>
      </c>
      <c r="AY52" s="242">
        <f t="shared" si="55"/>
        <v>0</v>
      </c>
      <c r="AZ52" s="226">
        <f>+AV52+AX52</f>
        <v>0</v>
      </c>
      <c r="BA52" s="242">
        <f t="shared" si="56"/>
        <v>0</v>
      </c>
    </row>
    <row r="53" spans="1:53" ht="20.25" customHeight="1" outlineLevel="1">
      <c r="A53" s="175" t="s">
        <v>713</v>
      </c>
      <c r="B53" s="172" t="s">
        <v>714</v>
      </c>
      <c r="C53" s="169" t="s">
        <v>1037</v>
      </c>
      <c r="D53" s="242">
        <f>IFERROR(VLOOKUP(A53,計價收入預算!$A:$AW,9,0),0)</f>
        <v>0</v>
      </c>
      <c r="E53" s="242">
        <f t="shared" si="32"/>
        <v>0</v>
      </c>
      <c r="F53" s="242">
        <f t="shared" si="33"/>
        <v>0</v>
      </c>
      <c r="G53" s="242">
        <f t="shared" si="34"/>
        <v>0</v>
      </c>
      <c r="H53" s="242">
        <f>IFERROR(VLOOKUP($A53,計價收入預算!$A:$AW,26,0),0)</f>
        <v>0</v>
      </c>
      <c r="I53" s="242">
        <f t="shared" si="35"/>
        <v>0</v>
      </c>
      <c r="J53" s="242">
        <f>IFERROR(VLOOKUP($A53,計價收入預算!$A:$AW,28,0),0)</f>
        <v>398500</v>
      </c>
      <c r="K53" s="242">
        <f t="shared" si="36"/>
        <v>398500</v>
      </c>
      <c r="L53" s="242">
        <f>IFERROR(VLOOKUP($A53,計價收入預算!$A:$AW,29,0),0)</f>
        <v>175000</v>
      </c>
      <c r="M53" s="242">
        <f>SUM(L53:L53)</f>
        <v>175000</v>
      </c>
      <c r="N53" s="242">
        <f>IFERROR(VLOOKUP($A53,計價收入預算!$A:$AW,30,0),0)</f>
        <v>685000</v>
      </c>
      <c r="O53" s="242">
        <f t="shared" si="37"/>
        <v>685000</v>
      </c>
      <c r="P53" s="242">
        <f>IFERROR(VLOOKUP($A53,計價收入預算!$A:$AW,31,0),0)</f>
        <v>875000</v>
      </c>
      <c r="Q53" s="242">
        <f t="shared" si="38"/>
        <v>875000</v>
      </c>
      <c r="R53" s="242">
        <f>IFERROR(VLOOKUP($A53,計價收入預算!$A:$AW,32,0),0)</f>
        <v>1137500</v>
      </c>
      <c r="S53" s="242">
        <f t="shared" si="39"/>
        <v>1137500</v>
      </c>
      <c r="T53" s="242">
        <f>IFERROR(VLOOKUP($A53,計價收入預算!$A:$AW,33,0),0)</f>
        <v>1191500</v>
      </c>
      <c r="U53" s="242">
        <f t="shared" si="40"/>
        <v>1191500</v>
      </c>
      <c r="V53" s="242">
        <f>IFERROR(VLOOKUP($A53,計價收入預算!$A:$AW,34,0),0)</f>
        <v>1400000</v>
      </c>
      <c r="W53" s="242">
        <f t="shared" si="41"/>
        <v>1400000</v>
      </c>
      <c r="X53" s="242">
        <f>IFERROR(VLOOKUP($A53,計價收入預算!$A:$AW,35,0),0)</f>
        <v>1400000</v>
      </c>
      <c r="Y53" s="242">
        <f t="shared" si="42"/>
        <v>1400000</v>
      </c>
      <c r="Z53" s="242">
        <f>IFERROR(VLOOKUP($A53,計價收入預算!$A:$AW,36,0),0)</f>
        <v>1575000</v>
      </c>
      <c r="AA53" s="242">
        <f t="shared" si="43"/>
        <v>1575000</v>
      </c>
      <c r="AB53" s="242">
        <f>IFERROR(VLOOKUP($A53,計價收入預算!$A:$AW,37,0),0)</f>
        <v>1575000</v>
      </c>
      <c r="AC53" s="242">
        <f t="shared" si="44"/>
        <v>1575000</v>
      </c>
      <c r="AD53" s="242">
        <f>IFERROR(VLOOKUP($A53,計價收入預算!$A:$AW,38,0),0)</f>
        <v>1575000</v>
      </c>
      <c r="AE53" s="242">
        <f t="shared" si="45"/>
        <v>1575000</v>
      </c>
      <c r="AF53" s="242">
        <f>IFERROR(VLOOKUP($A53,計價收入預算!$A:$AW,39,0),0)</f>
        <v>1575000</v>
      </c>
      <c r="AG53" s="242">
        <f t="shared" si="46"/>
        <v>1575000</v>
      </c>
      <c r="AH53" s="314">
        <f>SUMIF($J$4:$AG$4,$AH$4,$J53:$AG$66)</f>
        <v>13562500</v>
      </c>
      <c r="AI53" s="314">
        <f t="shared" si="47"/>
        <v>13562500</v>
      </c>
      <c r="AJ53" s="264">
        <f>+H53+AH53</f>
        <v>13562500</v>
      </c>
      <c r="AK53" s="242">
        <f t="shared" si="48"/>
        <v>13562500</v>
      </c>
      <c r="AL53" s="242">
        <f>IFERROR(VLOOKUP($A53,計價收入預算!$A:$AW,42,0),0)</f>
        <v>11066000</v>
      </c>
      <c r="AM53" s="242">
        <f t="shared" si="49"/>
        <v>11066000</v>
      </c>
      <c r="AN53" s="242">
        <f>+AJ53+AL53</f>
        <v>24628500</v>
      </c>
      <c r="AO53" s="242">
        <f t="shared" si="50"/>
        <v>24628500</v>
      </c>
      <c r="AP53" s="242">
        <f>IFERROR(VLOOKUP($A53,計價收入預算!$A:$AW,43,0),0)</f>
        <v>12504000</v>
      </c>
      <c r="AQ53" s="242">
        <f t="shared" si="51"/>
        <v>12504000</v>
      </c>
      <c r="AR53" s="226">
        <f>+AN53+AP53</f>
        <v>37132500</v>
      </c>
      <c r="AS53" s="242">
        <f t="shared" si="52"/>
        <v>37132500</v>
      </c>
      <c r="AT53" s="242">
        <f>IFERROR(VLOOKUP($A53,計價收入預算!$A:$AW,44,0),0)</f>
        <v>5429000</v>
      </c>
      <c r="AU53" s="242">
        <f t="shared" si="53"/>
        <v>5429000</v>
      </c>
      <c r="AV53" s="226">
        <f>+AR53+AT53</f>
        <v>42561500</v>
      </c>
      <c r="AW53" s="242">
        <f t="shared" si="54"/>
        <v>42561500</v>
      </c>
      <c r="AX53" s="242">
        <f>IFERROR(VLOOKUP($A53,計價收入預算!$A:$AW,45,0),0)</f>
        <v>3153500</v>
      </c>
      <c r="AY53" s="242">
        <f t="shared" si="55"/>
        <v>3153500</v>
      </c>
      <c r="AZ53" s="226">
        <f>+AV53+AX53</f>
        <v>45715000</v>
      </c>
      <c r="BA53" s="242">
        <f t="shared" si="56"/>
        <v>45715000</v>
      </c>
    </row>
    <row r="54" spans="1:53" ht="20.25" customHeight="1" outlineLevel="1">
      <c r="A54" s="175" t="s">
        <v>715</v>
      </c>
      <c r="B54" s="156" t="s">
        <v>716</v>
      </c>
      <c r="C54" s="169" t="s">
        <v>1037</v>
      </c>
      <c r="D54" s="242">
        <f>IFERROR(VLOOKUP(A54,計價收入預算!$A:$AW,9,0),0)</f>
        <v>0</v>
      </c>
      <c r="E54" s="242">
        <f t="shared" si="32"/>
        <v>0</v>
      </c>
      <c r="F54" s="242">
        <f t="shared" si="33"/>
        <v>0</v>
      </c>
      <c r="G54" s="242">
        <f t="shared" si="34"/>
        <v>0</v>
      </c>
      <c r="H54" s="242">
        <f>IFERROR(VLOOKUP($A54,計價收入預算!$A:$AW,26,0),0)</f>
        <v>0</v>
      </c>
      <c r="I54" s="242">
        <f t="shared" si="35"/>
        <v>0</v>
      </c>
      <c r="J54" s="242">
        <f>IFERROR(VLOOKUP($A54,計價收入預算!$A:$AW,28,0),0)</f>
        <v>0</v>
      </c>
      <c r="K54" s="242">
        <f t="shared" si="36"/>
        <v>0</v>
      </c>
      <c r="L54" s="242">
        <f>IFERROR(VLOOKUP($A54,計價收入預算!$A:$AW,29,0),0)</f>
        <v>0</v>
      </c>
      <c r="M54" s="242">
        <f>SUM(L54:L54)</f>
        <v>0</v>
      </c>
      <c r="N54" s="242">
        <f>IFERROR(VLOOKUP($A54,計價收入預算!$A:$AW,30,0),0)</f>
        <v>0</v>
      </c>
      <c r="O54" s="242">
        <f t="shared" si="37"/>
        <v>0</v>
      </c>
      <c r="P54" s="242">
        <f>IFERROR(VLOOKUP($A54,計價收入預算!$A:$AW,31,0),0)</f>
        <v>0</v>
      </c>
      <c r="Q54" s="242">
        <f t="shared" si="38"/>
        <v>0</v>
      </c>
      <c r="R54" s="242">
        <f>IFERROR(VLOOKUP($A54,計價收入預算!$A:$AW,32,0),0)</f>
        <v>0</v>
      </c>
      <c r="S54" s="242">
        <f t="shared" si="39"/>
        <v>0</v>
      </c>
      <c r="T54" s="242">
        <f>IFERROR(VLOOKUP($A54,計價收入預算!$A:$AW,33,0),0)</f>
        <v>0</v>
      </c>
      <c r="U54" s="242">
        <f t="shared" si="40"/>
        <v>0</v>
      </c>
      <c r="V54" s="242">
        <f>IFERROR(VLOOKUP($A54,計價收入預算!$A:$AW,34,0),0)</f>
        <v>0</v>
      </c>
      <c r="W54" s="242">
        <f t="shared" si="41"/>
        <v>0</v>
      </c>
      <c r="X54" s="242">
        <f>IFERROR(VLOOKUP($A54,計價收入預算!$A:$AW,35,0),0)</f>
        <v>0</v>
      </c>
      <c r="Y54" s="242">
        <f t="shared" si="42"/>
        <v>0</v>
      </c>
      <c r="Z54" s="242">
        <f>IFERROR(VLOOKUP($A54,計價收入預算!$A:$AW,36,0),0)</f>
        <v>0</v>
      </c>
      <c r="AA54" s="242">
        <f t="shared" si="43"/>
        <v>0</v>
      </c>
      <c r="AB54" s="242">
        <f>IFERROR(VLOOKUP($A54,計價收入預算!$A:$AW,37,0),0)</f>
        <v>0</v>
      </c>
      <c r="AC54" s="242">
        <f t="shared" si="44"/>
        <v>0</v>
      </c>
      <c r="AD54" s="242">
        <f>IFERROR(VLOOKUP($A54,計價收入預算!$A:$AW,38,0),0)</f>
        <v>0</v>
      </c>
      <c r="AE54" s="242">
        <f t="shared" si="45"/>
        <v>0</v>
      </c>
      <c r="AF54" s="242">
        <f>IFERROR(VLOOKUP($A54,計價收入預算!$A:$AW,39,0),0)</f>
        <v>0</v>
      </c>
      <c r="AG54" s="242">
        <f t="shared" si="46"/>
        <v>0</v>
      </c>
      <c r="AH54" s="314">
        <f>SUMIF($J$4:$AG$4,$AH$4,$J54:$AG$66)</f>
        <v>0</v>
      </c>
      <c r="AI54" s="314">
        <f t="shared" si="47"/>
        <v>0</v>
      </c>
      <c r="AJ54" s="264">
        <f>+H54+AH54</f>
        <v>0</v>
      </c>
      <c r="AK54" s="242">
        <f t="shared" si="48"/>
        <v>0</v>
      </c>
      <c r="AL54" s="242">
        <f>IFERROR(VLOOKUP($A54,計價收入預算!$A:$AW,42,0),0)</f>
        <v>12137000</v>
      </c>
      <c r="AM54" s="242">
        <f t="shared" si="49"/>
        <v>12137000</v>
      </c>
      <c r="AN54" s="242">
        <f>+AJ54+AL54</f>
        <v>12137000</v>
      </c>
      <c r="AO54" s="242">
        <f t="shared" si="50"/>
        <v>12137000</v>
      </c>
      <c r="AP54" s="242">
        <f>IFERROR(VLOOKUP($A54,計價收入預算!$A:$AW,43,0),0)</f>
        <v>7654000</v>
      </c>
      <c r="AQ54" s="242">
        <f t="shared" si="51"/>
        <v>7654000</v>
      </c>
      <c r="AR54" s="226">
        <f>+AN54+AP54</f>
        <v>19791000</v>
      </c>
      <c r="AS54" s="242">
        <f t="shared" si="52"/>
        <v>19791000</v>
      </c>
      <c r="AT54" s="242">
        <f>IFERROR(VLOOKUP($A54,計價收入預算!$A:$AW,44,0),0)</f>
        <v>9564000</v>
      </c>
      <c r="AU54" s="242">
        <f t="shared" si="53"/>
        <v>9564000</v>
      </c>
      <c r="AV54" s="226">
        <f>+AR54+AT54</f>
        <v>29355000</v>
      </c>
      <c r="AW54" s="242">
        <f t="shared" si="54"/>
        <v>29355000</v>
      </c>
      <c r="AX54" s="242">
        <f>IFERROR(VLOOKUP($A54,計價收入預算!$A:$AW,45,0),0)</f>
        <v>7674000</v>
      </c>
      <c r="AY54" s="242">
        <f t="shared" si="55"/>
        <v>7674000</v>
      </c>
      <c r="AZ54" s="226">
        <f>+AV54+AX54</f>
        <v>37029000</v>
      </c>
      <c r="BA54" s="242">
        <f t="shared" si="56"/>
        <v>37029000</v>
      </c>
    </row>
    <row r="55" spans="1:53" ht="20.25" customHeight="1" outlineLevel="1">
      <c r="A55" s="175" t="s">
        <v>717</v>
      </c>
      <c r="B55" s="172" t="s">
        <v>718</v>
      </c>
      <c r="C55" s="169" t="s">
        <v>1037</v>
      </c>
      <c r="D55" s="242">
        <f>IFERROR(VLOOKUP(A55,計價收入預算!$A:$AW,9,0),0)</f>
        <v>0</v>
      </c>
      <c r="E55" s="242">
        <f t="shared" si="32"/>
        <v>0</v>
      </c>
      <c r="F55" s="242">
        <f t="shared" si="33"/>
        <v>0</v>
      </c>
      <c r="G55" s="242">
        <f t="shared" si="34"/>
        <v>0</v>
      </c>
      <c r="H55" s="242">
        <f>IFERROR(VLOOKUP($A55,計價收入預算!$A:$AW,26,0),0)</f>
        <v>0</v>
      </c>
      <c r="I55" s="242">
        <f t="shared" si="35"/>
        <v>0</v>
      </c>
      <c r="J55" s="242">
        <f>IFERROR(VLOOKUP($A55,計價收入預算!$A:$AW,28,0),0)</f>
        <v>0</v>
      </c>
      <c r="K55" s="242">
        <f t="shared" si="36"/>
        <v>0</v>
      </c>
      <c r="L55" s="242">
        <f>IFERROR(VLOOKUP($A55,計價收入預算!$A:$AW,29,0),0)</f>
        <v>0</v>
      </c>
      <c r="M55" s="242">
        <f>SUM(L55:L55)</f>
        <v>0</v>
      </c>
      <c r="N55" s="242">
        <f>IFERROR(VLOOKUP($A55,計價收入預算!$A:$AW,30,0),0)</f>
        <v>0</v>
      </c>
      <c r="O55" s="242">
        <f t="shared" si="37"/>
        <v>0</v>
      </c>
      <c r="P55" s="242">
        <f>IFERROR(VLOOKUP($A55,計價收入預算!$A:$AW,31,0),0)</f>
        <v>0</v>
      </c>
      <c r="Q55" s="242">
        <f t="shared" si="38"/>
        <v>0</v>
      </c>
      <c r="R55" s="242">
        <f>IFERROR(VLOOKUP($A55,計價收入預算!$A:$AW,32,0),0)</f>
        <v>0</v>
      </c>
      <c r="S55" s="242">
        <f t="shared" si="39"/>
        <v>0</v>
      </c>
      <c r="T55" s="242">
        <f>IFERROR(VLOOKUP($A55,計價收入預算!$A:$AW,33,0),0)</f>
        <v>0</v>
      </c>
      <c r="U55" s="242">
        <f t="shared" si="40"/>
        <v>0</v>
      </c>
      <c r="V55" s="242">
        <f>IFERROR(VLOOKUP($A55,計價收入預算!$A:$AW,34,0),0)</f>
        <v>0</v>
      </c>
      <c r="W55" s="242">
        <f t="shared" si="41"/>
        <v>0</v>
      </c>
      <c r="X55" s="242">
        <f>IFERROR(VLOOKUP($A55,計價收入預算!$A:$AW,35,0),0)</f>
        <v>0</v>
      </c>
      <c r="Y55" s="242">
        <f t="shared" si="42"/>
        <v>0</v>
      </c>
      <c r="Z55" s="242">
        <f>IFERROR(VLOOKUP($A55,計價收入預算!$A:$AW,36,0),0)</f>
        <v>0</v>
      </c>
      <c r="AA55" s="242">
        <f t="shared" si="43"/>
        <v>0</v>
      </c>
      <c r="AB55" s="242">
        <f>IFERROR(VLOOKUP($A55,計價收入預算!$A:$AW,37,0),0)</f>
        <v>0</v>
      </c>
      <c r="AC55" s="242">
        <f t="shared" si="44"/>
        <v>0</v>
      </c>
      <c r="AD55" s="242">
        <f>IFERROR(VLOOKUP($A55,計價收入預算!$A:$AW,38,0),0)</f>
        <v>0</v>
      </c>
      <c r="AE55" s="242">
        <f t="shared" si="45"/>
        <v>0</v>
      </c>
      <c r="AF55" s="242">
        <f>IFERROR(VLOOKUP($A55,計價收入預算!$A:$AW,39,0),0)</f>
        <v>0</v>
      </c>
      <c r="AG55" s="242">
        <f t="shared" si="46"/>
        <v>0</v>
      </c>
      <c r="AH55" s="314">
        <f>SUMIF($J$4:$AG$4,$AH$4,$J55:$AG$66)</f>
        <v>0</v>
      </c>
      <c r="AI55" s="314">
        <f t="shared" si="47"/>
        <v>0</v>
      </c>
      <c r="AJ55" s="264">
        <f>+H55+AH55</f>
        <v>0</v>
      </c>
      <c r="AK55" s="242">
        <f t="shared" si="48"/>
        <v>0</v>
      </c>
      <c r="AL55" s="242">
        <f>IFERROR(VLOOKUP($A55,計價收入預算!$A:$AW,42,0),0)</f>
        <v>0</v>
      </c>
      <c r="AM55" s="242">
        <f t="shared" si="49"/>
        <v>0</v>
      </c>
      <c r="AN55" s="242">
        <f>+AJ55+AL55</f>
        <v>0</v>
      </c>
      <c r="AO55" s="242">
        <f t="shared" si="50"/>
        <v>0</v>
      </c>
      <c r="AP55" s="242">
        <f>IFERROR(VLOOKUP($A55,計價收入預算!$A:$AW,43,0),0)</f>
        <v>7734000</v>
      </c>
      <c r="AQ55" s="242">
        <f t="shared" si="51"/>
        <v>7734000</v>
      </c>
      <c r="AR55" s="226">
        <f>+AN55+AP55</f>
        <v>7734000</v>
      </c>
      <c r="AS55" s="242">
        <f t="shared" si="52"/>
        <v>7734000</v>
      </c>
      <c r="AT55" s="242">
        <f>IFERROR(VLOOKUP($A55,計價收入預算!$A:$AW,44,0),0)</f>
        <v>9814000</v>
      </c>
      <c r="AU55" s="242">
        <f t="shared" si="53"/>
        <v>9814000</v>
      </c>
      <c r="AV55" s="226">
        <f>+AR55+AT55</f>
        <v>17548000</v>
      </c>
      <c r="AW55" s="242">
        <f t="shared" si="54"/>
        <v>17548000</v>
      </c>
      <c r="AX55" s="242">
        <f>IFERROR(VLOOKUP($A55,計價收入預算!$A:$AW,45,0),0)</f>
        <v>9774000</v>
      </c>
      <c r="AY55" s="242">
        <f t="shared" si="55"/>
        <v>9774000</v>
      </c>
      <c r="AZ55" s="226">
        <f>+AV55+AX55</f>
        <v>27322000</v>
      </c>
      <c r="BA55" s="242">
        <f t="shared" si="56"/>
        <v>27322000</v>
      </c>
    </row>
    <row r="56" spans="1:53" ht="20.25" customHeight="1" outlineLevel="1">
      <c r="A56" s="175" t="s">
        <v>719</v>
      </c>
      <c r="B56" s="156" t="s">
        <v>720</v>
      </c>
      <c r="C56" s="169" t="s">
        <v>1037</v>
      </c>
      <c r="D56" s="242">
        <f>IFERROR(VLOOKUP(A56,計價收入預算!$A:$AW,9,0),0)</f>
        <v>0</v>
      </c>
      <c r="E56" s="242">
        <f t="shared" si="32"/>
        <v>0</v>
      </c>
      <c r="F56" s="242">
        <f t="shared" si="33"/>
        <v>0</v>
      </c>
      <c r="G56" s="242">
        <f t="shared" si="34"/>
        <v>0</v>
      </c>
      <c r="H56" s="242">
        <f>IFERROR(VLOOKUP($A56,計價收入預算!$A:$AW,26,0),0)</f>
        <v>0</v>
      </c>
      <c r="I56" s="242">
        <f t="shared" si="35"/>
        <v>0</v>
      </c>
      <c r="J56" s="242">
        <f>IFERROR(VLOOKUP($A56,計價收入預算!$A:$AW,28,0),0)</f>
        <v>0</v>
      </c>
      <c r="K56" s="242">
        <f t="shared" si="36"/>
        <v>0</v>
      </c>
      <c r="L56" s="242">
        <f>IFERROR(VLOOKUP($A56,計價收入預算!$A:$AW,29,0),0)</f>
        <v>0</v>
      </c>
      <c r="M56" s="242">
        <f>SUM(L56:L56)</f>
        <v>0</v>
      </c>
      <c r="N56" s="242">
        <f>IFERROR(VLOOKUP($A56,計價收入預算!$A:$AW,30,0),0)</f>
        <v>0</v>
      </c>
      <c r="O56" s="242">
        <f t="shared" si="37"/>
        <v>0</v>
      </c>
      <c r="P56" s="242">
        <f>IFERROR(VLOOKUP($A56,計價收入預算!$A:$AW,31,0),0)</f>
        <v>0</v>
      </c>
      <c r="Q56" s="242">
        <f t="shared" si="38"/>
        <v>0</v>
      </c>
      <c r="R56" s="242">
        <f>IFERROR(VLOOKUP($A56,計價收入預算!$A:$AW,32,0),0)</f>
        <v>0</v>
      </c>
      <c r="S56" s="242">
        <f t="shared" si="39"/>
        <v>0</v>
      </c>
      <c r="T56" s="242">
        <f>IFERROR(VLOOKUP($A56,計價收入預算!$A:$AW,33,0),0)</f>
        <v>0</v>
      </c>
      <c r="U56" s="242">
        <f t="shared" si="40"/>
        <v>0</v>
      </c>
      <c r="V56" s="242">
        <f>IFERROR(VLOOKUP($A56,計價收入預算!$A:$AW,34,0),0)</f>
        <v>0</v>
      </c>
      <c r="W56" s="242">
        <f t="shared" si="41"/>
        <v>0</v>
      </c>
      <c r="X56" s="242">
        <f>IFERROR(VLOOKUP($A56,計價收入預算!$A:$AW,35,0),0)</f>
        <v>0</v>
      </c>
      <c r="Y56" s="242">
        <f t="shared" si="42"/>
        <v>0</v>
      </c>
      <c r="Z56" s="242">
        <f>IFERROR(VLOOKUP($A56,計價收入預算!$A:$AW,36,0),0)</f>
        <v>0</v>
      </c>
      <c r="AA56" s="242">
        <f t="shared" si="43"/>
        <v>0</v>
      </c>
      <c r="AB56" s="242">
        <f>IFERROR(VLOOKUP($A56,計價收入預算!$A:$AW,37,0),0)</f>
        <v>0</v>
      </c>
      <c r="AC56" s="242">
        <f t="shared" si="44"/>
        <v>0</v>
      </c>
      <c r="AD56" s="242">
        <f>IFERROR(VLOOKUP($A56,計價收入預算!$A:$AW,38,0),0)</f>
        <v>0</v>
      </c>
      <c r="AE56" s="242">
        <f t="shared" si="45"/>
        <v>0</v>
      </c>
      <c r="AF56" s="242">
        <f>IFERROR(VLOOKUP($A56,計價收入預算!$A:$AW,39,0),0)</f>
        <v>0</v>
      </c>
      <c r="AG56" s="242">
        <f t="shared" si="46"/>
        <v>0</v>
      </c>
      <c r="AH56" s="314">
        <f>SUMIF($J$4:$AG$4,$AH$4,$J56:$AG$66)</f>
        <v>0</v>
      </c>
      <c r="AI56" s="314">
        <f t="shared" si="47"/>
        <v>0</v>
      </c>
      <c r="AJ56" s="264">
        <f>+H56+AH56</f>
        <v>0</v>
      </c>
      <c r="AK56" s="242">
        <f t="shared" si="48"/>
        <v>0</v>
      </c>
      <c r="AL56" s="242">
        <f>IFERROR(VLOOKUP($A56,計價收入預算!$A:$AW,42,0),0)</f>
        <v>0</v>
      </c>
      <c r="AM56" s="242">
        <f t="shared" si="49"/>
        <v>0</v>
      </c>
      <c r="AN56" s="242">
        <f>+AJ56+AL56</f>
        <v>0</v>
      </c>
      <c r="AO56" s="242">
        <f t="shared" si="50"/>
        <v>0</v>
      </c>
      <c r="AP56" s="242">
        <f>IFERROR(VLOOKUP($A56,計價收入預算!$A:$AW,43,0),0)</f>
        <v>0</v>
      </c>
      <c r="AQ56" s="242">
        <f t="shared" si="51"/>
        <v>0</v>
      </c>
      <c r="AR56" s="226">
        <f>+AN56+AP56</f>
        <v>0</v>
      </c>
      <c r="AS56" s="242">
        <f t="shared" si="52"/>
        <v>0</v>
      </c>
      <c r="AT56" s="242">
        <f>IFERROR(VLOOKUP($A56,計價收入預算!$A:$AW,44,0),0)</f>
        <v>11879000</v>
      </c>
      <c r="AU56" s="242">
        <f t="shared" si="53"/>
        <v>11879000</v>
      </c>
      <c r="AV56" s="226">
        <f>+AR56+AT56</f>
        <v>11879000</v>
      </c>
      <c r="AW56" s="242">
        <f t="shared" si="54"/>
        <v>11879000</v>
      </c>
      <c r="AX56" s="242">
        <f>IFERROR(VLOOKUP($A56,計價收入預算!$A:$AW,45,0),0)</f>
        <v>10024000</v>
      </c>
      <c r="AY56" s="242">
        <f t="shared" si="55"/>
        <v>10024000</v>
      </c>
      <c r="AZ56" s="226">
        <f>+AV56+AX56</f>
        <v>21903000</v>
      </c>
      <c r="BA56" s="242">
        <f t="shared" si="56"/>
        <v>21903000</v>
      </c>
    </row>
    <row r="57" spans="1:53" ht="20.25" customHeight="1" outlineLevel="1">
      <c r="A57" s="175" t="s">
        <v>721</v>
      </c>
      <c r="B57" s="172" t="s">
        <v>722</v>
      </c>
      <c r="C57" s="169" t="s">
        <v>1037</v>
      </c>
      <c r="D57" s="242">
        <f>IFERROR(VLOOKUP(A57,計價收入預算!$A:$AW,9,0),0)</f>
        <v>0</v>
      </c>
      <c r="E57" s="242">
        <f t="shared" si="32"/>
        <v>0</v>
      </c>
      <c r="F57" s="242">
        <f t="shared" si="33"/>
        <v>0</v>
      </c>
      <c r="G57" s="242">
        <f t="shared" si="34"/>
        <v>0</v>
      </c>
      <c r="H57" s="242">
        <f>IFERROR(VLOOKUP($A57,計價收入預算!$A:$AW,26,0),0)</f>
        <v>0</v>
      </c>
      <c r="I57" s="242">
        <f t="shared" si="35"/>
        <v>0</v>
      </c>
      <c r="J57" s="242">
        <f>IFERROR(VLOOKUP($A57,計價收入預算!$A:$AW,28,0),0)</f>
        <v>0</v>
      </c>
      <c r="K57" s="242">
        <f t="shared" si="36"/>
        <v>0</v>
      </c>
      <c r="L57" s="242">
        <f>IFERROR(VLOOKUP($A57,計價收入預算!$A:$AW,29,0),0)</f>
        <v>0</v>
      </c>
      <c r="M57" s="242">
        <f>SUM(L57:L57)</f>
        <v>0</v>
      </c>
      <c r="N57" s="242">
        <f>IFERROR(VLOOKUP($A57,計價收入預算!$A:$AW,30,0),0)</f>
        <v>0</v>
      </c>
      <c r="O57" s="242">
        <f t="shared" si="37"/>
        <v>0</v>
      </c>
      <c r="P57" s="242">
        <f>IFERROR(VLOOKUP($A57,計價收入預算!$A:$AW,31,0),0)</f>
        <v>0</v>
      </c>
      <c r="Q57" s="242">
        <f t="shared" si="38"/>
        <v>0</v>
      </c>
      <c r="R57" s="242">
        <f>IFERROR(VLOOKUP($A57,計價收入預算!$A:$AW,32,0),0)</f>
        <v>0</v>
      </c>
      <c r="S57" s="242">
        <f t="shared" si="39"/>
        <v>0</v>
      </c>
      <c r="T57" s="242">
        <f>IFERROR(VLOOKUP($A57,計價收入預算!$A:$AW,33,0),0)</f>
        <v>0</v>
      </c>
      <c r="U57" s="242">
        <f t="shared" si="40"/>
        <v>0</v>
      </c>
      <c r="V57" s="242">
        <f>IFERROR(VLOOKUP($A57,計價收入預算!$A:$AW,34,0),0)</f>
        <v>0</v>
      </c>
      <c r="W57" s="242">
        <f t="shared" si="41"/>
        <v>0</v>
      </c>
      <c r="X57" s="242">
        <f>IFERROR(VLOOKUP($A57,計價收入預算!$A:$AW,35,0),0)</f>
        <v>0</v>
      </c>
      <c r="Y57" s="242">
        <f t="shared" si="42"/>
        <v>0</v>
      </c>
      <c r="Z57" s="242">
        <f>IFERROR(VLOOKUP($A57,計價收入預算!$A:$AW,36,0),0)</f>
        <v>0</v>
      </c>
      <c r="AA57" s="242">
        <f t="shared" si="43"/>
        <v>0</v>
      </c>
      <c r="AB57" s="242">
        <f>IFERROR(VLOOKUP($A57,計價收入預算!$A:$AW,37,0),0)</f>
        <v>0</v>
      </c>
      <c r="AC57" s="242">
        <f t="shared" si="44"/>
        <v>0</v>
      </c>
      <c r="AD57" s="242">
        <f>IFERROR(VLOOKUP($A57,計價收入預算!$A:$AW,38,0),0)</f>
        <v>0</v>
      </c>
      <c r="AE57" s="242">
        <f t="shared" si="45"/>
        <v>0</v>
      </c>
      <c r="AF57" s="242">
        <f>IFERROR(VLOOKUP($A57,計價收入預算!$A:$AW,39,0),0)</f>
        <v>0</v>
      </c>
      <c r="AG57" s="242">
        <f t="shared" si="46"/>
        <v>0</v>
      </c>
      <c r="AH57" s="314">
        <f>SUMIF($J$4:$AG$4,$AH$4,$J57:$AG$66)</f>
        <v>0</v>
      </c>
      <c r="AI57" s="314">
        <f t="shared" si="47"/>
        <v>0</v>
      </c>
      <c r="AJ57" s="264">
        <f>+H57+AH57</f>
        <v>0</v>
      </c>
      <c r="AK57" s="242">
        <f t="shared" si="48"/>
        <v>0</v>
      </c>
      <c r="AL57" s="242">
        <f>IFERROR(VLOOKUP($A57,計價收入預算!$A:$AW,42,0),0)</f>
        <v>0</v>
      </c>
      <c r="AM57" s="242">
        <f t="shared" si="49"/>
        <v>0</v>
      </c>
      <c r="AN57" s="242">
        <f>+AJ57+AL57</f>
        <v>0</v>
      </c>
      <c r="AO57" s="242">
        <f t="shared" si="50"/>
        <v>0</v>
      </c>
      <c r="AP57" s="242">
        <f>IFERROR(VLOOKUP($A57,計價收入預算!$A:$AW,43,0),0)</f>
        <v>0</v>
      </c>
      <c r="AQ57" s="242">
        <f t="shared" si="51"/>
        <v>0</v>
      </c>
      <c r="AR57" s="226">
        <f>+AN57+AP57</f>
        <v>0</v>
      </c>
      <c r="AS57" s="242">
        <f t="shared" si="52"/>
        <v>0</v>
      </c>
      <c r="AT57" s="242">
        <f>IFERROR(VLOOKUP($A57,計價收入預算!$A:$AW,44,0),0)</f>
        <v>0</v>
      </c>
      <c r="AU57" s="242">
        <f t="shared" si="53"/>
        <v>0</v>
      </c>
      <c r="AV57" s="226">
        <f>+AR57+AT57</f>
        <v>0</v>
      </c>
      <c r="AW57" s="242">
        <f t="shared" si="54"/>
        <v>0</v>
      </c>
      <c r="AX57" s="242">
        <f>IFERROR(VLOOKUP($A57,計價收入預算!$A:$AW,45,0),0)</f>
        <v>8160000</v>
      </c>
      <c r="AY57" s="242">
        <f t="shared" si="55"/>
        <v>8160000</v>
      </c>
      <c r="AZ57" s="226">
        <f>+AV57+AX57</f>
        <v>8160000</v>
      </c>
      <c r="BA57" s="242">
        <f t="shared" si="56"/>
        <v>8160000</v>
      </c>
    </row>
    <row r="58" spans="1:53" ht="20.25" customHeight="1" outlineLevel="1">
      <c r="A58" s="228"/>
      <c r="B58" s="229" t="s">
        <v>1967</v>
      </c>
      <c r="C58" s="229"/>
      <c r="D58" s="314">
        <f>SUM(D30:D57)</f>
        <v>101569870</v>
      </c>
      <c r="E58" s="314">
        <f t="shared" ref="E58:AJ58" si="57">SUM(E30:E57)</f>
        <v>101569870</v>
      </c>
      <c r="F58" s="314">
        <f t="shared" si="57"/>
        <v>11204000</v>
      </c>
      <c r="G58" s="314">
        <f t="shared" si="57"/>
        <v>11204000</v>
      </c>
      <c r="H58" s="314">
        <f t="shared" si="57"/>
        <v>112773870</v>
      </c>
      <c r="I58" s="314">
        <f t="shared" si="57"/>
        <v>112773870</v>
      </c>
      <c r="J58" s="314">
        <f t="shared" si="57"/>
        <v>2868000</v>
      </c>
      <c r="K58" s="314">
        <f t="shared" si="57"/>
        <v>2868000</v>
      </c>
      <c r="L58" s="314">
        <f t="shared" si="57"/>
        <v>2003500</v>
      </c>
      <c r="M58" s="314">
        <f t="shared" si="57"/>
        <v>2003500</v>
      </c>
      <c r="N58" s="314">
        <f t="shared" si="57"/>
        <v>3314750</v>
      </c>
      <c r="O58" s="314">
        <f t="shared" si="57"/>
        <v>3314750</v>
      </c>
      <c r="P58" s="314">
        <f>SUM(P31:P57)</f>
        <v>3074000</v>
      </c>
      <c r="Q58" s="314">
        <f t="shared" ref="Q58:AG58" si="58">SUM(Q30:Q57)</f>
        <v>3074000</v>
      </c>
      <c r="R58" s="314">
        <f t="shared" si="58"/>
        <v>2765000</v>
      </c>
      <c r="S58" s="314">
        <f t="shared" si="58"/>
        <v>2765000</v>
      </c>
      <c r="T58" s="314">
        <f t="shared" si="58"/>
        <v>2579000</v>
      </c>
      <c r="U58" s="314">
        <f t="shared" si="58"/>
        <v>2579000</v>
      </c>
      <c r="V58" s="314">
        <f t="shared" si="58"/>
        <v>3653500</v>
      </c>
      <c r="W58" s="314">
        <f t="shared" si="58"/>
        <v>3653500</v>
      </c>
      <c r="X58" s="314">
        <f t="shared" si="58"/>
        <v>3139000</v>
      </c>
      <c r="Y58" s="314">
        <f t="shared" si="58"/>
        <v>3139000</v>
      </c>
      <c r="Z58" s="314">
        <f t="shared" si="58"/>
        <v>3077500</v>
      </c>
      <c r="AA58" s="314">
        <f t="shared" si="58"/>
        <v>3077500</v>
      </c>
      <c r="AB58" s="314">
        <f t="shared" si="58"/>
        <v>3432500</v>
      </c>
      <c r="AC58" s="314">
        <f t="shared" si="58"/>
        <v>3432500</v>
      </c>
      <c r="AD58" s="314">
        <f t="shared" si="58"/>
        <v>3287500</v>
      </c>
      <c r="AE58" s="314">
        <f t="shared" si="58"/>
        <v>3287500</v>
      </c>
      <c r="AF58" s="314">
        <f t="shared" si="58"/>
        <v>3248000</v>
      </c>
      <c r="AG58" s="314">
        <f t="shared" si="58"/>
        <v>3248000</v>
      </c>
      <c r="AH58" s="314">
        <f>SUMIF($J$4:$AG$4,$AH$4,$J58:$AG$66)</f>
        <v>36442250</v>
      </c>
      <c r="AI58" s="314">
        <f t="shared" si="57"/>
        <v>36442250</v>
      </c>
      <c r="AJ58" s="314">
        <f t="shared" si="57"/>
        <v>149216120</v>
      </c>
      <c r="AK58" s="314">
        <f t="shared" ref="AK58:BA58" si="59">SUM(AK30:AK57)</f>
        <v>149216120</v>
      </c>
      <c r="AL58" s="314">
        <f t="shared" si="59"/>
        <v>37955540</v>
      </c>
      <c r="AM58" s="314">
        <f t="shared" si="59"/>
        <v>37955540</v>
      </c>
      <c r="AN58" s="314">
        <f t="shared" si="59"/>
        <v>187171660</v>
      </c>
      <c r="AO58" s="314">
        <f t="shared" si="59"/>
        <v>187171660</v>
      </c>
      <c r="AP58" s="314">
        <f t="shared" ref="AP58" si="60">SUM(AP30:AP57)</f>
        <v>39058000</v>
      </c>
      <c r="AQ58" s="314">
        <f t="shared" si="59"/>
        <v>39058000</v>
      </c>
      <c r="AR58" s="314">
        <f t="shared" si="59"/>
        <v>226229660</v>
      </c>
      <c r="AS58" s="314">
        <f t="shared" si="59"/>
        <v>226229660</v>
      </c>
      <c r="AT58" s="314">
        <f t="shared" ref="AT58" si="61">SUM(AT30:AT57)</f>
        <v>39345667</v>
      </c>
      <c r="AU58" s="314">
        <f t="shared" si="59"/>
        <v>39345667</v>
      </c>
      <c r="AV58" s="314">
        <f t="shared" si="59"/>
        <v>265575327</v>
      </c>
      <c r="AW58" s="314">
        <f t="shared" si="59"/>
        <v>265575327</v>
      </c>
      <c r="AX58" s="314">
        <f t="shared" si="59"/>
        <v>38785500</v>
      </c>
      <c r="AY58" s="314">
        <f t="shared" si="59"/>
        <v>38785500</v>
      </c>
      <c r="AZ58" s="314">
        <f t="shared" si="59"/>
        <v>304360827</v>
      </c>
      <c r="BA58" s="314">
        <f t="shared" si="59"/>
        <v>304360827</v>
      </c>
    </row>
    <row r="59" spans="1:53" ht="20.25" customHeight="1" outlineLevel="1">
      <c r="A59" s="1394"/>
      <c r="B59" s="1395" t="s">
        <v>2037</v>
      </c>
      <c r="C59" s="1395"/>
      <c r="D59" s="1420">
        <f>D58+D29</f>
        <v>168380531</v>
      </c>
      <c r="E59" s="1420">
        <f t="shared" ref="E59:BA59" si="62">E58+E29</f>
        <v>168380531</v>
      </c>
      <c r="F59" s="1420">
        <f t="shared" si="62"/>
        <v>24879000</v>
      </c>
      <c r="G59" s="1420">
        <f t="shared" si="62"/>
        <v>24879000</v>
      </c>
      <c r="H59" s="1420">
        <f t="shared" si="62"/>
        <v>193259531</v>
      </c>
      <c r="I59" s="1420">
        <f t="shared" si="62"/>
        <v>193259531</v>
      </c>
      <c r="J59" s="1420">
        <f t="shared" si="62"/>
        <v>7364668</v>
      </c>
      <c r="K59" s="1420">
        <f t="shared" si="62"/>
        <v>7364668</v>
      </c>
      <c r="L59" s="1420">
        <f t="shared" ca="1" si="62"/>
        <v>73021532</v>
      </c>
      <c r="M59" s="1420">
        <f t="shared" si="62"/>
        <v>5086450</v>
      </c>
      <c r="N59" s="1420">
        <f t="shared" si="62"/>
        <v>6966418</v>
      </c>
      <c r="O59" s="1420">
        <f t="shared" si="62"/>
        <v>6966418</v>
      </c>
      <c r="P59" s="1420">
        <f t="shared" ref="P59:AG59" si="63">P58+P29</f>
        <v>4222668</v>
      </c>
      <c r="Q59" s="1420">
        <f t="shared" si="63"/>
        <v>4222668</v>
      </c>
      <c r="R59" s="1420">
        <f t="shared" si="63"/>
        <v>6069668</v>
      </c>
      <c r="S59" s="1420">
        <f t="shared" si="63"/>
        <v>6069668</v>
      </c>
      <c r="T59" s="1420">
        <f t="shared" si="63"/>
        <v>3727668</v>
      </c>
      <c r="U59" s="1420">
        <f t="shared" si="63"/>
        <v>3727668</v>
      </c>
      <c r="V59" s="1420">
        <f t="shared" si="63"/>
        <v>7980568</v>
      </c>
      <c r="W59" s="1420">
        <f t="shared" si="63"/>
        <v>7980568</v>
      </c>
      <c r="X59" s="1420">
        <f t="shared" si="63"/>
        <v>4457668</v>
      </c>
      <c r="Y59" s="1420">
        <f t="shared" si="63"/>
        <v>4457668</v>
      </c>
      <c r="Z59" s="1420">
        <f t="shared" si="63"/>
        <v>4396168</v>
      </c>
      <c r="AA59" s="1420">
        <f t="shared" si="63"/>
        <v>4396168</v>
      </c>
      <c r="AB59" s="1420">
        <f t="shared" si="63"/>
        <v>5539168</v>
      </c>
      <c r="AC59" s="1420">
        <f t="shared" si="63"/>
        <v>5539168</v>
      </c>
      <c r="AD59" s="1420">
        <f t="shared" si="63"/>
        <v>5394168</v>
      </c>
      <c r="AE59" s="1420">
        <f t="shared" si="63"/>
        <v>5394168</v>
      </c>
      <c r="AF59" s="1420">
        <f t="shared" si="63"/>
        <v>11816252</v>
      </c>
      <c r="AG59" s="1420">
        <f t="shared" si="63"/>
        <v>11816252</v>
      </c>
      <c r="AH59" s="1420">
        <f t="shared" si="62"/>
        <v>73021532</v>
      </c>
      <c r="AI59" s="1420">
        <f t="shared" si="62"/>
        <v>73021532</v>
      </c>
      <c r="AJ59" s="1420">
        <f t="shared" si="62"/>
        <v>266281063</v>
      </c>
      <c r="AK59" s="1420">
        <f t="shared" si="62"/>
        <v>266281063</v>
      </c>
      <c r="AL59" s="1420">
        <f t="shared" si="62"/>
        <v>74414390</v>
      </c>
      <c r="AM59" s="1420">
        <f t="shared" si="62"/>
        <v>74414390</v>
      </c>
      <c r="AN59" s="1420">
        <f t="shared" si="62"/>
        <v>340695453</v>
      </c>
      <c r="AO59" s="1420">
        <f t="shared" si="62"/>
        <v>340695453</v>
      </c>
      <c r="AP59" s="1420">
        <f t="shared" ref="AP59" si="64">AP58+AP29</f>
        <v>75921350</v>
      </c>
      <c r="AQ59" s="1420">
        <f t="shared" si="62"/>
        <v>75921350</v>
      </c>
      <c r="AR59" s="1420">
        <f t="shared" si="62"/>
        <v>416616803</v>
      </c>
      <c r="AS59" s="1420">
        <f t="shared" si="62"/>
        <v>416616803</v>
      </c>
      <c r="AT59" s="1420">
        <f t="shared" ref="AT59" si="65">AT58+AT29</f>
        <v>78556017</v>
      </c>
      <c r="AU59" s="1420">
        <f t="shared" si="62"/>
        <v>78556017</v>
      </c>
      <c r="AV59" s="1420">
        <f t="shared" si="62"/>
        <v>495172820</v>
      </c>
      <c r="AW59" s="1420">
        <f t="shared" si="62"/>
        <v>495172820</v>
      </c>
      <c r="AX59" s="1420">
        <f t="shared" si="62"/>
        <v>83656350</v>
      </c>
      <c r="AY59" s="1420">
        <f t="shared" si="62"/>
        <v>83656350</v>
      </c>
      <c r="AZ59" s="1420">
        <f t="shared" si="62"/>
        <v>578829170</v>
      </c>
      <c r="BA59" s="1420">
        <f t="shared" si="62"/>
        <v>578829170</v>
      </c>
    </row>
    <row r="60" spans="1:53" ht="20.25" customHeight="1" outlineLevel="1">
      <c r="A60" s="175" t="s">
        <v>647</v>
      </c>
      <c r="B60" s="169" t="s">
        <v>648</v>
      </c>
      <c r="C60" s="169" t="s">
        <v>2514</v>
      </c>
      <c r="D60" s="242">
        <f>IFERROR(VLOOKUP(A60,計價收入預算!$A:$AW,9,0),0)</f>
        <v>1016700</v>
      </c>
      <c r="E60" s="242">
        <f>SUM(D60:D60)</f>
        <v>1016700</v>
      </c>
      <c r="F60" s="242">
        <f>+H60-D60</f>
        <v>787500</v>
      </c>
      <c r="G60" s="242">
        <f>SUM(F60:F60)</f>
        <v>787500</v>
      </c>
      <c r="H60" s="242">
        <f>IFERROR(VLOOKUP($A60,計價收入預算!$A:$AW,26,0),0)</f>
        <v>1804200</v>
      </c>
      <c r="I60" s="242">
        <f>SUM(H60:H60)</f>
        <v>1804200</v>
      </c>
      <c r="J60" s="242">
        <f>IFERROR(VLOOKUP($A60,計價收入預算!$A:$AW,28,0),0)</f>
        <v>29500</v>
      </c>
      <c r="K60" s="242">
        <f>SUM(J60:J60)</f>
        <v>29500</v>
      </c>
      <c r="L60" s="242">
        <f>IFERROR(VLOOKUP($A60,計價收入預算!$A:$AW,29,0),0)</f>
        <v>29500</v>
      </c>
      <c r="M60" s="242">
        <f>SUM(L60:L60)</f>
        <v>29500</v>
      </c>
      <c r="N60" s="242">
        <f>IFERROR(VLOOKUP($A60,計價收入預算!$A:$AW,30,0),0)</f>
        <v>29500</v>
      </c>
      <c r="O60" s="242">
        <f t="shared" ref="O60" si="66">SUM(N60:N60)</f>
        <v>29500</v>
      </c>
      <c r="P60" s="242">
        <f>IFERROR(VLOOKUP($A60,計價收入預算!$A:$AW,31,0),0)</f>
        <v>29500</v>
      </c>
      <c r="Q60" s="242">
        <f t="shared" ref="Q60" si="67">SUM(P60:P60)</f>
        <v>29500</v>
      </c>
      <c r="R60" s="242">
        <f>IFERROR(VLOOKUP($A60,計價收入預算!$A:$AW,32,0),0)</f>
        <v>29500</v>
      </c>
      <c r="S60" s="242">
        <f t="shared" ref="S60" si="68">SUM(R60:R60)</f>
        <v>29500</v>
      </c>
      <c r="T60" s="242">
        <f>IFERROR(VLOOKUP($A60,計價收入預算!$A:$AW,33,0),0)</f>
        <v>29500</v>
      </c>
      <c r="U60" s="242">
        <f t="shared" ref="U60" si="69">SUM(T60:T60)</f>
        <v>29500</v>
      </c>
      <c r="V60" s="242">
        <f>IFERROR(VLOOKUP($A60,計價收入預算!$A:$AW,34,0),0)</f>
        <v>29500</v>
      </c>
      <c r="W60" s="242">
        <f t="shared" ref="W60" si="70">SUM(V60:V60)</f>
        <v>29500</v>
      </c>
      <c r="X60" s="242">
        <f>IFERROR(VLOOKUP($A60,計價收入預算!$A:$AW,35,0),0)</f>
        <v>29500</v>
      </c>
      <c r="Y60" s="242">
        <f t="shared" ref="Y60" si="71">SUM(X60:X60)</f>
        <v>29500</v>
      </c>
      <c r="Z60" s="242">
        <f>IFERROR(VLOOKUP($A60,計價收入預算!$A:$AW,36,0),0)</f>
        <v>29500</v>
      </c>
      <c r="AA60" s="242">
        <f t="shared" ref="AA60" si="72">SUM(Z60:Z60)</f>
        <v>29500</v>
      </c>
      <c r="AB60" s="242">
        <f>IFERROR(VLOOKUP($A60,計價收入預算!$A:$AW,37,0),0)</f>
        <v>29500</v>
      </c>
      <c r="AC60" s="242">
        <f t="shared" ref="AC60" si="73">SUM(AB60:AB60)</f>
        <v>29500</v>
      </c>
      <c r="AD60" s="242">
        <f>IFERROR(VLOOKUP($A60,計價收入預算!$A:$AW,38,0),0)</f>
        <v>29500</v>
      </c>
      <c r="AE60" s="242">
        <f t="shared" ref="AE60" si="74">SUM(AD60:AD60)</f>
        <v>29500</v>
      </c>
      <c r="AF60" s="242">
        <f>IFERROR(VLOOKUP($A60,計價收入預算!$A:$AW,39,0),0)</f>
        <v>29500</v>
      </c>
      <c r="AG60" s="242">
        <f t="shared" ref="AG60:AG64" si="75">SUM(AF60:AF60)</f>
        <v>29500</v>
      </c>
      <c r="AH60" s="314">
        <f>SUMIF($J$4:$AG$4,$AH$4,$J60:$AG$66)</f>
        <v>354000</v>
      </c>
      <c r="AI60" s="314">
        <f>SUM(AH60:AH60)</f>
        <v>354000</v>
      </c>
      <c r="AJ60" s="264">
        <f>+H60+AH60</f>
        <v>2158200</v>
      </c>
      <c r="AK60" s="242">
        <f>SUM(AJ60:AJ60)</f>
        <v>2158200</v>
      </c>
      <c r="AL60" s="242">
        <f>IFERROR(VLOOKUP($A60,計價收入預算!$A:$AW,42,0),0)</f>
        <v>1050000</v>
      </c>
      <c r="AM60" s="242">
        <f>SUM(AL60:AL60)</f>
        <v>1050000</v>
      </c>
      <c r="AN60" s="242">
        <f>+AJ60+AL60</f>
        <v>3208200</v>
      </c>
      <c r="AO60" s="242">
        <f>SUM(AN60:AN60)</f>
        <v>3208200</v>
      </c>
      <c r="AP60" s="242">
        <f>IFERROR(VLOOKUP($A60,計價收入預算!$A:$AW,43,0),0)</f>
        <v>1110000</v>
      </c>
      <c r="AQ60" s="242">
        <f>SUM(AP60:AP60)</f>
        <v>1110000</v>
      </c>
      <c r="AR60" s="226">
        <f>+AN60+AP60</f>
        <v>4318200</v>
      </c>
      <c r="AS60" s="242">
        <f>SUM(AR60:AR60)</f>
        <v>4318200</v>
      </c>
      <c r="AT60" s="242">
        <f>IFERROR(VLOOKUP($A60,計價收入預算!$A:$AW,44,0),0)</f>
        <v>1597500</v>
      </c>
      <c r="AU60" s="242">
        <f>SUM(AT60:AT60)</f>
        <v>1597500</v>
      </c>
      <c r="AV60" s="226">
        <f>+AR60+AT60</f>
        <v>5915700</v>
      </c>
      <c r="AW60" s="242">
        <f>SUM(AV60:AV60)</f>
        <v>5915700</v>
      </c>
      <c r="AX60" s="242">
        <f>IFERROR(VLOOKUP($A60,計價收入預算!$A:$AW,45,0),0)</f>
        <v>0</v>
      </c>
      <c r="AY60" s="242">
        <f>SUM(AX60:AX60)</f>
        <v>0</v>
      </c>
      <c r="AZ60" s="226">
        <f>+AV60+AX60</f>
        <v>5915700</v>
      </c>
      <c r="BA60" s="242">
        <f>SUM(AZ60:AZ60)</f>
        <v>5915700</v>
      </c>
    </row>
    <row r="61" spans="1:53" ht="20.25" customHeight="1" outlineLevel="1">
      <c r="A61" s="175" t="s">
        <v>649</v>
      </c>
      <c r="B61" s="172" t="s">
        <v>650</v>
      </c>
      <c r="C61" s="1404" t="s">
        <v>1962</v>
      </c>
      <c r="D61" s="242">
        <f>IFERROR(VLOOKUP(A61,計價收入預算!$A:$AW,9,0),0)</f>
        <v>267500</v>
      </c>
      <c r="E61" s="242">
        <f>SUM(D61:D61)</f>
        <v>267500</v>
      </c>
      <c r="F61" s="242">
        <f>+H61-D61</f>
        <v>0</v>
      </c>
      <c r="G61" s="242">
        <f>SUM(F61:F61)</f>
        <v>0</v>
      </c>
      <c r="H61" s="242">
        <f>IFERROR(VLOOKUP($A61,計價收入預算!$A:$AW,26,0),0)</f>
        <v>267500</v>
      </c>
      <c r="I61" s="242">
        <f>SUM(H61:H61)</f>
        <v>267500</v>
      </c>
      <c r="J61" s="242">
        <f>IFERROR(VLOOKUP($A61,計價收入預算!$A:$AW,28,0),0)</f>
        <v>0</v>
      </c>
      <c r="K61" s="242">
        <f>SUM(J61:J61)</f>
        <v>0</v>
      </c>
      <c r="L61" s="242">
        <f>IFERROR(VLOOKUP($A61,計價收入預算!$A:$AW,29,0),0)</f>
        <v>0</v>
      </c>
      <c r="M61" s="242">
        <f>SUM(L61:L61)</f>
        <v>0</v>
      </c>
      <c r="N61" s="242">
        <f>IFERROR(VLOOKUP($A61,計價收入預算!$A:$AW,30,0),0)</f>
        <v>0</v>
      </c>
      <c r="O61" s="242">
        <f t="shared" ref="O61" si="76">SUM(N61:N61)</f>
        <v>0</v>
      </c>
      <c r="P61" s="242">
        <f>IFERROR(VLOOKUP($A61,計價收入預算!$A:$AW,31,0),0)</f>
        <v>0</v>
      </c>
      <c r="Q61" s="242">
        <f t="shared" ref="Q61" si="77">SUM(P61:P61)</f>
        <v>0</v>
      </c>
      <c r="R61" s="242">
        <f>IFERROR(VLOOKUP($A61,計價收入預算!$A:$AW,32,0),0)</f>
        <v>0</v>
      </c>
      <c r="S61" s="242">
        <f t="shared" ref="S61" si="78">SUM(R61:R61)</f>
        <v>0</v>
      </c>
      <c r="T61" s="242">
        <f>IFERROR(VLOOKUP($A61,計價收入預算!$A:$AW,33,0),0)</f>
        <v>0</v>
      </c>
      <c r="U61" s="242">
        <f t="shared" ref="U61" si="79">SUM(T61:T61)</f>
        <v>0</v>
      </c>
      <c r="V61" s="242">
        <f>IFERROR(VLOOKUP($A61,計價收入預算!$A:$AW,34,0),0)</f>
        <v>0</v>
      </c>
      <c r="W61" s="242">
        <f t="shared" ref="W61" si="80">SUM(V61:V61)</f>
        <v>0</v>
      </c>
      <c r="X61" s="242">
        <f>IFERROR(VLOOKUP($A61,計價收入預算!$A:$AW,35,0),0)</f>
        <v>0</v>
      </c>
      <c r="Y61" s="242">
        <f t="shared" ref="Y61" si="81">SUM(X61:X61)</f>
        <v>0</v>
      </c>
      <c r="Z61" s="242">
        <f>IFERROR(VLOOKUP($A61,計價收入預算!$A:$AW,36,0),0)</f>
        <v>0</v>
      </c>
      <c r="AA61" s="242">
        <f t="shared" ref="AA61" si="82">SUM(Z61:Z61)</f>
        <v>0</v>
      </c>
      <c r="AB61" s="242">
        <f>IFERROR(VLOOKUP($A61,計價收入預算!$A:$AW,37,0),0)</f>
        <v>0</v>
      </c>
      <c r="AC61" s="242">
        <f t="shared" ref="AC61" si="83">SUM(AB61:AB61)</f>
        <v>0</v>
      </c>
      <c r="AD61" s="242">
        <f>IFERROR(VLOOKUP($A61,計價收入預算!$A:$AW,38,0),0)</f>
        <v>0</v>
      </c>
      <c r="AE61" s="242">
        <f t="shared" ref="AE61" si="84">SUM(AD61:AD61)</f>
        <v>0</v>
      </c>
      <c r="AF61" s="242">
        <f>IFERROR(VLOOKUP($A61,計價收入預算!$A:$AW,39,0),0)</f>
        <v>0</v>
      </c>
      <c r="AG61" s="242">
        <f t="shared" si="75"/>
        <v>0</v>
      </c>
      <c r="AH61" s="314">
        <f>SUMIF($J$4:$AG$4,$AH$4,$J61:$AG$66)</f>
        <v>0</v>
      </c>
      <c r="AI61" s="314">
        <f>SUM(AH61:AH61)</f>
        <v>0</v>
      </c>
      <c r="AJ61" s="264">
        <f>+H61+AH61</f>
        <v>267500</v>
      </c>
      <c r="AK61" s="242">
        <f>SUM(AJ61:AJ61)</f>
        <v>267500</v>
      </c>
      <c r="AL61" s="242">
        <f>IFERROR(VLOOKUP($A61,計價收入預算!$A:$AW,42,0),0)</f>
        <v>0</v>
      </c>
      <c r="AM61" s="242">
        <f>SUM(AL61:AL61)</f>
        <v>0</v>
      </c>
      <c r="AN61" s="242">
        <f>+AJ61+AL61</f>
        <v>267500</v>
      </c>
      <c r="AO61" s="242">
        <f>SUM(AN61:AN61)</f>
        <v>267500</v>
      </c>
      <c r="AP61" s="242">
        <f>IFERROR(VLOOKUP($A61,計價收入預算!$A:$AW,43,0),0)</f>
        <v>0</v>
      </c>
      <c r="AQ61" s="242">
        <f>SUM(AP61:AP61)</f>
        <v>0</v>
      </c>
      <c r="AR61" s="226">
        <f>+AN61+AP61</f>
        <v>267500</v>
      </c>
      <c r="AS61" s="242">
        <f>SUM(AR61:AR61)</f>
        <v>267500</v>
      </c>
      <c r="AT61" s="242">
        <f>IFERROR(VLOOKUP($A61,計價收入預算!$A:$AW,44,0),0)</f>
        <v>0</v>
      </c>
      <c r="AU61" s="242">
        <f>SUM(AT61:AT61)</f>
        <v>0</v>
      </c>
      <c r="AV61" s="226">
        <f>+AR61+AT61</f>
        <v>267500</v>
      </c>
      <c r="AW61" s="242">
        <f>SUM(AV61:AV61)</f>
        <v>267500</v>
      </c>
      <c r="AX61" s="242">
        <f>IFERROR(VLOOKUP($A61,計價收入預算!$A:$AW,45,0),0)</f>
        <v>0</v>
      </c>
      <c r="AY61" s="242">
        <f>SUM(AX61:AX61)</f>
        <v>0</v>
      </c>
      <c r="AZ61" s="226">
        <f>+AV61+AX61</f>
        <v>267500</v>
      </c>
      <c r="BA61" s="242">
        <f>SUM(AZ61:AZ61)</f>
        <v>267500</v>
      </c>
    </row>
    <row r="62" spans="1:53" ht="20.25" customHeight="1" outlineLevel="1">
      <c r="A62" s="175" t="s">
        <v>651</v>
      </c>
      <c r="B62" s="172" t="s">
        <v>652</v>
      </c>
      <c r="C62" s="172" t="s">
        <v>1976</v>
      </c>
      <c r="D62" s="242">
        <f>IFERROR(VLOOKUP(A62,計價收入預算!$A:$AW,9,0),0)</f>
        <v>3990100</v>
      </c>
      <c r="E62" s="242">
        <f>SUM(D62:D62)</f>
        <v>3990100</v>
      </c>
      <c r="F62" s="242">
        <f>+H62-D62</f>
        <v>1200000</v>
      </c>
      <c r="G62" s="242">
        <f>SUM(F62:F62)</f>
        <v>1200000</v>
      </c>
      <c r="H62" s="242">
        <f>IFERROR(VLOOKUP($A62,計價收入預算!$A:$AW,26,0),0)</f>
        <v>5190100</v>
      </c>
      <c r="I62" s="242">
        <f>SUM(H62:H62)</f>
        <v>5190100</v>
      </c>
      <c r="J62" s="242">
        <f>IFERROR(VLOOKUP($A62,計價收入預算!$A:$AW,28,0),0)</f>
        <v>0</v>
      </c>
      <c r="K62" s="242">
        <f>SUM(J62:J62)</f>
        <v>0</v>
      </c>
      <c r="L62" s="242">
        <f>IFERROR(VLOOKUP($A62,計價收入預算!$A:$AW,29,0),0)</f>
        <v>0</v>
      </c>
      <c r="M62" s="242">
        <f>SUM(L62:L62)</f>
        <v>0</v>
      </c>
      <c r="N62" s="242">
        <f>IFERROR(VLOOKUP($A62,計價收入預算!$A:$AW,30,0),0)</f>
        <v>0</v>
      </c>
      <c r="O62" s="242">
        <f t="shared" ref="O62" si="85">SUM(N62:N62)</f>
        <v>0</v>
      </c>
      <c r="P62" s="242">
        <f>IFERROR(VLOOKUP($A62,計價收入預算!$A:$AW,31,0),0)</f>
        <v>0</v>
      </c>
      <c r="Q62" s="242">
        <f t="shared" ref="Q62" si="86">SUM(P62:P62)</f>
        <v>0</v>
      </c>
      <c r="R62" s="242">
        <f>IFERROR(VLOOKUP($A62,計價收入預算!$A:$AW,32,0),0)</f>
        <v>0</v>
      </c>
      <c r="S62" s="242">
        <f t="shared" ref="S62" si="87">SUM(R62:R62)</f>
        <v>0</v>
      </c>
      <c r="T62" s="242">
        <f>IFERROR(VLOOKUP($A62,計價收入預算!$A:$AW,33,0),0)</f>
        <v>0</v>
      </c>
      <c r="U62" s="242">
        <f t="shared" ref="U62" si="88">SUM(T62:T62)</f>
        <v>0</v>
      </c>
      <c r="V62" s="242">
        <f>IFERROR(VLOOKUP($A62,計價收入預算!$A:$AW,34,0),0)</f>
        <v>0</v>
      </c>
      <c r="W62" s="242">
        <f t="shared" ref="W62" si="89">SUM(V62:V62)</f>
        <v>0</v>
      </c>
      <c r="X62" s="242">
        <f>IFERROR(VLOOKUP($A62,計價收入預算!$A:$AW,35,0),0)</f>
        <v>0</v>
      </c>
      <c r="Y62" s="242">
        <f t="shared" ref="Y62" si="90">SUM(X62:X62)</f>
        <v>0</v>
      </c>
      <c r="Z62" s="242">
        <f>IFERROR(VLOOKUP($A62,計價收入預算!$A:$AW,36,0),0)</f>
        <v>0</v>
      </c>
      <c r="AA62" s="242">
        <f t="shared" ref="AA62" si="91">SUM(Z62:Z62)</f>
        <v>0</v>
      </c>
      <c r="AB62" s="242">
        <f>IFERROR(VLOOKUP($A62,計價收入預算!$A:$AW,37,0),0)</f>
        <v>0</v>
      </c>
      <c r="AC62" s="242">
        <f t="shared" ref="AC62" si="92">SUM(AB62:AB62)</f>
        <v>0</v>
      </c>
      <c r="AD62" s="242">
        <f>IFERROR(VLOOKUP($A62,計價收入預算!$A:$AW,38,0),0)</f>
        <v>0</v>
      </c>
      <c r="AE62" s="242">
        <f t="shared" ref="AE62" si="93">SUM(AD62:AD62)</f>
        <v>0</v>
      </c>
      <c r="AF62" s="242">
        <f>IFERROR(VLOOKUP($A62,計價收入預算!$A:$AW,39,0),0)</f>
        <v>1200000</v>
      </c>
      <c r="AG62" s="242">
        <f t="shared" si="75"/>
        <v>1200000</v>
      </c>
      <c r="AH62" s="314">
        <f>SUMIF($J$4:$AG$4,$AH$4,$J62:$AG$66)</f>
        <v>1200000</v>
      </c>
      <c r="AI62" s="314">
        <f>SUM(AH62:AH62)</f>
        <v>1200000</v>
      </c>
      <c r="AJ62" s="264">
        <f>+H62+AH62</f>
        <v>6390100</v>
      </c>
      <c r="AK62" s="242">
        <f>SUM(AJ62:AJ62)</f>
        <v>6390100</v>
      </c>
      <c r="AL62" s="242">
        <f>IFERROR(VLOOKUP($A62,計價收入預算!$A:$AW,42,0),0)</f>
        <v>420000</v>
      </c>
      <c r="AM62" s="242">
        <f>SUM(AL62:AL62)</f>
        <v>420000</v>
      </c>
      <c r="AN62" s="242">
        <f>+AJ62+AL62</f>
        <v>6810100</v>
      </c>
      <c r="AO62" s="242">
        <f>SUM(AN62:AN62)</f>
        <v>6810100</v>
      </c>
      <c r="AP62" s="242">
        <f>IFERROR(VLOOKUP($A62,計價收入預算!$A:$AW,43,0),0)</f>
        <v>821500</v>
      </c>
      <c r="AQ62" s="242">
        <f>SUM(AP62:AP62)</f>
        <v>821500</v>
      </c>
      <c r="AR62" s="226">
        <f>+AN62+AP62</f>
        <v>7631600</v>
      </c>
      <c r="AS62" s="242">
        <f>SUM(AR62:AR62)</f>
        <v>7631600</v>
      </c>
      <c r="AT62" s="242">
        <f>IFERROR(VLOOKUP($A62,計價收入預算!$A:$AW,44,0),0)</f>
        <v>0</v>
      </c>
      <c r="AU62" s="242">
        <f>SUM(AT62:AT62)</f>
        <v>0</v>
      </c>
      <c r="AV62" s="226">
        <f>+AR62+AT62</f>
        <v>7631600</v>
      </c>
      <c r="AW62" s="242">
        <f>SUM(AV62:AV62)</f>
        <v>7631600</v>
      </c>
      <c r="AX62" s="242">
        <f>IFERROR(VLOOKUP($A62,計價收入預算!$A:$AW,45,0),0)</f>
        <v>0</v>
      </c>
      <c r="AY62" s="242">
        <f>SUM(AX62:AX62)</f>
        <v>0</v>
      </c>
      <c r="AZ62" s="226">
        <f>+AV62+AX62</f>
        <v>7631600</v>
      </c>
      <c r="BA62" s="242">
        <f>SUM(AZ62:AZ62)</f>
        <v>7631600</v>
      </c>
    </row>
    <row r="63" spans="1:53" ht="20.25" customHeight="1" outlineLevel="1">
      <c r="A63" s="175" t="s">
        <v>705</v>
      </c>
      <c r="B63" s="172" t="s">
        <v>706</v>
      </c>
      <c r="C63" s="169" t="s">
        <v>2514</v>
      </c>
      <c r="D63" s="242">
        <f>IFERROR(VLOOKUP(A63,計價收入預算!$A:$AW,9,0),0)</f>
        <v>1630000</v>
      </c>
      <c r="E63" s="242">
        <f>SUM(D63:D63)</f>
        <v>1630000</v>
      </c>
      <c r="F63" s="242">
        <f>+H63-D63</f>
        <v>480000</v>
      </c>
      <c r="G63" s="242">
        <f>SUM(F63:F63)</f>
        <v>480000</v>
      </c>
      <c r="H63" s="242">
        <f>IFERROR(VLOOKUP($A63,計價收入預算!$A:$AW,26,0),0)</f>
        <v>2110000</v>
      </c>
      <c r="I63" s="242">
        <f>SUM(H63:H63)</f>
        <v>2110000</v>
      </c>
      <c r="J63" s="242">
        <f>IFERROR(VLOOKUP($A63,計價收入預算!$A:$AW,28,0),0)</f>
        <v>0</v>
      </c>
      <c r="K63" s="242">
        <f>SUM(J63:J63)</f>
        <v>0</v>
      </c>
      <c r="L63" s="242">
        <f>IFERROR(VLOOKUP($A63,計價收入預算!$A:$AW,29,0),0)</f>
        <v>0</v>
      </c>
      <c r="M63" s="242">
        <f>SUM(L63:L63)</f>
        <v>0</v>
      </c>
      <c r="N63" s="242">
        <f>IFERROR(VLOOKUP($A63,計價收入預算!$A:$AW,30,0),0)</f>
        <v>0</v>
      </c>
      <c r="O63" s="242">
        <f t="shared" ref="O63" si="94">SUM(N63:N63)</f>
        <v>0</v>
      </c>
      <c r="P63" s="242">
        <f>IFERROR(VLOOKUP($A63,計價收入預算!$A:$AW,31,0),0)</f>
        <v>1265000</v>
      </c>
      <c r="Q63" s="242">
        <f t="shared" ref="Q63" si="95">SUM(P63:P63)</f>
        <v>1265000</v>
      </c>
      <c r="R63" s="242">
        <f>IFERROR(VLOOKUP($A63,計價收入預算!$A:$AW,32,0),0)</f>
        <v>0</v>
      </c>
      <c r="S63" s="242">
        <f t="shared" ref="S63" si="96">SUM(R63:R63)</f>
        <v>0</v>
      </c>
      <c r="T63" s="242">
        <f>IFERROR(VLOOKUP($A63,計價收入預算!$A:$AW,33,0),0)</f>
        <v>0</v>
      </c>
      <c r="U63" s="242">
        <f t="shared" ref="U63" si="97">SUM(T63:T63)</f>
        <v>0</v>
      </c>
      <c r="V63" s="242">
        <f>IFERROR(VLOOKUP($A63,計價收入預算!$A:$AW,34,0),0)</f>
        <v>0</v>
      </c>
      <c r="W63" s="242">
        <f t="shared" ref="W63" si="98">SUM(V63:V63)</f>
        <v>0</v>
      </c>
      <c r="X63" s="242">
        <f>IFERROR(VLOOKUP($A63,計價收入預算!$A:$AW,35,0),0)</f>
        <v>0</v>
      </c>
      <c r="Y63" s="242">
        <f t="shared" ref="Y63" si="99">SUM(X63:X63)</f>
        <v>0</v>
      </c>
      <c r="Z63" s="242">
        <f>IFERROR(VLOOKUP($A63,計價收入預算!$A:$AW,36,0),0)</f>
        <v>0</v>
      </c>
      <c r="AA63" s="242">
        <f t="shared" ref="AA63" si="100">SUM(Z63:Z63)</f>
        <v>0</v>
      </c>
      <c r="AB63" s="242">
        <f>IFERROR(VLOOKUP($A63,計價收入預算!$A:$AW,37,0),0)</f>
        <v>0</v>
      </c>
      <c r="AC63" s="242">
        <f t="shared" ref="AC63" si="101">SUM(AB63:AB63)</f>
        <v>0</v>
      </c>
      <c r="AD63" s="242">
        <f>IFERROR(VLOOKUP($A63,計價收入預算!$A:$AW,38,0),0)</f>
        <v>0</v>
      </c>
      <c r="AE63" s="242">
        <f t="shared" ref="AE63" si="102">SUM(AD63:AD63)</f>
        <v>0</v>
      </c>
      <c r="AF63" s="242">
        <f>IFERROR(VLOOKUP($A63,計價收入預算!$A:$AW,39,0),0)</f>
        <v>0</v>
      </c>
      <c r="AG63" s="242">
        <f t="shared" si="75"/>
        <v>0</v>
      </c>
      <c r="AH63" s="314">
        <f>SUMIF($J$4:$AG$4,$AH$4,$J63:$AG$66)</f>
        <v>1265000</v>
      </c>
      <c r="AI63" s="314">
        <f>SUM(AH63:AH63)</f>
        <v>1265000</v>
      </c>
      <c r="AJ63" s="264">
        <f>+H63+AH63</f>
        <v>3375000</v>
      </c>
      <c r="AK63" s="242">
        <f>SUM(AJ63:AJ63)</f>
        <v>3375000</v>
      </c>
      <c r="AL63" s="242">
        <f>IFERROR(VLOOKUP($A63,計價收入預算!$A:$AW,42,0),0)</f>
        <v>0</v>
      </c>
      <c r="AM63" s="242">
        <f>SUM(AL63:AL63)</f>
        <v>0</v>
      </c>
      <c r="AN63" s="242">
        <f>+AJ63+AL63</f>
        <v>3375000</v>
      </c>
      <c r="AO63" s="242">
        <f>SUM(AN63:AN63)</f>
        <v>3375000</v>
      </c>
      <c r="AP63" s="242">
        <f>IFERROR(VLOOKUP($A63,計價收入預算!$A:$AW,43,0),0)</f>
        <v>0</v>
      </c>
      <c r="AQ63" s="242">
        <f>SUM(AP63:AP63)</f>
        <v>0</v>
      </c>
      <c r="AR63" s="226">
        <f>+AN63+AP63</f>
        <v>3375000</v>
      </c>
      <c r="AS63" s="242">
        <f>SUM(AR63:AR63)</f>
        <v>3375000</v>
      </c>
      <c r="AT63" s="242">
        <f>IFERROR(VLOOKUP($A63,計價收入預算!$A:$AW,44,0),0)</f>
        <v>0</v>
      </c>
      <c r="AU63" s="242">
        <f>SUM(AT63:AT63)</f>
        <v>0</v>
      </c>
      <c r="AV63" s="226">
        <f>+AR63+AT63</f>
        <v>3375000</v>
      </c>
      <c r="AW63" s="242">
        <f>SUM(AV63:AV63)</f>
        <v>3375000</v>
      </c>
      <c r="AX63" s="242">
        <f>IFERROR(VLOOKUP($A63,計價收入預算!$A:$AW,45,0),0)</f>
        <v>0</v>
      </c>
      <c r="AY63" s="242">
        <f>SUM(AX63:AX63)</f>
        <v>0</v>
      </c>
      <c r="AZ63" s="226">
        <f>+AV63+AX63</f>
        <v>3375000</v>
      </c>
      <c r="BA63" s="242">
        <f>SUM(AZ63:AZ63)</f>
        <v>3375000</v>
      </c>
    </row>
    <row r="64" spans="1:53" ht="20.25" customHeight="1" outlineLevel="1">
      <c r="A64" s="175" t="s">
        <v>707</v>
      </c>
      <c r="B64" s="172" t="s">
        <v>708</v>
      </c>
      <c r="C64" s="172" t="s">
        <v>1976</v>
      </c>
      <c r="D64" s="242">
        <f>IFERROR(VLOOKUP(A64,計價收入預算!$A:$AW,9,0),0)</f>
        <v>880000</v>
      </c>
      <c r="E64" s="242">
        <f>SUM(D64:D64)</f>
        <v>880000</v>
      </c>
      <c r="F64" s="242">
        <f>+H64-D64</f>
        <v>960000</v>
      </c>
      <c r="G64" s="242">
        <f>SUM(F64:F64)</f>
        <v>960000</v>
      </c>
      <c r="H64" s="242">
        <f>IFERROR(VLOOKUP($A64,計價收入預算!$A:$AW,26,0),0)</f>
        <v>1840000</v>
      </c>
      <c r="I64" s="242">
        <f>SUM(H64:H64)</f>
        <v>1840000</v>
      </c>
      <c r="J64" s="242">
        <f>IFERROR(VLOOKUP($A64,計價收入預算!$A:$AW,28,0),0)</f>
        <v>0</v>
      </c>
      <c r="K64" s="242">
        <f>SUM(J64:J64)</f>
        <v>0</v>
      </c>
      <c r="L64" s="242">
        <f>IFERROR(VLOOKUP($A64,計價收入預算!$A:$AW,29,0),0)</f>
        <v>0</v>
      </c>
      <c r="M64" s="242">
        <f>SUM(L64:L64)</f>
        <v>0</v>
      </c>
      <c r="N64" s="242">
        <f>IFERROR(VLOOKUP($A64,計價收入預算!$A:$AW,30,0),0)</f>
        <v>0</v>
      </c>
      <c r="O64" s="242">
        <f t="shared" ref="O64" si="103">SUM(N64:N64)</f>
        <v>0</v>
      </c>
      <c r="P64" s="242">
        <f>IFERROR(VLOOKUP($A64,計價收入預算!$A:$AW,31,0),0)</f>
        <v>0</v>
      </c>
      <c r="Q64" s="242">
        <f t="shared" ref="Q64" si="104">SUM(P64:P64)</f>
        <v>0</v>
      </c>
      <c r="R64" s="242">
        <f>IFERROR(VLOOKUP($A64,計價收入預算!$A:$AW,32,0),0)</f>
        <v>0</v>
      </c>
      <c r="S64" s="242">
        <f t="shared" ref="S64" si="105">SUM(R64:R64)</f>
        <v>0</v>
      </c>
      <c r="T64" s="242">
        <f>IFERROR(VLOOKUP($A64,計價收入預算!$A:$AW,33,0),0)</f>
        <v>0</v>
      </c>
      <c r="U64" s="242">
        <f t="shared" ref="U64" si="106">SUM(T64:T64)</f>
        <v>0</v>
      </c>
      <c r="V64" s="242">
        <f>IFERROR(VLOOKUP($A64,計價收入預算!$A:$AW,34,0),0)</f>
        <v>0</v>
      </c>
      <c r="W64" s="242">
        <f t="shared" ref="W64" si="107">SUM(V64:V64)</f>
        <v>0</v>
      </c>
      <c r="X64" s="242">
        <f>IFERROR(VLOOKUP($A64,計價收入預算!$A:$AW,35,0),0)</f>
        <v>0</v>
      </c>
      <c r="Y64" s="242">
        <f t="shared" ref="Y64" si="108">SUM(X64:X64)</f>
        <v>0</v>
      </c>
      <c r="Z64" s="242">
        <f>IFERROR(VLOOKUP($A64,計價收入預算!$A:$AW,36,0),0)</f>
        <v>0</v>
      </c>
      <c r="AA64" s="242">
        <f t="shared" ref="AA64" si="109">SUM(Z64:Z64)</f>
        <v>0</v>
      </c>
      <c r="AB64" s="242">
        <f>IFERROR(VLOOKUP($A64,計價收入預算!$A:$AW,37,0),0)</f>
        <v>175000</v>
      </c>
      <c r="AC64" s="242">
        <f t="shared" ref="AC64" si="110">SUM(AB64:AB64)</f>
        <v>175000</v>
      </c>
      <c r="AD64" s="242">
        <f>IFERROR(VLOOKUP($A64,計價收入預算!$A:$AW,38,0),0)</f>
        <v>0</v>
      </c>
      <c r="AE64" s="242">
        <f t="shared" ref="AE64" si="111">SUM(AD64:AD64)</f>
        <v>0</v>
      </c>
      <c r="AF64" s="242">
        <f>IFERROR(VLOOKUP($A64,計價收入預算!$A:$AW,39,0),0)</f>
        <v>0</v>
      </c>
      <c r="AG64" s="242">
        <f t="shared" si="75"/>
        <v>0</v>
      </c>
      <c r="AH64" s="314">
        <f>SUMIF($J$4:$AG$4,$AH$4,$J64:$AG$66)</f>
        <v>175000</v>
      </c>
      <c r="AI64" s="314">
        <f>SUM(AH64:AH64)</f>
        <v>175000</v>
      </c>
      <c r="AJ64" s="264">
        <f>+H64+AH64</f>
        <v>2015000</v>
      </c>
      <c r="AK64" s="242">
        <f>SUM(AJ64:AJ64)</f>
        <v>2015000</v>
      </c>
      <c r="AL64" s="242">
        <f>IFERROR(VLOOKUP($A64,計價收入預算!$A:$AW,42,0),0)</f>
        <v>0</v>
      </c>
      <c r="AM64" s="242">
        <f>SUM(AL64:AL64)</f>
        <v>0</v>
      </c>
      <c r="AN64" s="242">
        <f>+AJ64+AL64</f>
        <v>2015000</v>
      </c>
      <c r="AO64" s="242">
        <f>SUM(AN64:AN64)</f>
        <v>2015000</v>
      </c>
      <c r="AP64" s="242">
        <f>IFERROR(VLOOKUP($A64,計價收入預算!$A:$AW,43,0),0)</f>
        <v>0</v>
      </c>
      <c r="AQ64" s="242">
        <f>SUM(AP64:AP64)</f>
        <v>0</v>
      </c>
      <c r="AR64" s="226">
        <f>+AN64+AP64</f>
        <v>2015000</v>
      </c>
      <c r="AS64" s="242">
        <f>SUM(AR64:AR64)</f>
        <v>2015000</v>
      </c>
      <c r="AT64" s="242">
        <f>IFERROR(VLOOKUP($A64,計價收入預算!$A:$AW,44,0),0)</f>
        <v>0</v>
      </c>
      <c r="AU64" s="242">
        <f>SUM(AT64:AT64)</f>
        <v>0</v>
      </c>
      <c r="AV64" s="226">
        <f>+AR64+AT64</f>
        <v>2015000</v>
      </c>
      <c r="AW64" s="242">
        <f>SUM(AV64:AV64)</f>
        <v>2015000</v>
      </c>
      <c r="AX64" s="242">
        <f>IFERROR(VLOOKUP($A64,計價收入預算!$A:$AW,45,0),0)</f>
        <v>0</v>
      </c>
      <c r="AY64" s="242">
        <f>SUM(AX64:AX64)</f>
        <v>0</v>
      </c>
      <c r="AZ64" s="226">
        <f>+AV64+AX64</f>
        <v>2015000</v>
      </c>
      <c r="BA64" s="242">
        <f>SUM(AZ64:AZ64)</f>
        <v>2015000</v>
      </c>
    </row>
    <row r="65" spans="1:53" ht="20.25" customHeight="1" outlineLevel="1">
      <c r="A65" s="228"/>
      <c r="B65" s="229" t="s">
        <v>2036</v>
      </c>
      <c r="C65" s="229"/>
      <c r="D65" s="314">
        <f>SUM(D60:D64)</f>
        <v>7784300</v>
      </c>
      <c r="E65" s="314">
        <f t="shared" ref="E65:AJ65" si="112">SUM(E60:E64)</f>
        <v>7784300</v>
      </c>
      <c r="F65" s="314">
        <f t="shared" si="112"/>
        <v>3427500</v>
      </c>
      <c r="G65" s="314">
        <f t="shared" si="112"/>
        <v>3427500</v>
      </c>
      <c r="H65" s="314">
        <f t="shared" si="112"/>
        <v>11211800</v>
      </c>
      <c r="I65" s="314">
        <f t="shared" si="112"/>
        <v>11211800</v>
      </c>
      <c r="J65" s="314">
        <f t="shared" si="112"/>
        <v>29500</v>
      </c>
      <c r="K65" s="314">
        <f t="shared" si="112"/>
        <v>29500</v>
      </c>
      <c r="L65" s="314">
        <f t="shared" si="112"/>
        <v>29500</v>
      </c>
      <c r="M65" s="314">
        <f t="shared" si="112"/>
        <v>29500</v>
      </c>
      <c r="N65" s="314">
        <f t="shared" si="112"/>
        <v>29500</v>
      </c>
      <c r="O65" s="314">
        <f t="shared" si="112"/>
        <v>29500</v>
      </c>
      <c r="P65" s="314">
        <f t="shared" ref="P65:AG65" si="113">SUM(P60:P64)</f>
        <v>1294500</v>
      </c>
      <c r="Q65" s="314">
        <f t="shared" si="113"/>
        <v>1294500</v>
      </c>
      <c r="R65" s="314">
        <f t="shared" si="113"/>
        <v>29500</v>
      </c>
      <c r="S65" s="314">
        <f t="shared" si="113"/>
        <v>29500</v>
      </c>
      <c r="T65" s="314">
        <f t="shared" si="113"/>
        <v>29500</v>
      </c>
      <c r="U65" s="314">
        <f t="shared" si="113"/>
        <v>29500</v>
      </c>
      <c r="V65" s="314">
        <f t="shared" si="113"/>
        <v>29500</v>
      </c>
      <c r="W65" s="314">
        <f t="shared" si="113"/>
        <v>29500</v>
      </c>
      <c r="X65" s="314">
        <f t="shared" si="113"/>
        <v>29500</v>
      </c>
      <c r="Y65" s="314">
        <f t="shared" si="113"/>
        <v>29500</v>
      </c>
      <c r="Z65" s="314">
        <f t="shared" si="113"/>
        <v>29500</v>
      </c>
      <c r="AA65" s="314">
        <f t="shared" si="113"/>
        <v>29500</v>
      </c>
      <c r="AB65" s="314">
        <f t="shared" si="113"/>
        <v>204500</v>
      </c>
      <c r="AC65" s="314">
        <f t="shared" si="113"/>
        <v>204500</v>
      </c>
      <c r="AD65" s="314">
        <f t="shared" si="113"/>
        <v>29500</v>
      </c>
      <c r="AE65" s="314">
        <f t="shared" si="113"/>
        <v>29500</v>
      </c>
      <c r="AF65" s="314">
        <f t="shared" si="113"/>
        <v>1229500</v>
      </c>
      <c r="AG65" s="314">
        <f t="shared" si="113"/>
        <v>1229500</v>
      </c>
      <c r="AH65" s="314">
        <f>SUMIF($J$4:$AG$4,$AH$4,$J65:$AG$66)</f>
        <v>2994000</v>
      </c>
      <c r="AI65" s="314">
        <f t="shared" si="112"/>
        <v>2994000</v>
      </c>
      <c r="AJ65" s="314">
        <f t="shared" si="112"/>
        <v>14205800</v>
      </c>
      <c r="AK65" s="314">
        <f t="shared" ref="AK65:BA65" si="114">SUM(AK60:AK64)</f>
        <v>14205800</v>
      </c>
      <c r="AL65" s="314">
        <f t="shared" si="114"/>
        <v>1470000</v>
      </c>
      <c r="AM65" s="314">
        <f t="shared" si="114"/>
        <v>1470000</v>
      </c>
      <c r="AN65" s="314">
        <f t="shared" si="114"/>
        <v>15675800</v>
      </c>
      <c r="AO65" s="314">
        <f t="shared" si="114"/>
        <v>15675800</v>
      </c>
      <c r="AP65" s="314">
        <f t="shared" ref="AP65" si="115">SUM(AP60:AP64)</f>
        <v>1931500</v>
      </c>
      <c r="AQ65" s="314">
        <f t="shared" si="114"/>
        <v>1931500</v>
      </c>
      <c r="AR65" s="314">
        <f t="shared" si="114"/>
        <v>17607300</v>
      </c>
      <c r="AS65" s="314">
        <f t="shared" si="114"/>
        <v>17607300</v>
      </c>
      <c r="AT65" s="314">
        <f t="shared" ref="AT65" si="116">SUM(AT60:AT64)</f>
        <v>1597500</v>
      </c>
      <c r="AU65" s="314">
        <f t="shared" si="114"/>
        <v>1597500</v>
      </c>
      <c r="AV65" s="314">
        <f t="shared" si="114"/>
        <v>19204800</v>
      </c>
      <c r="AW65" s="314">
        <f t="shared" si="114"/>
        <v>19204800</v>
      </c>
      <c r="AX65" s="314">
        <f t="shared" si="114"/>
        <v>0</v>
      </c>
      <c r="AY65" s="314">
        <f t="shared" si="114"/>
        <v>0</v>
      </c>
      <c r="AZ65" s="314">
        <f t="shared" si="114"/>
        <v>19204800</v>
      </c>
      <c r="BA65" s="314">
        <f t="shared" si="114"/>
        <v>19204800</v>
      </c>
    </row>
    <row r="66" spans="1:53" ht="20.25" customHeight="1" outlineLevel="1">
      <c r="A66" s="1394"/>
      <c r="B66" s="1395" t="s">
        <v>1965</v>
      </c>
      <c r="C66" s="1395"/>
      <c r="D66" s="1420">
        <f>D65+D59</f>
        <v>176164831</v>
      </c>
      <c r="E66" s="1420">
        <f t="shared" ref="E66:BA66" si="117">E65+E59</f>
        <v>176164831</v>
      </c>
      <c r="F66" s="1420">
        <f t="shared" si="117"/>
        <v>28306500</v>
      </c>
      <c r="G66" s="1420">
        <f t="shared" si="117"/>
        <v>28306500</v>
      </c>
      <c r="H66" s="1420">
        <f t="shared" si="117"/>
        <v>204471331</v>
      </c>
      <c r="I66" s="1420">
        <f t="shared" si="117"/>
        <v>204471331</v>
      </c>
      <c r="J66" s="1420">
        <f t="shared" si="117"/>
        <v>7394168</v>
      </c>
      <c r="K66" s="1420">
        <f t="shared" si="117"/>
        <v>7394168</v>
      </c>
      <c r="L66" s="1420">
        <f t="shared" ca="1" si="117"/>
        <v>76015532</v>
      </c>
      <c r="M66" s="1420">
        <f t="shared" si="117"/>
        <v>5115950</v>
      </c>
      <c r="N66" s="1420">
        <f t="shared" si="117"/>
        <v>6995918</v>
      </c>
      <c r="O66" s="1420">
        <f t="shared" si="117"/>
        <v>6995918</v>
      </c>
      <c r="P66" s="1420">
        <f t="shared" ref="P66:AG66" si="118">P65+P59</f>
        <v>5517168</v>
      </c>
      <c r="Q66" s="1420">
        <f t="shared" si="118"/>
        <v>5517168</v>
      </c>
      <c r="R66" s="1420">
        <f t="shared" si="118"/>
        <v>6099168</v>
      </c>
      <c r="S66" s="1420">
        <f t="shared" si="118"/>
        <v>6099168</v>
      </c>
      <c r="T66" s="1420">
        <f t="shared" si="118"/>
        <v>3757168</v>
      </c>
      <c r="U66" s="1420">
        <f t="shared" si="118"/>
        <v>3757168</v>
      </c>
      <c r="V66" s="1420">
        <f t="shared" si="118"/>
        <v>8010068</v>
      </c>
      <c r="W66" s="1420">
        <f t="shared" si="118"/>
        <v>8010068</v>
      </c>
      <c r="X66" s="1420">
        <f t="shared" si="118"/>
        <v>4487168</v>
      </c>
      <c r="Y66" s="1420">
        <f t="shared" si="118"/>
        <v>4487168</v>
      </c>
      <c r="Z66" s="1420">
        <f t="shared" si="118"/>
        <v>4425668</v>
      </c>
      <c r="AA66" s="1420">
        <f t="shared" si="118"/>
        <v>4425668</v>
      </c>
      <c r="AB66" s="1420">
        <f t="shared" si="118"/>
        <v>5743668</v>
      </c>
      <c r="AC66" s="1420">
        <f t="shared" si="118"/>
        <v>5743668</v>
      </c>
      <c r="AD66" s="1420">
        <f t="shared" si="118"/>
        <v>5423668</v>
      </c>
      <c r="AE66" s="1420">
        <f t="shared" si="118"/>
        <v>5423668</v>
      </c>
      <c r="AF66" s="1420">
        <f t="shared" si="118"/>
        <v>13045752</v>
      </c>
      <c r="AG66" s="1420">
        <f t="shared" si="118"/>
        <v>13045752</v>
      </c>
      <c r="AH66" s="1420">
        <f t="shared" si="117"/>
        <v>76015532</v>
      </c>
      <c r="AI66" s="1420">
        <f t="shared" si="117"/>
        <v>76015532</v>
      </c>
      <c r="AJ66" s="1420">
        <f t="shared" si="117"/>
        <v>280486863</v>
      </c>
      <c r="AK66" s="1420">
        <f t="shared" si="117"/>
        <v>280486863</v>
      </c>
      <c r="AL66" s="1420">
        <f t="shared" si="117"/>
        <v>75884390</v>
      </c>
      <c r="AM66" s="1420">
        <f t="shared" si="117"/>
        <v>75884390</v>
      </c>
      <c r="AN66" s="1420">
        <f t="shared" si="117"/>
        <v>356371253</v>
      </c>
      <c r="AO66" s="1420">
        <f t="shared" si="117"/>
        <v>356371253</v>
      </c>
      <c r="AP66" s="1420">
        <f t="shared" ref="AP66" si="119">AP65+AP59</f>
        <v>77852850</v>
      </c>
      <c r="AQ66" s="1420">
        <f t="shared" si="117"/>
        <v>77852850</v>
      </c>
      <c r="AR66" s="1420">
        <f t="shared" si="117"/>
        <v>434224103</v>
      </c>
      <c r="AS66" s="1420">
        <f t="shared" si="117"/>
        <v>434224103</v>
      </c>
      <c r="AT66" s="1420">
        <f t="shared" ref="AT66" si="120">AT65+AT59</f>
        <v>80153517</v>
      </c>
      <c r="AU66" s="1420">
        <f t="shared" si="117"/>
        <v>80153517</v>
      </c>
      <c r="AV66" s="1420">
        <f t="shared" si="117"/>
        <v>514377620</v>
      </c>
      <c r="AW66" s="1420">
        <f t="shared" si="117"/>
        <v>514377620</v>
      </c>
      <c r="AX66" s="1420">
        <f t="shared" si="117"/>
        <v>83656350</v>
      </c>
      <c r="AY66" s="1420">
        <f t="shared" si="117"/>
        <v>83656350</v>
      </c>
      <c r="AZ66" s="1420">
        <f t="shared" si="117"/>
        <v>598033970</v>
      </c>
      <c r="BA66" s="1420">
        <f t="shared" si="117"/>
        <v>598033970</v>
      </c>
    </row>
    <row r="67" spans="1:53" s="97" customFormat="1">
      <c r="A67" s="231"/>
      <c r="B67" s="231"/>
      <c r="C67" s="231"/>
      <c r="D67" s="231"/>
      <c r="E67" s="231"/>
      <c r="F67" s="231"/>
      <c r="G67" s="231"/>
      <c r="I67" s="231"/>
      <c r="K67" s="231"/>
      <c r="M67" s="231"/>
      <c r="O67" s="231"/>
      <c r="Q67" s="231"/>
      <c r="S67" s="231"/>
      <c r="U67" s="231"/>
      <c r="W67" s="231"/>
      <c r="Y67" s="231"/>
      <c r="AA67" s="231"/>
      <c r="AC67" s="231"/>
      <c r="AE67" s="231"/>
      <c r="AG67" s="231"/>
      <c r="AK67" s="231"/>
      <c r="AM67" s="231"/>
      <c r="AO67" s="231"/>
      <c r="AQ67" s="231"/>
      <c r="AS67" s="231"/>
      <c r="AU67" s="231"/>
      <c r="AW67" s="231"/>
      <c r="AY67" s="231"/>
      <c r="BA67" s="231"/>
    </row>
    <row r="68" spans="1:53">
      <c r="A68" s="98"/>
      <c r="B68" s="193" t="s">
        <v>768</v>
      </c>
      <c r="C68" s="193"/>
      <c r="D68" s="97">
        <f>D66-計價收入預算!I68</f>
        <v>0</v>
      </c>
      <c r="F68" s="97">
        <f>F66-計價收入預算!V68-計價收入預算!W68-計價收入預算!X68-計價收入預算!Y68</f>
        <v>0</v>
      </c>
      <c r="H68" s="231">
        <f>H66-計價收入預算!Z68</f>
        <v>0</v>
      </c>
      <c r="J68" s="98">
        <f>J66-計價收入預算!AB68</f>
        <v>0</v>
      </c>
      <c r="K68" s="98"/>
      <c r="L68" s="98">
        <f ca="1">L66-計價收入預算!AC68</f>
        <v>0</v>
      </c>
      <c r="M68" s="98"/>
      <c r="N68" s="98">
        <f>N66-計價收入預算!AD68</f>
        <v>0</v>
      </c>
      <c r="O68" s="98"/>
      <c r="P68" s="98">
        <f>P66-計價收入預算!AE68</f>
        <v>0</v>
      </c>
      <c r="Q68" s="98"/>
      <c r="R68" s="98">
        <f>R66-計價收入預算!AF68</f>
        <v>0</v>
      </c>
      <c r="S68" s="98"/>
      <c r="T68" s="98">
        <f>T66-計價收入預算!AG68</f>
        <v>0</v>
      </c>
      <c r="U68" s="98"/>
      <c r="V68" s="98">
        <f>V66-計價收入預算!AH68</f>
        <v>0</v>
      </c>
      <c r="W68" s="98"/>
      <c r="X68" s="98">
        <f>X66-計價收入預算!AI68</f>
        <v>0</v>
      </c>
      <c r="Y68" s="98"/>
      <c r="Z68" s="98">
        <f>Z66-計價收入預算!AJ68</f>
        <v>0</v>
      </c>
      <c r="AA68" s="98"/>
      <c r="AB68" s="98">
        <f>AB66-計價收入預算!AK68</f>
        <v>0</v>
      </c>
      <c r="AC68" s="98"/>
      <c r="AD68" s="98">
        <f>AD66-計價收入預算!AL68</f>
        <v>0</v>
      </c>
      <c r="AE68" s="98"/>
      <c r="AF68" s="98">
        <f>AF66-計價收入預算!AM68</f>
        <v>0</v>
      </c>
      <c r="AG68" s="98"/>
      <c r="AI68" s="98"/>
      <c r="AJ68" s="98">
        <f>AJ66-計價收入預算!AN68</f>
        <v>0</v>
      </c>
      <c r="AK68" s="193"/>
      <c r="AL68" s="98">
        <f>AL66-計價收入預算!AP68</f>
        <v>0</v>
      </c>
      <c r="AM68" s="98"/>
      <c r="AO68" s="193"/>
      <c r="AP68" s="98">
        <f>AP66-計價收入預算!AQ68</f>
        <v>0</v>
      </c>
      <c r="AQ68" s="98"/>
      <c r="AS68" s="193"/>
      <c r="AT68" s="98">
        <f>AT66-計價收入預算!AR68</f>
        <v>0</v>
      </c>
      <c r="AU68" s="98"/>
      <c r="AW68" s="193"/>
      <c r="AX68" s="98">
        <f>AX66-計價收入預算!AS68</f>
        <v>0</v>
      </c>
      <c r="AY68" s="98"/>
      <c r="BA68" s="193"/>
    </row>
    <row r="69" spans="1:53">
      <c r="A69" s="231"/>
      <c r="B69" s="202"/>
      <c r="C69" s="202"/>
      <c r="D69" s="320"/>
      <c r="E69" s="231"/>
      <c r="F69" s="232"/>
      <c r="G69" s="232"/>
      <c r="I69" s="231"/>
      <c r="J69" s="97"/>
      <c r="K69" s="232"/>
      <c r="L69" s="97"/>
      <c r="M69" s="232"/>
      <c r="N69" s="97"/>
      <c r="O69" s="232"/>
      <c r="P69" s="97"/>
      <c r="Q69" s="232"/>
      <c r="R69" s="97"/>
      <c r="S69" s="232"/>
      <c r="T69" s="97"/>
      <c r="U69" s="232"/>
      <c r="V69" s="97"/>
      <c r="W69" s="232"/>
      <c r="X69" s="97"/>
      <c r="Y69" s="232"/>
      <c r="Z69" s="97"/>
      <c r="AA69" s="232"/>
      <c r="AB69" s="97"/>
      <c r="AC69" s="232"/>
      <c r="AD69" s="97"/>
      <c r="AE69" s="232"/>
      <c r="AF69" s="97"/>
      <c r="AG69" s="232"/>
      <c r="AH69" s="97"/>
      <c r="AI69" s="98"/>
      <c r="AK69" s="232"/>
      <c r="AL69" s="97"/>
      <c r="AM69" s="232"/>
      <c r="AO69" s="232"/>
      <c r="AP69" s="97"/>
      <c r="AQ69" s="232"/>
      <c r="AS69" s="232"/>
      <c r="AT69" s="97"/>
      <c r="AU69" s="232"/>
      <c r="AW69" s="232"/>
      <c r="AX69" s="97"/>
      <c r="AY69" s="232"/>
      <c r="BA69" s="232"/>
    </row>
    <row r="70" spans="1:53">
      <c r="A70" s="231"/>
      <c r="B70" s="231"/>
      <c r="C70" s="231"/>
      <c r="D70" s="231"/>
      <c r="E70" s="231"/>
      <c r="F70" s="232"/>
      <c r="G70" s="232"/>
      <c r="H70" s="2438"/>
      <c r="I70" s="232"/>
      <c r="J70" s="2438"/>
      <c r="K70" s="232"/>
      <c r="L70" s="2438"/>
      <c r="M70" s="232"/>
      <c r="N70" s="2438"/>
      <c r="O70" s="232"/>
      <c r="P70" s="2438"/>
      <c r="Q70" s="232"/>
      <c r="R70" s="2438"/>
      <c r="S70" s="232"/>
      <c r="T70" s="2438"/>
      <c r="U70" s="232"/>
      <c r="V70" s="2438"/>
      <c r="W70" s="232"/>
      <c r="X70" s="2438"/>
      <c r="Y70" s="232"/>
      <c r="Z70" s="2438"/>
      <c r="AA70" s="232"/>
      <c r="AB70" s="2438"/>
      <c r="AC70" s="232"/>
      <c r="AD70" s="2438"/>
      <c r="AE70" s="232"/>
      <c r="AF70" s="2438"/>
      <c r="AG70" s="232"/>
      <c r="AH70" s="2438"/>
      <c r="AI70" s="98"/>
      <c r="AK70" s="232"/>
      <c r="AL70" s="2438"/>
      <c r="AM70" s="232"/>
      <c r="AO70" s="232"/>
      <c r="AP70" s="2438"/>
      <c r="AQ70" s="232"/>
      <c r="AS70" s="232"/>
      <c r="AT70" s="2438"/>
      <c r="AU70" s="232"/>
      <c r="AW70" s="232"/>
      <c r="AX70" s="2438"/>
      <c r="AY70" s="232"/>
      <c r="BA70" s="232"/>
    </row>
    <row r="71" spans="1:53" hidden="1">
      <c r="A71" s="231"/>
      <c r="B71" s="232"/>
      <c r="C71" s="232"/>
      <c r="D71" s="231"/>
      <c r="E71" s="231"/>
      <c r="F71" s="232"/>
      <c r="G71" s="232"/>
      <c r="H71" s="232"/>
      <c r="I71" s="232"/>
      <c r="K71" s="232"/>
      <c r="M71" s="232"/>
      <c r="O71" s="232"/>
      <c r="Q71" s="232"/>
      <c r="S71" s="232"/>
      <c r="U71" s="232"/>
      <c r="W71" s="232"/>
      <c r="Y71" s="232"/>
      <c r="AA71" s="232"/>
      <c r="AC71" s="232"/>
      <c r="AE71" s="232"/>
      <c r="AG71" s="232"/>
      <c r="AI71" s="98"/>
      <c r="AK71" s="98"/>
      <c r="AM71" s="232"/>
      <c r="AO71" s="232"/>
      <c r="AQ71" s="232"/>
      <c r="AS71" s="232"/>
      <c r="AU71" s="232"/>
      <c r="AW71" s="232"/>
      <c r="AY71" s="232"/>
      <c r="BA71" s="232"/>
    </row>
    <row r="72" spans="1:53" hidden="1">
      <c r="A72" s="231"/>
      <c r="B72" s="232"/>
      <c r="C72" s="232"/>
      <c r="D72" s="231"/>
      <c r="E72" s="231"/>
      <c r="F72" s="232"/>
      <c r="G72" s="232"/>
      <c r="H72" s="232"/>
      <c r="I72" s="232"/>
      <c r="K72" s="232"/>
      <c r="M72" s="232"/>
      <c r="O72" s="232"/>
      <c r="Q72" s="232"/>
      <c r="S72" s="232"/>
      <c r="U72" s="232"/>
      <c r="W72" s="232"/>
      <c r="Y72" s="232"/>
      <c r="AA72" s="232"/>
      <c r="AC72" s="232"/>
      <c r="AE72" s="232"/>
      <c r="AG72" s="232"/>
      <c r="AI72" s="98"/>
      <c r="AK72" s="98"/>
      <c r="AM72" s="232"/>
      <c r="AO72" s="232"/>
      <c r="AQ72" s="232"/>
      <c r="AS72" s="232"/>
      <c r="AU72" s="232"/>
      <c r="AW72" s="232"/>
      <c r="AY72" s="232"/>
      <c r="BA72" s="232"/>
    </row>
    <row r="73" spans="1:53" hidden="1">
      <c r="A73" s="288"/>
      <c r="B73" s="232"/>
      <c r="C73" s="232"/>
      <c r="D73" s="231"/>
    </row>
    <row r="74" spans="1:53" ht="15" hidden="1" customHeight="1">
      <c r="B74" s="283"/>
      <c r="C74" s="283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290"/>
      <c r="S74" s="290"/>
      <c r="T74" s="290"/>
      <c r="U74" s="290"/>
      <c r="V74" s="290"/>
      <c r="W74" s="290"/>
      <c r="X74" s="290"/>
      <c r="Y74" s="290"/>
      <c r="Z74" s="290"/>
      <c r="AA74" s="290"/>
      <c r="AB74" s="290"/>
      <c r="AC74" s="290"/>
      <c r="AD74" s="290"/>
      <c r="AE74" s="290"/>
      <c r="AF74" s="290"/>
      <c r="AG74" s="290"/>
      <c r="AH74" s="290"/>
      <c r="AI74" s="290"/>
      <c r="AJ74" s="290"/>
      <c r="AK74" s="290"/>
      <c r="AL74" s="290"/>
      <c r="AM74" s="290"/>
      <c r="AN74" s="290"/>
      <c r="AO74" s="290"/>
      <c r="AP74" s="290"/>
      <c r="AQ74" s="290"/>
      <c r="AR74" s="290"/>
      <c r="AS74" s="290"/>
      <c r="AT74" s="290"/>
      <c r="AU74" s="290"/>
      <c r="AV74" s="290"/>
      <c r="AW74" s="290"/>
      <c r="AX74" s="290"/>
      <c r="AY74" s="290"/>
      <c r="AZ74" s="290"/>
      <c r="BA74" s="290"/>
    </row>
    <row r="75" spans="1:53" ht="15" hidden="1" customHeight="1">
      <c r="B75" s="283"/>
      <c r="C75" s="283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90"/>
      <c r="AB75" s="290"/>
      <c r="AC75" s="290"/>
      <c r="AD75" s="290"/>
      <c r="AE75" s="290"/>
      <c r="AF75" s="290"/>
      <c r="AG75" s="290"/>
      <c r="AH75" s="290"/>
      <c r="AI75" s="290"/>
      <c r="AJ75" s="290"/>
      <c r="AK75" s="290"/>
      <c r="AL75" s="290"/>
      <c r="AM75" s="290"/>
      <c r="AN75" s="290"/>
      <c r="AO75" s="290"/>
      <c r="AP75" s="290"/>
      <c r="AQ75" s="290"/>
      <c r="AR75" s="290"/>
      <c r="AS75" s="290"/>
      <c r="AT75" s="290"/>
      <c r="AU75" s="290"/>
      <c r="AV75" s="290"/>
      <c r="AW75" s="290"/>
      <c r="AX75" s="290"/>
      <c r="AY75" s="290"/>
      <c r="AZ75" s="290"/>
      <c r="BA75" s="290"/>
    </row>
    <row r="76" spans="1:53" ht="15" hidden="1" customHeight="1">
      <c r="B76" s="283"/>
      <c r="C76" s="283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90"/>
      <c r="AB76" s="290"/>
      <c r="AC76" s="290"/>
      <c r="AD76" s="290"/>
      <c r="AE76" s="290"/>
      <c r="AF76" s="290"/>
      <c r="AG76" s="290"/>
      <c r="AH76" s="290"/>
      <c r="AI76" s="290"/>
      <c r="AJ76" s="290"/>
      <c r="AK76" s="290"/>
      <c r="AL76" s="290"/>
      <c r="AM76" s="290"/>
      <c r="AN76" s="290"/>
      <c r="AO76" s="290"/>
      <c r="AP76" s="290"/>
      <c r="AQ76" s="290"/>
      <c r="AR76" s="290"/>
      <c r="AS76" s="290"/>
      <c r="AT76" s="290"/>
      <c r="AU76" s="290"/>
      <c r="AV76" s="290"/>
      <c r="AW76" s="290"/>
      <c r="AX76" s="290"/>
      <c r="AY76" s="290"/>
      <c r="AZ76" s="290"/>
      <c r="BA76" s="290"/>
    </row>
    <row r="77" spans="1:53" ht="15" hidden="1" customHeight="1">
      <c r="B77" s="283"/>
      <c r="C77" s="283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0"/>
      <c r="S77" s="290"/>
      <c r="T77" s="290"/>
      <c r="U77" s="290"/>
      <c r="V77" s="290"/>
      <c r="W77" s="290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  <c r="AH77" s="290"/>
      <c r="AI77" s="290"/>
      <c r="AJ77" s="290"/>
      <c r="AK77" s="290"/>
      <c r="AL77" s="290"/>
      <c r="AM77" s="290"/>
      <c r="AN77" s="290"/>
      <c r="AO77" s="290"/>
      <c r="AP77" s="290"/>
      <c r="AQ77" s="290"/>
      <c r="AR77" s="290"/>
      <c r="AS77" s="290"/>
      <c r="AT77" s="290"/>
      <c r="AU77" s="290"/>
      <c r="AV77" s="290"/>
      <c r="AW77" s="290"/>
      <c r="AX77" s="290"/>
      <c r="AY77" s="290"/>
      <c r="AZ77" s="290"/>
      <c r="BA77" s="290"/>
    </row>
    <row r="78" spans="1:53" ht="15" hidden="1" customHeight="1">
      <c r="B78" s="283"/>
      <c r="C78" s="283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90"/>
      <c r="AB78" s="290"/>
      <c r="AC78" s="290"/>
      <c r="AD78" s="290"/>
      <c r="AE78" s="290"/>
      <c r="AF78" s="290"/>
      <c r="AG78" s="290"/>
      <c r="AH78" s="290"/>
      <c r="AI78" s="290"/>
      <c r="AJ78" s="290"/>
      <c r="AK78" s="290"/>
      <c r="AL78" s="290"/>
      <c r="AM78" s="290"/>
      <c r="AN78" s="290"/>
      <c r="AO78" s="290"/>
      <c r="AP78" s="290"/>
      <c r="AQ78" s="290"/>
      <c r="AR78" s="290"/>
      <c r="AS78" s="290"/>
      <c r="AT78" s="290"/>
      <c r="AU78" s="290"/>
      <c r="AV78" s="290"/>
      <c r="AW78" s="290"/>
      <c r="AX78" s="290"/>
      <c r="AY78" s="290"/>
      <c r="AZ78" s="290"/>
      <c r="BA78" s="290"/>
    </row>
    <row r="79" spans="1:53" ht="15" hidden="1" customHeight="1">
      <c r="B79" s="283"/>
      <c r="C79" s="283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90"/>
      <c r="AB79" s="290"/>
      <c r="AC79" s="290"/>
      <c r="AD79" s="290"/>
      <c r="AE79" s="290"/>
      <c r="AF79" s="290"/>
      <c r="AG79" s="290"/>
      <c r="AH79" s="290"/>
      <c r="AI79" s="290"/>
      <c r="AJ79" s="290"/>
      <c r="AK79" s="290"/>
      <c r="AL79" s="290"/>
      <c r="AM79" s="290"/>
      <c r="AN79" s="290"/>
      <c r="AO79" s="290"/>
      <c r="AP79" s="290"/>
      <c r="AQ79" s="290"/>
      <c r="AR79" s="290"/>
      <c r="AS79" s="290"/>
      <c r="AT79" s="290"/>
      <c r="AU79" s="290"/>
      <c r="AV79" s="290"/>
      <c r="AW79" s="290"/>
      <c r="AX79" s="290"/>
      <c r="AY79" s="290"/>
      <c r="AZ79" s="290"/>
      <c r="BA79" s="290"/>
    </row>
    <row r="80" spans="1:53" ht="15" hidden="1" customHeight="1">
      <c r="B80" s="283"/>
      <c r="C80" s="283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  <c r="V80" s="290"/>
      <c r="W80" s="290"/>
      <c r="X80" s="290"/>
      <c r="Y80" s="290"/>
      <c r="Z80" s="290"/>
      <c r="AA80" s="290"/>
      <c r="AB80" s="290"/>
      <c r="AC80" s="290"/>
      <c r="AD80" s="290"/>
      <c r="AE80" s="290"/>
      <c r="AF80" s="290"/>
      <c r="AG80" s="290"/>
      <c r="AH80" s="290"/>
      <c r="AI80" s="290"/>
      <c r="AJ80" s="290"/>
      <c r="AK80" s="290"/>
      <c r="AL80" s="290"/>
      <c r="AM80" s="290"/>
      <c r="AN80" s="290"/>
      <c r="AO80" s="290"/>
      <c r="AP80" s="290"/>
      <c r="AQ80" s="290"/>
      <c r="AR80" s="290"/>
      <c r="AS80" s="290"/>
      <c r="AT80" s="290"/>
      <c r="AU80" s="290"/>
      <c r="AV80" s="290"/>
      <c r="AW80" s="290"/>
      <c r="AX80" s="290"/>
      <c r="AY80" s="290"/>
      <c r="AZ80" s="290"/>
      <c r="BA80" s="290"/>
    </row>
    <row r="81" spans="1:136" ht="15" hidden="1" customHeight="1">
      <c r="B81" s="283"/>
      <c r="C81" s="283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90"/>
      <c r="AB81" s="290"/>
      <c r="AC81" s="290"/>
      <c r="AD81" s="290"/>
      <c r="AE81" s="290"/>
      <c r="AF81" s="290"/>
      <c r="AG81" s="290"/>
      <c r="AH81" s="290"/>
      <c r="AI81" s="290"/>
      <c r="AJ81" s="290"/>
      <c r="AK81" s="290"/>
      <c r="AL81" s="290"/>
      <c r="AM81" s="290"/>
      <c r="AN81" s="290"/>
      <c r="AO81" s="290"/>
      <c r="AP81" s="290"/>
      <c r="AQ81" s="290"/>
      <c r="AR81" s="290"/>
      <c r="AS81" s="290"/>
      <c r="AT81" s="290"/>
      <c r="AU81" s="290"/>
      <c r="AV81" s="290"/>
      <c r="AW81" s="290"/>
      <c r="AX81" s="290"/>
      <c r="AY81" s="290"/>
      <c r="AZ81" s="290"/>
      <c r="BA81" s="290"/>
    </row>
    <row r="82" spans="1:136" hidden="1">
      <c r="B82" s="283"/>
      <c r="C82" s="283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90"/>
      <c r="AB82" s="290"/>
      <c r="AC82" s="290"/>
      <c r="AD82" s="290"/>
      <c r="AE82" s="290"/>
      <c r="AF82" s="290"/>
      <c r="AG82" s="290"/>
      <c r="AH82" s="290"/>
      <c r="AI82" s="290"/>
      <c r="AJ82" s="290"/>
      <c r="AK82" s="290"/>
      <c r="AL82" s="290"/>
      <c r="AM82" s="290"/>
      <c r="AN82" s="290"/>
      <c r="AO82" s="290"/>
      <c r="AP82" s="290"/>
      <c r="AQ82" s="290"/>
      <c r="AR82" s="290"/>
      <c r="AS82" s="290"/>
      <c r="AT82" s="290"/>
      <c r="AU82" s="290"/>
      <c r="AV82" s="290"/>
      <c r="AW82" s="290"/>
      <c r="AX82" s="290"/>
      <c r="AY82" s="290"/>
      <c r="AZ82" s="290"/>
      <c r="BA82" s="290"/>
    </row>
    <row r="83" spans="1:136" ht="15" hidden="1" customHeight="1">
      <c r="B83" s="283"/>
      <c r="C83" s="283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290"/>
      <c r="S83" s="290"/>
      <c r="T83" s="290"/>
      <c r="U83" s="290"/>
      <c r="V83" s="290"/>
      <c r="W83" s="290"/>
      <c r="X83" s="290"/>
      <c r="Y83" s="290"/>
      <c r="Z83" s="290"/>
      <c r="AA83" s="290"/>
      <c r="AB83" s="290"/>
      <c r="AC83" s="290"/>
      <c r="AD83" s="290"/>
      <c r="AE83" s="290"/>
      <c r="AF83" s="290"/>
      <c r="AG83" s="290"/>
      <c r="AH83" s="290"/>
      <c r="AI83" s="290"/>
      <c r="AJ83" s="290"/>
      <c r="AK83" s="290"/>
      <c r="AL83" s="290"/>
      <c r="AM83" s="290"/>
      <c r="AN83" s="290"/>
      <c r="AO83" s="290"/>
      <c r="AP83" s="290"/>
      <c r="AQ83" s="290"/>
      <c r="AR83" s="290"/>
      <c r="AS83" s="290"/>
      <c r="AT83" s="290"/>
      <c r="AU83" s="290"/>
      <c r="AV83" s="290"/>
      <c r="AW83" s="290"/>
      <c r="AX83" s="290"/>
      <c r="AY83" s="290"/>
      <c r="AZ83" s="290"/>
      <c r="BA83" s="290"/>
    </row>
    <row r="84" spans="1:136" hidden="1">
      <c r="B84" s="283"/>
      <c r="C84" s="283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90"/>
      <c r="AB84" s="290"/>
      <c r="AC84" s="290"/>
      <c r="AD84" s="290"/>
      <c r="AE84" s="290"/>
      <c r="AF84" s="290"/>
      <c r="AG84" s="290"/>
      <c r="AH84" s="290"/>
      <c r="AI84" s="290"/>
      <c r="AJ84" s="290"/>
      <c r="AK84" s="290"/>
      <c r="AL84" s="290"/>
      <c r="AM84" s="290"/>
      <c r="AN84" s="290"/>
      <c r="AO84" s="290"/>
      <c r="AP84" s="290"/>
      <c r="AQ84" s="290"/>
      <c r="AR84" s="290"/>
      <c r="AS84" s="290"/>
      <c r="AT84" s="290"/>
      <c r="AU84" s="290"/>
      <c r="AV84" s="290"/>
      <c r="AW84" s="290"/>
      <c r="AX84" s="290"/>
      <c r="AY84" s="290"/>
      <c r="AZ84" s="290"/>
      <c r="BA84" s="290"/>
    </row>
    <row r="85" spans="1:136" hidden="1">
      <c r="B85" s="283"/>
      <c r="C85" s="283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90"/>
      <c r="AB85" s="290"/>
      <c r="AC85" s="290"/>
      <c r="AD85" s="290"/>
      <c r="AE85" s="290"/>
      <c r="AF85" s="290"/>
      <c r="AG85" s="290"/>
      <c r="AH85" s="290"/>
      <c r="AI85" s="290"/>
      <c r="AJ85" s="290"/>
      <c r="AK85" s="290"/>
      <c r="AL85" s="290"/>
      <c r="AM85" s="290"/>
      <c r="AN85" s="290"/>
      <c r="AO85" s="290"/>
      <c r="AP85" s="290"/>
      <c r="AQ85" s="290"/>
      <c r="AR85" s="290"/>
      <c r="AS85" s="290"/>
      <c r="AT85" s="290"/>
      <c r="AU85" s="290"/>
      <c r="AV85" s="290"/>
      <c r="AW85" s="290"/>
      <c r="AX85" s="290"/>
      <c r="AY85" s="290"/>
      <c r="AZ85" s="290"/>
      <c r="BA85" s="290"/>
    </row>
    <row r="86" spans="1:136">
      <c r="A86" s="233"/>
      <c r="B86" s="233"/>
      <c r="C86" s="233"/>
      <c r="G86" s="98"/>
      <c r="H86" s="98"/>
      <c r="I86" s="98"/>
      <c r="K86" s="98"/>
      <c r="M86" s="98"/>
      <c r="O86" s="98"/>
      <c r="Q86" s="98"/>
      <c r="S86" s="98"/>
      <c r="U86" s="98"/>
      <c r="W86" s="98"/>
      <c r="Y86" s="98"/>
      <c r="AA86" s="98"/>
      <c r="AC86" s="98"/>
      <c r="AE86" s="98"/>
      <c r="AG86" s="98"/>
      <c r="AI86" s="98"/>
      <c r="AK86" s="98"/>
      <c r="AM86" s="98"/>
      <c r="AO86" s="98"/>
      <c r="AQ86" s="98"/>
      <c r="AS86" s="98"/>
      <c r="AU86" s="98"/>
      <c r="AW86" s="98"/>
      <c r="AY86" s="98"/>
      <c r="BA86" s="98"/>
    </row>
    <row r="87" spans="1:136">
      <c r="A87" s="233"/>
      <c r="B87" s="233"/>
      <c r="C87" s="233"/>
      <c r="G87" s="98"/>
      <c r="H87" s="98"/>
      <c r="I87" s="98"/>
      <c r="K87" s="98"/>
      <c r="M87" s="98"/>
      <c r="O87" s="98"/>
      <c r="Q87" s="98"/>
      <c r="S87" s="98"/>
      <c r="U87" s="98"/>
      <c r="W87" s="98"/>
      <c r="Y87" s="98"/>
      <c r="AA87" s="98"/>
      <c r="AC87" s="98"/>
      <c r="AE87" s="98"/>
      <c r="AG87" s="98"/>
      <c r="AI87" s="98"/>
      <c r="AK87" s="98"/>
      <c r="AM87" s="98"/>
      <c r="AO87" s="98"/>
      <c r="AQ87" s="98"/>
      <c r="AS87" s="98"/>
      <c r="AU87" s="98"/>
      <c r="AW87" s="98"/>
      <c r="AY87" s="98"/>
      <c r="BA87" s="98"/>
    </row>
    <row r="88" spans="1:136">
      <c r="AI88" s="98"/>
    </row>
    <row r="89" spans="1:136">
      <c r="AI89" s="98"/>
    </row>
    <row r="90"/>
    <row r="91" spans="1:136">
      <c r="AP91" s="97"/>
      <c r="AR91" s="97"/>
      <c r="AS91" s="98"/>
      <c r="AT91" s="97"/>
      <c r="AV91" s="97"/>
      <c r="AW91" s="98"/>
      <c r="AX91" s="97"/>
      <c r="AZ91" s="97"/>
      <c r="BA91" s="98"/>
    </row>
    <row r="92" spans="1:136">
      <c r="M92" s="98"/>
      <c r="N92" s="97"/>
      <c r="O92" s="98"/>
      <c r="P92" s="97"/>
      <c r="Q92" s="98"/>
      <c r="R92" s="97"/>
      <c r="S92" s="98"/>
      <c r="T92" s="97"/>
      <c r="U92" s="98"/>
      <c r="V92" s="97"/>
      <c r="W92" s="98"/>
      <c r="X92" s="97"/>
      <c r="Y92" s="98"/>
      <c r="Z92" s="97"/>
      <c r="AA92" s="98"/>
      <c r="AB92" s="97"/>
      <c r="AC92" s="98"/>
      <c r="AD92" s="97"/>
      <c r="AE92" s="98"/>
      <c r="AF92" s="97"/>
      <c r="AG92" s="98"/>
      <c r="AH92" s="97"/>
      <c r="AI92" s="98"/>
      <c r="AN92" s="97"/>
      <c r="AP92" s="97"/>
      <c r="AQ92" s="98"/>
      <c r="AR92" s="97"/>
      <c r="AS92" s="98"/>
      <c r="AT92" s="97"/>
      <c r="AU92" s="98"/>
      <c r="AV92" s="97"/>
      <c r="AW92" s="98"/>
      <c r="AX92" s="97"/>
      <c r="AY92" s="98"/>
      <c r="AZ92" s="97"/>
      <c r="BA92" s="98"/>
      <c r="BB92" s="97"/>
    </row>
    <row r="93" spans="1:136" s="324" customFormat="1">
      <c r="A93" s="321"/>
      <c r="B93" s="322" t="s">
        <v>729</v>
      </c>
      <c r="C93" s="322"/>
      <c r="D93" s="321"/>
      <c r="E93" s="321"/>
      <c r="F93" s="2465" t="str">
        <f>+F3</f>
        <v>2026/09 ~ 2026/12</v>
      </c>
      <c r="G93" s="2465"/>
      <c r="H93" s="2465"/>
      <c r="I93" s="2465"/>
      <c r="J93" s="2465" t="str">
        <f>+J3</f>
        <v>2027/1</v>
      </c>
      <c r="K93" s="2465"/>
      <c r="L93" s="2465" t="str">
        <f>+L3</f>
        <v>2027/2</v>
      </c>
      <c r="M93" s="2465"/>
      <c r="N93" s="2465" t="str">
        <f>+N3</f>
        <v>2027/3</v>
      </c>
      <c r="O93" s="2465"/>
      <c r="P93" s="2465" t="str">
        <f>+P3</f>
        <v>2027/4</v>
      </c>
      <c r="Q93" s="2465"/>
      <c r="R93" s="2465" t="str">
        <f>+R3</f>
        <v>2027/5</v>
      </c>
      <c r="S93" s="2465"/>
      <c r="T93" s="2465" t="str">
        <f>+T3</f>
        <v>2027/6</v>
      </c>
      <c r="U93" s="2465"/>
      <c r="V93" s="2465" t="str">
        <f>+V3</f>
        <v>2027/7</v>
      </c>
      <c r="W93" s="2465"/>
      <c r="X93" s="2465" t="str">
        <f>+X3</f>
        <v>2027/8</v>
      </c>
      <c r="Y93" s="2465"/>
      <c r="Z93" s="2465" t="str">
        <f>+Z3</f>
        <v>2027/9</v>
      </c>
      <c r="AA93" s="2465"/>
      <c r="AB93" s="2465" t="str">
        <f>+AB3</f>
        <v>2027/10</v>
      </c>
      <c r="AC93" s="2465"/>
      <c r="AD93" s="2465" t="str">
        <f>+AD3</f>
        <v>2027/11</v>
      </c>
      <c r="AE93" s="2465"/>
      <c r="AF93" s="2465" t="str">
        <f>+AF3</f>
        <v>2027/12</v>
      </c>
      <c r="AG93" s="2465"/>
      <c r="AH93" s="2465" t="str">
        <f>+AH3</f>
        <v>Year 2027</v>
      </c>
      <c r="AI93" s="2465"/>
      <c r="AJ93" s="323"/>
      <c r="AK93" s="323"/>
      <c r="AL93" s="2465" t="str">
        <f>+AL3</f>
        <v>Year 2028</v>
      </c>
      <c r="AM93" s="2465"/>
      <c r="AN93" s="2465"/>
      <c r="AO93" s="2465"/>
      <c r="AP93" s="2465" t="str">
        <f>+AP3</f>
        <v>Year 2029</v>
      </c>
      <c r="AQ93" s="2465"/>
      <c r="AR93" s="2465"/>
      <c r="AS93" s="2465"/>
      <c r="AT93" s="2465" t="str">
        <f>+AT3</f>
        <v>Year 2030</v>
      </c>
      <c r="AU93" s="2465"/>
      <c r="AV93" s="2465"/>
      <c r="AW93" s="2465"/>
      <c r="AX93" s="2465" t="str">
        <f>+AX3</f>
        <v>Year 2031</v>
      </c>
      <c r="AY93" s="2465"/>
      <c r="AZ93" s="2465"/>
      <c r="BA93" s="2465"/>
      <c r="BB93" s="2758"/>
      <c r="BC93" s="2758"/>
      <c r="BD93" s="323"/>
      <c r="BE93" s="2758"/>
      <c r="BF93" s="2758"/>
      <c r="BG93" s="323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</row>
    <row r="94" spans="1:136" s="2734" customFormat="1">
      <c r="A94" s="2731"/>
      <c r="B94" s="275" t="s">
        <v>728</v>
      </c>
      <c r="C94" s="2732"/>
      <c r="D94" s="276" t="s">
        <v>729</v>
      </c>
      <c r="E94" s="2731"/>
      <c r="F94" s="1661" t="inlineStr">
        <is>
          <t xml:space="preserve">Dr</t>
        </is>
      </c>
      <c r="G94" s="1662" t="inlineStr">
        <is>
          <t xml:space="preserve">Cr</t>
        </is>
      </c>
      <c r="H94" s="1661"/>
      <c r="I94" s="1662"/>
      <c r="J94" s="1661" t="inlineStr">
        <is>
          <t xml:space="preserve">Dr</t>
        </is>
      </c>
      <c r="K94" s="1662" t="inlineStr">
        <is>
          <t xml:space="preserve">Cr</t>
        </is>
      </c>
      <c r="L94" s="1661" t="inlineStr">
        <is>
          <t xml:space="preserve">Dr</t>
        </is>
      </c>
      <c r="M94" s="1662" t="inlineStr">
        <is>
          <t xml:space="preserve">Cr</t>
        </is>
      </c>
      <c r="N94" s="1661" t="inlineStr">
        <is>
          <t xml:space="preserve">Dr</t>
        </is>
      </c>
      <c r="O94" s="1662" t="inlineStr">
        <is>
          <t xml:space="preserve">Cr</t>
        </is>
      </c>
      <c r="P94" s="1661" t="inlineStr">
        <is>
          <t xml:space="preserve">Dr</t>
        </is>
      </c>
      <c r="Q94" s="1662" t="inlineStr">
        <is>
          <t xml:space="preserve">Cr</t>
        </is>
      </c>
      <c r="R94" s="1661" t="inlineStr">
        <is>
          <t xml:space="preserve">Dr</t>
        </is>
      </c>
      <c r="S94" s="1662" t="inlineStr">
        <is>
          <t xml:space="preserve">Cr</t>
        </is>
      </c>
      <c r="T94" s="1661" t="inlineStr">
        <is>
          <t xml:space="preserve">Dr</t>
        </is>
      </c>
      <c r="U94" s="1662" t="inlineStr">
        <is>
          <t xml:space="preserve">Cr</t>
        </is>
      </c>
      <c r="V94" s="1661" t="inlineStr">
        <is>
          <t xml:space="preserve">Dr</t>
        </is>
      </c>
      <c r="W94" s="1662" t="inlineStr">
        <is>
          <t xml:space="preserve">Cr</t>
        </is>
      </c>
      <c r="X94" s="1661" t="inlineStr">
        <is>
          <t xml:space="preserve">Dr</t>
        </is>
      </c>
      <c r="Y94" s="1662" t="inlineStr">
        <is>
          <t xml:space="preserve">Cr</t>
        </is>
      </c>
      <c r="Z94" s="1661" t="inlineStr">
        <is>
          <t xml:space="preserve">Dr</t>
        </is>
      </c>
      <c r="AA94" s="1662" t="inlineStr">
        <is>
          <t xml:space="preserve">Cr</t>
        </is>
      </c>
      <c r="AB94" s="1661" t="inlineStr">
        <is>
          <t xml:space="preserve">Dr</t>
        </is>
      </c>
      <c r="AC94" s="1662" t="inlineStr">
        <is>
          <t xml:space="preserve">Cr</t>
        </is>
      </c>
      <c r="AD94" s="1661" t="inlineStr">
        <is>
          <t xml:space="preserve">Dr</t>
        </is>
      </c>
      <c r="AE94" s="1662" t="inlineStr">
        <is>
          <t xml:space="preserve">Cr</t>
        </is>
      </c>
      <c r="AF94" s="1661" t="inlineStr">
        <is>
          <t xml:space="preserve">Dr</t>
        </is>
      </c>
      <c r="AG94" s="1662" t="inlineStr">
        <is>
          <t xml:space="preserve">Cr</t>
        </is>
      </c>
      <c r="AH94" s="1661" t="inlineStr">
        <is>
          <t xml:space="preserve">Dr</t>
        </is>
      </c>
      <c r="AI94" s="1662" t="inlineStr">
        <is>
          <t xml:space="preserve">Cr</t>
        </is>
      </c>
      <c r="AJ94" s="2735"/>
      <c r="AK94" s="2735"/>
      <c r="AL94" s="1661" t="inlineStr">
        <is>
          <t xml:space="preserve">Dr</t>
        </is>
      </c>
      <c r="AM94" s="1662" t="inlineStr">
        <is>
          <t xml:space="preserve">Cr</t>
        </is>
      </c>
      <c r="AN94" s="1661"/>
      <c r="AO94" s="1662"/>
      <c r="AP94" s="1661" t="inlineStr">
        <is>
          <t xml:space="preserve">Dr</t>
        </is>
      </c>
      <c r="AQ94" s="1662" t="inlineStr">
        <is>
          <t xml:space="preserve">Cr</t>
        </is>
      </c>
      <c r="AR94" s="1661"/>
      <c r="AS94" s="1662"/>
      <c r="AT94" s="1661" t="inlineStr">
        <is>
          <t xml:space="preserve">Dr</t>
        </is>
      </c>
      <c r="AU94" s="1662" t="inlineStr">
        <is>
          <t xml:space="preserve">Cr</t>
        </is>
      </c>
      <c r="AV94" s="1661"/>
      <c r="AW94" s="1662"/>
      <c r="AX94" s="1661" t="inlineStr">
        <is>
          <t xml:space="preserve">Dr</t>
        </is>
      </c>
      <c r="AY94" s="1662" t="inlineStr">
        <is>
          <t xml:space="preserve">Cr</t>
        </is>
      </c>
      <c r="AZ94" s="1661"/>
      <c r="BA94" s="1662"/>
      <c r="BB94" s="1661"/>
      <c r="BC94" s="1662"/>
      <c r="BD94" s="2735"/>
      <c r="BE94" s="1661"/>
      <c r="BF94" s="1662"/>
      <c r="BG94" s="2735"/>
    </row>
    <row r="95" spans="1:136" s="2734" customFormat="1">
      <c r="A95" s="2731"/>
      <c r="B95" s="166" t="s">
        <v>2517</v>
      </c>
      <c r="C95" s="282" t="s">
        <v>2513</v>
      </c>
      <c r="D95" s="1408" t="s">
        <v>1961</v>
      </c>
      <c r="E95" s="2731"/>
      <c r="F95" s="2733"/>
      <c r="G95" s="2733"/>
      <c r="H95" s="2733"/>
      <c r="I95" s="2733"/>
      <c r="J95" s="2733"/>
      <c r="K95" s="2733"/>
      <c r="L95" s="2733"/>
      <c r="M95" s="2733"/>
      <c r="N95" s="2733"/>
      <c r="O95" s="2733"/>
      <c r="P95" s="2733"/>
      <c r="Q95" s="2733"/>
      <c r="R95" s="2733"/>
      <c r="S95" s="2733"/>
      <c r="T95" s="2733"/>
      <c r="U95" s="2733"/>
      <c r="V95" s="2733"/>
      <c r="W95" s="2733"/>
      <c r="X95" s="2733"/>
      <c r="Y95" s="2733"/>
      <c r="Z95" s="2733"/>
      <c r="AA95" s="2733"/>
      <c r="AB95" s="2733"/>
      <c r="AC95" s="2733"/>
      <c r="AD95" s="2733"/>
      <c r="AE95" s="2733"/>
      <c r="AF95" s="2733"/>
      <c r="AG95" s="2733"/>
      <c r="AH95" s="2733"/>
      <c r="AI95" s="2733"/>
      <c r="AJ95" s="2733"/>
      <c r="AK95" s="2733"/>
      <c r="AL95" s="2733"/>
      <c r="AM95" s="2733"/>
      <c r="AN95" s="2733"/>
      <c r="AO95" s="2733"/>
      <c r="AP95" s="2733"/>
      <c r="AQ95" s="2733"/>
      <c r="AR95" s="2733"/>
      <c r="AS95" s="2733"/>
      <c r="AT95" s="2733"/>
      <c r="AU95" s="2733"/>
      <c r="AV95" s="2733"/>
      <c r="AW95" s="2733"/>
      <c r="AX95" s="2733"/>
      <c r="AY95" s="2733"/>
      <c r="AZ95" s="2733"/>
      <c r="BA95" s="2733"/>
      <c r="BB95" s="2733"/>
      <c r="BC95" s="2733"/>
      <c r="BD95" s="2733"/>
      <c r="BE95" s="2733"/>
      <c r="BF95" s="2733"/>
      <c r="BG95" s="2733"/>
    </row>
    <row r="96" spans="1:136" s="2734" customFormat="1">
      <c r="A96" s="2731"/>
      <c r="B96" s="190" t="s">
        <v>1585</v>
      </c>
      <c r="C96" s="2732"/>
      <c r="D96" s="2744" t="s">
        <v>2523</v>
      </c>
      <c r="E96" s="2731"/>
      <c r="F96" s="2733">
        <f>G97</f>
        <v>17939500</v>
      </c>
      <c r="G96" s="2733"/>
      <c r="H96" s="2733"/>
      <c r="I96" s="2733"/>
      <c r="J96" s="2733">
        <f>K97</f>
        <v>5635168</v>
      </c>
      <c r="K96" s="2733"/>
      <c r="L96" s="2733">
        <f>M97</f>
        <v>5086450</v>
      </c>
      <c r="M96" s="2733"/>
      <c r="N96" s="2733">
        <f>O97</f>
        <v>5303418</v>
      </c>
      <c r="O96" s="2733"/>
      <c r="P96" s="2733">
        <f>Q97</f>
        <v>3906168</v>
      </c>
      <c r="Q96" s="2733"/>
      <c r="R96" s="2733">
        <f>S97</f>
        <v>4753668</v>
      </c>
      <c r="S96" s="2733"/>
      <c r="T96" s="2733">
        <f>U97</f>
        <v>3727668</v>
      </c>
      <c r="U96" s="2733"/>
      <c r="V96" s="2733">
        <f>W97</f>
        <v>5642168</v>
      </c>
      <c r="W96" s="2733"/>
      <c r="X96" s="2733">
        <f>Y97</f>
        <v>4457668</v>
      </c>
      <c r="Y96" s="2733"/>
      <c r="Z96" s="2733">
        <f>AA97</f>
        <v>4396168</v>
      </c>
      <c r="AA96" s="2733"/>
      <c r="AB96" s="2733">
        <f>AC97</f>
        <v>5539168</v>
      </c>
      <c r="AC96" s="2733"/>
      <c r="AD96" s="2733">
        <f>AE97</f>
        <v>5394168</v>
      </c>
      <c r="AE96" s="2733"/>
      <c r="AF96" s="2733">
        <f>AG97</f>
        <v>6294152</v>
      </c>
      <c r="AG96" s="2733"/>
      <c r="AH96" s="2733">
        <f>AI97</f>
        <v>60136032</v>
      </c>
      <c r="AI96" s="2733"/>
      <c r="AJ96" s="2733"/>
      <c r="AK96" s="2733"/>
      <c r="AL96" s="2733">
        <f>AM97</f>
        <v>70696290</v>
      </c>
      <c r="AM96" s="2733"/>
      <c r="AN96" s="2733"/>
      <c r="AO96" s="2733"/>
      <c r="AP96" s="2733">
        <f>AQ97</f>
        <v>71829250</v>
      </c>
      <c r="AQ96" s="2733"/>
      <c r="AR96" s="2733"/>
      <c r="AS96" s="2733"/>
      <c r="AT96" s="2733">
        <f>AU97</f>
        <v>74863417</v>
      </c>
      <c r="AU96" s="2733"/>
      <c r="AV96" s="2733"/>
      <c r="AW96" s="2733"/>
      <c r="AX96" s="2733">
        <f>AY97</f>
        <v>80894250</v>
      </c>
      <c r="AY96" s="2733"/>
      <c r="AZ96" s="2733"/>
      <c r="BA96" s="2733"/>
      <c r="BB96" s="2733"/>
      <c r="BC96" s="2733"/>
      <c r="BD96" s="2733"/>
      <c r="BE96" s="2733"/>
      <c r="BF96" s="2733"/>
      <c r="BG96" s="2733"/>
    </row>
    <row r="97" spans="1:59" s="2734" customFormat="1">
      <c r="A97" s="2731"/>
      <c r="B97" s="190" t="s">
        <v>2524</v>
      </c>
      <c r="C97" s="2732"/>
      <c r="D97" s="190" t="s">
        <v>2524</v>
      </c>
      <c r="E97" s="2731"/>
      <c r="F97" s="2733"/>
      <c r="G97" s="2733">
        <f>SUMIFS('B0 2264預收'!F$6:F$64,'B0 2264預收'!$C$6:$C$64,"內部")</f>
        <v>17939500</v>
      </c>
      <c r="H97" s="2733"/>
      <c r="I97" s="2733"/>
      <c r="J97" s="2733"/>
      <c r="K97" s="2733">
        <f>SUMIFS('B0 2264預收'!J$6:J$64,'B0 2264預收'!$C$6:$C$64,"內部")</f>
        <v>5635168</v>
      </c>
      <c r="L97" s="2733"/>
      <c r="M97" s="2733">
        <f>SUMIFS('B0 2264預收'!L$6:L$64,'B0 2264預收'!$C$6:$C$64,"內部")</f>
        <v>5086450</v>
      </c>
      <c r="N97" s="2733"/>
      <c r="O97" s="2733">
        <f>SUMIFS('B0 2264預收'!N$6:N$64,'B0 2264預收'!$C$6:$C$64,"內部")</f>
        <v>5303418</v>
      </c>
      <c r="P97" s="2733"/>
      <c r="Q97" s="2733">
        <f>SUMIFS('B0 2264預收'!P$6:P$64,'B0 2264預收'!$C$6:$C$64,"內部")</f>
        <v>3906168</v>
      </c>
      <c r="R97" s="2733"/>
      <c r="S97" s="2733">
        <f>SUMIFS('B0 2264預收'!R$6:R$64,'B0 2264預收'!$C$6:$C$64,"內部")</f>
        <v>4753668</v>
      </c>
      <c r="T97" s="2733"/>
      <c r="U97" s="2733">
        <f>SUMIFS('B0 2264預收'!T$6:T$64,'B0 2264預收'!$C$6:$C$64,"內部")</f>
        <v>3727668</v>
      </c>
      <c r="V97" s="2733"/>
      <c r="W97" s="2733">
        <f>SUMIFS('B0 2264預收'!V$6:V$64,'B0 2264預收'!$C$6:$C$64,"內部")</f>
        <v>5642168</v>
      </c>
      <c r="X97" s="2733"/>
      <c r="Y97" s="2733">
        <f>SUMIFS('B0 2264預收'!X$6:X$64,'B0 2264預收'!$C$6:$C$64,"內部")</f>
        <v>4457668</v>
      </c>
      <c r="Z97" s="2733"/>
      <c r="AA97" s="2733">
        <f>SUMIFS('B0 2264預收'!Z$6:Z$64,'B0 2264預收'!$C$6:$C$64,"內部")</f>
        <v>4396168</v>
      </c>
      <c r="AB97" s="2733"/>
      <c r="AC97" s="2733">
        <f>SUMIFS('B0 2264預收'!AB$6:AB$64,'B0 2264預收'!$C$6:$C$64,"內部")</f>
        <v>5539168</v>
      </c>
      <c r="AD97" s="2733"/>
      <c r="AE97" s="2733">
        <f>SUMIFS('B0 2264預收'!AD$6:AD$64,'B0 2264預收'!$C$6:$C$64,"內部")</f>
        <v>5394168</v>
      </c>
      <c r="AF97" s="2733"/>
      <c r="AG97" s="2733">
        <f>SUMIFS('B0 2264預收'!AF$6:AF$64,'B0 2264預收'!$C$6:$C$64,"內部")</f>
        <v>6294152</v>
      </c>
      <c r="AH97" s="2733"/>
      <c r="AI97" s="2733">
        <f>SUMIFS('B0 2264預收'!AH$6:AH$64,'B0 2264預收'!$C$6:$C$64,"內部")</f>
        <v>60136032</v>
      </c>
      <c r="AJ97" s="2733"/>
      <c r="AK97" s="2733"/>
      <c r="AL97" s="2733"/>
      <c r="AM97" s="2733">
        <f>SUMIFS('B0 2264預收'!AL$6:AL$64,'B0 2264預收'!$C$6:$C$64,"內部")</f>
        <v>70696290</v>
      </c>
      <c r="AN97" s="2733"/>
      <c r="AO97" s="2733"/>
      <c r="AP97" s="2733"/>
      <c r="AQ97" s="2733">
        <f>SUMIFS('B0 2264預收'!AP$6:AP$64,'B0 2264預收'!$C$6:$C$64,"內部")</f>
        <v>71829250</v>
      </c>
      <c r="AR97" s="2733"/>
      <c r="AS97" s="2733"/>
      <c r="AT97" s="2733"/>
      <c r="AU97" s="2733">
        <f>SUMIFS('B0 2264預收'!AT$6:AT$64,'B0 2264預收'!$C$6:$C$64,"內部")</f>
        <v>74863417</v>
      </c>
      <c r="AV97" s="2733"/>
      <c r="AW97" s="2733"/>
      <c r="AX97" s="2733"/>
      <c r="AY97" s="2733">
        <f>SUMIFS('B0 2264預收'!AX$6:AX$64,'B0 2264預收'!$C$6:$C$64,"內部")</f>
        <v>80894250</v>
      </c>
      <c r="AZ97" s="2733"/>
      <c r="BA97" s="2733"/>
      <c r="BB97" s="2733"/>
      <c r="BC97" s="2733"/>
      <c r="BD97" s="2733"/>
      <c r="BE97" s="2733"/>
      <c r="BF97" s="2733"/>
      <c r="BG97" s="2733"/>
    </row>
    <row r="98" spans="1:59" s="2734" customFormat="1">
      <c r="A98" s="2731"/>
      <c r="B98" s="285"/>
      <c r="C98" s="2732"/>
      <c r="D98" s="284"/>
      <c r="E98" s="2731"/>
      <c r="F98" s="2733"/>
      <c r="G98" s="2733"/>
      <c r="H98" s="2733"/>
      <c r="I98" s="2733"/>
      <c r="J98" s="2733"/>
      <c r="K98" s="2733"/>
      <c r="L98" s="2733"/>
      <c r="M98" s="2733"/>
      <c r="N98" s="2733"/>
      <c r="O98" s="2733"/>
      <c r="P98" s="2733"/>
      <c r="Q98" s="2733"/>
      <c r="R98" s="2733"/>
      <c r="S98" s="2733"/>
      <c r="T98" s="2733"/>
      <c r="U98" s="2733"/>
      <c r="V98" s="2733"/>
      <c r="W98" s="2733"/>
      <c r="X98" s="2733"/>
      <c r="Y98" s="2733"/>
      <c r="Z98" s="2733"/>
      <c r="AA98" s="2733"/>
      <c r="AB98" s="2733"/>
      <c r="AC98" s="2733"/>
      <c r="AD98" s="2733"/>
      <c r="AE98" s="2733"/>
      <c r="AF98" s="2733"/>
      <c r="AG98" s="2733"/>
      <c r="AH98" s="2733"/>
      <c r="AI98" s="2733"/>
      <c r="AJ98" s="2733"/>
      <c r="AK98" s="2733"/>
      <c r="AL98" s="2733"/>
      <c r="AM98" s="2733"/>
      <c r="AN98" s="2733"/>
      <c r="AO98" s="2733"/>
      <c r="AP98" s="2733"/>
      <c r="AQ98" s="2733"/>
      <c r="AR98" s="2733"/>
      <c r="AS98" s="2733"/>
      <c r="AT98" s="2733"/>
      <c r="AU98" s="2733"/>
      <c r="AV98" s="2733"/>
      <c r="AW98" s="2733"/>
      <c r="AX98" s="2733"/>
      <c r="AY98" s="2733"/>
      <c r="AZ98" s="2733"/>
      <c r="BA98" s="2733"/>
      <c r="BB98" s="2733"/>
      <c r="BC98" s="2733"/>
      <c r="BD98" s="2733"/>
      <c r="BE98" s="2733"/>
      <c r="BF98" s="2733"/>
      <c r="BG98" s="2733"/>
    </row>
    <row r="99" spans="1:59" s="2734" customFormat="1">
      <c r="A99" s="2731"/>
      <c r="B99" s="2732"/>
      <c r="C99" s="2732"/>
      <c r="D99" s="2738"/>
      <c r="E99" s="2731"/>
      <c r="F99" s="2733"/>
      <c r="G99" s="2733"/>
      <c r="H99" s="2733"/>
      <c r="I99" s="2733"/>
      <c r="J99" s="2733"/>
      <c r="K99" s="2733"/>
      <c r="L99" s="2733"/>
      <c r="M99" s="2733"/>
      <c r="N99" s="2733"/>
      <c r="O99" s="2733"/>
      <c r="P99" s="2733"/>
      <c r="Q99" s="2733"/>
      <c r="R99" s="2733"/>
      <c r="S99" s="2733"/>
      <c r="T99" s="2733"/>
      <c r="U99" s="2733"/>
      <c r="V99" s="2733"/>
      <c r="W99" s="2733"/>
      <c r="X99" s="2733"/>
      <c r="Y99" s="2733"/>
      <c r="Z99" s="2733"/>
      <c r="AA99" s="2733"/>
      <c r="AB99" s="2733"/>
      <c r="AC99" s="2733"/>
      <c r="AD99" s="2733"/>
      <c r="AE99" s="2733"/>
      <c r="AF99" s="2733"/>
      <c r="AG99" s="2733"/>
      <c r="AH99" s="2733"/>
      <c r="AI99" s="2733"/>
      <c r="AJ99" s="2733"/>
      <c r="AK99" s="2733"/>
      <c r="AL99" s="2733"/>
      <c r="AM99" s="2733"/>
      <c r="AN99" s="2733"/>
      <c r="AO99" s="2733"/>
      <c r="AP99" s="2733"/>
      <c r="AQ99" s="2733"/>
      <c r="AR99" s="2733"/>
      <c r="AS99" s="2733"/>
      <c r="AT99" s="2733"/>
      <c r="AU99" s="2733"/>
      <c r="AV99" s="2733"/>
      <c r="AW99" s="2733"/>
      <c r="AX99" s="2733"/>
      <c r="AY99" s="2733"/>
      <c r="AZ99" s="2733"/>
      <c r="BA99" s="2733"/>
      <c r="BB99" s="2733"/>
      <c r="BC99" s="2733"/>
      <c r="BD99" s="2733"/>
      <c r="BE99" s="2733"/>
      <c r="BF99" s="2733"/>
      <c r="BG99" s="2733"/>
    </row>
    <row r="100" spans="1:59" s="2734" customFormat="1">
      <c r="A100" s="2731"/>
      <c r="B100" s="2732"/>
      <c r="C100" s="2732"/>
      <c r="D100" s="2731"/>
      <c r="E100" s="2731"/>
      <c r="F100" s="2733"/>
      <c r="G100" s="2733"/>
      <c r="H100" s="2733"/>
      <c r="I100" s="2733"/>
      <c r="J100" s="2733"/>
      <c r="K100" s="2733"/>
      <c r="L100" s="2733"/>
      <c r="M100" s="2733"/>
      <c r="N100" s="2733"/>
      <c r="O100" s="2733"/>
      <c r="P100" s="2733"/>
      <c r="Q100" s="2733"/>
      <c r="R100" s="2733"/>
      <c r="S100" s="2733"/>
      <c r="T100" s="2733"/>
      <c r="U100" s="2733"/>
      <c r="V100" s="2733"/>
      <c r="W100" s="2733"/>
      <c r="X100" s="2733"/>
      <c r="Y100" s="2733"/>
      <c r="Z100" s="2733"/>
      <c r="AA100" s="2733"/>
      <c r="AB100" s="2733"/>
      <c r="AC100" s="2733"/>
      <c r="AD100" s="2733"/>
      <c r="AE100" s="2733"/>
      <c r="AF100" s="2733"/>
      <c r="AG100" s="2733"/>
      <c r="AH100" s="2733"/>
      <c r="AI100" s="2733"/>
      <c r="AJ100" s="2733"/>
      <c r="AK100" s="2733"/>
      <c r="AL100" s="2733"/>
      <c r="AM100" s="2733"/>
      <c r="AN100" s="2733"/>
      <c r="AO100" s="2733"/>
      <c r="AP100" s="2733"/>
      <c r="AQ100" s="2733"/>
      <c r="AR100" s="2733"/>
      <c r="AS100" s="2733"/>
      <c r="AT100" s="2733"/>
      <c r="AU100" s="2733"/>
      <c r="AV100" s="2733"/>
      <c r="AW100" s="2733"/>
      <c r="AX100" s="2733"/>
      <c r="AY100" s="2733"/>
      <c r="AZ100" s="2733"/>
      <c r="BA100" s="2733"/>
      <c r="BB100" s="2733"/>
      <c r="BC100" s="2733"/>
      <c r="BD100" s="2733"/>
      <c r="BE100" s="2733"/>
      <c r="BF100" s="2733"/>
      <c r="BG100" s="2733"/>
    </row>
    <row r="101" spans="1:59" s="2734" customFormat="1">
      <c r="A101" s="2731"/>
      <c r="B101" s="2749" t="s">
        <v>2518</v>
      </c>
      <c r="C101" s="2750" t="s">
        <v>2513</v>
      </c>
      <c r="D101" s="2755" t="s">
        <v>1962</v>
      </c>
      <c r="E101" s="2731"/>
      <c r="F101" s="2733"/>
      <c r="G101" s="2733"/>
      <c r="H101" s="2733"/>
      <c r="I101" s="2733"/>
      <c r="J101" s="2733"/>
      <c r="K101" s="2733"/>
      <c r="L101" s="2733"/>
      <c r="M101" s="2733"/>
      <c r="N101" s="2733"/>
      <c r="O101" s="2733"/>
      <c r="P101" s="2733"/>
      <c r="Q101" s="2733"/>
      <c r="R101" s="2733"/>
      <c r="S101" s="2733"/>
      <c r="T101" s="2733"/>
      <c r="U101" s="2733"/>
      <c r="V101" s="2733"/>
      <c r="W101" s="2733"/>
      <c r="X101" s="2733"/>
      <c r="Y101" s="2733"/>
      <c r="Z101" s="2733"/>
      <c r="AA101" s="2733"/>
      <c r="AB101" s="2733"/>
      <c r="AC101" s="2733"/>
      <c r="AD101" s="2733"/>
      <c r="AE101" s="2733"/>
      <c r="AF101" s="2733"/>
      <c r="AG101" s="2733"/>
      <c r="AH101" s="2733"/>
      <c r="AI101" s="2733"/>
      <c r="AJ101" s="2733"/>
      <c r="AK101" s="2733"/>
      <c r="AL101" s="2733"/>
      <c r="AM101" s="2733"/>
      <c r="AN101" s="2733"/>
      <c r="AO101" s="2733"/>
      <c r="AP101" s="2733"/>
      <c r="AQ101" s="2733"/>
      <c r="AR101" s="2733"/>
      <c r="AS101" s="2733"/>
      <c r="AT101" s="2733"/>
      <c r="AU101" s="2733"/>
      <c r="AV101" s="2733"/>
      <c r="AW101" s="2733"/>
      <c r="AX101" s="2733"/>
      <c r="AY101" s="2733"/>
      <c r="AZ101" s="2733"/>
      <c r="BA101" s="2733"/>
      <c r="BB101" s="2733"/>
      <c r="BC101" s="2733"/>
      <c r="BD101" s="2733"/>
      <c r="BE101" s="2733"/>
      <c r="BF101" s="2733"/>
      <c r="BG101" s="2733"/>
    </row>
    <row r="102" spans="1:59" s="2734" customFormat="1">
      <c r="A102" s="2731"/>
      <c r="B102" s="190" t="s">
        <v>1585</v>
      </c>
      <c r="C102" s="2732"/>
      <c r="D102" s="97" t="s">
        <v>743</v>
      </c>
      <c r="E102" s="2731"/>
      <c r="F102" s="2733">
        <f>G103+G104</f>
        <v>7286475</v>
      </c>
      <c r="G102" s="2733"/>
      <c r="H102" s="2733"/>
      <c r="I102" s="2733"/>
      <c r="J102" s="2733">
        <f>K103+K104</f>
        <v>1815975</v>
      </c>
      <c r="K102" s="2733"/>
      <c r="L102" s="2733">
        <f>M103+M104</f>
        <v>0</v>
      </c>
      <c r="M102" s="2733"/>
      <c r="N102" s="2733">
        <f>O103+O104</f>
        <v>1746150</v>
      </c>
      <c r="O102" s="2733"/>
      <c r="P102" s="2733">
        <f>Q103+Q104</f>
        <v>332325</v>
      </c>
      <c r="Q102" s="2733"/>
      <c r="R102" s="2733">
        <f>S103+S104</f>
        <v>1381800</v>
      </c>
      <c r="S102" s="2733"/>
      <c r="T102" s="2733">
        <f>U103+U104</f>
        <v>0</v>
      </c>
      <c r="U102" s="2733"/>
      <c r="V102" s="2733">
        <f>W103+W104</f>
        <v>2455320</v>
      </c>
      <c r="W102" s="2733"/>
      <c r="X102" s="2733">
        <f>Y103+Y104</f>
        <v>0</v>
      </c>
      <c r="Y102" s="2733"/>
      <c r="Z102" s="2733">
        <f>AA103+AA104</f>
        <v>0</v>
      </c>
      <c r="AA102" s="2733"/>
      <c r="AB102" s="2733">
        <f>AC103+AC104</f>
        <v>0</v>
      </c>
      <c r="AC102" s="2733"/>
      <c r="AD102" s="2733">
        <f>AE103+AE104</f>
        <v>0</v>
      </c>
      <c r="AE102" s="2733"/>
      <c r="AF102" s="2733">
        <f>AG103+AG104</f>
        <v>5798205</v>
      </c>
      <c r="AG102" s="2733"/>
      <c r="AH102" s="2733">
        <f>AI103+AI104</f>
        <v>13529775</v>
      </c>
      <c r="AI102" s="2733"/>
      <c r="AJ102" s="2733"/>
      <c r="AK102" s="2733"/>
      <c r="AL102" s="2733">
        <f>AM103+AM104</f>
        <v>3904005</v>
      </c>
      <c r="AM102" s="2733"/>
      <c r="AN102" s="2733"/>
      <c r="AO102" s="2733"/>
      <c r="AP102" s="2733">
        <f>AQ103+AQ104</f>
        <v>4296705</v>
      </c>
      <c r="AQ102" s="2733"/>
      <c r="AR102" s="2733"/>
      <c r="AS102" s="2733"/>
      <c r="AT102" s="2733">
        <f>AU103+AU104</f>
        <v>3877230</v>
      </c>
      <c r="AU102" s="2733"/>
      <c r="AV102" s="2733"/>
      <c r="AW102" s="2733"/>
      <c r="AX102" s="2733">
        <f>AY103+AY104</f>
        <v>2900205</v>
      </c>
      <c r="AY102" s="2733"/>
      <c r="AZ102" s="2733"/>
      <c r="BA102" s="2733"/>
      <c r="BB102" s="2733"/>
      <c r="BC102" s="2733"/>
      <c r="BD102" s="2733"/>
      <c r="BE102" s="2733"/>
      <c r="BF102" s="2733"/>
      <c r="BG102" s="2733"/>
    </row>
    <row r="103" spans="1:59" s="2734" customFormat="1">
      <c r="A103" s="2731"/>
      <c r="B103" s="190" t="s">
        <v>2524</v>
      </c>
      <c r="C103" s="2732"/>
      <c r="D103" s="190" t="s">
        <v>2524</v>
      </c>
      <c r="E103" s="2731"/>
      <c r="F103" s="2733"/>
      <c r="G103" s="2733">
        <f>SUMIFS('B0 2264預收'!F$6:F$64,'B0 2264預收'!$C$6:$C$64,"外部")</f>
        <v>6939500</v>
      </c>
      <c r="H103" s="2733"/>
      <c r="I103" s="2733"/>
      <c r="J103" s="2733"/>
      <c r="K103" s="2733">
        <f>SUMIFS('B0 2264預收'!J$6:J$64,'B0 2264預收'!$C$6:$C$64,"外部")</f>
        <v>1729500</v>
      </c>
      <c r="L103" s="2733"/>
      <c r="M103" s="2733">
        <f>SUMIFS('B0 2264預收'!L$6:L$64,'B0 2264預收'!$C$6:$C$64,"外部")</f>
        <v>0</v>
      </c>
      <c r="N103" s="2733"/>
      <c r="O103" s="2733">
        <f>SUMIFS('B0 2264預收'!N$6:N$64,'B0 2264預收'!$C$6:$C$64,"外部")</f>
        <v>1663000</v>
      </c>
      <c r="P103" s="2733"/>
      <c r="Q103" s="2733">
        <f>SUMIFS('B0 2264預收'!P$6:P$64,'B0 2264預收'!$C$6:$C$64,"外部")</f>
        <v>316500</v>
      </c>
      <c r="R103" s="2733"/>
      <c r="S103" s="2733">
        <f>SUMIFS('B0 2264預收'!R$6:R$64,'B0 2264預收'!$C$6:$C$64,"外部")</f>
        <v>1316000</v>
      </c>
      <c r="T103" s="2733"/>
      <c r="U103" s="2733">
        <f>SUMIFS('B0 2264預收'!T$6:T$64,'B0 2264預收'!$C$6:$C$64,"外部")</f>
        <v>0</v>
      </c>
      <c r="V103" s="2733"/>
      <c r="W103" s="2733">
        <f>SUMIFS('B0 2264預收'!V$6:V$64,'B0 2264預收'!$C$6:$C$64,"外部")</f>
        <v>2338400</v>
      </c>
      <c r="X103" s="2733"/>
      <c r="Y103" s="2733">
        <f>SUMIFS('B0 2264預收'!X$6:X$64,'B0 2264預收'!$C$6:$C$64,"外部")</f>
        <v>0</v>
      </c>
      <c r="Z103" s="2733"/>
      <c r="AA103" s="2733">
        <f>SUMIFS('B0 2264預收'!Z$6:Z$64,'B0 2264預收'!$C$6:$C$64,"外部")</f>
        <v>0</v>
      </c>
      <c r="AB103" s="2733"/>
      <c r="AC103" s="2733">
        <f>SUMIFS('B0 2264預收'!AB$6:AB$64,'B0 2264預收'!$C$6:$C$64,"外部")</f>
        <v>0</v>
      </c>
      <c r="AD103" s="2733"/>
      <c r="AE103" s="2733">
        <f>SUMIFS('B0 2264預收'!AD$6:AD$64,'B0 2264預收'!$C$6:$C$64,"外部")</f>
        <v>0</v>
      </c>
      <c r="AF103" s="2733"/>
      <c r="AG103" s="2733">
        <f>SUMIFS('B0 2264預收'!AF$6:AF$64,'B0 2264預收'!$C$6:$C$64,"外部")</f>
        <v>5522100</v>
      </c>
      <c r="AH103" s="2733"/>
      <c r="AI103" s="2733">
        <f>SUMIFS('B0 2264預收'!AH$6:AH$64,'B0 2264預收'!$C$6:$C$64,"外部")</f>
        <v>12885500</v>
      </c>
      <c r="AJ103" s="2733"/>
      <c r="AK103" s="2733"/>
      <c r="AL103" s="2733"/>
      <c r="AM103" s="2733">
        <f>SUMIFS('B0 2264預收'!AL$6:AL$64,'B0 2264預收'!$C$6:$C$64,"外部")</f>
        <v>3718100</v>
      </c>
      <c r="AN103" s="2733"/>
      <c r="AO103" s="2733"/>
      <c r="AP103" s="2733"/>
      <c r="AQ103" s="2733">
        <f>SUMIFS('B0 2264預收'!AP$6:AP$64,'B0 2264預收'!$C$6:$C$64,"外部")</f>
        <v>4092100</v>
      </c>
      <c r="AR103" s="2733"/>
      <c r="AS103" s="2733"/>
      <c r="AT103" s="2733"/>
      <c r="AU103" s="2733">
        <f>SUMIFS('B0 2264預收'!AT$6:AT$64,'B0 2264預收'!$C$6:$C$64,"外部")</f>
        <v>3692600</v>
      </c>
      <c r="AV103" s="2733"/>
      <c r="AW103" s="2733"/>
      <c r="AX103" s="2733"/>
      <c r="AY103" s="2733">
        <f>SUMIFS('B0 2264預收'!AX$6:AX$64,'B0 2264預收'!$C$6:$C$64,"外部")</f>
        <v>2762100</v>
      </c>
      <c r="AZ103" s="2733"/>
      <c r="BA103" s="2733"/>
      <c r="BB103" s="2733"/>
      <c r="BC103" s="2733"/>
      <c r="BD103" s="2733"/>
      <c r="BE103" s="2733"/>
      <c r="BF103" s="2733"/>
      <c r="BG103" s="2733"/>
    </row>
    <row r="104" spans="1:59" s="2734" customFormat="1">
      <c r="A104" s="2731"/>
      <c r="B104" s="284" t="s">
        <v>742</v>
      </c>
      <c r="C104" s="2732"/>
      <c r="D104" s="284" t="s">
        <v>742</v>
      </c>
      <c r="E104" s="2731"/>
      <c r="F104" s="2733"/>
      <c r="G104" s="2733">
        <f>ROUND(G103*0.05,0)</f>
        <v>346975</v>
      </c>
      <c r="H104" s="2733"/>
      <c r="I104" s="2733"/>
      <c r="J104" s="2733"/>
      <c r="K104" s="2733">
        <f>ROUND(K103*0.05,0)</f>
        <v>86475</v>
      </c>
      <c r="L104" s="2733"/>
      <c r="M104" s="2733">
        <f>ROUND(M103*0.05,0)</f>
        <v>0</v>
      </c>
      <c r="N104" s="2733"/>
      <c r="O104" s="2733">
        <f>ROUND(O103*0.05,0)</f>
        <v>83150</v>
      </c>
      <c r="P104" s="2733"/>
      <c r="Q104" s="2733">
        <f>ROUND(Q103*0.05,0)</f>
        <v>15825</v>
      </c>
      <c r="R104" s="2733"/>
      <c r="S104" s="2733">
        <f>ROUND(S103*0.05,0)</f>
        <v>65800</v>
      </c>
      <c r="T104" s="2733"/>
      <c r="U104" s="2733">
        <f>ROUND(U103*0.05,0)</f>
        <v>0</v>
      </c>
      <c r="V104" s="2733"/>
      <c r="W104" s="2733">
        <f>ROUND(W103*0.05,0)</f>
        <v>116920</v>
      </c>
      <c r="X104" s="2733"/>
      <c r="Y104" s="2733">
        <f>ROUND(Y103*0.05,0)</f>
        <v>0</v>
      </c>
      <c r="Z104" s="2733"/>
      <c r="AA104" s="2733">
        <f>ROUND(AA103*0.05,0)</f>
        <v>0</v>
      </c>
      <c r="AB104" s="2733"/>
      <c r="AC104" s="2733">
        <f>ROUND(AC103*0.05,0)</f>
        <v>0</v>
      </c>
      <c r="AD104" s="2733"/>
      <c r="AE104" s="2733">
        <f>ROUND(AE103*0.05,0)</f>
        <v>0</v>
      </c>
      <c r="AF104" s="2733"/>
      <c r="AG104" s="2733">
        <f>ROUND(AG103*0.05,0)</f>
        <v>276105</v>
      </c>
      <c r="AH104" s="2733"/>
      <c r="AI104" s="2733">
        <f>ROUND(AI103*0.05,0)</f>
        <v>644275</v>
      </c>
      <c r="AJ104" s="2733"/>
      <c r="AK104" s="2733"/>
      <c r="AL104" s="2733"/>
      <c r="AM104" s="2733">
        <f>ROUND(AM103*0.05,0)</f>
        <v>185905</v>
      </c>
      <c r="AN104" s="2733"/>
      <c r="AO104" s="2733"/>
      <c r="AP104" s="2733"/>
      <c r="AQ104" s="2733">
        <f>ROUND(AQ103*0.05,0)</f>
        <v>204605</v>
      </c>
      <c r="AR104" s="2733"/>
      <c r="AS104" s="2733"/>
      <c r="AT104" s="2733"/>
      <c r="AU104" s="2733">
        <f>ROUND(AU103*0.05,0)</f>
        <v>184630</v>
      </c>
      <c r="AV104" s="2733"/>
      <c r="AW104" s="2733"/>
      <c r="AX104" s="2733"/>
      <c r="AY104" s="2733">
        <f>ROUND(AY103*0.05,0)</f>
        <v>138105</v>
      </c>
      <c r="AZ104" s="2733"/>
      <c r="BA104" s="2733"/>
      <c r="BB104" s="2733"/>
      <c r="BC104" s="2733"/>
      <c r="BD104" s="2733"/>
      <c r="BE104" s="2733"/>
      <c r="BF104" s="2733"/>
      <c r="BG104" s="2733"/>
    </row>
    <row r="105" spans="1:59" s="2734" customFormat="1">
      <c r="A105" s="2731"/>
      <c r="B105" s="2732"/>
      <c r="C105" s="2732"/>
      <c r="D105" s="2741"/>
      <c r="E105" s="2741"/>
      <c r="F105" s="2742"/>
      <c r="G105" s="2733"/>
      <c r="H105" s="2742"/>
      <c r="I105" s="2733"/>
      <c r="J105" s="2742"/>
      <c r="K105" s="2733"/>
      <c r="L105" s="2742"/>
      <c r="M105" s="2733"/>
      <c r="N105" s="2742"/>
      <c r="O105" s="2733"/>
      <c r="P105" s="2742"/>
      <c r="Q105" s="2733"/>
      <c r="R105" s="2742"/>
      <c r="S105" s="2733"/>
      <c r="T105" s="2742"/>
      <c r="U105" s="2733"/>
      <c r="V105" s="2742"/>
      <c r="W105" s="2733"/>
      <c r="X105" s="2742"/>
      <c r="Y105" s="2733"/>
      <c r="Z105" s="2742"/>
      <c r="AA105" s="2733"/>
      <c r="AB105" s="2742"/>
      <c r="AC105" s="2733"/>
      <c r="AD105" s="2742"/>
      <c r="AE105" s="2733"/>
      <c r="AF105" s="2742"/>
      <c r="AG105" s="2733"/>
      <c r="AH105" s="2742"/>
      <c r="AI105" s="2733"/>
      <c r="AJ105" s="2733"/>
      <c r="AK105" s="2733"/>
      <c r="AL105" s="2742"/>
      <c r="AM105" s="2733"/>
      <c r="AN105" s="2742"/>
      <c r="AO105" s="2733"/>
      <c r="AP105" s="2742"/>
      <c r="AQ105" s="2733"/>
      <c r="AR105" s="2742"/>
      <c r="AS105" s="2733"/>
      <c r="AT105" s="2742"/>
      <c r="AU105" s="2733"/>
      <c r="AV105" s="2742"/>
      <c r="AW105" s="2733"/>
      <c r="AX105" s="2742"/>
      <c r="AY105" s="2733"/>
      <c r="AZ105" s="2742"/>
      <c r="BA105" s="2733"/>
      <c r="BB105" s="2742"/>
      <c r="BC105" s="2733"/>
      <c r="BD105" s="2733"/>
      <c r="BE105" s="2742"/>
      <c r="BF105" s="2733"/>
      <c r="BG105" s="2733"/>
    </row>
    <row r="106" spans="1:59" s="2734" customFormat="1" ht="16.2">
      <c r="A106" s="2731"/>
      <c r="B106" s="166" t="s">
        <v>2519</v>
      </c>
      <c r="C106" s="282" t="s">
        <v>2513</v>
      </c>
      <c r="D106" s="2754" t="s">
        <v>2514</v>
      </c>
      <c r="E106" s="2741"/>
      <c r="F106" s="2742"/>
      <c r="G106" s="2733"/>
      <c r="H106" s="2742"/>
      <c r="I106" s="2733"/>
      <c r="J106" s="2742"/>
      <c r="K106" s="2733"/>
      <c r="L106" s="2742"/>
      <c r="M106" s="2733"/>
      <c r="N106" s="2742"/>
      <c r="O106" s="2733"/>
      <c r="P106" s="2742"/>
      <c r="Q106" s="2733"/>
      <c r="R106" s="2742"/>
      <c r="S106" s="2733"/>
      <c r="T106" s="2742"/>
      <c r="U106" s="2733"/>
      <c r="V106" s="2742"/>
      <c r="W106" s="2733"/>
      <c r="X106" s="2742"/>
      <c r="Y106" s="2733"/>
      <c r="Z106" s="2742"/>
      <c r="AA106" s="2733"/>
      <c r="AB106" s="2742"/>
      <c r="AC106" s="2733"/>
      <c r="AD106" s="2742"/>
      <c r="AE106" s="2733"/>
      <c r="AF106" s="2742"/>
      <c r="AG106" s="2733"/>
      <c r="AH106" s="2742"/>
      <c r="AI106" s="2733"/>
      <c r="AJ106" s="2733"/>
      <c r="AK106" s="2733"/>
      <c r="AL106" s="2742"/>
      <c r="AM106" s="2733"/>
      <c r="AN106" s="2742"/>
      <c r="AO106" s="2733"/>
      <c r="AP106" s="2742"/>
      <c r="AQ106" s="2733"/>
      <c r="AR106" s="2742"/>
      <c r="AS106" s="2733"/>
      <c r="AT106" s="2742"/>
      <c r="AU106" s="2733"/>
      <c r="AV106" s="2742"/>
      <c r="AW106" s="2733"/>
      <c r="AX106" s="2742"/>
      <c r="AY106" s="2733"/>
      <c r="AZ106" s="2742"/>
      <c r="BA106" s="2733"/>
      <c r="BB106" s="2742"/>
      <c r="BC106" s="2733"/>
      <c r="BD106" s="2733"/>
      <c r="BE106" s="2742"/>
      <c r="BF106" s="2733"/>
      <c r="BG106" s="2733"/>
    </row>
    <row r="107" spans="1:59" s="2734" customFormat="1">
      <c r="A107" s="190"/>
      <c r="B107" s="190" t="s">
        <v>1585</v>
      </c>
      <c r="C107" s="2732"/>
      <c r="D107" s="2744" t="s">
        <v>2523</v>
      </c>
      <c r="F107" s="2742">
        <f>G108</f>
        <v>1267500</v>
      </c>
      <c r="G107" s="2733"/>
      <c r="H107" s="2742"/>
      <c r="I107" s="2733"/>
      <c r="J107" s="2742">
        <f>K108</f>
        <v>29500</v>
      </c>
      <c r="K107" s="2733"/>
      <c r="L107" s="2742">
        <f>M108</f>
        <v>29500</v>
      </c>
      <c r="M107" s="2733"/>
      <c r="N107" s="2742">
        <f>O108</f>
        <v>29500</v>
      </c>
      <c r="O107" s="2733"/>
      <c r="P107" s="2742">
        <f>Q108</f>
        <v>1294500</v>
      </c>
      <c r="Q107" s="2733"/>
      <c r="R107" s="2742">
        <f>S108</f>
        <v>29500</v>
      </c>
      <c r="S107" s="2733"/>
      <c r="T107" s="2742">
        <f>U108</f>
        <v>29500</v>
      </c>
      <c r="U107" s="2733"/>
      <c r="V107" s="2742">
        <f>W108</f>
        <v>29500</v>
      </c>
      <c r="W107" s="2733"/>
      <c r="X107" s="2742">
        <f>Y108</f>
        <v>29500</v>
      </c>
      <c r="Y107" s="2733"/>
      <c r="Z107" s="2742">
        <f>AA108</f>
        <v>29500</v>
      </c>
      <c r="AA107" s="2733"/>
      <c r="AB107" s="2742">
        <f>AC108</f>
        <v>29500</v>
      </c>
      <c r="AC107" s="2733"/>
      <c r="AD107" s="2742">
        <f>AE108</f>
        <v>29500</v>
      </c>
      <c r="AE107" s="2733"/>
      <c r="AF107" s="2742">
        <f>AG108</f>
        <v>29500</v>
      </c>
      <c r="AG107" s="2733"/>
      <c r="AH107" s="2742">
        <f>AI108</f>
        <v>1619000</v>
      </c>
      <c r="AI107" s="2733"/>
      <c r="AJ107" s="2733"/>
      <c r="AK107" s="2733"/>
      <c r="AL107" s="2742">
        <f>AM108</f>
        <v>1050000</v>
      </c>
      <c r="AM107" s="2733"/>
      <c r="AN107" s="2742"/>
      <c r="AO107" s="2733"/>
      <c r="AP107" s="2742">
        <f>AQ108</f>
        <v>1110000</v>
      </c>
      <c r="AQ107" s="2733"/>
      <c r="AR107" s="2742"/>
      <c r="AS107" s="2733"/>
      <c r="AT107" s="2742">
        <f>AU108</f>
        <v>1597500</v>
      </c>
      <c r="AU107" s="2733"/>
      <c r="AV107" s="2742"/>
      <c r="AW107" s="2733"/>
      <c r="AX107" s="2742">
        <f>AY108</f>
        <v>0</v>
      </c>
      <c r="AY107" s="2733"/>
      <c r="AZ107" s="2742"/>
      <c r="BA107" s="2733"/>
      <c r="BB107" s="2742"/>
      <c r="BC107" s="2733"/>
      <c r="BD107" s="2733"/>
      <c r="BE107" s="2742"/>
      <c r="BF107" s="2733"/>
      <c r="BG107" s="2733"/>
    </row>
    <row r="108" spans="1:59" s="2734" customFormat="1">
      <c r="A108" s="190"/>
      <c r="B108" s="190" t="s">
        <v>1579</v>
      </c>
      <c r="C108" s="2732"/>
      <c r="D108" s="2744" t="s">
        <v>2522</v>
      </c>
      <c r="F108" s="2742"/>
      <c r="G108" s="2733">
        <f>SUMIFS('B0 2264預收'!F$6:F$64,'B0 2264預收'!$C$6:$C$64,"雜項")</f>
        <v>1267500</v>
      </c>
      <c r="H108" s="2742"/>
      <c r="I108" s="2733"/>
      <c r="J108" s="2742"/>
      <c r="K108" s="2733">
        <f>SUMIFS('B0 2264預收'!J$6:J$64,'B0 2264預收'!$C$6:$C$64,"雜項")</f>
        <v>29500</v>
      </c>
      <c r="L108" s="2742"/>
      <c r="M108" s="2733">
        <f>SUMIFS('B0 2264預收'!L$6:L$64,'B0 2264預收'!$C$6:$C$64,"雜項")</f>
        <v>29500</v>
      </c>
      <c r="N108" s="2742"/>
      <c r="O108" s="2733">
        <f>SUMIFS('B0 2264預收'!N$6:N$64,'B0 2264預收'!$C$6:$C$64,"雜項")</f>
        <v>29500</v>
      </c>
      <c r="P108" s="2742"/>
      <c r="Q108" s="2733">
        <f>SUMIFS('B0 2264預收'!P$6:P$64,'B0 2264預收'!$C$6:$C$64,"雜項")</f>
        <v>1294500</v>
      </c>
      <c r="R108" s="2742"/>
      <c r="S108" s="2733">
        <f>SUMIFS('B0 2264預收'!R$6:R$64,'B0 2264預收'!$C$6:$C$64,"雜項")</f>
        <v>29500</v>
      </c>
      <c r="T108" s="2742"/>
      <c r="U108" s="2733">
        <f>SUMIFS('B0 2264預收'!T$6:T$64,'B0 2264預收'!$C$6:$C$64,"雜項")</f>
        <v>29500</v>
      </c>
      <c r="V108" s="2742"/>
      <c r="W108" s="2733">
        <f>SUMIFS('B0 2264預收'!V$6:V$64,'B0 2264預收'!$C$6:$C$64,"雜項")</f>
        <v>29500</v>
      </c>
      <c r="X108" s="2742"/>
      <c r="Y108" s="2733">
        <f>SUMIFS('B0 2264預收'!X$6:X$64,'B0 2264預收'!$C$6:$C$64,"雜項")</f>
        <v>29500</v>
      </c>
      <c r="Z108" s="2742"/>
      <c r="AA108" s="2733">
        <f>SUMIFS('B0 2264預收'!Z$6:Z$64,'B0 2264預收'!$C$6:$C$64,"雜項")</f>
        <v>29500</v>
      </c>
      <c r="AB108" s="2742"/>
      <c r="AC108" s="2733">
        <f>SUMIFS('B0 2264預收'!AB$6:AB$64,'B0 2264預收'!$C$6:$C$64,"雜項")</f>
        <v>29500</v>
      </c>
      <c r="AD108" s="2742"/>
      <c r="AE108" s="2733">
        <f>SUMIFS('B0 2264預收'!AD$6:AD$64,'B0 2264預收'!$C$6:$C$64,"雜項")</f>
        <v>29500</v>
      </c>
      <c r="AF108" s="2742"/>
      <c r="AG108" s="2733">
        <f>SUMIFS('B0 2264預收'!AF$6:AF$64,'B0 2264預收'!$C$6:$C$64,"雜項")</f>
        <v>29500</v>
      </c>
      <c r="AH108" s="2742"/>
      <c r="AI108" s="2733">
        <f>SUMIFS('B0 2264預收'!AH$6:AH$64,'B0 2264預收'!$C$6:$C$64,"雜項")</f>
        <v>1619000</v>
      </c>
      <c r="AJ108" s="2733"/>
      <c r="AK108" s="2733"/>
      <c r="AL108" s="2742"/>
      <c r="AM108" s="2733">
        <f>SUMIFS('B0 2264預收'!AL$6:AL$64,'B0 2264預收'!$C$6:$C$64,"雜項")</f>
        <v>1050000</v>
      </c>
      <c r="AN108" s="2742"/>
      <c r="AO108" s="2733"/>
      <c r="AP108" s="2742"/>
      <c r="AQ108" s="2733">
        <f>SUMIFS('B0 2264預收'!AP$6:AP$64,'B0 2264預收'!$C$6:$C$64,"雜項")</f>
        <v>1110000</v>
      </c>
      <c r="AR108" s="2742"/>
      <c r="AS108" s="2733"/>
      <c r="AT108" s="2742"/>
      <c r="AU108" s="2733">
        <f>SUMIFS('B0 2264預收'!AT$6:AT$64,'B0 2264預收'!$C$6:$C$64,"雜項")</f>
        <v>1597500</v>
      </c>
      <c r="AV108" s="2742"/>
      <c r="AW108" s="2733"/>
      <c r="AX108" s="2742"/>
      <c r="AY108" s="2733">
        <f>SUMIFS('B0 2264預收'!AX$6:AX$64,'B0 2264預收'!$C$6:$C$64,"雜項")</f>
        <v>0</v>
      </c>
      <c r="AZ108" s="2742"/>
      <c r="BA108" s="2733"/>
      <c r="BB108" s="2742"/>
      <c r="BC108" s="2733"/>
      <c r="BD108" s="2733"/>
      <c r="BE108" s="2742"/>
      <c r="BF108" s="2733"/>
      <c r="BG108" s="2733"/>
    </row>
    <row r="109" spans="1:59" s="2734" customFormat="1">
      <c r="A109" s="2731"/>
      <c r="B109" s="2732"/>
      <c r="C109" s="2732"/>
      <c r="D109" s="2741"/>
      <c r="E109" s="2741"/>
      <c r="F109" s="2742"/>
      <c r="G109" s="2733"/>
      <c r="H109" s="2742"/>
      <c r="I109" s="2733"/>
      <c r="J109" s="2742"/>
      <c r="K109" s="2733"/>
      <c r="L109" s="2742"/>
      <c r="M109" s="2733"/>
      <c r="N109" s="2742"/>
      <c r="O109" s="2733"/>
      <c r="P109" s="2742"/>
      <c r="Q109" s="2733"/>
      <c r="R109" s="2742"/>
      <c r="S109" s="2733"/>
      <c r="T109" s="2742"/>
      <c r="U109" s="2733"/>
      <c r="V109" s="2742"/>
      <c r="W109" s="2733"/>
      <c r="X109" s="2742"/>
      <c r="Y109" s="2733"/>
      <c r="Z109" s="2742"/>
      <c r="AA109" s="2733"/>
      <c r="AB109" s="2742"/>
      <c r="AC109" s="2733"/>
      <c r="AD109" s="2742"/>
      <c r="AE109" s="2733"/>
      <c r="AF109" s="2742"/>
      <c r="AG109" s="2733"/>
      <c r="AH109" s="2742"/>
      <c r="AI109" s="2733"/>
      <c r="AJ109" s="2733"/>
      <c r="AK109" s="2733"/>
      <c r="AL109" s="2742"/>
      <c r="AM109" s="2733"/>
      <c r="AN109" s="2742"/>
      <c r="AO109" s="2733"/>
      <c r="AP109" s="2742"/>
      <c r="AQ109" s="2733"/>
      <c r="AR109" s="2742"/>
      <c r="AS109" s="2733"/>
      <c r="AT109" s="2742"/>
      <c r="AU109" s="2733"/>
      <c r="AV109" s="2742"/>
      <c r="AW109" s="2733"/>
      <c r="AX109" s="2742"/>
      <c r="AY109" s="2733"/>
      <c r="AZ109" s="2742"/>
      <c r="BA109" s="2733"/>
      <c r="BB109" s="2742"/>
      <c r="BC109" s="2733"/>
      <c r="BD109" s="2733"/>
      <c r="BE109" s="2742"/>
      <c r="BF109" s="2733"/>
      <c r="BG109" s="2733"/>
    </row>
    <row r="110" spans="1:59" s="2734" customFormat="1">
      <c r="A110" s="2731"/>
      <c r="B110" s="2732"/>
      <c r="C110" s="2732"/>
      <c r="D110" s="2741"/>
      <c r="E110" s="2741"/>
      <c r="F110" s="2742"/>
      <c r="G110" s="2733"/>
      <c r="H110" s="2742"/>
      <c r="I110" s="2733"/>
      <c r="J110" s="2742"/>
      <c r="K110" s="2733"/>
      <c r="L110" s="2742"/>
      <c r="M110" s="2733"/>
      <c r="N110" s="2742"/>
      <c r="O110" s="2733"/>
      <c r="P110" s="2742"/>
      <c r="Q110" s="2733"/>
      <c r="R110" s="2742"/>
      <c r="S110" s="2733"/>
      <c r="T110" s="2742"/>
      <c r="U110" s="2733"/>
      <c r="V110" s="2742"/>
      <c r="W110" s="2733"/>
      <c r="X110" s="2742"/>
      <c r="Y110" s="2733"/>
      <c r="Z110" s="2742"/>
      <c r="AA110" s="2733"/>
      <c r="AB110" s="2742"/>
      <c r="AC110" s="2733"/>
      <c r="AD110" s="2742"/>
      <c r="AE110" s="2733"/>
      <c r="AF110" s="2742"/>
      <c r="AG110" s="2733"/>
      <c r="AH110" s="2742"/>
      <c r="AI110" s="2733"/>
      <c r="AJ110" s="2733"/>
      <c r="AK110" s="2733"/>
      <c r="AL110" s="2742"/>
      <c r="AM110" s="2733"/>
      <c r="AN110" s="2742"/>
      <c r="AO110" s="2733"/>
      <c r="AP110" s="2742"/>
      <c r="AQ110" s="2733"/>
      <c r="AR110" s="2742"/>
      <c r="AS110" s="2733"/>
      <c r="AT110" s="2742"/>
      <c r="AU110" s="2733"/>
      <c r="AV110" s="2742"/>
      <c r="AW110" s="2733"/>
      <c r="AX110" s="2742"/>
      <c r="AY110" s="2733"/>
      <c r="AZ110" s="2742"/>
      <c r="BA110" s="2733"/>
      <c r="BB110" s="2742"/>
      <c r="BC110" s="2733"/>
      <c r="BD110" s="2733"/>
      <c r="BE110" s="2742"/>
      <c r="BF110" s="2733"/>
      <c r="BG110" s="2733"/>
    </row>
    <row r="111" spans="1:59" s="2734" customFormat="1">
      <c r="A111" s="2731"/>
      <c r="B111" s="166" t="s">
        <v>2520</v>
      </c>
      <c r="C111" s="282" t="s">
        <v>2513</v>
      </c>
      <c r="D111" s="2754" t="s">
        <v>1976</v>
      </c>
      <c r="E111" s="2741"/>
      <c r="F111" s="2742"/>
      <c r="G111" s="2733"/>
      <c r="H111" s="2742"/>
      <c r="I111" s="2733"/>
      <c r="J111" s="2742"/>
      <c r="K111" s="2733"/>
      <c r="L111" s="2742"/>
      <c r="M111" s="2733"/>
      <c r="N111" s="2742"/>
      <c r="O111" s="2733"/>
      <c r="P111" s="2742"/>
      <c r="Q111" s="2733"/>
      <c r="R111" s="2742"/>
      <c r="S111" s="2733"/>
      <c r="T111" s="2742"/>
      <c r="U111" s="2733"/>
      <c r="V111" s="2742"/>
      <c r="W111" s="2733"/>
      <c r="X111" s="2742"/>
      <c r="Y111" s="2733"/>
      <c r="Z111" s="2742"/>
      <c r="AA111" s="2733"/>
      <c r="AB111" s="2742"/>
      <c r="AC111" s="2733"/>
      <c r="AD111" s="2742"/>
      <c r="AE111" s="2733"/>
      <c r="AF111" s="2742"/>
      <c r="AG111" s="2733"/>
      <c r="AH111" s="2742"/>
      <c r="AI111" s="2733"/>
      <c r="AJ111" s="2733"/>
      <c r="AK111" s="2733"/>
      <c r="AL111" s="2742"/>
      <c r="AM111" s="2733"/>
      <c r="AN111" s="2742"/>
      <c r="AO111" s="2733"/>
      <c r="AP111" s="2742"/>
      <c r="AQ111" s="2733"/>
      <c r="AR111" s="2742"/>
      <c r="AS111" s="2733"/>
      <c r="AT111" s="2742"/>
      <c r="AU111" s="2733"/>
      <c r="AV111" s="2742"/>
      <c r="AW111" s="2733"/>
      <c r="AX111" s="2742"/>
      <c r="AY111" s="2733"/>
      <c r="AZ111" s="2742"/>
      <c r="BA111" s="2733"/>
      <c r="BB111" s="2742"/>
      <c r="BC111" s="2733"/>
      <c r="BD111" s="2733"/>
      <c r="BE111" s="2742"/>
      <c r="BF111" s="2733"/>
      <c r="BG111" s="2733"/>
    </row>
    <row r="112" spans="1:59" s="2734" customFormat="1">
      <c r="A112" s="2731"/>
      <c r="B112" s="190" t="s">
        <v>1585</v>
      </c>
      <c r="C112" s="2732"/>
      <c r="D112" s="2744" t="s">
        <v>2523</v>
      </c>
      <c r="F112" s="2733">
        <f>G113</f>
        <v>2160000</v>
      </c>
      <c r="G112" s="2733"/>
      <c r="H112" s="2733"/>
      <c r="I112" s="2733"/>
      <c r="J112" s="2733">
        <f>K113</f>
        <v>0</v>
      </c>
      <c r="K112" s="2733"/>
      <c r="L112" s="2733">
        <f>M113</f>
        <v>0</v>
      </c>
      <c r="M112" s="2733"/>
      <c r="N112" s="2733">
        <f>O113</f>
        <v>0</v>
      </c>
      <c r="O112" s="2733"/>
      <c r="P112" s="2733">
        <f>Q113</f>
        <v>0</v>
      </c>
      <c r="Q112" s="2733"/>
      <c r="R112" s="2733">
        <f>S113</f>
        <v>0</v>
      </c>
      <c r="S112" s="2733"/>
      <c r="T112" s="2733">
        <f>U113</f>
        <v>0</v>
      </c>
      <c r="U112" s="2733"/>
      <c r="V112" s="2733">
        <f>W113</f>
        <v>0</v>
      </c>
      <c r="W112" s="2733"/>
      <c r="X112" s="2733">
        <f>Y113</f>
        <v>0</v>
      </c>
      <c r="Y112" s="2733"/>
      <c r="Z112" s="2733">
        <f>AA113</f>
        <v>0</v>
      </c>
      <c r="AA112" s="2733"/>
      <c r="AB112" s="2733">
        <f>AC113</f>
        <v>175000</v>
      </c>
      <c r="AC112" s="2733"/>
      <c r="AD112" s="2733">
        <f>AE113</f>
        <v>0</v>
      </c>
      <c r="AE112" s="2733"/>
      <c r="AF112" s="2733">
        <f>AG113</f>
        <v>1200000</v>
      </c>
      <c r="AG112" s="2733"/>
      <c r="AH112" s="2733">
        <f>AI113</f>
        <v>1375000</v>
      </c>
      <c r="AI112" s="2733"/>
      <c r="AJ112" s="2733"/>
      <c r="AK112" s="2733"/>
      <c r="AL112" s="2733">
        <f>AM113</f>
        <v>420000</v>
      </c>
      <c r="AM112" s="2733"/>
      <c r="AN112" s="2733"/>
      <c r="AO112" s="2733"/>
      <c r="AP112" s="2733">
        <f>AQ113</f>
        <v>821500</v>
      </c>
      <c r="AQ112" s="2733"/>
      <c r="AR112" s="2733"/>
      <c r="AS112" s="2733"/>
      <c r="AT112" s="2733">
        <f>AU113</f>
        <v>0</v>
      </c>
      <c r="AU112" s="2733"/>
      <c r="AV112" s="2733"/>
      <c r="AW112" s="2733"/>
      <c r="AX112" s="2733">
        <f>AY113</f>
        <v>0</v>
      </c>
      <c r="AY112" s="2733"/>
      <c r="AZ112" s="2733"/>
      <c r="BA112" s="2733"/>
      <c r="BB112" s="2733"/>
      <c r="BC112" s="2733"/>
      <c r="BD112" s="2733"/>
      <c r="BE112" s="2733"/>
      <c r="BF112" s="2733"/>
      <c r="BG112" s="2733"/>
    </row>
    <row r="113" spans="1:59" s="2734" customFormat="1">
      <c r="A113" s="2731"/>
      <c r="B113" s="190" t="s">
        <v>1579</v>
      </c>
      <c r="C113" s="2732"/>
      <c r="D113" s="2744" t="s">
        <v>2522</v>
      </c>
      <c r="F113" s="2733"/>
      <c r="G113" s="2733">
        <f>SUMIFS('B0 2264預收'!F$6:F$64,'B0 2264預收'!$C$6:$C$64,"備標")</f>
        <v>2160000</v>
      </c>
      <c r="H113" s="2733"/>
      <c r="I113" s="2733"/>
      <c r="J113" s="2733"/>
      <c r="K113" s="2733">
        <f>SUMIFS('B0 2264預收'!J$6:J$64,'B0 2264預收'!$C$6:$C$64,"備標")</f>
        <v>0</v>
      </c>
      <c r="L113" s="2733"/>
      <c r="M113" s="2733">
        <f>SUMIFS('B0 2264預收'!L$6:L$64,'B0 2264預收'!$C$6:$C$64,"備標")</f>
        <v>0</v>
      </c>
      <c r="N113" s="2733"/>
      <c r="O113" s="2733">
        <f>SUMIFS('B0 2264預收'!N$6:N$64,'B0 2264預收'!$C$6:$C$64,"備標")</f>
        <v>0</v>
      </c>
      <c r="P113" s="2733"/>
      <c r="Q113" s="2733">
        <f>SUMIFS('B0 2264預收'!P$6:P$64,'B0 2264預收'!$C$6:$C$64,"備標")</f>
        <v>0</v>
      </c>
      <c r="R113" s="2733"/>
      <c r="S113" s="2733">
        <f>SUMIFS('B0 2264預收'!R$6:R$64,'B0 2264預收'!$C$6:$C$64,"備標")</f>
        <v>0</v>
      </c>
      <c r="T113" s="2733"/>
      <c r="U113" s="2733">
        <f>SUMIFS('B0 2264預收'!T$6:T$64,'B0 2264預收'!$C$6:$C$64,"備標")</f>
        <v>0</v>
      </c>
      <c r="V113" s="2733"/>
      <c r="W113" s="2733">
        <f>SUMIFS('B0 2264預收'!V$6:V$64,'B0 2264預收'!$C$6:$C$64,"備標")</f>
        <v>0</v>
      </c>
      <c r="X113" s="2733"/>
      <c r="Y113" s="2733">
        <f>SUMIFS('B0 2264預收'!X$6:X$64,'B0 2264預收'!$C$6:$C$64,"備標")</f>
        <v>0</v>
      </c>
      <c r="Z113" s="2733"/>
      <c r="AA113" s="2733">
        <f>SUMIFS('B0 2264預收'!Z$6:Z$64,'B0 2264預收'!$C$6:$C$64,"備標")</f>
        <v>0</v>
      </c>
      <c r="AB113" s="2733"/>
      <c r="AC113" s="2733">
        <f>SUMIFS('B0 2264預收'!AB$6:AB$64,'B0 2264預收'!$C$6:$C$64,"備標")</f>
        <v>175000</v>
      </c>
      <c r="AD113" s="2733"/>
      <c r="AE113" s="2733">
        <f>SUMIFS('B0 2264預收'!AD$6:AD$64,'B0 2264預收'!$C$6:$C$64,"備標")</f>
        <v>0</v>
      </c>
      <c r="AF113" s="2733"/>
      <c r="AG113" s="2733">
        <f>SUMIFS('B0 2264預收'!AF$6:AF$64,'B0 2264預收'!$C$6:$C$64,"備標")</f>
        <v>1200000</v>
      </c>
      <c r="AH113" s="2733"/>
      <c r="AI113" s="2733">
        <f>SUMIFS('B0 2264預收'!AH$6:AH$64,'B0 2264預收'!$C$6:$C$64,"備標")</f>
        <v>1375000</v>
      </c>
      <c r="AJ113" s="2733"/>
      <c r="AK113" s="2733"/>
      <c r="AL113" s="2733"/>
      <c r="AM113" s="2733">
        <f>SUMIFS('B0 2264預收'!AL$6:AL$64,'B0 2264預收'!$C$6:$C$64,"備標")</f>
        <v>420000</v>
      </c>
      <c r="AN113" s="2733"/>
      <c r="AO113" s="2733"/>
      <c r="AP113" s="2733"/>
      <c r="AQ113" s="2733">
        <f>SUMIFS('B0 2264預收'!AP$6:AP$64,'B0 2264預收'!$C$6:$C$64,"備標")</f>
        <v>821500</v>
      </c>
      <c r="AR113" s="2733"/>
      <c r="AS113" s="2733"/>
      <c r="AT113" s="2733"/>
      <c r="AU113" s="2733">
        <f>SUMIFS('B0 2264預收'!AT$6:AT$64,'B0 2264預收'!$C$6:$C$64,"備標")</f>
        <v>0</v>
      </c>
      <c r="AV113" s="2733"/>
      <c r="AW113" s="2733"/>
      <c r="AX113" s="2733"/>
      <c r="AY113" s="2733">
        <f>SUMIFS('B0 2264預收'!AX$6:AX$64,'B0 2264預收'!$C$6:$C$64,"備標")</f>
        <v>0</v>
      </c>
      <c r="AZ113" s="2733"/>
      <c r="BA113" s="2733"/>
      <c r="BB113" s="2733"/>
      <c r="BC113" s="2733"/>
      <c r="BD113" s="2733"/>
      <c r="BE113" s="2733"/>
      <c r="BF113" s="2733"/>
      <c r="BG113" s="2733"/>
    </row>
    <row r="114" spans="1:59" s="2734" customFormat="1">
      <c r="A114" s="2731"/>
      <c r="B114" s="2732"/>
      <c r="C114" s="2732"/>
      <c r="D114" s="2731"/>
      <c r="E114" s="2731"/>
      <c r="F114" s="2733"/>
      <c r="G114" s="2733"/>
      <c r="H114" s="2733"/>
      <c r="I114" s="2733"/>
      <c r="J114" s="2733"/>
      <c r="K114" s="2733"/>
      <c r="L114" s="2733"/>
      <c r="M114" s="2733"/>
      <c r="N114" s="2733"/>
      <c r="O114" s="2733"/>
      <c r="P114" s="2733"/>
      <c r="Q114" s="2733"/>
      <c r="R114" s="2733"/>
      <c r="S114" s="2733"/>
      <c r="T114" s="2733"/>
      <c r="U114" s="2733"/>
      <c r="V114" s="2733"/>
      <c r="W114" s="2733"/>
      <c r="X114" s="2733"/>
      <c r="Y114" s="2733"/>
      <c r="Z114" s="2733"/>
      <c r="AA114" s="2733"/>
      <c r="AB114" s="2733"/>
      <c r="AC114" s="2733"/>
      <c r="AD114" s="2733"/>
      <c r="AE114" s="2733"/>
      <c r="AF114" s="2733"/>
      <c r="AG114" s="2733"/>
      <c r="AH114" s="2733"/>
      <c r="AI114" s="2733"/>
      <c r="AJ114" s="2733"/>
      <c r="AK114" s="2733"/>
      <c r="AL114" s="2733"/>
      <c r="AM114" s="2733"/>
      <c r="AN114" s="2733"/>
      <c r="AO114" s="2733"/>
      <c r="AP114" s="2733"/>
      <c r="AQ114" s="2733"/>
      <c r="AR114" s="2733"/>
      <c r="AS114" s="2733"/>
      <c r="AT114" s="2733"/>
      <c r="AU114" s="2733"/>
      <c r="AV114" s="2733"/>
      <c r="AW114" s="2733"/>
      <c r="AX114" s="2733"/>
      <c r="AY114" s="2733"/>
      <c r="AZ114" s="2733"/>
      <c r="BA114" s="2733"/>
      <c r="BB114" s="2733"/>
      <c r="BC114" s="2733"/>
      <c r="BD114" s="2733"/>
      <c r="BE114" s="2733"/>
      <c r="BF114" s="2733"/>
      <c r="BG114" s="2733"/>
    </row>
    <row r="115" spans="1:59" s="2734" customFormat="1">
      <c r="A115" s="2731"/>
      <c r="B115" s="2732"/>
      <c r="C115" s="2732"/>
      <c r="D115" s="2731"/>
      <c r="E115" s="2731"/>
      <c r="F115" s="2733"/>
      <c r="G115" s="2733"/>
      <c r="H115" s="2733"/>
      <c r="I115" s="2733"/>
      <c r="J115" s="2733"/>
      <c r="K115" s="2733"/>
      <c r="L115" s="2733"/>
      <c r="M115" s="2733"/>
      <c r="N115" s="2733"/>
      <c r="O115" s="2733"/>
      <c r="P115" s="2733"/>
      <c r="Q115" s="2733"/>
      <c r="R115" s="2733"/>
      <c r="S115" s="2733"/>
      <c r="T115" s="2733"/>
      <c r="U115" s="2733"/>
      <c r="V115" s="2733"/>
      <c r="W115" s="2733"/>
      <c r="X115" s="2733"/>
      <c r="Y115" s="2733"/>
      <c r="Z115" s="2733"/>
      <c r="AA115" s="2733"/>
      <c r="AB115" s="2733"/>
      <c r="AC115" s="2733"/>
      <c r="AD115" s="2733"/>
      <c r="AE115" s="2733"/>
      <c r="AF115" s="2733"/>
      <c r="AG115" s="2733"/>
      <c r="AH115" s="2733"/>
      <c r="AI115" s="2733"/>
      <c r="AJ115" s="2733"/>
      <c r="AK115" s="2733"/>
      <c r="AL115" s="2733"/>
      <c r="AM115" s="2733"/>
      <c r="AN115" s="2733"/>
      <c r="AO115" s="2733"/>
      <c r="AP115" s="2733"/>
      <c r="AQ115" s="2733"/>
      <c r="AR115" s="2733"/>
      <c r="AS115" s="2733"/>
      <c r="AT115" s="2733"/>
      <c r="AU115" s="2733"/>
      <c r="AV115" s="2733"/>
      <c r="AW115" s="2733"/>
      <c r="AX115" s="2733"/>
      <c r="AY115" s="2733"/>
      <c r="AZ115" s="2733"/>
      <c r="BA115" s="2733"/>
      <c r="BB115" s="2733"/>
      <c r="BC115" s="2733"/>
      <c r="BD115" s="2733"/>
      <c r="BE115" s="2733"/>
      <c r="BF115" s="2733"/>
      <c r="BG115" s="2733"/>
    </row>
    <row r="116" spans="1:59" s="2734" customFormat="1">
      <c r="A116" s="2731"/>
      <c r="B116" s="2746" t="s">
        <v>2536</v>
      </c>
      <c r="C116" s="2747" t="s">
        <v>2525</v>
      </c>
      <c r="D116" s="2731"/>
      <c r="E116" s="2731"/>
      <c r="F116" s="2733"/>
      <c r="G116" s="2733"/>
      <c r="H116" s="2733"/>
      <c r="I116" s="2733"/>
      <c r="J116" s="2733"/>
      <c r="K116" s="2733"/>
      <c r="L116" s="2733"/>
      <c r="M116" s="2733"/>
      <c r="N116" s="2733"/>
      <c r="O116" s="2733"/>
      <c r="P116" s="2733"/>
      <c r="Q116" s="2733"/>
      <c r="R116" s="2733"/>
      <c r="S116" s="2733"/>
      <c r="T116" s="2733"/>
      <c r="U116" s="2733"/>
      <c r="V116" s="2733"/>
      <c r="W116" s="2733"/>
      <c r="X116" s="2733"/>
      <c r="Y116" s="2733"/>
      <c r="Z116" s="2733"/>
      <c r="AA116" s="2733"/>
      <c r="AB116" s="2733"/>
      <c r="AC116" s="2733"/>
      <c r="AD116" s="2733"/>
      <c r="AE116" s="2733"/>
      <c r="AF116" s="2733"/>
      <c r="AG116" s="2733"/>
      <c r="AH116" s="2733"/>
      <c r="AI116" s="2733"/>
      <c r="AJ116" s="2733"/>
      <c r="AK116" s="2733"/>
      <c r="AL116" s="2733"/>
      <c r="AM116" s="2733"/>
      <c r="AN116" s="2733"/>
      <c r="AO116" s="2733"/>
      <c r="AP116" s="2733"/>
      <c r="AQ116" s="2733"/>
      <c r="AR116" s="2733"/>
      <c r="AS116" s="2733"/>
      <c r="AT116" s="2733"/>
      <c r="AU116" s="2733"/>
      <c r="AV116" s="2733"/>
      <c r="AW116" s="2733"/>
      <c r="AX116" s="2733"/>
      <c r="AY116" s="2733"/>
      <c r="AZ116" s="2733"/>
      <c r="BA116" s="2733"/>
      <c r="BB116" s="2733"/>
      <c r="BC116" s="2733"/>
      <c r="BD116" s="2733"/>
      <c r="BE116" s="2733"/>
      <c r="BF116" s="2733"/>
      <c r="BG116" s="2733"/>
    </row>
    <row r="117" spans="1:59" s="2734" customFormat="1">
      <c r="A117" s="2731"/>
      <c r="B117" s="190" t="s">
        <v>1579</v>
      </c>
      <c r="C117" s="2732"/>
      <c r="D117" s="2745" t="s">
        <v>2526</v>
      </c>
      <c r="E117" s="2731"/>
      <c r="F117" s="2733">
        <f>G97+G108</f>
        <v>19207000</v>
      </c>
      <c r="G117" s="2733"/>
      <c r="H117" s="2733"/>
      <c r="I117" s="2733"/>
      <c r="J117" s="2733">
        <f>K97+K108</f>
        <v>5664668</v>
      </c>
      <c r="K117" s="2733"/>
      <c r="L117" s="2733">
        <f>M97+M108</f>
        <v>5115950</v>
      </c>
      <c r="M117" s="2733"/>
      <c r="N117" s="2733">
        <f>O97+O108</f>
        <v>5332918</v>
      </c>
      <c r="O117" s="2733"/>
      <c r="P117" s="2733">
        <f>Q97+Q108</f>
        <v>5200668</v>
      </c>
      <c r="Q117" s="2733"/>
      <c r="R117" s="2733">
        <f>S97+S108</f>
        <v>4783168</v>
      </c>
      <c r="S117" s="2733"/>
      <c r="T117" s="2733">
        <f>U97+U108</f>
        <v>3757168</v>
      </c>
      <c r="U117" s="2733"/>
      <c r="V117" s="2733">
        <f>W97+W108</f>
        <v>5671668</v>
      </c>
      <c r="W117" s="2733"/>
      <c r="X117" s="2733">
        <f>Y97+Y108</f>
        <v>4487168</v>
      </c>
      <c r="Y117" s="2733"/>
      <c r="Z117" s="2733">
        <f>AA97+AA108</f>
        <v>4425668</v>
      </c>
      <c r="AA117" s="2733"/>
      <c r="AB117" s="2733">
        <f>AC97+AC108</f>
        <v>5568668</v>
      </c>
      <c r="AC117" s="2733"/>
      <c r="AD117" s="2733">
        <f>AE97+AE108</f>
        <v>5423668</v>
      </c>
      <c r="AE117" s="2733"/>
      <c r="AF117" s="2733">
        <f>AG97+AG108</f>
        <v>6323652</v>
      </c>
      <c r="AG117" s="2733"/>
      <c r="AH117" s="2733">
        <f>AI97+AI108</f>
        <v>61755032</v>
      </c>
      <c r="AI117" s="2733"/>
      <c r="AJ117" s="2733"/>
      <c r="AK117" s="2733"/>
      <c r="AL117" s="2733">
        <f>AM97+AM108</f>
        <v>71746290</v>
      </c>
      <c r="AM117" s="2733"/>
      <c r="AN117" s="2733"/>
      <c r="AO117" s="2733"/>
      <c r="AP117" s="2733">
        <f>AQ97+AQ108</f>
        <v>72939250</v>
      </c>
      <c r="AQ117" s="2733"/>
      <c r="AR117" s="2733"/>
      <c r="AS117" s="2733"/>
      <c r="AT117" s="2733">
        <f>AU97+AU108</f>
        <v>76460917</v>
      </c>
      <c r="AU117" s="2733"/>
      <c r="AV117" s="2733"/>
      <c r="AW117" s="2733"/>
      <c r="AX117" s="2733">
        <f>AY97+AY108</f>
        <v>80894250</v>
      </c>
      <c r="AY117" s="2733"/>
      <c r="AZ117" s="2733"/>
      <c r="BA117" s="2733"/>
      <c r="BB117" s="2733"/>
      <c r="BC117" s="2733"/>
      <c r="BD117" s="2733"/>
      <c r="BE117" s="2733"/>
      <c r="BF117" s="2733"/>
      <c r="BG117" s="2733"/>
    </row>
    <row r="118" spans="1:59" s="2734" customFormat="1">
      <c r="A118" s="2731"/>
      <c r="B118" s="190" t="s">
        <v>1585</v>
      </c>
      <c r="C118" s="2732"/>
      <c r="D118" s="2745" t="s">
        <v>2527</v>
      </c>
      <c r="E118" s="2731"/>
      <c r="F118" s="2733"/>
      <c r="G118" s="2733">
        <f>F117</f>
        <v>19207000</v>
      </c>
      <c r="H118" s="2733"/>
      <c r="I118" s="2733"/>
      <c r="J118" s="2733"/>
      <c r="K118" s="2733">
        <f>J117</f>
        <v>5664668</v>
      </c>
      <c r="L118" s="2733"/>
      <c r="M118" s="2733">
        <f>L117</f>
        <v>5115950</v>
      </c>
      <c r="N118" s="2733"/>
      <c r="O118" s="2733">
        <f>N117</f>
        <v>5332918</v>
      </c>
      <c r="P118" s="2733"/>
      <c r="Q118" s="2733">
        <f>P117</f>
        <v>5200668</v>
      </c>
      <c r="R118" s="2733"/>
      <c r="S118" s="2733">
        <f>R117</f>
        <v>4783168</v>
      </c>
      <c r="T118" s="2733"/>
      <c r="U118" s="2733">
        <f>T117</f>
        <v>3757168</v>
      </c>
      <c r="V118" s="2733"/>
      <c r="W118" s="2733">
        <f>V117</f>
        <v>5671668</v>
      </c>
      <c r="X118" s="2733"/>
      <c r="Y118" s="2733">
        <f>X117</f>
        <v>4487168</v>
      </c>
      <c r="Z118" s="2733"/>
      <c r="AA118" s="2733">
        <f>Z117</f>
        <v>4425668</v>
      </c>
      <c r="AB118" s="2733"/>
      <c r="AC118" s="2733">
        <f>AB117</f>
        <v>5568668</v>
      </c>
      <c r="AD118" s="2733"/>
      <c r="AE118" s="2733">
        <f>AD117</f>
        <v>5423668</v>
      </c>
      <c r="AF118" s="2733"/>
      <c r="AG118" s="2733">
        <f>AF117</f>
        <v>6323652</v>
      </c>
      <c r="AH118" s="2733"/>
      <c r="AI118" s="2733">
        <f>AH117</f>
        <v>61755032</v>
      </c>
      <c r="AJ118" s="2733"/>
      <c r="AK118" s="2733"/>
      <c r="AL118" s="2733"/>
      <c r="AM118" s="2733">
        <f>AL117</f>
        <v>71746290</v>
      </c>
      <c r="AN118" s="2733"/>
      <c r="AO118" s="2733"/>
      <c r="AP118" s="2733"/>
      <c r="AQ118" s="2733">
        <f>AP117</f>
        <v>72939250</v>
      </c>
      <c r="AR118" s="2733"/>
      <c r="AS118" s="2733"/>
      <c r="AT118" s="2733"/>
      <c r="AU118" s="2733">
        <f>AT117</f>
        <v>76460917</v>
      </c>
      <c r="AV118" s="2733"/>
      <c r="AW118" s="2733"/>
      <c r="AX118" s="2733"/>
      <c r="AY118" s="2733">
        <f>AX117</f>
        <v>80894250</v>
      </c>
      <c r="AZ118" s="2733"/>
      <c r="BA118" s="2733"/>
      <c r="BB118" s="2733"/>
      <c r="BC118" s="2733"/>
      <c r="BD118" s="2733"/>
      <c r="BE118" s="2733"/>
      <c r="BF118" s="2733"/>
      <c r="BG118" s="2733"/>
    </row>
    <row r="119" spans="1:59" s="2734" customFormat="1">
      <c r="A119" s="2731"/>
      <c r="B119" s="190"/>
      <c r="C119" s="2732"/>
      <c r="D119" s="2745"/>
      <c r="E119" s="2731"/>
      <c r="F119" s="2733"/>
      <c r="G119" s="2733"/>
      <c r="H119" s="2733"/>
      <c r="I119" s="2733"/>
      <c r="J119" s="2733"/>
      <c r="K119" s="2733"/>
      <c r="L119" s="2733"/>
      <c r="M119" s="2733"/>
      <c r="N119" s="2733"/>
      <c r="O119" s="2733"/>
      <c r="P119" s="2733"/>
      <c r="Q119" s="2733"/>
      <c r="R119" s="2733"/>
      <c r="S119" s="2733"/>
      <c r="T119" s="2733"/>
      <c r="U119" s="2733"/>
      <c r="V119" s="2733"/>
      <c r="W119" s="2733"/>
      <c r="X119" s="2733"/>
      <c r="Y119" s="2733"/>
      <c r="Z119" s="2733"/>
      <c r="AA119" s="2733"/>
      <c r="AB119" s="2733"/>
      <c r="AC119" s="2733"/>
      <c r="AD119" s="2733"/>
      <c r="AE119" s="2733"/>
      <c r="AF119" s="2733"/>
      <c r="AG119" s="2733"/>
      <c r="AH119" s="2733"/>
      <c r="AI119" s="2733"/>
      <c r="AJ119" s="2733"/>
      <c r="AK119" s="2733"/>
      <c r="AL119" s="2733"/>
      <c r="AM119" s="2733"/>
      <c r="AN119" s="2733"/>
      <c r="AO119" s="2733"/>
      <c r="AP119" s="2733"/>
      <c r="AQ119" s="2733"/>
      <c r="AR119" s="2733"/>
      <c r="AS119" s="2733"/>
      <c r="AT119" s="2733"/>
      <c r="AU119" s="2733"/>
      <c r="AV119" s="2733"/>
      <c r="AW119" s="2733"/>
      <c r="AX119" s="2733"/>
      <c r="AY119" s="2733"/>
      <c r="AZ119" s="2733"/>
      <c r="BA119" s="2733"/>
      <c r="BB119" s="2733"/>
      <c r="BC119" s="2733"/>
      <c r="BD119" s="2733"/>
      <c r="BE119" s="2733"/>
      <c r="BF119" s="2733"/>
      <c r="BG119" s="2733"/>
    </row>
    <row r="120" spans="1:59" s="2734" customFormat="1">
      <c r="A120" s="2731"/>
      <c r="B120" s="2746" t="s">
        <v>2537</v>
      </c>
      <c r="C120" s="2747" t="s">
        <v>2525</v>
      </c>
      <c r="D120" s="2731"/>
      <c r="E120" s="2731"/>
      <c r="F120" s="2733"/>
      <c r="G120" s="2733"/>
      <c r="H120" s="2733"/>
      <c r="I120" s="2733"/>
      <c r="J120" s="2733"/>
      <c r="K120" s="2733"/>
      <c r="L120" s="2733"/>
      <c r="M120" s="2733"/>
      <c r="N120" s="2733"/>
      <c r="O120" s="2733"/>
      <c r="P120" s="2733"/>
      <c r="Q120" s="2733"/>
      <c r="R120" s="2733"/>
      <c r="S120" s="2733"/>
      <c r="T120" s="2733"/>
      <c r="U120" s="2733"/>
      <c r="V120" s="2733"/>
      <c r="W120" s="2733"/>
      <c r="X120" s="2733"/>
      <c r="Y120" s="2733"/>
      <c r="Z120" s="2733"/>
      <c r="AA120" s="2733"/>
      <c r="AB120" s="2733"/>
      <c r="AC120" s="2733"/>
      <c r="AD120" s="2733"/>
      <c r="AE120" s="2733"/>
      <c r="AF120" s="2733"/>
      <c r="AG120" s="2733"/>
      <c r="AH120" s="2733"/>
      <c r="AI120" s="2733"/>
      <c r="AJ120" s="2733"/>
      <c r="AK120" s="2733"/>
      <c r="AL120" s="2733"/>
      <c r="AM120" s="2733"/>
      <c r="AN120" s="2733"/>
      <c r="AO120" s="2733"/>
      <c r="AP120" s="2733"/>
      <c r="AQ120" s="2733"/>
      <c r="AR120" s="2733"/>
      <c r="AS120" s="2733"/>
      <c r="AT120" s="2733"/>
      <c r="AU120" s="2733"/>
      <c r="AV120" s="2733"/>
      <c r="AW120" s="2733"/>
      <c r="AX120" s="2733"/>
      <c r="AY120" s="2733"/>
      <c r="AZ120" s="2733"/>
      <c r="BA120" s="2733"/>
      <c r="BB120" s="2733"/>
      <c r="BC120" s="2733"/>
      <c r="BD120" s="2733"/>
      <c r="BE120" s="2733"/>
      <c r="BF120" s="2733"/>
      <c r="BG120" s="2733"/>
    </row>
    <row r="121" spans="1:59" s="2734" customFormat="1">
      <c r="A121" s="2731"/>
      <c r="B121" s="190" t="s">
        <v>1579</v>
      </c>
      <c r="C121" s="2732"/>
      <c r="D121" s="2745" t="s">
        <v>2538</v>
      </c>
      <c r="E121" s="2731"/>
      <c r="F121" s="2733">
        <f>G122</f>
        <v>2160000</v>
      </c>
      <c r="G121" s="2733"/>
      <c r="H121" s="2733"/>
      <c r="I121" s="2733"/>
      <c r="J121" s="2733">
        <f>K122</f>
        <v>0</v>
      </c>
      <c r="K121" s="2733"/>
      <c r="L121" s="2733">
        <f>M122</f>
        <v>0</v>
      </c>
      <c r="M121" s="2733"/>
      <c r="N121" s="2733">
        <f>O122</f>
        <v>0</v>
      </c>
      <c r="O121" s="2733"/>
      <c r="P121" s="2733">
        <f>Q122</f>
        <v>0</v>
      </c>
      <c r="Q121" s="2733"/>
      <c r="R121" s="2733">
        <f>S122</f>
        <v>0</v>
      </c>
      <c r="S121" s="2733"/>
      <c r="T121" s="2733">
        <f>U122</f>
        <v>0</v>
      </c>
      <c r="U121" s="2733"/>
      <c r="V121" s="2733">
        <f>W122</f>
        <v>0</v>
      </c>
      <c r="W121" s="2733"/>
      <c r="X121" s="2733">
        <f>Y122</f>
        <v>0</v>
      </c>
      <c r="Y121" s="2733"/>
      <c r="Z121" s="2733">
        <f>AA122</f>
        <v>0</v>
      </c>
      <c r="AA121" s="2733"/>
      <c r="AB121" s="2733">
        <f>AC122</f>
        <v>175000</v>
      </c>
      <c r="AC121" s="2733"/>
      <c r="AD121" s="2733">
        <f>AE122</f>
        <v>0</v>
      </c>
      <c r="AE121" s="2733"/>
      <c r="AF121" s="2733">
        <f>AG122</f>
        <v>1200000</v>
      </c>
      <c r="AG121" s="2733"/>
      <c r="AH121" s="2733">
        <f>AI122</f>
        <v>1375000</v>
      </c>
      <c r="AI121" s="2733"/>
      <c r="AJ121" s="2733"/>
      <c r="AK121" s="2733"/>
      <c r="AL121" s="2733">
        <f>AM122</f>
        <v>420000</v>
      </c>
      <c r="AM121" s="2733"/>
      <c r="AN121" s="2733"/>
      <c r="AO121" s="2733"/>
      <c r="AP121" s="2733">
        <f>AQ122</f>
        <v>821500</v>
      </c>
      <c r="AQ121" s="2733"/>
      <c r="AR121" s="2733"/>
      <c r="AS121" s="2733"/>
      <c r="AT121" s="2733">
        <f>AU122</f>
        <v>0</v>
      </c>
      <c r="AU121" s="2733"/>
      <c r="AV121" s="2733"/>
      <c r="AW121" s="2733"/>
      <c r="AX121" s="2733">
        <f>AY122</f>
        <v>0</v>
      </c>
      <c r="AY121" s="2733"/>
      <c r="AZ121" s="2733"/>
      <c r="BA121" s="2733"/>
      <c r="BB121" s="2733"/>
      <c r="BC121" s="2733"/>
      <c r="BD121" s="2733"/>
      <c r="BE121" s="2733"/>
      <c r="BF121" s="2733"/>
      <c r="BG121" s="2733"/>
    </row>
    <row r="122" spans="1:59" s="2734" customFormat="1">
      <c r="A122" s="2731"/>
      <c r="B122" s="190" t="s">
        <v>1585</v>
      </c>
      <c r="C122" s="2732"/>
      <c r="D122" s="2745" t="s">
        <v>2527</v>
      </c>
      <c r="F122" s="2733"/>
      <c r="G122" s="2733">
        <f>G113</f>
        <v>2160000</v>
      </c>
      <c r="H122" s="2733"/>
      <c r="I122" s="2733"/>
      <c r="J122" s="2733"/>
      <c r="K122" s="2733">
        <f>K113</f>
        <v>0</v>
      </c>
      <c r="L122" s="2733"/>
      <c r="M122" s="2733">
        <f>M113</f>
        <v>0</v>
      </c>
      <c r="N122" s="2733"/>
      <c r="O122" s="2733">
        <f>O113</f>
        <v>0</v>
      </c>
      <c r="P122" s="2733"/>
      <c r="Q122" s="2733">
        <f>Q113</f>
        <v>0</v>
      </c>
      <c r="R122" s="2733"/>
      <c r="S122" s="2733">
        <f>S113</f>
        <v>0</v>
      </c>
      <c r="T122" s="2733"/>
      <c r="U122" s="2733">
        <f>U113</f>
        <v>0</v>
      </c>
      <c r="V122" s="2733"/>
      <c r="W122" s="2733">
        <f>W113</f>
        <v>0</v>
      </c>
      <c r="X122" s="2733"/>
      <c r="Y122" s="2733">
        <f>Y113</f>
        <v>0</v>
      </c>
      <c r="Z122" s="2733"/>
      <c r="AA122" s="2733">
        <f>AA113</f>
        <v>0</v>
      </c>
      <c r="AB122" s="2733"/>
      <c r="AC122" s="2733">
        <f>AC113</f>
        <v>175000</v>
      </c>
      <c r="AD122" s="2733"/>
      <c r="AE122" s="2733">
        <f>AE113</f>
        <v>0</v>
      </c>
      <c r="AF122" s="2733"/>
      <c r="AG122" s="2733">
        <f>AG113</f>
        <v>1200000</v>
      </c>
      <c r="AH122" s="2733"/>
      <c r="AI122" s="2733">
        <f>AI113</f>
        <v>1375000</v>
      </c>
      <c r="AJ122" s="2733"/>
      <c r="AK122" s="2733"/>
      <c r="AL122" s="2733"/>
      <c r="AM122" s="2733">
        <f>AM113</f>
        <v>420000</v>
      </c>
      <c r="AN122" s="2733"/>
      <c r="AO122" s="2733"/>
      <c r="AP122" s="2733"/>
      <c r="AQ122" s="2733">
        <f>AQ113</f>
        <v>821500</v>
      </c>
      <c r="AR122" s="2733"/>
      <c r="AS122" s="2733"/>
      <c r="AT122" s="2733"/>
      <c r="AU122" s="2733">
        <f>AU113</f>
        <v>0</v>
      </c>
      <c r="AV122" s="2733"/>
      <c r="AW122" s="2733"/>
      <c r="AX122" s="2733"/>
      <c r="AY122" s="2733">
        <f>AY113</f>
        <v>0</v>
      </c>
      <c r="AZ122" s="2733"/>
      <c r="BA122" s="2733"/>
      <c r="BB122" s="2733"/>
      <c r="BC122" s="2733"/>
      <c r="BD122" s="2733"/>
      <c r="BE122" s="2733"/>
      <c r="BF122" s="2733"/>
      <c r="BG122" s="2733"/>
    </row>
    <row r="123" spans="1:59" s="2734" customFormat="1">
      <c r="A123" s="2731"/>
      <c r="B123" s="2732"/>
      <c r="C123" s="2732"/>
      <c r="D123" s="2731"/>
      <c r="E123" s="2731"/>
      <c r="F123" s="2733"/>
      <c r="G123" s="2733"/>
      <c r="H123" s="2733"/>
      <c r="I123" s="2733"/>
      <c r="J123" s="2733"/>
      <c r="K123" s="2733"/>
      <c r="L123" s="2733"/>
      <c r="M123" s="2733"/>
      <c r="N123" s="2733"/>
      <c r="O123" s="2733"/>
      <c r="P123" s="2733"/>
      <c r="Q123" s="2733"/>
      <c r="R123" s="2733"/>
      <c r="S123" s="2733"/>
      <c r="T123" s="2733"/>
      <c r="U123" s="2733"/>
      <c r="V123" s="2733"/>
      <c r="W123" s="2733"/>
      <c r="X123" s="2733"/>
      <c r="Y123" s="2733"/>
      <c r="Z123" s="2733"/>
      <c r="AA123" s="2733"/>
      <c r="AB123" s="2733"/>
      <c r="AC123" s="2733"/>
      <c r="AD123" s="2733"/>
      <c r="AE123" s="2733"/>
      <c r="AF123" s="2733"/>
      <c r="AG123" s="2733"/>
      <c r="AH123" s="2733"/>
      <c r="AI123" s="2733"/>
      <c r="AJ123" s="2733"/>
      <c r="AK123" s="2733"/>
      <c r="AL123" s="2733"/>
      <c r="AM123" s="2733"/>
      <c r="AN123" s="2733"/>
      <c r="AO123" s="2733"/>
      <c r="AP123" s="2733"/>
      <c r="AQ123" s="2733"/>
      <c r="AR123" s="2733"/>
      <c r="AS123" s="2733"/>
      <c r="AT123" s="2733"/>
      <c r="AU123" s="2733"/>
      <c r="AV123" s="2733"/>
      <c r="AW123" s="2733"/>
      <c r="AX123" s="2733"/>
      <c r="AY123" s="2733"/>
      <c r="AZ123" s="2733"/>
      <c r="BA123" s="2733"/>
      <c r="BB123" s="2733"/>
      <c r="BC123" s="2733"/>
      <c r="BD123" s="2733"/>
      <c r="BE123" s="2733"/>
      <c r="BF123" s="2733"/>
      <c r="BG123" s="2733"/>
    </row>
    <row r="124" spans="1:59" s="2734" customFormat="1">
      <c r="A124" s="2731"/>
      <c r="B124" s="2748" t="s">
        <v>2539</v>
      </c>
      <c r="C124" s="2751" t="s">
        <v>2512</v>
      </c>
      <c r="D124" s="2752" t="s">
        <v>1961</v>
      </c>
      <c r="E124" s="2731"/>
      <c r="F124" s="2733"/>
      <c r="G124" s="2733"/>
      <c r="H124" s="2733"/>
      <c r="I124" s="2733"/>
      <c r="J124" s="2733"/>
      <c r="K124" s="2733"/>
      <c r="L124" s="2733"/>
      <c r="M124" s="2733"/>
      <c r="N124" s="2733"/>
      <c r="O124" s="2733"/>
      <c r="P124" s="2733"/>
      <c r="Q124" s="2733"/>
      <c r="R124" s="2733"/>
      <c r="S124" s="2733"/>
      <c r="T124" s="2733"/>
      <c r="U124" s="2733"/>
      <c r="V124" s="2733"/>
      <c r="W124" s="2733"/>
      <c r="X124" s="2733"/>
      <c r="Y124" s="2733"/>
      <c r="Z124" s="2733"/>
      <c r="AA124" s="2733"/>
      <c r="AB124" s="2733"/>
      <c r="AC124" s="2733"/>
      <c r="AD124" s="2733"/>
      <c r="AE124" s="2733"/>
      <c r="AF124" s="2733"/>
      <c r="AG124" s="2733"/>
      <c r="AH124" s="2733"/>
      <c r="AI124" s="2733"/>
      <c r="AJ124" s="2733"/>
      <c r="AK124" s="2733"/>
      <c r="AL124" s="2733"/>
      <c r="AM124" s="2733"/>
      <c r="AN124" s="2733"/>
      <c r="AO124" s="2733"/>
      <c r="AP124" s="2733"/>
      <c r="AQ124" s="2733"/>
      <c r="AR124" s="2733"/>
      <c r="AS124" s="2733"/>
      <c r="AT124" s="2733"/>
      <c r="AU124" s="2733"/>
      <c r="AV124" s="2733"/>
      <c r="AW124" s="2733"/>
      <c r="AX124" s="2733"/>
      <c r="AY124" s="2733"/>
      <c r="AZ124" s="2733"/>
      <c r="BA124" s="2733"/>
      <c r="BB124" s="2733"/>
      <c r="BC124" s="2733"/>
      <c r="BD124" s="2733"/>
      <c r="BE124" s="2733"/>
      <c r="BF124" s="2733"/>
      <c r="BG124" s="2733"/>
    </row>
    <row r="125" spans="1:59" s="2734" customFormat="1">
      <c r="A125" s="2731"/>
      <c r="B125" s="190" t="s">
        <v>2524</v>
      </c>
      <c r="C125" s="2732"/>
      <c r="D125" s="2739" t="s">
        <v>2530</v>
      </c>
      <c r="E125" s="2739"/>
      <c r="F125" s="2733">
        <f>G97</f>
        <v>17939500</v>
      </c>
      <c r="G125" s="2733"/>
      <c r="H125" s="2733"/>
      <c r="I125" s="2733"/>
      <c r="J125" s="2733">
        <f>K97</f>
        <v>5635168</v>
      </c>
      <c r="K125" s="2733"/>
      <c r="L125" s="2733">
        <f>M97</f>
        <v>5086450</v>
      </c>
      <c r="M125" s="2733"/>
      <c r="N125" s="2733">
        <f>O97</f>
        <v>5303418</v>
      </c>
      <c r="O125" s="2733"/>
      <c r="P125" s="2733">
        <f>Q97</f>
        <v>3906168</v>
      </c>
      <c r="Q125" s="2733"/>
      <c r="R125" s="2733">
        <f>S97</f>
        <v>4753668</v>
      </c>
      <c r="S125" s="2733"/>
      <c r="T125" s="2733">
        <f>U97</f>
        <v>3727668</v>
      </c>
      <c r="U125" s="2733"/>
      <c r="V125" s="2733">
        <f>W97</f>
        <v>5642168</v>
      </c>
      <c r="W125" s="2733"/>
      <c r="X125" s="2733">
        <f>Y97</f>
        <v>4457668</v>
      </c>
      <c r="Y125" s="2733"/>
      <c r="Z125" s="2733">
        <f>AA97</f>
        <v>4396168</v>
      </c>
      <c r="AA125" s="2733"/>
      <c r="AB125" s="2733">
        <f>AC97</f>
        <v>5539168</v>
      </c>
      <c r="AC125" s="2733"/>
      <c r="AD125" s="2733">
        <f>AE97</f>
        <v>5394168</v>
      </c>
      <c r="AE125" s="2733"/>
      <c r="AF125" s="2733">
        <f>AG97</f>
        <v>6294152</v>
      </c>
      <c r="AG125" s="2733"/>
      <c r="AH125" s="2733">
        <f>AI97</f>
        <v>60136032</v>
      </c>
      <c r="AI125" s="2733"/>
      <c r="AJ125" s="2733"/>
      <c r="AK125" s="2733"/>
      <c r="AL125" s="2733">
        <f>AM97</f>
        <v>70696290</v>
      </c>
      <c r="AM125" s="2733"/>
      <c r="AN125" s="2733"/>
      <c r="AO125" s="2733"/>
      <c r="AP125" s="2733">
        <f>AQ97</f>
        <v>71829250</v>
      </c>
      <c r="AQ125" s="2733"/>
      <c r="AR125" s="2733"/>
      <c r="AS125" s="2733"/>
      <c r="AT125" s="2733">
        <f>AU97</f>
        <v>74863417</v>
      </c>
      <c r="AU125" s="2733"/>
      <c r="AV125" s="2733"/>
      <c r="AW125" s="2733"/>
      <c r="AX125" s="2733">
        <f>AY97</f>
        <v>80894250</v>
      </c>
      <c r="AY125" s="2733"/>
      <c r="AZ125" s="2733"/>
      <c r="BA125" s="2733"/>
      <c r="BB125" s="2733"/>
      <c r="BC125" s="2733"/>
      <c r="BD125" s="2733"/>
      <c r="BE125" s="2733"/>
      <c r="BF125" s="2733"/>
      <c r="BG125" s="2733"/>
    </row>
    <row r="126" spans="1:59" s="2734" customFormat="1">
      <c r="A126" s="2731"/>
      <c r="B126" s="190" t="s">
        <v>1579</v>
      </c>
      <c r="C126" s="2732"/>
      <c r="D126" s="2739" t="s">
        <v>2531</v>
      </c>
      <c r="E126" s="2739"/>
      <c r="F126" s="2733"/>
      <c r="G126" s="2733">
        <f>F125</f>
        <v>17939500</v>
      </c>
      <c r="H126" s="2733"/>
      <c r="I126" s="2733"/>
      <c r="J126" s="2733"/>
      <c r="K126" s="2733">
        <f>J125</f>
        <v>5635168</v>
      </c>
      <c r="L126" s="2733"/>
      <c r="M126" s="2733">
        <f>L125</f>
        <v>5086450</v>
      </c>
      <c r="N126" s="2733"/>
      <c r="O126" s="2733">
        <f>N125</f>
        <v>5303418</v>
      </c>
      <c r="P126" s="2733"/>
      <c r="Q126" s="2733">
        <f>P125</f>
        <v>3906168</v>
      </c>
      <c r="R126" s="2733"/>
      <c r="S126" s="2733">
        <f>R125</f>
        <v>4753668</v>
      </c>
      <c r="T126" s="2733"/>
      <c r="U126" s="2733">
        <f>T125</f>
        <v>3727668</v>
      </c>
      <c r="V126" s="2733"/>
      <c r="W126" s="2733">
        <f>V125</f>
        <v>5642168</v>
      </c>
      <c r="X126" s="2733"/>
      <c r="Y126" s="2733">
        <f>X125</f>
        <v>4457668</v>
      </c>
      <c r="Z126" s="2733"/>
      <c r="AA126" s="2733">
        <f>Z125</f>
        <v>4396168</v>
      </c>
      <c r="AB126" s="2733"/>
      <c r="AC126" s="2733">
        <f>AB125</f>
        <v>5539168</v>
      </c>
      <c r="AD126" s="2733"/>
      <c r="AE126" s="2733">
        <f>AD125</f>
        <v>5394168</v>
      </c>
      <c r="AF126" s="2733"/>
      <c r="AG126" s="2733">
        <f>AF125</f>
        <v>6294152</v>
      </c>
      <c r="AH126" s="2733"/>
      <c r="AI126" s="2733">
        <f>AH125</f>
        <v>60136032</v>
      </c>
      <c r="AJ126" s="2733"/>
      <c r="AK126" s="2733"/>
      <c r="AL126" s="2733"/>
      <c r="AM126" s="2733">
        <f>AL125</f>
        <v>70696290</v>
      </c>
      <c r="AN126" s="2733"/>
      <c r="AO126" s="2733"/>
      <c r="AP126" s="2733"/>
      <c r="AQ126" s="2733">
        <f>AP125</f>
        <v>71829250</v>
      </c>
      <c r="AR126" s="2733"/>
      <c r="AS126" s="2733"/>
      <c r="AT126" s="2733"/>
      <c r="AU126" s="2733">
        <f>AT125</f>
        <v>74863417</v>
      </c>
      <c r="AV126" s="2733"/>
      <c r="AW126" s="2733"/>
      <c r="AX126" s="2733"/>
      <c r="AY126" s="2733">
        <f>AX125</f>
        <v>80894250</v>
      </c>
      <c r="AZ126" s="2733"/>
      <c r="BA126" s="2733"/>
      <c r="BB126" s="2733"/>
      <c r="BC126" s="2733"/>
      <c r="BD126" s="2733"/>
      <c r="BE126" s="2733"/>
      <c r="BF126" s="2733"/>
      <c r="BG126" s="2733"/>
    </row>
    <row r="127" spans="1:59" s="2734" customFormat="1">
      <c r="A127" s="2731"/>
      <c r="B127" s="190"/>
      <c r="C127" s="2732"/>
      <c r="D127" s="2739"/>
      <c r="E127" s="2739"/>
      <c r="F127" s="2733"/>
      <c r="G127" s="2733"/>
      <c r="H127" s="2733"/>
      <c r="I127" s="2733"/>
      <c r="J127" s="2733"/>
      <c r="K127" s="2733"/>
      <c r="L127" s="2733"/>
      <c r="M127" s="2733"/>
      <c r="N127" s="2733"/>
      <c r="O127" s="2733"/>
      <c r="P127" s="2733"/>
      <c r="Q127" s="2733"/>
      <c r="R127" s="2733"/>
      <c r="S127" s="2733"/>
      <c r="T127" s="2733"/>
      <c r="U127" s="2733"/>
      <c r="V127" s="2733"/>
      <c r="W127" s="2733"/>
      <c r="X127" s="2733"/>
      <c r="Y127" s="2733"/>
      <c r="Z127" s="2733"/>
      <c r="AA127" s="2733"/>
      <c r="AB127" s="2733"/>
      <c r="AC127" s="2733"/>
      <c r="AD127" s="2733"/>
      <c r="AE127" s="2733"/>
      <c r="AF127" s="2733"/>
      <c r="AG127" s="2733"/>
      <c r="AH127" s="2733"/>
      <c r="AI127" s="2733"/>
      <c r="AJ127" s="2733"/>
      <c r="AK127" s="2733"/>
      <c r="AL127" s="2733"/>
      <c r="AM127" s="2733"/>
      <c r="AN127" s="2733"/>
      <c r="AO127" s="2733"/>
      <c r="AP127" s="2733"/>
      <c r="AQ127" s="2733"/>
      <c r="AR127" s="2733"/>
      <c r="AS127" s="2733"/>
      <c r="AT127" s="2733"/>
      <c r="AU127" s="2733"/>
      <c r="AV127" s="2733"/>
      <c r="AW127" s="2733"/>
      <c r="AX127" s="2733"/>
      <c r="AY127" s="2733"/>
      <c r="AZ127" s="2733"/>
      <c r="BA127" s="2733"/>
      <c r="BB127" s="2733"/>
      <c r="BC127" s="2733"/>
      <c r="BD127" s="2733"/>
      <c r="BE127" s="2733"/>
      <c r="BF127" s="2733"/>
      <c r="BG127" s="2733"/>
    </row>
    <row r="128" spans="1:59" s="2734" customFormat="1">
      <c r="A128" s="2731"/>
      <c r="B128" s="190"/>
      <c r="C128" s="2732"/>
      <c r="D128" s="2739"/>
      <c r="E128" s="2739"/>
      <c r="F128" s="2733"/>
      <c r="G128" s="2733"/>
      <c r="H128" s="2733"/>
      <c r="I128" s="2733"/>
      <c r="J128" s="2733"/>
      <c r="K128" s="2733"/>
      <c r="L128" s="2733"/>
      <c r="M128" s="2733"/>
      <c r="N128" s="2733"/>
      <c r="O128" s="2733"/>
      <c r="P128" s="2733"/>
      <c r="Q128" s="2733"/>
      <c r="R128" s="2733"/>
      <c r="S128" s="2733"/>
      <c r="T128" s="2733"/>
      <c r="U128" s="2733"/>
      <c r="V128" s="2733"/>
      <c r="W128" s="2733"/>
      <c r="X128" s="2733"/>
      <c r="Y128" s="2733"/>
      <c r="Z128" s="2733"/>
      <c r="AA128" s="2733"/>
      <c r="AB128" s="2733"/>
      <c r="AC128" s="2733"/>
      <c r="AD128" s="2733"/>
      <c r="AE128" s="2733"/>
      <c r="AF128" s="2733"/>
      <c r="AG128" s="2733"/>
      <c r="AH128" s="2733"/>
      <c r="AI128" s="2733"/>
      <c r="AJ128" s="2733"/>
      <c r="AK128" s="2733"/>
      <c r="AL128" s="2733"/>
      <c r="AM128" s="2733"/>
      <c r="AN128" s="2733"/>
      <c r="AO128" s="2733"/>
      <c r="AP128" s="2733"/>
      <c r="AQ128" s="2733"/>
      <c r="AR128" s="2733"/>
      <c r="AS128" s="2733"/>
      <c r="AT128" s="2733"/>
      <c r="AU128" s="2733"/>
      <c r="AV128" s="2733"/>
      <c r="AW128" s="2733"/>
      <c r="AX128" s="2733"/>
      <c r="AY128" s="2733"/>
      <c r="AZ128" s="2733"/>
      <c r="BA128" s="2733"/>
      <c r="BB128" s="2733"/>
      <c r="BC128" s="2733"/>
      <c r="BD128" s="2733"/>
      <c r="BE128" s="2733"/>
      <c r="BF128" s="2733"/>
      <c r="BG128" s="2733"/>
    </row>
    <row r="129" spans="1:59" s="2734" customFormat="1">
      <c r="A129" s="2731"/>
      <c r="B129" s="2748" t="s">
        <v>2540</v>
      </c>
      <c r="C129" s="2751" t="s">
        <v>2512</v>
      </c>
      <c r="D129" s="2753" t="s">
        <v>2514</v>
      </c>
      <c r="E129" s="2731"/>
      <c r="F129" s="2733"/>
      <c r="G129" s="2733"/>
      <c r="H129" s="2733"/>
      <c r="I129" s="2733"/>
      <c r="J129" s="2733"/>
      <c r="K129" s="2733"/>
      <c r="L129" s="2733"/>
      <c r="M129" s="2733"/>
      <c r="N129" s="2733"/>
      <c r="O129" s="2733"/>
      <c r="P129" s="2733"/>
      <c r="Q129" s="2733"/>
      <c r="R129" s="2733"/>
      <c r="S129" s="2733"/>
      <c r="T129" s="2733"/>
      <c r="U129" s="2733"/>
      <c r="V129" s="2733"/>
      <c r="W129" s="2733"/>
      <c r="X129" s="2733"/>
      <c r="Y129" s="2733"/>
      <c r="Z129" s="2733"/>
      <c r="AA129" s="2733"/>
      <c r="AB129" s="2733"/>
      <c r="AC129" s="2733"/>
      <c r="AD129" s="2733"/>
      <c r="AE129" s="2733"/>
      <c r="AF129" s="2733"/>
      <c r="AG129" s="2733"/>
      <c r="AH129" s="2733"/>
      <c r="AI129" s="2733"/>
      <c r="AJ129" s="2733"/>
      <c r="AK129" s="2733"/>
      <c r="AL129" s="2733"/>
      <c r="AM129" s="2733"/>
      <c r="AN129" s="2733"/>
      <c r="AO129" s="2733"/>
      <c r="AP129" s="2733"/>
      <c r="AQ129" s="2733"/>
      <c r="AR129" s="2733"/>
      <c r="AS129" s="2733"/>
      <c r="AT129" s="2733"/>
      <c r="AU129" s="2733"/>
      <c r="AV129" s="2733"/>
      <c r="AW129" s="2733"/>
      <c r="AX129" s="2733"/>
      <c r="AY129" s="2733"/>
      <c r="AZ129" s="2733"/>
      <c r="BA129" s="2733"/>
      <c r="BB129" s="2733"/>
      <c r="BC129" s="2733"/>
      <c r="BD129" s="2733"/>
      <c r="BE129" s="2733"/>
      <c r="BF129" s="2733"/>
      <c r="BG129" s="2733"/>
    </row>
    <row r="130" spans="1:59" s="2734" customFormat="1">
      <c r="A130" s="2731"/>
      <c r="B130" s="190" t="s">
        <v>1579</v>
      </c>
      <c r="C130" s="2732"/>
      <c r="D130" s="2744" t="s">
        <v>2522</v>
      </c>
      <c r="E130" s="2739"/>
      <c r="F130" s="2733">
        <f>G108</f>
        <v>1267500</v>
      </c>
      <c r="G130" s="2733"/>
      <c r="H130" s="2733"/>
      <c r="I130" s="2733"/>
      <c r="J130" s="2733">
        <f>K108</f>
        <v>29500</v>
      </c>
      <c r="K130" s="2733"/>
      <c r="L130" s="2733">
        <f>M108</f>
        <v>29500</v>
      </c>
      <c r="M130" s="2733"/>
      <c r="N130" s="2733">
        <f>O108</f>
        <v>29500</v>
      </c>
      <c r="O130" s="2733"/>
      <c r="P130" s="2733">
        <f>Q108</f>
        <v>1294500</v>
      </c>
      <c r="Q130" s="2733"/>
      <c r="R130" s="2733">
        <f>S108</f>
        <v>29500</v>
      </c>
      <c r="S130" s="2733"/>
      <c r="T130" s="2733">
        <f>U108</f>
        <v>29500</v>
      </c>
      <c r="U130" s="2733"/>
      <c r="V130" s="2733">
        <f>W108</f>
        <v>29500</v>
      </c>
      <c r="W130" s="2733"/>
      <c r="X130" s="2733">
        <f>Y108</f>
        <v>29500</v>
      </c>
      <c r="Y130" s="2733"/>
      <c r="Z130" s="2733">
        <f>AA108</f>
        <v>29500</v>
      </c>
      <c r="AA130" s="2733"/>
      <c r="AB130" s="2733">
        <f>AC108</f>
        <v>29500</v>
      </c>
      <c r="AC130" s="2733"/>
      <c r="AD130" s="2733">
        <f>AE108</f>
        <v>29500</v>
      </c>
      <c r="AE130" s="2733"/>
      <c r="AF130" s="2733">
        <f>AG108</f>
        <v>29500</v>
      </c>
      <c r="AG130" s="2733"/>
      <c r="AH130" s="2733">
        <f>AI108</f>
        <v>1619000</v>
      </c>
      <c r="AI130" s="2733"/>
      <c r="AJ130" s="2733"/>
      <c r="AK130" s="2733"/>
      <c r="AL130" s="2733">
        <f>AM108</f>
        <v>1050000</v>
      </c>
      <c r="AM130" s="2733"/>
      <c r="AN130" s="2733"/>
      <c r="AO130" s="2733"/>
      <c r="AP130" s="2733">
        <f>AQ108</f>
        <v>1110000</v>
      </c>
      <c r="AQ130" s="2733"/>
      <c r="AR130" s="2733"/>
      <c r="AS130" s="2733"/>
      <c r="AT130" s="2733">
        <f>AU108</f>
        <v>1597500</v>
      </c>
      <c r="AU130" s="2733"/>
      <c r="AV130" s="2733"/>
      <c r="AW130" s="2733"/>
      <c r="AX130" s="2733">
        <f>AY108</f>
        <v>0</v>
      </c>
      <c r="AY130" s="2733"/>
      <c r="AZ130" s="2733"/>
      <c r="BA130" s="2733"/>
      <c r="BB130" s="2733"/>
      <c r="BC130" s="2733"/>
      <c r="BD130" s="2733"/>
      <c r="BE130" s="2733"/>
      <c r="BF130" s="2733"/>
      <c r="BG130" s="2733"/>
    </row>
    <row r="131" spans="1:59" s="2734" customFormat="1">
      <c r="A131" s="2731"/>
      <c r="B131" s="190" t="s">
        <v>1579</v>
      </c>
      <c r="C131" s="2732"/>
      <c r="D131" s="2739" t="s">
        <v>2531</v>
      </c>
      <c r="E131" s="2739"/>
      <c r="F131" s="2733"/>
      <c r="G131" s="2733">
        <f>F130</f>
        <v>1267500</v>
      </c>
      <c r="H131" s="2733"/>
      <c r="I131" s="2733"/>
      <c r="J131" s="2733"/>
      <c r="K131" s="2733">
        <f>J130</f>
        <v>29500</v>
      </c>
      <c r="L131" s="2733"/>
      <c r="M131" s="2733">
        <f>L130</f>
        <v>29500</v>
      </c>
      <c r="N131" s="2733"/>
      <c r="O131" s="2733">
        <f>N130</f>
        <v>29500</v>
      </c>
      <c r="P131" s="2733"/>
      <c r="Q131" s="2733">
        <f>P130</f>
        <v>1294500</v>
      </c>
      <c r="R131" s="2733"/>
      <c r="S131" s="2733">
        <f>R130</f>
        <v>29500</v>
      </c>
      <c r="T131" s="2733"/>
      <c r="U131" s="2733">
        <f>T130</f>
        <v>29500</v>
      </c>
      <c r="V131" s="2733"/>
      <c r="W131" s="2733">
        <f>V130</f>
        <v>29500</v>
      </c>
      <c r="X131" s="2733"/>
      <c r="Y131" s="2733">
        <f>X130</f>
        <v>29500</v>
      </c>
      <c r="Z131" s="2733"/>
      <c r="AA131" s="2733">
        <f>Z130</f>
        <v>29500</v>
      </c>
      <c r="AB131" s="2733"/>
      <c r="AC131" s="2733">
        <f>AB130</f>
        <v>29500</v>
      </c>
      <c r="AD131" s="2733"/>
      <c r="AE131" s="2733">
        <f>AD130</f>
        <v>29500</v>
      </c>
      <c r="AF131" s="2733"/>
      <c r="AG131" s="2733">
        <f>AF130</f>
        <v>29500</v>
      </c>
      <c r="AH131" s="2733"/>
      <c r="AI131" s="2733">
        <f>AH130</f>
        <v>1619000</v>
      </c>
      <c r="AJ131" s="2733"/>
      <c r="AK131" s="2733"/>
      <c r="AL131" s="2733"/>
      <c r="AM131" s="2733">
        <f>AL130</f>
        <v>1050000</v>
      </c>
      <c r="AN131" s="2733"/>
      <c r="AO131" s="2733"/>
      <c r="AP131" s="2733"/>
      <c r="AQ131" s="2733">
        <f>AP130</f>
        <v>1110000</v>
      </c>
      <c r="AR131" s="2733"/>
      <c r="AS131" s="2733"/>
      <c r="AT131" s="2733"/>
      <c r="AU131" s="2733">
        <f>AT130</f>
        <v>1597500</v>
      </c>
      <c r="AV131" s="2733"/>
      <c r="AW131" s="2733"/>
      <c r="AX131" s="2733"/>
      <c r="AY131" s="2733">
        <f>AX130</f>
        <v>0</v>
      </c>
      <c r="AZ131" s="2733"/>
      <c r="BA131" s="2733"/>
      <c r="BB131" s="2733"/>
      <c r="BC131" s="2733"/>
      <c r="BD131" s="2733"/>
      <c r="BE131" s="2733"/>
      <c r="BF131" s="2733"/>
      <c r="BG131" s="2733"/>
    </row>
    <row r="132" spans="1:59" s="2734" customFormat="1">
      <c r="A132" s="2731"/>
      <c r="B132" s="190"/>
      <c r="C132" s="2732"/>
      <c r="D132" s="2739"/>
      <c r="E132" s="2739"/>
      <c r="F132" s="2733"/>
      <c r="G132" s="2733"/>
      <c r="H132" s="2733"/>
      <c r="I132" s="2733"/>
      <c r="J132" s="2733"/>
      <c r="K132" s="2733"/>
      <c r="L132" s="2733"/>
      <c r="M132" s="2733"/>
      <c r="N132" s="2733"/>
      <c r="O132" s="2733"/>
      <c r="P132" s="2733"/>
      <c r="Q132" s="2733"/>
      <c r="R132" s="2733"/>
      <c r="S132" s="2733"/>
      <c r="T132" s="2733"/>
      <c r="U132" s="2733"/>
      <c r="V132" s="2733"/>
      <c r="W132" s="2733"/>
      <c r="X132" s="2733"/>
      <c r="Y132" s="2733"/>
      <c r="Z132" s="2733"/>
      <c r="AA132" s="2733"/>
      <c r="AB132" s="2733"/>
      <c r="AC132" s="2733"/>
      <c r="AD132" s="2733"/>
      <c r="AE132" s="2733"/>
      <c r="AF132" s="2733"/>
      <c r="AG132" s="2733"/>
      <c r="AH132" s="2733"/>
      <c r="AI132" s="2733"/>
      <c r="AJ132" s="2733"/>
      <c r="AK132" s="2733"/>
      <c r="AL132" s="2733"/>
      <c r="AM132" s="2733"/>
      <c r="AN132" s="2733"/>
      <c r="AO132" s="2733"/>
      <c r="AP132" s="2733"/>
      <c r="AQ132" s="2733"/>
      <c r="AR132" s="2733"/>
      <c r="AS132" s="2733"/>
      <c r="AT132" s="2733"/>
      <c r="AU132" s="2733"/>
      <c r="AV132" s="2733"/>
      <c r="AW132" s="2733"/>
      <c r="AX132" s="2733"/>
      <c r="AY132" s="2733"/>
      <c r="AZ132" s="2733"/>
      <c r="BA132" s="2733"/>
      <c r="BB132" s="2733"/>
      <c r="BC132" s="2733"/>
      <c r="BD132" s="2733"/>
      <c r="BE132" s="2733"/>
      <c r="BF132" s="2733"/>
      <c r="BG132" s="2733"/>
    </row>
    <row r="133" spans="1:59" s="2734" customFormat="1">
      <c r="A133" s="2731"/>
      <c r="B133" s="190"/>
      <c r="C133" s="2732"/>
      <c r="D133" s="2739"/>
      <c r="E133" s="2739"/>
      <c r="F133" s="2733"/>
      <c r="G133" s="2733"/>
      <c r="H133" s="2733"/>
      <c r="I133" s="2733"/>
      <c r="J133" s="2733"/>
      <c r="K133" s="2733"/>
      <c r="L133" s="2733"/>
      <c r="M133" s="2733"/>
      <c r="N133" s="2733"/>
      <c r="O133" s="2733"/>
      <c r="P133" s="2733"/>
      <c r="Q133" s="2733"/>
      <c r="R133" s="2733"/>
      <c r="S133" s="2733"/>
      <c r="T133" s="2733"/>
      <c r="U133" s="2733"/>
      <c r="V133" s="2733"/>
      <c r="W133" s="2733"/>
      <c r="X133" s="2733"/>
      <c r="Y133" s="2733"/>
      <c r="Z133" s="2733"/>
      <c r="AA133" s="2733"/>
      <c r="AB133" s="2733"/>
      <c r="AC133" s="2733"/>
      <c r="AD133" s="2733"/>
      <c r="AE133" s="2733"/>
      <c r="AF133" s="2733"/>
      <c r="AG133" s="2733"/>
      <c r="AH133" s="2733"/>
      <c r="AI133" s="2733"/>
      <c r="AJ133" s="2733"/>
      <c r="AK133" s="2733"/>
      <c r="AL133" s="2733"/>
      <c r="AM133" s="2733"/>
      <c r="AN133" s="2733"/>
      <c r="AO133" s="2733"/>
      <c r="AP133" s="2733"/>
      <c r="AQ133" s="2733"/>
      <c r="AR133" s="2733"/>
      <c r="AS133" s="2733"/>
      <c r="AT133" s="2733"/>
      <c r="AU133" s="2733"/>
      <c r="AV133" s="2733"/>
      <c r="AW133" s="2733"/>
      <c r="AX133" s="2733"/>
      <c r="AY133" s="2733"/>
      <c r="AZ133" s="2733"/>
      <c r="BA133" s="2733"/>
      <c r="BB133" s="2733"/>
      <c r="BC133" s="2733"/>
      <c r="BD133" s="2733"/>
      <c r="BE133" s="2733"/>
      <c r="BF133" s="2733"/>
      <c r="BG133" s="2733"/>
    </row>
    <row r="134" spans="1:59" s="2734" customFormat="1">
      <c r="A134" s="2731"/>
      <c r="B134" s="2748" t="s">
        <v>2541</v>
      </c>
      <c r="C134" s="2751" t="s">
        <v>2512</v>
      </c>
      <c r="D134" s="2753" t="s">
        <v>1976</v>
      </c>
      <c r="E134" s="2731"/>
      <c r="F134" s="2733"/>
      <c r="G134" s="2733"/>
      <c r="H134" s="2733"/>
      <c r="I134" s="2733"/>
      <c r="J134" s="2733"/>
      <c r="K134" s="2733"/>
      <c r="L134" s="2733"/>
      <c r="M134" s="2733"/>
      <c r="N134" s="2733"/>
      <c r="O134" s="2733"/>
      <c r="P134" s="2733"/>
      <c r="Q134" s="2733"/>
      <c r="R134" s="2733"/>
      <c r="S134" s="2733"/>
      <c r="T134" s="2733"/>
      <c r="U134" s="2733"/>
      <c r="V134" s="2733"/>
      <c r="W134" s="2733"/>
      <c r="X134" s="2733"/>
      <c r="Y134" s="2733"/>
      <c r="Z134" s="2733"/>
      <c r="AA134" s="2733"/>
      <c r="AB134" s="2733"/>
      <c r="AC134" s="2733"/>
      <c r="AD134" s="2733"/>
      <c r="AE134" s="2733"/>
      <c r="AF134" s="2733"/>
      <c r="AG134" s="2733"/>
      <c r="AH134" s="2733"/>
      <c r="AI134" s="2733"/>
      <c r="AJ134" s="2733"/>
      <c r="AK134" s="2733"/>
      <c r="AL134" s="2733"/>
      <c r="AM134" s="2733"/>
      <c r="AN134" s="2733"/>
      <c r="AO134" s="2733"/>
      <c r="AP134" s="2733"/>
      <c r="AQ134" s="2733"/>
      <c r="AR134" s="2733"/>
      <c r="AS134" s="2733"/>
      <c r="AT134" s="2733"/>
      <c r="AU134" s="2733"/>
      <c r="AV134" s="2733"/>
      <c r="AW134" s="2733"/>
      <c r="AX134" s="2733"/>
      <c r="AY134" s="2733"/>
      <c r="AZ134" s="2733"/>
      <c r="BA134" s="2733"/>
      <c r="BB134" s="2733"/>
      <c r="BC134" s="2733"/>
      <c r="BD134" s="2733"/>
      <c r="BE134" s="2733"/>
      <c r="BF134" s="2733"/>
      <c r="BG134" s="2733"/>
    </row>
    <row r="135" spans="1:59" s="2734" customFormat="1">
      <c r="A135" s="2731"/>
      <c r="B135" s="190" t="s">
        <v>1579</v>
      </c>
      <c r="C135" s="2732"/>
      <c r="D135" s="2744" t="s">
        <v>2522</v>
      </c>
      <c r="E135" s="2739"/>
      <c r="F135" s="2733">
        <f>G113</f>
        <v>2160000</v>
      </c>
      <c r="G135" s="2733"/>
      <c r="H135" s="2733"/>
      <c r="I135" s="2733"/>
      <c r="J135" s="2733">
        <f>K113</f>
        <v>0</v>
      </c>
      <c r="K135" s="2733"/>
      <c r="L135" s="2733">
        <f>M113</f>
        <v>0</v>
      </c>
      <c r="M135" s="2733"/>
      <c r="N135" s="2733">
        <f>O113</f>
        <v>0</v>
      </c>
      <c r="O135" s="2733"/>
      <c r="P135" s="2733">
        <f>Q113</f>
        <v>0</v>
      </c>
      <c r="Q135" s="2733"/>
      <c r="R135" s="2733">
        <f>S113</f>
        <v>0</v>
      </c>
      <c r="S135" s="2733"/>
      <c r="T135" s="2733">
        <f>U113</f>
        <v>0</v>
      </c>
      <c r="U135" s="2733"/>
      <c r="V135" s="2733">
        <f>W113</f>
        <v>0</v>
      </c>
      <c r="W135" s="2733"/>
      <c r="X135" s="2733">
        <f>Y113</f>
        <v>0</v>
      </c>
      <c r="Y135" s="2733"/>
      <c r="Z135" s="2733">
        <f>AA113</f>
        <v>0</v>
      </c>
      <c r="AA135" s="2733"/>
      <c r="AB135" s="2733">
        <f>AC113</f>
        <v>175000</v>
      </c>
      <c r="AC135" s="2733"/>
      <c r="AD135" s="2733">
        <f>AE113</f>
        <v>0</v>
      </c>
      <c r="AE135" s="2733"/>
      <c r="AF135" s="2733">
        <f>AG113</f>
        <v>1200000</v>
      </c>
      <c r="AG135" s="2733"/>
      <c r="AH135" s="2733">
        <f>AI113</f>
        <v>1375000</v>
      </c>
      <c r="AI135" s="2733"/>
      <c r="AJ135" s="2733"/>
      <c r="AK135" s="2733"/>
      <c r="AL135" s="2733">
        <f>AM113</f>
        <v>420000</v>
      </c>
      <c r="AM135" s="2733"/>
      <c r="AN135" s="2733"/>
      <c r="AO135" s="2733"/>
      <c r="AP135" s="2733">
        <f>AQ113</f>
        <v>821500</v>
      </c>
      <c r="AQ135" s="2733"/>
      <c r="AR135" s="2733"/>
      <c r="AS135" s="2733"/>
      <c r="AT135" s="2733">
        <f>AU113</f>
        <v>0</v>
      </c>
      <c r="AU135" s="2733"/>
      <c r="AV135" s="2733"/>
      <c r="AW135" s="2733"/>
      <c r="AX135" s="2733">
        <f>AY113</f>
        <v>0</v>
      </c>
      <c r="AY135" s="2733"/>
      <c r="AZ135" s="2733"/>
      <c r="BA135" s="2733"/>
      <c r="BB135" s="2733"/>
      <c r="BC135" s="2733"/>
      <c r="BD135" s="2733"/>
      <c r="BE135" s="2733"/>
      <c r="BF135" s="2733"/>
      <c r="BG135" s="2733"/>
    </row>
    <row r="136" spans="1:59" s="2734" customFormat="1">
      <c r="A136" s="2731"/>
      <c r="B136" s="190" t="s">
        <v>1579</v>
      </c>
      <c r="C136" s="2732"/>
      <c r="D136" s="2739" t="s">
        <v>2535</v>
      </c>
      <c r="E136" s="2739"/>
      <c r="F136" s="2733"/>
      <c r="G136" s="2733">
        <f>F135</f>
        <v>2160000</v>
      </c>
      <c r="H136" s="2733"/>
      <c r="I136" s="2733"/>
      <c r="J136" s="2733"/>
      <c r="K136" s="2733">
        <f>J135</f>
        <v>0</v>
      </c>
      <c r="L136" s="2733"/>
      <c r="M136" s="2733">
        <f>L135</f>
        <v>0</v>
      </c>
      <c r="N136" s="2733"/>
      <c r="O136" s="2733">
        <f>N135</f>
        <v>0</v>
      </c>
      <c r="P136" s="2733"/>
      <c r="Q136" s="2733">
        <f>P135</f>
        <v>0</v>
      </c>
      <c r="R136" s="2733"/>
      <c r="S136" s="2733">
        <f>R135</f>
        <v>0</v>
      </c>
      <c r="T136" s="2733"/>
      <c r="U136" s="2733">
        <f>T135</f>
        <v>0</v>
      </c>
      <c r="V136" s="2733"/>
      <c r="W136" s="2733">
        <f>V135</f>
        <v>0</v>
      </c>
      <c r="X136" s="2733"/>
      <c r="Y136" s="2733">
        <f>X135</f>
        <v>0</v>
      </c>
      <c r="Z136" s="2733"/>
      <c r="AA136" s="2733">
        <f>Z135</f>
        <v>0</v>
      </c>
      <c r="AB136" s="2733"/>
      <c r="AC136" s="2733">
        <f>AB135</f>
        <v>175000</v>
      </c>
      <c r="AD136" s="2733"/>
      <c r="AE136" s="2733">
        <f>AD135</f>
        <v>0</v>
      </c>
      <c r="AF136" s="2733"/>
      <c r="AG136" s="2733">
        <f>AF135</f>
        <v>1200000</v>
      </c>
      <c r="AH136" s="2733"/>
      <c r="AI136" s="2733">
        <f>AH135</f>
        <v>1375000</v>
      </c>
      <c r="AJ136" s="2733"/>
      <c r="AK136" s="2733"/>
      <c r="AL136" s="2733"/>
      <c r="AM136" s="2733">
        <f>AL135</f>
        <v>420000</v>
      </c>
      <c r="AN136" s="2733"/>
      <c r="AO136" s="2733"/>
      <c r="AP136" s="2733"/>
      <c r="AQ136" s="2733">
        <f>AP135</f>
        <v>821500</v>
      </c>
      <c r="AR136" s="2733"/>
      <c r="AS136" s="2733"/>
      <c r="AT136" s="2733"/>
      <c r="AU136" s="2733">
        <f>AT135</f>
        <v>0</v>
      </c>
      <c r="AV136" s="2733"/>
      <c r="AW136" s="2733"/>
      <c r="AX136" s="2733"/>
      <c r="AY136" s="2733">
        <f>AX135</f>
        <v>0</v>
      </c>
      <c r="AZ136" s="2733"/>
      <c r="BA136" s="2733"/>
      <c r="BB136" s="2733"/>
      <c r="BC136" s="2733"/>
      <c r="BD136" s="2733"/>
      <c r="BE136" s="2733"/>
      <c r="BF136" s="2733"/>
      <c r="BG136" s="2733"/>
    </row>
    <row r="137" spans="1:59" s="2734" customFormat="1">
      <c r="A137" s="2731"/>
      <c r="B137" s="2732"/>
      <c r="C137" s="2732"/>
      <c r="D137" s="2731"/>
      <c r="E137" s="2731"/>
      <c r="F137" s="2733"/>
      <c r="G137" s="2733"/>
      <c r="H137" s="2733"/>
      <c r="I137" s="2733"/>
      <c r="J137" s="2733"/>
      <c r="K137" s="2733"/>
      <c r="L137" s="2733"/>
      <c r="M137" s="2733"/>
      <c r="N137" s="2733"/>
      <c r="O137" s="2733"/>
      <c r="P137" s="2733"/>
      <c r="Q137" s="2733"/>
      <c r="R137" s="2733"/>
      <c r="S137" s="2733"/>
      <c r="T137" s="2733"/>
      <c r="U137" s="2733"/>
      <c r="V137" s="2733"/>
      <c r="W137" s="2733"/>
      <c r="X137" s="2733"/>
      <c r="Y137" s="2733"/>
      <c r="Z137" s="2733"/>
      <c r="AA137" s="2733"/>
      <c r="AB137" s="2733"/>
      <c r="AC137" s="2733"/>
      <c r="AD137" s="2733"/>
      <c r="AE137" s="2733"/>
      <c r="AF137" s="2733"/>
      <c r="AG137" s="2733"/>
      <c r="AH137" s="2733"/>
      <c r="AI137" s="2733"/>
      <c r="AJ137" s="2733"/>
      <c r="AK137" s="2733"/>
      <c r="AL137" s="2733"/>
      <c r="AM137" s="2733"/>
      <c r="AN137" s="2733"/>
      <c r="AO137" s="2733"/>
      <c r="AP137" s="2733"/>
      <c r="AQ137" s="2733"/>
      <c r="AR137" s="2733"/>
      <c r="AS137" s="2733"/>
      <c r="AT137" s="2733"/>
      <c r="AU137" s="2733"/>
      <c r="AV137" s="2733"/>
      <c r="AW137" s="2733"/>
      <c r="AX137" s="2733"/>
      <c r="AY137" s="2733"/>
      <c r="AZ137" s="2733"/>
      <c r="BA137" s="2733"/>
      <c r="BB137" s="2733"/>
      <c r="BC137" s="2733"/>
      <c r="BD137" s="2733"/>
      <c r="BE137" s="2733"/>
      <c r="BF137" s="2733"/>
      <c r="BG137" s="2733"/>
    </row>
    <row r="138" spans="1:59" s="2734" customFormat="1">
      <c r="A138" s="2731"/>
      <c r="B138" s="2749" t="s">
        <v>2542</v>
      </c>
      <c r="C138" s="2750" t="s">
        <v>2513</v>
      </c>
      <c r="D138" s="2731"/>
      <c r="E138" s="2731"/>
      <c r="F138" s="2733"/>
      <c r="G138" s="2733"/>
      <c r="H138" s="2733"/>
      <c r="I138" s="2733"/>
      <c r="J138" s="2733"/>
      <c r="K138" s="2733"/>
      <c r="L138" s="2733"/>
      <c r="M138" s="2733"/>
      <c r="N138" s="2733"/>
      <c r="O138" s="2733"/>
      <c r="P138" s="2733"/>
      <c r="Q138" s="2733"/>
      <c r="R138" s="2733"/>
      <c r="S138" s="2733"/>
      <c r="T138" s="2733"/>
      <c r="U138" s="2733"/>
      <c r="V138" s="2733"/>
      <c r="W138" s="2733"/>
      <c r="X138" s="2733"/>
      <c r="Y138" s="2733"/>
      <c r="Z138" s="2733"/>
      <c r="AA138" s="2733"/>
      <c r="AB138" s="2733"/>
      <c r="AC138" s="2733"/>
      <c r="AD138" s="2733"/>
      <c r="AE138" s="2733"/>
      <c r="AF138" s="2733"/>
      <c r="AG138" s="2733"/>
      <c r="AH138" s="2733"/>
      <c r="AI138" s="2733"/>
      <c r="AJ138" s="2733"/>
      <c r="AK138" s="2733"/>
      <c r="AL138" s="2733"/>
      <c r="AM138" s="2733"/>
      <c r="AN138" s="2733"/>
      <c r="AO138" s="2733"/>
      <c r="AP138" s="2733"/>
      <c r="AQ138" s="2733"/>
      <c r="AR138" s="2733"/>
      <c r="AS138" s="2733"/>
      <c r="AT138" s="2733"/>
      <c r="AU138" s="2733"/>
      <c r="AV138" s="2733"/>
      <c r="AW138" s="2733"/>
      <c r="AX138" s="2733"/>
      <c r="AY138" s="2733"/>
      <c r="AZ138" s="2733"/>
      <c r="BA138" s="2733"/>
      <c r="BB138" s="2733"/>
      <c r="BC138" s="2733"/>
      <c r="BD138" s="2733"/>
      <c r="BE138" s="2733"/>
      <c r="BF138" s="2733"/>
      <c r="BG138" s="2733"/>
    </row>
    <row r="139" spans="1:59" s="2734" customFormat="1">
      <c r="A139" s="2731"/>
      <c r="B139" s="2739" t="s">
        <v>2533</v>
      </c>
      <c r="D139" s="2739" t="s">
        <v>2534</v>
      </c>
      <c r="E139" s="2731"/>
      <c r="F139" s="2733">
        <f>F102</f>
        <v>7286475</v>
      </c>
      <c r="G139" s="2733"/>
      <c r="H139" s="2733"/>
      <c r="I139" s="2733"/>
      <c r="J139" s="2733">
        <f>J102</f>
        <v>1815975</v>
      </c>
      <c r="K139" s="2733"/>
      <c r="L139" s="2733">
        <f>L102</f>
        <v>0</v>
      </c>
      <c r="M139" s="2733"/>
      <c r="N139" s="2733">
        <f>N102</f>
        <v>1746150</v>
      </c>
      <c r="O139" s="2733"/>
      <c r="P139" s="2733">
        <f>P102</f>
        <v>332325</v>
      </c>
      <c r="Q139" s="2733"/>
      <c r="R139" s="2733">
        <f>R102</f>
        <v>1381800</v>
      </c>
      <c r="S139" s="2733"/>
      <c r="T139" s="2733">
        <f>T102</f>
        <v>0</v>
      </c>
      <c r="U139" s="2733"/>
      <c r="V139" s="2733">
        <f>V102</f>
        <v>2455320</v>
      </c>
      <c r="W139" s="2733"/>
      <c r="X139" s="2733">
        <f>X102</f>
        <v>0</v>
      </c>
      <c r="Y139" s="2733"/>
      <c r="Z139" s="2733">
        <f>Z102</f>
        <v>0</v>
      </c>
      <c r="AA139" s="2733"/>
      <c r="AB139" s="2733">
        <f>AB102</f>
        <v>0</v>
      </c>
      <c r="AC139" s="2733"/>
      <c r="AD139" s="2733">
        <f>AD102</f>
        <v>0</v>
      </c>
      <c r="AE139" s="2733"/>
      <c r="AF139" s="2733">
        <f>AF102</f>
        <v>5798205</v>
      </c>
      <c r="AG139" s="2733"/>
      <c r="AH139" s="2733">
        <f>AH102</f>
        <v>13529775</v>
      </c>
      <c r="AI139" s="2733"/>
      <c r="AJ139" s="2733"/>
      <c r="AK139" s="2733"/>
      <c r="AL139" s="2733">
        <f>AL102</f>
        <v>3904005</v>
      </c>
      <c r="AM139" s="2733"/>
      <c r="AN139" s="2733"/>
      <c r="AO139" s="2733"/>
      <c r="AP139" s="2733">
        <f>AP102</f>
        <v>4296705</v>
      </c>
      <c r="AQ139" s="2733"/>
      <c r="AR139" s="2733"/>
      <c r="AS139" s="2733"/>
      <c r="AT139" s="2733">
        <f>AT102</f>
        <v>3877230</v>
      </c>
      <c r="AU139" s="2733"/>
      <c r="AV139" s="2733"/>
      <c r="AW139" s="2733"/>
      <c r="AX139" s="2733">
        <f>AX102</f>
        <v>2900205</v>
      </c>
      <c r="AY139" s="2733"/>
      <c r="AZ139" s="2733"/>
      <c r="BA139" s="2733"/>
      <c r="BB139" s="2733"/>
      <c r="BC139" s="2733"/>
      <c r="BD139" s="2733"/>
      <c r="BE139" s="2733"/>
      <c r="BF139" s="2733"/>
      <c r="BG139" s="2733"/>
    </row>
    <row r="140" spans="1:59" s="2734" customFormat="1">
      <c r="A140" s="2731"/>
      <c r="B140" s="190" t="s">
        <v>1585</v>
      </c>
      <c r="C140" s="2732"/>
      <c r="D140" s="97" t="s">
        <v>743</v>
      </c>
      <c r="E140" s="2731"/>
      <c r="F140" s="2733"/>
      <c r="G140" s="2733">
        <f>F139</f>
        <v>7286475</v>
      </c>
      <c r="H140" s="2733"/>
      <c r="I140" s="2733"/>
      <c r="J140" s="2733"/>
      <c r="K140" s="2733">
        <f>J139</f>
        <v>1815975</v>
      </c>
      <c r="L140" s="2733"/>
      <c r="M140" s="2733">
        <f>L139</f>
        <v>0</v>
      </c>
      <c r="N140" s="2733"/>
      <c r="O140" s="2733">
        <f>N139</f>
        <v>1746150</v>
      </c>
      <c r="P140" s="2733"/>
      <c r="Q140" s="2733">
        <f>P139</f>
        <v>332325</v>
      </c>
      <c r="R140" s="2733"/>
      <c r="S140" s="2733">
        <f>R139</f>
        <v>1381800</v>
      </c>
      <c r="T140" s="2733"/>
      <c r="U140" s="2733">
        <f>T139</f>
        <v>0</v>
      </c>
      <c r="V140" s="2733"/>
      <c r="W140" s="2733">
        <f>V139</f>
        <v>2455320</v>
      </c>
      <c r="X140" s="2733"/>
      <c r="Y140" s="2733">
        <f>X139</f>
        <v>0</v>
      </c>
      <c r="Z140" s="2733"/>
      <c r="AA140" s="2733">
        <f>Z139</f>
        <v>0</v>
      </c>
      <c r="AB140" s="2733"/>
      <c r="AC140" s="2733">
        <f>AB139</f>
        <v>0</v>
      </c>
      <c r="AD140" s="2733"/>
      <c r="AE140" s="2733">
        <f>AD139</f>
        <v>0</v>
      </c>
      <c r="AF140" s="2733"/>
      <c r="AG140" s="2733">
        <f>AF139</f>
        <v>5798205</v>
      </c>
      <c r="AH140" s="2733"/>
      <c r="AI140" s="2733">
        <f>AH139</f>
        <v>13529775</v>
      </c>
      <c r="AJ140" s="2733"/>
      <c r="AK140" s="2733"/>
      <c r="AL140" s="2733"/>
      <c r="AM140" s="2733">
        <f>AL139</f>
        <v>3904005</v>
      </c>
      <c r="AN140" s="2733"/>
      <c r="AO140" s="2733"/>
      <c r="AP140" s="2733"/>
      <c r="AQ140" s="2733">
        <f>AP139</f>
        <v>4296705</v>
      </c>
      <c r="AR140" s="2733"/>
      <c r="AS140" s="2733"/>
      <c r="AT140" s="2733"/>
      <c r="AU140" s="2733">
        <f>AT139</f>
        <v>3877230</v>
      </c>
      <c r="AV140" s="2733"/>
      <c r="AW140" s="2733"/>
      <c r="AX140" s="2733"/>
      <c r="AY140" s="2733">
        <f>AX139</f>
        <v>2900205</v>
      </c>
      <c r="AZ140" s="2733"/>
      <c r="BA140" s="2733"/>
      <c r="BB140" s="2733"/>
      <c r="BC140" s="2733"/>
      <c r="BD140" s="2733"/>
      <c r="BE140" s="2733"/>
      <c r="BF140" s="2733"/>
      <c r="BG140" s="2733"/>
    </row>
    <row r="141" spans="1:59" s="2734" customFormat="1">
      <c r="A141" s="2731"/>
      <c r="B141" s="2732"/>
      <c r="C141" s="2732"/>
      <c r="D141" s="2731"/>
      <c r="E141" s="2731"/>
      <c r="F141" s="2733"/>
      <c r="G141" s="2733"/>
      <c r="H141" s="2733"/>
      <c r="I141" s="2733"/>
      <c r="J141" s="2733"/>
      <c r="K141" s="2733"/>
      <c r="L141" s="2733"/>
      <c r="M141" s="2733"/>
      <c r="N141" s="2731"/>
      <c r="O141" s="2733"/>
      <c r="P141" s="2731"/>
      <c r="Q141" s="2733"/>
      <c r="R141" s="2731"/>
      <c r="S141" s="2733"/>
      <c r="T141" s="2731"/>
      <c r="U141" s="2733"/>
      <c r="V141" s="2731"/>
      <c r="W141" s="2733"/>
      <c r="X141" s="2731"/>
      <c r="Y141" s="2733"/>
      <c r="Z141" s="2731"/>
      <c r="AA141" s="2733"/>
      <c r="AB141" s="2731"/>
      <c r="AC141" s="2733"/>
      <c r="AD141" s="2731"/>
      <c r="AE141" s="2733"/>
      <c r="AF141" s="2731"/>
      <c r="AG141" s="2733"/>
      <c r="AH141" s="2731"/>
      <c r="AI141" s="2733"/>
      <c r="AJ141" s="2733"/>
      <c r="AK141" s="2731"/>
      <c r="AM141" s="2731"/>
      <c r="AO141" s="2731"/>
      <c r="AQ141" s="2731"/>
      <c r="AS141" s="2731"/>
      <c r="AU141" s="2731"/>
      <c r="AW141" s="2731"/>
      <c r="AY141" s="2731"/>
      <c r="BA141" s="2731"/>
    </row>
    <row r="142" spans="1:59" s="2734" customFormat="1">
      <c r="A142" s="2731"/>
      <c r="B142" s="2732"/>
      <c r="C142" s="2732"/>
      <c r="D142" s="2731"/>
      <c r="E142" s="2731"/>
      <c r="F142" s="2733"/>
      <c r="G142" s="2733"/>
      <c r="H142" s="2733"/>
      <c r="I142" s="2733"/>
      <c r="J142" s="2733"/>
      <c r="K142" s="2733"/>
      <c r="L142" s="2733"/>
      <c r="M142" s="2733"/>
      <c r="N142" s="2731"/>
      <c r="O142" s="2733"/>
      <c r="P142" s="2731"/>
      <c r="Q142" s="2733"/>
      <c r="R142" s="2731"/>
      <c r="S142" s="2733"/>
      <c r="T142" s="2731"/>
      <c r="U142" s="2733"/>
      <c r="V142" s="2731"/>
      <c r="W142" s="2733"/>
      <c r="X142" s="2731"/>
      <c r="Y142" s="2733"/>
      <c r="Z142" s="2731"/>
      <c r="AA142" s="2733"/>
      <c r="AB142" s="2731"/>
      <c r="AC142" s="2733"/>
      <c r="AD142" s="2731"/>
      <c r="AE142" s="2733"/>
      <c r="AF142" s="2731"/>
      <c r="AG142" s="2733"/>
      <c r="AH142" s="2731"/>
      <c r="AI142" s="2733"/>
      <c r="AJ142" s="2733"/>
      <c r="AK142" s="2731"/>
      <c r="AM142" s="2731"/>
      <c r="AO142" s="2731"/>
      <c r="AQ142" s="2731"/>
      <c r="AS142" s="2731"/>
      <c r="AU142" s="2731"/>
      <c r="AW142" s="2731"/>
      <c r="AY142" s="2731"/>
      <c r="BA142" s="2731"/>
    </row>
    <row r="143" spans="1:59" s="2734" customFormat="1">
      <c r="A143" s="2731"/>
      <c r="B143" s="2732"/>
      <c r="C143" s="2732"/>
      <c r="D143" s="2731"/>
      <c r="E143" s="2731"/>
      <c r="F143" s="2733"/>
      <c r="G143" s="2733"/>
      <c r="H143" s="2733"/>
      <c r="I143" s="2733"/>
      <c r="J143" s="2733"/>
      <c r="K143" s="2733"/>
      <c r="L143" s="2733"/>
      <c r="M143" s="2733"/>
      <c r="N143" s="2731"/>
      <c r="O143" s="2733"/>
      <c r="P143" s="2731"/>
      <c r="Q143" s="2733"/>
      <c r="R143" s="2731"/>
      <c r="S143" s="2733"/>
      <c r="T143" s="2731"/>
      <c r="U143" s="2733"/>
      <c r="V143" s="2731"/>
      <c r="W143" s="2733"/>
      <c r="X143" s="2731"/>
      <c r="Y143" s="2733"/>
      <c r="Z143" s="2731"/>
      <c r="AA143" s="2733"/>
      <c r="AB143" s="2731"/>
      <c r="AC143" s="2733"/>
      <c r="AD143" s="2731"/>
      <c r="AE143" s="2733"/>
      <c r="AF143" s="2731"/>
      <c r="AG143" s="2733"/>
      <c r="AH143" s="2731"/>
      <c r="AI143" s="2733"/>
      <c r="AJ143" s="2733"/>
      <c r="AK143" s="2731"/>
      <c r="AM143" s="2731"/>
      <c r="AO143" s="2731"/>
      <c r="AQ143" s="2731"/>
      <c r="AS143" s="2731"/>
      <c r="AU143" s="2731"/>
      <c r="AW143" s="2731"/>
      <c r="AY143" s="2731"/>
      <c r="BA143" s="2731"/>
    </row>
    <row r="144" spans="1:59" s="2734" customFormat="1">
      <c r="A144" s="2731"/>
      <c r="B144" s="2732"/>
      <c r="C144" s="2732"/>
      <c r="D144" s="2731"/>
      <c r="E144" s="2731"/>
      <c r="F144" s="2733"/>
      <c r="G144" s="2733"/>
      <c r="H144" s="2731"/>
      <c r="I144" s="2731"/>
      <c r="J144" s="2733"/>
      <c r="K144" s="2733"/>
      <c r="L144" s="2733"/>
      <c r="M144" s="2733"/>
      <c r="N144" s="2731"/>
      <c r="O144" s="2733"/>
      <c r="P144" s="2731"/>
      <c r="Q144" s="2733"/>
      <c r="R144" s="2731"/>
      <c r="S144" s="2733"/>
      <c r="T144" s="2731"/>
      <c r="U144" s="2733"/>
      <c r="V144" s="2731"/>
      <c r="W144" s="2733"/>
      <c r="X144" s="2731"/>
      <c r="Y144" s="2733"/>
      <c r="Z144" s="2731"/>
      <c r="AA144" s="2733"/>
      <c r="AB144" s="2731"/>
      <c r="AC144" s="2733"/>
      <c r="AD144" s="2731"/>
      <c r="AE144" s="2733"/>
      <c r="AF144" s="2731"/>
      <c r="AG144" s="2733"/>
      <c r="AH144" s="2731"/>
      <c r="AI144" s="2733"/>
      <c r="AJ144" s="2733"/>
      <c r="AK144" s="2731"/>
      <c r="AM144" s="2731"/>
      <c r="AO144" s="2731"/>
      <c r="AQ144" s="2731"/>
      <c r="AS144" s="2731"/>
      <c r="AU144" s="2731"/>
      <c r="AW144" s="2731"/>
      <c r="AY144" s="2731"/>
      <c r="BA144" s="2731"/>
    </row>
    <row r="145" spans="1:55" s="2734" customFormat="1">
      <c r="A145" s="2731"/>
      <c r="B145" s="2732"/>
      <c r="C145" s="2732"/>
      <c r="D145" s="2731"/>
      <c r="E145" s="2731"/>
      <c r="F145" s="2733"/>
      <c r="G145" s="2733"/>
      <c r="H145" s="2731"/>
      <c r="I145" s="2731"/>
      <c r="J145" s="2733"/>
      <c r="K145" s="2733"/>
      <c r="L145" s="2733"/>
      <c r="M145" s="2733"/>
      <c r="N145" s="2731"/>
      <c r="O145" s="2733"/>
      <c r="P145" s="2731"/>
      <c r="Q145" s="2733"/>
      <c r="R145" s="2731"/>
      <c r="S145" s="2733"/>
      <c r="T145" s="2731"/>
      <c r="U145" s="2733"/>
      <c r="V145" s="2731"/>
      <c r="W145" s="2733"/>
      <c r="X145" s="2731"/>
      <c r="Y145" s="2733"/>
      <c r="Z145" s="2731"/>
      <c r="AA145" s="2733"/>
      <c r="AB145" s="2731"/>
      <c r="AC145" s="2733"/>
      <c r="AD145" s="2731"/>
      <c r="AE145" s="2733"/>
      <c r="AF145" s="2731"/>
      <c r="AG145" s="2733"/>
      <c r="AH145" s="2731"/>
      <c r="AI145" s="2733"/>
      <c r="AJ145" s="2733"/>
      <c r="AK145" s="2731"/>
      <c r="AM145" s="2731"/>
      <c r="AO145" s="2731"/>
      <c r="BB145" s="2731"/>
      <c r="BC145" s="2731"/>
    </row>
    <row r="146" spans="1:55" s="2734" customFormat="1">
      <c r="A146" s="2731"/>
      <c r="B146" s="2732"/>
      <c r="C146" s="2732"/>
      <c r="D146" s="2731"/>
      <c r="E146" s="2731"/>
      <c r="F146" s="2733"/>
      <c r="G146" s="2733"/>
      <c r="H146" s="2731"/>
      <c r="I146" s="2731"/>
      <c r="J146" s="2733"/>
      <c r="K146" s="2733"/>
      <c r="L146" s="2733"/>
      <c r="M146" s="2733"/>
      <c r="N146" s="2731"/>
      <c r="O146" s="2733"/>
      <c r="P146" s="2731"/>
      <c r="Q146" s="2733"/>
      <c r="R146" s="2731"/>
      <c r="S146" s="2733"/>
      <c r="T146" s="2731"/>
      <c r="U146" s="2733"/>
      <c r="V146" s="2731"/>
      <c r="W146" s="2733"/>
      <c r="X146" s="2731"/>
      <c r="Y146" s="2733"/>
      <c r="Z146" s="2731"/>
      <c r="AA146" s="2733"/>
      <c r="AB146" s="2731"/>
      <c r="AC146" s="2733"/>
      <c r="AD146" s="2731"/>
      <c r="AE146" s="2733"/>
      <c r="AF146" s="2731"/>
      <c r="AG146" s="2733"/>
      <c r="AH146" s="2731"/>
      <c r="AI146" s="2733"/>
      <c r="AJ146" s="2733"/>
      <c r="AK146" s="2731"/>
      <c r="AM146" s="2731"/>
      <c r="AO146" s="2731"/>
      <c r="BB146" s="2731"/>
      <c r="BC146" s="2731"/>
    </row>
    <row r="147" spans="1:55" s="2734" customFormat="1">
      <c r="A147" s="2731"/>
      <c r="B147" s="2732"/>
      <c r="C147" s="2732"/>
      <c r="D147" s="2731"/>
      <c r="E147" s="2731"/>
      <c r="F147" s="2733"/>
      <c r="G147" s="2733"/>
      <c r="H147" s="2731"/>
      <c r="I147" s="2731"/>
      <c r="J147" s="2733"/>
      <c r="K147" s="2733"/>
      <c r="L147" s="2733"/>
      <c r="M147" s="2733"/>
      <c r="N147" s="2731"/>
      <c r="O147" s="2733"/>
      <c r="P147" s="2731"/>
      <c r="Q147" s="2733"/>
      <c r="R147" s="2731"/>
      <c r="S147" s="2733"/>
      <c r="T147" s="2731"/>
      <c r="U147" s="2733"/>
      <c r="V147" s="2731"/>
      <c r="W147" s="2733"/>
      <c r="X147" s="2731"/>
      <c r="Y147" s="2733"/>
      <c r="Z147" s="2731"/>
      <c r="AA147" s="2733"/>
      <c r="AB147" s="2731"/>
      <c r="AC147" s="2733"/>
      <c r="AD147" s="2731"/>
      <c r="AE147" s="2733"/>
      <c r="AF147" s="2731"/>
      <c r="AG147" s="2733"/>
      <c r="AH147" s="2731"/>
      <c r="AI147" s="2733"/>
      <c r="AJ147" s="2733"/>
      <c r="AK147" s="2731"/>
      <c r="AM147" s="2731"/>
      <c r="AN147" s="2731"/>
      <c r="AQ147" s="2731"/>
      <c r="AS147" s="2731"/>
      <c r="AU147" s="2731"/>
      <c r="AW147" s="2731"/>
      <c r="AY147" s="2731"/>
      <c r="BA147" s="2731"/>
      <c r="BB147" s="2731"/>
    </row>
    <row r="148" spans="1:55" s="2734" customFormat="1">
      <c r="A148" s="2731"/>
      <c r="B148" s="2732"/>
      <c r="C148" s="2732"/>
      <c r="D148" s="2731"/>
      <c r="E148" s="2731"/>
      <c r="F148" s="2733"/>
      <c r="G148" s="2733"/>
      <c r="H148" s="2731"/>
      <c r="I148" s="2731"/>
      <c r="J148" s="2733"/>
      <c r="K148" s="2733"/>
      <c r="L148" s="2733"/>
      <c r="M148" s="2733"/>
      <c r="N148" s="2731"/>
      <c r="O148" s="2733"/>
      <c r="P148" s="2731"/>
      <c r="Q148" s="2733"/>
      <c r="R148" s="2731"/>
      <c r="S148" s="2733"/>
      <c r="T148" s="2731"/>
      <c r="U148" s="2733"/>
      <c r="V148" s="2731"/>
      <c r="W148" s="2733"/>
      <c r="X148" s="2731"/>
      <c r="Y148" s="2733"/>
      <c r="Z148" s="2731"/>
      <c r="AA148" s="2733"/>
      <c r="AB148" s="2731"/>
      <c r="AC148" s="2733"/>
      <c r="AD148" s="2731"/>
      <c r="AE148" s="2733"/>
      <c r="AF148" s="2731"/>
      <c r="AG148" s="2733"/>
      <c r="AH148" s="2731"/>
      <c r="AI148" s="2733"/>
      <c r="AJ148" s="2733"/>
      <c r="AK148" s="2731"/>
      <c r="AM148" s="2731"/>
      <c r="AN148" s="2731"/>
      <c r="AQ148" s="2731"/>
      <c r="AS148" s="2731"/>
      <c r="AU148" s="2731"/>
      <c r="AW148" s="2731"/>
      <c r="AY148" s="2731"/>
      <c r="BA148" s="2731"/>
      <c r="BB148" s="2731"/>
    </row>
    <row r="149" spans="1:55" s="2734" customFormat="1" ht="16.2">
      <c r="A149" s="2731"/>
      <c r="B149" s="2757" t="s">
        <v>2543</v>
      </c>
      <c r="C149" s="2732"/>
      <c r="D149" s="2731"/>
      <c r="E149" s="2731"/>
      <c r="F149" s="2756">
        <f>SUMIF($D$95:$D$115,"12872012*",F$95:F$115)+SUMIF($D$138:$D$140,"12872012*",F$138:F$140)-(SUMIF($D$95:$D$115,"12872012*",G$95:G$115)+SUMIF($D$138:$D$140,"12872012*",G$138:G$140))</f>
        <v>21367000</v>
      </c>
      <c r="G149" s="2733"/>
      <c r="H149" s="2756"/>
      <c r="I149" s="2733"/>
      <c r="J149" s="2756">
        <f>SUMIF($D$95:$D$115,"12872012*",J$95:J$115)+SUMIF($D$138:$D$140,"12872012*",J$138:J$140)-(SUMIF($D$95:$D$115,"12872012*",K$95:K$115)+SUMIF($D$138:$D$140,"12872012*",K$138:K$140))</f>
        <v>5664668</v>
      </c>
      <c r="K149" s="2733"/>
      <c r="L149" s="2756">
        <f>SUMIF($D$95:$D$115,"12872012*",L$95:L$115)+SUMIF($D$138:$D$140,"12872012*",L$138:L$140)-(SUMIF($D$95:$D$115,"12872012*",M$95:M$115)+SUMIF($D$138:$D$140,"12872012*",M$138:M$140))</f>
        <v>5115950</v>
      </c>
      <c r="M149" s="2733"/>
      <c r="N149" s="2756">
        <f>SUMIF($D$95:$D$115,"12872012*",N$95:N$115)+SUMIF($D$138:$D$140,"12872012*",N$138:N$140)-(SUMIF($D$95:$D$115,"12872012*",O$95:O$115)+SUMIF($D$138:$D$140,"12872012*",O$138:O$140))</f>
        <v>5332918</v>
      </c>
      <c r="O149" s="2733"/>
      <c r="P149" s="2756">
        <f>SUMIF($D$95:$D$115,"12872012*",P$95:P$115)+SUMIF($D$138:$D$140,"12872012*",P$138:P$140)-(SUMIF($D$95:$D$115,"12872012*",Q$95:Q$115)+SUMIF($D$138:$D$140,"12872012*",Q$138:Q$140))</f>
        <v>5200668</v>
      </c>
      <c r="Q149" s="2733"/>
      <c r="R149" s="2756">
        <f>SUMIF($D$95:$D$115,"12872012*",R$95:R$115)+SUMIF($D$138:$D$140,"12872012*",R$138:R$140)-(SUMIF($D$95:$D$115,"12872012*",S$95:S$115)+SUMIF($D$138:$D$140,"12872012*",S$138:S$140))</f>
        <v>4783168</v>
      </c>
      <c r="S149" s="2733"/>
      <c r="T149" s="2756">
        <f>SUMIF($D$95:$D$115,"12872012*",T$95:T$115)+SUMIF($D$138:$D$140,"12872012*",T$138:T$140)-(SUMIF($D$95:$D$115,"12872012*",U$95:U$115)+SUMIF($D$138:$D$140,"12872012*",U$138:U$140))</f>
        <v>3757168</v>
      </c>
      <c r="U149" s="2733"/>
      <c r="V149" s="2756">
        <f>SUMIF($D$95:$D$115,"12872012*",V$95:V$115)+SUMIF($D$138:$D$140,"12872012*",V$138:V$140)-(SUMIF($D$95:$D$115,"12872012*",W$95:W$115)+SUMIF($D$138:$D$140,"12872012*",W$138:W$140))</f>
        <v>5671668</v>
      </c>
      <c r="W149" s="2733"/>
      <c r="X149" s="2756">
        <f>SUMIF($D$95:$D$115,"12872012*",X$95:X$115)+SUMIF($D$138:$D$140,"12872012*",X$138:X$140)-(SUMIF($D$95:$D$115,"12872012*",Y$95:Y$115)+SUMIF($D$138:$D$140,"12872012*",Y$138:Y$140))</f>
        <v>4487168</v>
      </c>
      <c r="Y149" s="2733"/>
      <c r="Z149" s="2756">
        <f>SUMIF($D$95:$D$115,"12872012*",Z$95:Z$115)+SUMIF($D$138:$D$140,"12872012*",Z$138:Z$140)-(SUMIF($D$95:$D$115,"12872012*",AA$95:AA$115)+SUMIF($D$138:$D$140,"12872012*",AA$138:AA$140))</f>
        <v>4425668</v>
      </c>
      <c r="AA149" s="2733"/>
      <c r="AB149" s="2756">
        <f>SUMIF($D$95:$D$115,"12872012*",AB$95:AB$115)+SUMIF($D$138:$D$140,"12872012*",AB$138:AB$140)-(SUMIF($D$95:$D$115,"12872012*",AC$95:AC$115)+SUMIF($D$138:$D$140,"12872012*",AC$138:AC$140))</f>
        <v>5743668</v>
      </c>
      <c r="AC149" s="2733"/>
      <c r="AD149" s="2756">
        <f>SUMIF($D$95:$D$115,"12872012*",AD$95:AD$115)+SUMIF($D$138:$D$140,"12872012*",AD$138:AD$140)-(SUMIF($D$95:$D$115,"12872012*",AE$95:AE$115)+SUMIF($D$138:$D$140,"12872012*",AE$138:AE$140))</f>
        <v>5423668</v>
      </c>
      <c r="AE149" s="2733"/>
      <c r="AF149" s="2756">
        <f>SUMIF($D$95:$D$115,"12872012*",AF$95:AF$115)+SUMIF($D$138:$D$140,"12872012*",AF$138:AF$140)-(SUMIF($D$95:$D$115,"12872012*",AG$95:AG$115)+SUMIF($D$138:$D$140,"12872012*",AG$138:AG$140))</f>
        <v>7523652</v>
      </c>
      <c r="AG149" s="2733"/>
      <c r="AH149" s="2756">
        <f>SUMIF($D$95:$D$115,"12872012*",AH$95:AH$115)+SUMIF($D$138:$D$140,"12872012*",AH$138:AH$140)-(SUMIF($D$95:$D$115,"12872012*",AI$95:AI$115)+SUMIF($D$138:$D$140,"12872012*",AI$138:AI$140))</f>
        <v>63130032</v>
      </c>
      <c r="AI149" s="2733"/>
      <c r="AJ149" s="2756"/>
      <c r="AK149" s="2733"/>
      <c r="AL149" s="2756">
        <f>SUMIF($D$95:$D$115,"12872012*",AL$95:AL$115)+SUMIF($D$138:$D$140,"12872012*",AL$138:AL$140)-(SUMIF($D$95:$D$115,"12872012*",AM$95:AM$115)+SUMIF($D$138:$D$140,"12872012*",AM$138:AM$140))</f>
        <v>72166290</v>
      </c>
      <c r="AM149" s="2733"/>
      <c r="AN149" s="2756"/>
      <c r="AO149" s="2733"/>
      <c r="AP149" s="2756">
        <f>SUMIF($D$95:$D$115,"12872012*",AP$95:AP$115)+SUMIF($D$138:$D$140,"12872012*",AP$138:AP$140)-(SUMIF($D$95:$D$115,"12872012*",AQ$95:AQ$115)+SUMIF($D$138:$D$140,"12872012*",AQ$138:AQ$140))</f>
        <v>73760750</v>
      </c>
      <c r="AQ149" s="2733"/>
      <c r="AR149" s="2756"/>
      <c r="AS149" s="2733"/>
      <c r="AT149" s="2756">
        <f>SUMIF($D$95:$D$115,"12872012*",AT$95:AT$115)+SUMIF($D$138:$D$140,"12872012*",AT$138:AT$140)-(SUMIF($D$95:$D$115,"12872012*",AU$95:AU$115)+SUMIF($D$138:$D$140,"12872012*",AU$138:AU$140))</f>
        <v>76460917</v>
      </c>
      <c r="AU149" s="2733"/>
      <c r="AV149" s="2756"/>
      <c r="AW149" s="2733"/>
      <c r="AX149" s="2756">
        <f>SUMIF($D$95:$D$115,"12872012*",AX$95:AX$115)+SUMIF($D$138:$D$140,"12872012*",AX$138:AX$140)-(SUMIF($D$95:$D$115,"12872012*",AY$95:AY$115)+SUMIF($D$138:$D$140,"12872012*",AY$138:AY$140))</f>
        <v>80894250</v>
      </c>
      <c r="AY149" s="2733"/>
      <c r="AZ149" s="2756"/>
      <c r="BA149" s="2733"/>
      <c r="BB149" s="2731"/>
    </row>
    <row r="150" spans="1:55" s="2734" customFormat="1" ht="16.2">
      <c r="A150" s="2731"/>
      <c r="B150" s="2757" t="s">
        <v>1585</v>
      </c>
      <c r="C150" s="2732"/>
      <c r="D150" s="2731"/>
      <c r="E150" s="2731"/>
      <c r="F150" s="2756">
        <f>SUMIF($D$95:$D$115,"1170*",F$95:F$115)+SUMIF($D$138:$D$140,"1170*",F$138:F$140)-(SUMIF($D$95:$D$115,"1170*",G$95:G$115)+SUMIF($D$138:$D$140,"1170*",G$138:G$140))</f>
        <v>0</v>
      </c>
      <c r="G150" s="2733"/>
      <c r="H150" s="2756"/>
      <c r="I150" s="2733"/>
      <c r="J150" s="2756">
        <f>SUMIF($D$95:$D$115,"1170*",J$95:J$115)+SUMIF($D$138:$D$140,"1170*",J$138:J$140)-(SUMIF($D$95:$D$115,"1170*",K$95:K$115)+SUMIF($D$138:$D$140,"1170*",K$138:K$140))</f>
        <v>0</v>
      </c>
      <c r="K150" s="2733"/>
      <c r="L150" s="2756">
        <f>SUMIF($D$95:$D$115,"1170*",L$95:L$115)+SUMIF($D$138:$D$140,"1170*",L$138:L$140)-(SUMIF($D$95:$D$115,"1170*",M$95:M$115)+SUMIF($D$138:$D$140,"1170*",M$138:M$140))</f>
        <v>0</v>
      </c>
      <c r="M150" s="2733"/>
      <c r="N150" s="2756">
        <f>SUMIF($D$95:$D$115,"1170*",N$95:N$115)+SUMIF($D$138:$D$140,"1170*",N$138:N$140)-(SUMIF($D$95:$D$115,"1170*",O$95:O$115)+SUMIF($D$138:$D$140,"1170*",O$138:O$140))</f>
        <v>0</v>
      </c>
      <c r="O150" s="2733"/>
      <c r="P150" s="2756">
        <f>SUMIF($D$95:$D$115,"1170*",P$95:P$115)+SUMIF($D$138:$D$140,"1170*",P$138:P$140)-(SUMIF($D$95:$D$115,"1170*",Q$95:Q$115)+SUMIF($D$138:$D$140,"1170*",Q$138:Q$140))</f>
        <v>0</v>
      </c>
      <c r="Q150" s="2733"/>
      <c r="R150" s="2756">
        <f>SUMIF($D$95:$D$115,"1170*",R$95:R$115)+SUMIF($D$138:$D$140,"1170*",R$138:R$140)-(SUMIF($D$95:$D$115,"1170*",S$95:S$115)+SUMIF($D$138:$D$140,"1170*",S$138:S$140))</f>
        <v>0</v>
      </c>
      <c r="S150" s="2733"/>
      <c r="T150" s="2756">
        <f>SUMIF($D$95:$D$115,"1170*",T$95:T$115)+SUMIF($D$138:$D$140,"1170*",T$138:T$140)-(SUMIF($D$95:$D$115,"1170*",U$95:U$115)+SUMIF($D$138:$D$140,"1170*",U$138:U$140))</f>
        <v>0</v>
      </c>
      <c r="U150" s="2733"/>
      <c r="V150" s="2756">
        <f>SUMIF($D$95:$D$115,"1170*",V$95:V$115)+SUMIF($D$138:$D$140,"1170*",V$138:V$140)-(SUMIF($D$95:$D$115,"1170*",W$95:W$115)+SUMIF($D$138:$D$140,"1170*",W$138:W$140))</f>
        <v>0</v>
      </c>
      <c r="W150" s="2733"/>
      <c r="X150" s="2756">
        <f>SUMIF($D$95:$D$115,"1170*",X$95:X$115)+SUMIF($D$138:$D$140,"1170*",X$138:X$140)-(SUMIF($D$95:$D$115,"1170*",Y$95:Y$115)+SUMIF($D$138:$D$140,"1170*",Y$138:Y$140))</f>
        <v>0</v>
      </c>
      <c r="Y150" s="2733"/>
      <c r="Z150" s="2756">
        <f>SUMIF($D$95:$D$115,"1170*",Z$95:Z$115)+SUMIF($D$138:$D$140,"1170*",Z$138:Z$140)-(SUMIF($D$95:$D$115,"1170*",AA$95:AA$115)+SUMIF($D$138:$D$140,"1170*",AA$138:AA$140))</f>
        <v>0</v>
      </c>
      <c r="AA150" s="2733"/>
      <c r="AB150" s="2756">
        <f>SUMIF($D$95:$D$115,"1170*",AB$95:AB$115)+SUMIF($D$138:$D$140,"1170*",AB$138:AB$140)-(SUMIF($D$95:$D$115,"1170*",AC$95:AC$115)+SUMIF($D$138:$D$140,"1170*",AC$138:AC$140))</f>
        <v>0</v>
      </c>
      <c r="AC150" s="2733"/>
      <c r="AD150" s="2756">
        <f>SUMIF($D$95:$D$115,"1170*",AD$95:AD$115)+SUMIF($D$138:$D$140,"1170*",AD$138:AD$140)-(SUMIF($D$95:$D$115,"1170*",AE$95:AE$115)+SUMIF($D$138:$D$140,"1170*",AE$138:AE$140))</f>
        <v>0</v>
      </c>
      <c r="AE150" s="2733"/>
      <c r="AF150" s="2756">
        <f>SUMIF($D$95:$D$115,"1170*",AF$95:AF$115)+SUMIF($D$138:$D$140,"1170*",AF$138:AF$140)-(SUMIF($D$95:$D$115,"1170*",AG$95:AG$115)+SUMIF($D$138:$D$140,"1170*",AG$138:AG$140))</f>
        <v>0</v>
      </c>
      <c r="AG150" s="2733"/>
      <c r="AH150" s="2756">
        <f>SUMIF($D$95:$D$115,"1170*",AH$95:AH$115)+SUMIF($D$138:$D$140,"1170*",AH$138:AH$140)-(SUMIF($D$95:$D$115,"1170*",AI$95:AI$115)+SUMIF($D$138:$D$140,"1170*",AI$138:AI$140))</f>
        <v>0</v>
      </c>
      <c r="AI150" s="2733"/>
      <c r="AJ150" s="2756"/>
      <c r="AK150" s="2733"/>
      <c r="AL150" s="2756">
        <f>SUMIF($D$95:$D$115,"1170*",AL$95:AL$115)+SUMIF($D$138:$D$140,"1170*",AL$138:AL$140)-(SUMIF($D$95:$D$115,"1170*",AM$95:AM$115)+SUMIF($D$138:$D$140,"1170*",AM$138:AM$140))</f>
        <v>0</v>
      </c>
      <c r="AM150" s="2733"/>
      <c r="AN150" s="2756"/>
      <c r="AO150" s="2733"/>
      <c r="AP150" s="2756">
        <f>SUMIF($D$95:$D$115,"1170*",AP$95:AP$115)+SUMIF($D$138:$D$140,"1170*",AP$138:AP$140)-(SUMIF($D$95:$D$115,"1170*",AQ$95:AQ$115)+SUMIF($D$138:$D$140,"1170*",AQ$138:AQ$140))</f>
        <v>0</v>
      </c>
      <c r="AQ150" s="2733"/>
      <c r="AR150" s="2756"/>
      <c r="AS150" s="2733"/>
      <c r="AT150" s="2756">
        <f>SUMIF($D$95:$D$115,"1170*",AT$95:AT$115)+SUMIF($D$138:$D$140,"1170*",AT$138:AT$140)-(SUMIF($D$95:$D$115,"1170*",AU$95:AU$115)+SUMIF($D$138:$D$140,"1170*",AU$138:AU$140))</f>
        <v>0</v>
      </c>
      <c r="AU150" s="2733"/>
      <c r="AV150" s="2756"/>
      <c r="AW150" s="2733"/>
      <c r="AX150" s="2756">
        <f>SUMIF($D$95:$D$115,"1170*",AX$95:AX$115)+SUMIF($D$138:$D$140,"1170*",AX$138:AX$140)-(SUMIF($D$95:$D$115,"1170*",AY$95:AY$115)+SUMIF($D$138:$D$140,"1170*",AY$138:AY$140))</f>
        <v>0</v>
      </c>
      <c r="AY150" s="2733"/>
      <c r="AZ150" s="2756"/>
      <c r="BA150" s="2733"/>
      <c r="BB150" s="2731"/>
    </row>
    <row r="151" spans="1:55" s="2734" customFormat="1" ht="16.2">
      <c r="A151" s="2731"/>
      <c r="B151" s="2757" t="s">
        <v>1842</v>
      </c>
      <c r="C151" s="2732"/>
      <c r="D151" s="2731"/>
      <c r="E151" s="2731"/>
      <c r="F151" s="2756">
        <f>SUMIF($D$95:$D$115,"2264*",F$95:F$115)+SUMIF($D$138:$D$140,"2264*",F$138:F$140)-(SUMIF($D$95:$D$115,"2264*",G$95:G$115)+SUMIF($D$138:$D$140,"2264*",G$138:G$140))</f>
        <v>-24879000</v>
      </c>
      <c r="G151" s="2733"/>
      <c r="H151" s="2756"/>
      <c r="I151" s="2733"/>
      <c r="J151" s="2756">
        <f>SUMIF($D$95:$D$115,"2264*",J$95:J$115)+SUMIF($D$138:$D$140,"2264*",J$138:J$140)-(SUMIF($D$95:$D$115,"2264*",K$95:K$115)+SUMIF($D$138:$D$140,"2264*",K$138:K$140))</f>
        <v>-7364668</v>
      </c>
      <c r="K151" s="2733"/>
      <c r="L151" s="2756">
        <f>SUMIF($D$95:$D$115,"2264*",L$95:L$115)+SUMIF($D$138:$D$140,"2264*",L$138:L$140)-(SUMIF($D$95:$D$115,"2264*",M$95:M$115)+SUMIF($D$138:$D$140,"2264*",M$138:M$140))</f>
        <v>-5086450</v>
      </c>
      <c r="M151" s="2733"/>
      <c r="N151" s="2756">
        <f>SUMIF($D$95:$D$115,"2264*",N$95:N$115)+SUMIF($D$138:$D$140,"2264*",N$138:N$140)-(SUMIF($D$95:$D$115,"2264*",O$95:O$115)+SUMIF($D$138:$D$140,"2264*",O$138:O$140))</f>
        <v>-6966418</v>
      </c>
      <c r="O151" s="2733"/>
      <c r="P151" s="2756">
        <f>SUMIF($D$95:$D$115,"2264*",P$95:P$115)+SUMIF($D$138:$D$140,"2264*",P$138:P$140)-(SUMIF($D$95:$D$115,"2264*",Q$95:Q$115)+SUMIF($D$138:$D$140,"2264*",Q$138:Q$140))</f>
        <v>-4222668</v>
      </c>
      <c r="Q151" s="2733"/>
      <c r="R151" s="2756">
        <f>SUMIF($D$95:$D$115,"2264*",R$95:R$115)+SUMIF($D$138:$D$140,"2264*",R$138:R$140)-(SUMIF($D$95:$D$115,"2264*",S$95:S$115)+SUMIF($D$138:$D$140,"2264*",S$138:S$140))</f>
        <v>-6069668</v>
      </c>
      <c r="S151" s="2733"/>
      <c r="T151" s="2756">
        <f>SUMIF($D$95:$D$115,"2264*",T$95:T$115)+SUMIF($D$138:$D$140,"2264*",T$138:T$140)-(SUMIF($D$95:$D$115,"2264*",U$95:U$115)+SUMIF($D$138:$D$140,"2264*",U$138:U$140))</f>
        <v>-3727668</v>
      </c>
      <c r="U151" s="2733"/>
      <c r="V151" s="2756">
        <f>SUMIF($D$95:$D$115,"2264*",V$95:V$115)+SUMIF($D$138:$D$140,"2264*",V$138:V$140)-(SUMIF($D$95:$D$115,"2264*",W$95:W$115)+SUMIF($D$138:$D$140,"2264*",W$138:W$140))</f>
        <v>-7980568</v>
      </c>
      <c r="W151" s="2733"/>
      <c r="X151" s="2756">
        <f>SUMIF($D$95:$D$115,"2264*",X$95:X$115)+SUMIF($D$138:$D$140,"2264*",X$138:X$140)-(SUMIF($D$95:$D$115,"2264*",Y$95:Y$115)+SUMIF($D$138:$D$140,"2264*",Y$138:Y$140))</f>
        <v>-4457668</v>
      </c>
      <c r="Y151" s="2733"/>
      <c r="Z151" s="2756">
        <f>SUMIF($D$95:$D$115,"2264*",Z$95:Z$115)+SUMIF($D$138:$D$140,"2264*",Z$138:Z$140)-(SUMIF($D$95:$D$115,"2264*",AA$95:AA$115)+SUMIF($D$138:$D$140,"2264*",AA$138:AA$140))</f>
        <v>-4396168</v>
      </c>
      <c r="AA151" s="2733"/>
      <c r="AB151" s="2756">
        <f>SUMIF($D$95:$D$115,"2264*",AB$95:AB$115)+SUMIF($D$138:$D$140,"2264*",AB$138:AB$140)-(SUMIF($D$95:$D$115,"2264*",AC$95:AC$115)+SUMIF($D$138:$D$140,"2264*",AC$138:AC$140))</f>
        <v>-5539168</v>
      </c>
      <c r="AC151" s="2733"/>
      <c r="AD151" s="2756">
        <f>SUMIF($D$95:$D$115,"2264*",AD$95:AD$115)+SUMIF($D$138:$D$140,"2264*",AD$138:AD$140)-(SUMIF($D$95:$D$115,"2264*",AE$95:AE$115)+SUMIF($D$138:$D$140,"2264*",AE$138:AE$140))</f>
        <v>-5394168</v>
      </c>
      <c r="AE151" s="2733"/>
      <c r="AF151" s="2756">
        <f>SUMIF($D$95:$D$115,"2264*",AF$95:AF$115)+SUMIF($D$138:$D$140,"2264*",AF$138:AF$140)-(SUMIF($D$95:$D$115,"2264*",AG$95:AG$115)+SUMIF($D$138:$D$140,"2264*",AG$138:AG$140))</f>
        <v>-11816252</v>
      </c>
      <c r="AG151" s="2733"/>
      <c r="AH151" s="2756">
        <f>SUMIF($D$95:$D$115,"2264*",AH$95:AH$115)+SUMIF($D$138:$D$140,"2264*",AH$138:AH$140)-(SUMIF($D$95:$D$115,"2264*",AI$95:AI$115)+SUMIF($D$138:$D$140,"2264*",AI$138:AI$140))</f>
        <v>-73021532</v>
      </c>
      <c r="AI151" s="2733"/>
      <c r="AJ151" s="2756"/>
      <c r="AK151" s="2733"/>
      <c r="AL151" s="2756">
        <f>SUMIF($D$95:$D$115,"2264*",AL$95:AL$115)+SUMIF($D$138:$D$140,"2264*",AL$138:AL$140)-(SUMIF($D$95:$D$115,"2264*",AM$95:AM$115)+SUMIF($D$138:$D$140,"2264*",AM$138:AM$140))</f>
        <v>-74414390</v>
      </c>
      <c r="AM151" s="2733"/>
      <c r="AN151" s="2756"/>
      <c r="AO151" s="2733"/>
      <c r="AP151" s="2756">
        <f>SUMIF($D$95:$D$115,"2264*",AP$95:AP$115)+SUMIF($D$138:$D$140,"2264*",AP$138:AP$140)-(SUMIF($D$95:$D$115,"2264*",AQ$95:AQ$115)+SUMIF($D$138:$D$140,"2264*",AQ$138:AQ$140))</f>
        <v>-75921350</v>
      </c>
      <c r="AQ151" s="2733"/>
      <c r="AR151" s="2756"/>
      <c r="AS151" s="2733"/>
      <c r="AT151" s="2756">
        <f>SUMIF($D$95:$D$115,"2264*",AT$95:AT$115)+SUMIF($D$138:$D$140,"2264*",AT$138:AT$140)-(SUMIF($D$95:$D$115,"2264*",AU$95:AU$115)+SUMIF($D$138:$D$140,"2264*",AU$138:AU$140))</f>
        <v>-78556017</v>
      </c>
      <c r="AU151" s="2733"/>
      <c r="AV151" s="2756"/>
      <c r="AW151" s="2733"/>
      <c r="AX151" s="2756">
        <f>SUMIF($D$95:$D$115,"2264*",AX$95:AX$115)+SUMIF($D$138:$D$140,"2264*",AX$138:AX$140)-(SUMIF($D$95:$D$115,"2264*",AY$95:AY$115)+SUMIF($D$138:$D$140,"2264*",AY$138:AY$140))</f>
        <v>-83656350</v>
      </c>
      <c r="AY151" s="2733"/>
      <c r="AZ151" s="2756"/>
      <c r="BA151" s="2733"/>
      <c r="BB151" s="2731"/>
    </row>
    <row r="152" spans="1:55" s="2734" customFormat="1" ht="16.2">
      <c r="A152" s="2731"/>
      <c r="B152" s="2757" t="s">
        <v>2544</v>
      </c>
      <c r="C152" s="2732"/>
      <c r="D152" s="2731"/>
      <c r="E152" s="2731"/>
      <c r="F152" s="2756">
        <f>SUMIF($D$95:$D$115,"2214*",F$95:F$115)+SUMIF($D$138:$D$140,"2214*",F$138:F$140)-(SUMIF($D$95:$D$115,"2214*",G$95:G$115)+SUMIF($D$138:$D$140,"2214*",G$138:G$140))</f>
        <v>-346975</v>
      </c>
      <c r="G152" s="2733"/>
      <c r="H152" s="2756"/>
      <c r="I152" s="2733"/>
      <c r="J152" s="2756">
        <f>SUMIF($D$95:$D$115,"2214*",J$95:J$115)+SUMIF($D$138:$D$140,"2214*",J$138:J$140)-(SUMIF($D$95:$D$115,"2214*",K$95:K$115)+SUMIF($D$138:$D$140,"2214*",K$138:K$140))</f>
        <v>-86475</v>
      </c>
      <c r="K152" s="2733"/>
      <c r="L152" s="2756">
        <f>SUMIF($D$95:$D$115,"2214*",L$95:L$115)+SUMIF($D$138:$D$140,"2214*",L$138:L$140)-(SUMIF($D$95:$D$115,"2214*",M$95:M$115)+SUMIF($D$138:$D$140,"2214*",M$138:M$140))</f>
        <v>0</v>
      </c>
      <c r="M152" s="2733"/>
      <c r="N152" s="2756">
        <f>SUMIF($D$95:$D$115,"2214*",N$95:N$115)+SUMIF($D$138:$D$140,"2214*",N$138:N$140)-(SUMIF($D$95:$D$115,"2214*",O$95:O$115)+SUMIF($D$138:$D$140,"2214*",O$138:O$140))</f>
        <v>-83150</v>
      </c>
      <c r="O152" s="2733"/>
      <c r="P152" s="2756">
        <f>SUMIF($D$95:$D$115,"2214*",P$95:P$115)+SUMIF($D$138:$D$140,"2214*",P$138:P$140)-(SUMIF($D$95:$D$115,"2214*",Q$95:Q$115)+SUMIF($D$138:$D$140,"2214*",Q$138:Q$140))</f>
        <v>-15825</v>
      </c>
      <c r="Q152" s="2733"/>
      <c r="R152" s="2756">
        <f>SUMIF($D$95:$D$115,"2214*",R$95:R$115)+SUMIF($D$138:$D$140,"2214*",R$138:R$140)-(SUMIF($D$95:$D$115,"2214*",S$95:S$115)+SUMIF($D$138:$D$140,"2214*",S$138:S$140))</f>
        <v>-65800</v>
      </c>
      <c r="S152" s="2733"/>
      <c r="T152" s="2756">
        <f>SUMIF($D$95:$D$115,"2214*",T$95:T$115)+SUMIF($D$138:$D$140,"2214*",T$138:T$140)-(SUMIF($D$95:$D$115,"2214*",U$95:U$115)+SUMIF($D$138:$D$140,"2214*",U$138:U$140))</f>
        <v>0</v>
      </c>
      <c r="U152" s="2733"/>
      <c r="V152" s="2756">
        <f>SUMIF($D$95:$D$115,"2214*",V$95:V$115)+SUMIF($D$138:$D$140,"2214*",V$138:V$140)-(SUMIF($D$95:$D$115,"2214*",W$95:W$115)+SUMIF($D$138:$D$140,"2214*",W$138:W$140))</f>
        <v>-116920</v>
      </c>
      <c r="W152" s="2733"/>
      <c r="X152" s="2756">
        <f>SUMIF($D$95:$D$115,"2214*",X$95:X$115)+SUMIF($D$138:$D$140,"2214*",X$138:X$140)-(SUMIF($D$95:$D$115,"2214*",Y$95:Y$115)+SUMIF($D$138:$D$140,"2214*",Y$138:Y$140))</f>
        <v>0</v>
      </c>
      <c r="Y152" s="2733"/>
      <c r="Z152" s="2756">
        <f>SUMIF($D$95:$D$115,"2214*",Z$95:Z$115)+SUMIF($D$138:$D$140,"2214*",Z$138:Z$140)-(SUMIF($D$95:$D$115,"2214*",AA$95:AA$115)+SUMIF($D$138:$D$140,"2214*",AA$138:AA$140))</f>
        <v>0</v>
      </c>
      <c r="AA152" s="2733"/>
      <c r="AB152" s="2756">
        <f>SUMIF($D$95:$D$115,"2214*",AB$95:AB$115)+SUMIF($D$138:$D$140,"2214*",AB$138:AB$140)-(SUMIF($D$95:$D$115,"2214*",AC$95:AC$115)+SUMIF($D$138:$D$140,"2214*",AC$138:AC$140))</f>
        <v>0</v>
      </c>
      <c r="AC152" s="2733"/>
      <c r="AD152" s="2756">
        <f>SUMIF($D$95:$D$115,"2214*",AD$95:AD$115)+SUMIF($D$138:$D$140,"2214*",AD$138:AD$140)-(SUMIF($D$95:$D$115,"2214*",AE$95:AE$115)+SUMIF($D$138:$D$140,"2214*",AE$138:AE$140))</f>
        <v>0</v>
      </c>
      <c r="AE152" s="2733"/>
      <c r="AF152" s="2756">
        <f>SUMIF($D$95:$D$115,"2214*",AF$95:AF$115)+SUMIF($D$138:$D$140,"2214*",AF$138:AF$140)-(SUMIF($D$95:$D$115,"2214*",AG$95:AG$115)+SUMIF($D$138:$D$140,"2214*",AG$138:AG$140))</f>
        <v>-276105</v>
      </c>
      <c r="AG152" s="2733"/>
      <c r="AH152" s="2756">
        <f>SUMIF($D$95:$D$115,"2214*",AH$95:AH$115)+SUMIF($D$138:$D$140,"2214*",AH$138:AH$140)-(SUMIF($D$95:$D$115,"2214*",AI$95:AI$115)+SUMIF($D$138:$D$140,"2214*",AI$138:AI$140))</f>
        <v>-644275</v>
      </c>
      <c r="AI152" s="2733"/>
      <c r="AJ152" s="2756"/>
      <c r="AK152" s="2733"/>
      <c r="AL152" s="2756">
        <f>SUMIF($D$95:$D$115,"2214*",AL$95:AL$115)+SUMIF($D$138:$D$140,"2214*",AL$138:AL$140)-(SUMIF($D$95:$D$115,"2214*",AM$95:AM$115)+SUMIF($D$138:$D$140,"2214*",AM$138:AM$140))</f>
        <v>-185905</v>
      </c>
      <c r="AM152" s="2733"/>
      <c r="AN152" s="2756"/>
      <c r="AO152" s="2733"/>
      <c r="AP152" s="2756">
        <f>SUMIF($D$95:$D$115,"2214*",AP$95:AP$115)+SUMIF($D$138:$D$140,"2214*",AP$138:AP$140)-(SUMIF($D$95:$D$115,"2214*",AQ$95:AQ$115)+SUMIF($D$138:$D$140,"2214*",AQ$138:AQ$140))</f>
        <v>-204605</v>
      </c>
      <c r="AQ152" s="2733"/>
      <c r="AR152" s="2756"/>
      <c r="AS152" s="2733"/>
      <c r="AT152" s="2756">
        <f>SUMIF($D$95:$D$115,"2214*",AT$95:AT$115)+SUMIF($D$138:$D$140,"2214*",AT$138:AT$140)-(SUMIF($D$95:$D$115,"2214*",AU$95:AU$115)+SUMIF($D$138:$D$140,"2214*",AU$138:AU$140))</f>
        <v>-184630</v>
      </c>
      <c r="AU152" s="2733"/>
      <c r="AV152" s="2756"/>
      <c r="AW152" s="2733"/>
      <c r="AX152" s="2756">
        <f>SUMIF($D$95:$D$115,"2214*",AX$95:AX$115)+SUMIF($D$138:$D$140,"2214*",AX$138:AX$140)-(SUMIF($D$95:$D$115,"2214*",AY$95:AY$115)+SUMIF($D$138:$D$140,"2214*",AY$138:AY$140))</f>
        <v>-138105</v>
      </c>
      <c r="AY152" s="2733"/>
      <c r="AZ152" s="2756"/>
      <c r="BA152" s="2733"/>
      <c r="BB152" s="2731"/>
    </row>
    <row r="153" spans="1:55" s="2734" customFormat="1" ht="16.2">
      <c r="A153" s="2731"/>
      <c r="B153" s="2757" t="s">
        <v>2545</v>
      </c>
      <c r="C153" s="2732"/>
      <c r="D153" s="2731"/>
      <c r="E153" s="2731"/>
      <c r="F153" s="2756">
        <f>SUMIF($D$95:$D$115,"1103*",F$95:F$115)+SUMIF($D$138:$D$140,"1103*",F$138:F$140)-(SUMIF($D$95:$D$115,"1103*",G$95:G$115)+SUMIF($D$138:$D$140,"1103*",G$138:G$140))</f>
        <v>7286475</v>
      </c>
      <c r="G153" s="2733"/>
      <c r="H153" s="2756"/>
      <c r="I153" s="2733"/>
      <c r="J153" s="2756">
        <f>SUMIF($D$95:$D$115,"1103*",J$95:J$115)+SUMIF($D$138:$D$140,"1103*",J$138:J$140)-(SUMIF($D$95:$D$115,"1103*",K$95:K$115)+SUMIF($D$138:$D$140,"1103*",K$138:K$140))</f>
        <v>1815975</v>
      </c>
      <c r="K153" s="2733"/>
      <c r="L153" s="2756">
        <f>SUMIF($D$95:$D$115,"1103*",L$95:L$115)+SUMIF($D$138:$D$140,"1103*",L$138:L$140)-(SUMIF($D$95:$D$115,"1103*",M$95:M$115)+SUMIF($D$138:$D$140,"1103*",M$138:M$140))</f>
        <v>0</v>
      </c>
      <c r="M153" s="2733"/>
      <c r="N153" s="2756">
        <f>SUMIF($D$95:$D$115,"1103*",N$95:N$115)+SUMIF($D$138:$D$140,"1103*",N$138:N$140)-(SUMIF($D$95:$D$115,"1103*",O$95:O$115)+SUMIF($D$138:$D$140,"1103*",O$138:O$140))</f>
        <v>1746150</v>
      </c>
      <c r="O153" s="2733"/>
      <c r="P153" s="2756">
        <f>SUMIF($D$95:$D$115,"1103*",P$95:P$115)+SUMIF($D$138:$D$140,"1103*",P$138:P$140)-(SUMIF($D$95:$D$115,"1103*",Q$95:Q$115)+SUMIF($D$138:$D$140,"1103*",Q$138:Q$140))</f>
        <v>332325</v>
      </c>
      <c r="Q153" s="2733"/>
      <c r="R153" s="2756">
        <f>SUMIF($D$95:$D$115,"1103*",R$95:R$115)+SUMIF($D$138:$D$140,"1103*",R$138:R$140)-(SUMIF($D$95:$D$115,"1103*",S$95:S$115)+SUMIF($D$138:$D$140,"1103*",S$138:S$140))</f>
        <v>1381800</v>
      </c>
      <c r="S153" s="2733"/>
      <c r="T153" s="2756">
        <f>SUMIF($D$95:$D$115,"1103*",T$95:T$115)+SUMIF($D$138:$D$140,"1103*",T$138:T$140)-(SUMIF($D$95:$D$115,"1103*",U$95:U$115)+SUMIF($D$138:$D$140,"1103*",U$138:U$140))</f>
        <v>0</v>
      </c>
      <c r="U153" s="2733"/>
      <c r="V153" s="2756">
        <f>SUMIF($D$95:$D$115,"1103*",V$95:V$115)+SUMIF($D$138:$D$140,"1103*",V$138:V$140)-(SUMIF($D$95:$D$115,"1103*",W$95:W$115)+SUMIF($D$138:$D$140,"1103*",W$138:W$140))</f>
        <v>2455320</v>
      </c>
      <c r="W153" s="2733"/>
      <c r="X153" s="2756">
        <f>SUMIF($D$95:$D$115,"1103*",X$95:X$115)+SUMIF($D$138:$D$140,"1103*",X$138:X$140)-(SUMIF($D$95:$D$115,"1103*",Y$95:Y$115)+SUMIF($D$138:$D$140,"1103*",Y$138:Y$140))</f>
        <v>0</v>
      </c>
      <c r="Y153" s="2733"/>
      <c r="Z153" s="2756">
        <f>SUMIF($D$95:$D$115,"1103*",Z$95:Z$115)+SUMIF($D$138:$D$140,"1103*",Z$138:Z$140)-(SUMIF($D$95:$D$115,"1103*",AA$95:AA$115)+SUMIF($D$138:$D$140,"1103*",AA$138:AA$140))</f>
        <v>0</v>
      </c>
      <c r="AA153" s="2733"/>
      <c r="AB153" s="2756">
        <f>SUMIF($D$95:$D$115,"1103*",AB$95:AB$115)+SUMIF($D$138:$D$140,"1103*",AB$138:AB$140)-(SUMIF($D$95:$D$115,"1103*",AC$95:AC$115)+SUMIF($D$138:$D$140,"1103*",AC$138:AC$140))</f>
        <v>0</v>
      </c>
      <c r="AC153" s="2733"/>
      <c r="AD153" s="2756">
        <f>SUMIF($D$95:$D$115,"1103*",AD$95:AD$115)+SUMIF($D$138:$D$140,"1103*",AD$138:AD$140)-(SUMIF($D$95:$D$115,"1103*",AE$95:AE$115)+SUMIF($D$138:$D$140,"1103*",AE$138:AE$140))</f>
        <v>0</v>
      </c>
      <c r="AE153" s="2733"/>
      <c r="AF153" s="2756">
        <f>SUMIF($D$95:$D$115,"1103*",AF$95:AF$115)+SUMIF($D$138:$D$140,"1103*",AF$138:AF$140)-(SUMIF($D$95:$D$115,"1103*",AG$95:AG$115)+SUMIF($D$138:$D$140,"1103*",AG$138:AG$140))</f>
        <v>5798205</v>
      </c>
      <c r="AG153" s="2733"/>
      <c r="AH153" s="2756">
        <f>SUMIF($D$95:$D$115,"1103*",AH$95:AH$115)+SUMIF($D$138:$D$140,"1103*",AH$138:AH$140)-(SUMIF($D$95:$D$115,"1103*",AI$95:AI$115)+SUMIF($D$138:$D$140,"1103*",AI$138:AI$140))</f>
        <v>13529775</v>
      </c>
      <c r="AI153" s="2733"/>
      <c r="AJ153" s="2756"/>
      <c r="AK153" s="2733"/>
      <c r="AL153" s="2756">
        <f>SUMIF($D$95:$D$115,"1103*",AL$95:AL$115)+SUMIF($D$138:$D$140,"1103*",AL$138:AL$140)-(SUMIF($D$95:$D$115,"1103*",AM$95:AM$115)+SUMIF($D$138:$D$140,"1103*",AM$138:AM$140))</f>
        <v>3904005</v>
      </c>
      <c r="AM153" s="2733"/>
      <c r="AN153" s="2756"/>
      <c r="AO153" s="2733"/>
      <c r="AP153" s="2756">
        <f>SUMIF($D$95:$D$115,"1103*",AP$95:AP$115)+SUMIF($D$138:$D$140,"1103*",AP$138:AP$140)-(SUMIF($D$95:$D$115,"1103*",AQ$95:AQ$115)+SUMIF($D$138:$D$140,"1103*",AQ$138:AQ$140))</f>
        <v>4296705</v>
      </c>
      <c r="AQ153" s="2733"/>
      <c r="AR153" s="2756"/>
      <c r="AS153" s="2733"/>
      <c r="AT153" s="2756">
        <f>SUMIF($D$95:$D$115,"1103*",AT$95:AT$115)+SUMIF($D$138:$D$140,"1103*",AT$138:AT$140)-(SUMIF($D$95:$D$115,"1103*",AU$95:AU$115)+SUMIF($D$138:$D$140,"1103*",AU$138:AU$140))</f>
        <v>3877230</v>
      </c>
      <c r="AU153" s="2733"/>
      <c r="AV153" s="2756"/>
      <c r="AW153" s="2733"/>
      <c r="AX153" s="2756">
        <f>SUMIF($D$95:$D$115,"1103*",AX$95:AX$115)+SUMIF($D$138:$D$140,"1103*",AX$138:AX$140)-(SUMIF($D$95:$D$115,"1103*",AY$95:AY$115)+SUMIF($D$138:$D$140,"1103*",AY$138:AY$140))</f>
        <v>2900205</v>
      </c>
      <c r="AY153" s="2733"/>
      <c r="AZ153" s="2756"/>
      <c r="BA153" s="2733"/>
      <c r="BB153" s="2731"/>
    </row>
    <row r="154" spans="1:55" s="2734" customFormat="1" ht="16.2">
      <c r="A154" s="2731"/>
      <c r="B154" s="2757" t="s">
        <v>2546</v>
      </c>
      <c r="C154" s="2732"/>
      <c r="D154" s="2731"/>
      <c r="E154" s="2731"/>
      <c r="F154" s="2756">
        <f>SUMIF($D$95:$D$115,"46110050*",F$95:F$115)+SUMIF($D$138:$D$140,"46110050*",F$138:F$140)-(SUMIF($D$95:$D$115,"46110050*",G$95:G$115)+SUMIF($D$138:$D$140,"46110050*",G$138:G$140))</f>
        <v>-3427500</v>
      </c>
      <c r="G154" s="2733"/>
      <c r="H154" s="2756"/>
      <c r="I154" s="2733"/>
      <c r="J154" s="2756">
        <f>SUMIF($D$95:$D$115,"46110050*",J$95:J$115)+SUMIF($D$138:$D$140,"46110050*",J$138:J$140)-(SUMIF($D$95:$D$115,"46110050*",K$95:K$115)+SUMIF($D$138:$D$140,"46110050*",K$138:K$140))</f>
        <v>-29500</v>
      </c>
      <c r="K154" s="2733"/>
      <c r="L154" s="2756">
        <f>SUMIF($D$95:$D$115,"46110050*",L$95:L$115)+SUMIF($D$138:$D$140,"46110050*",L$138:L$140)-(SUMIF($D$95:$D$115,"46110050*",M$95:M$115)+SUMIF($D$138:$D$140,"46110050*",M$138:M$140))</f>
        <v>-29500</v>
      </c>
      <c r="M154" s="2733"/>
      <c r="N154" s="2756">
        <f>SUMIF($D$95:$D$115,"46110050*",N$95:N$115)+SUMIF($D$138:$D$140,"46110050*",N$138:N$140)-(SUMIF($D$95:$D$115,"46110050*",O$95:O$115)+SUMIF($D$138:$D$140,"46110050*",O$138:O$140))</f>
        <v>-29500</v>
      </c>
      <c r="O154" s="2733"/>
      <c r="P154" s="2756">
        <f>SUMIF($D$95:$D$115,"46110050*",P$95:P$115)+SUMIF($D$138:$D$140,"46110050*",P$138:P$140)-(SUMIF($D$95:$D$115,"46110050*",Q$95:Q$115)+SUMIF($D$138:$D$140,"46110050*",Q$138:Q$140))</f>
        <v>-1294500</v>
      </c>
      <c r="Q154" s="2733"/>
      <c r="R154" s="2756">
        <f>SUMIF($D$95:$D$115,"46110050*",R$95:R$115)+SUMIF($D$138:$D$140,"46110050*",R$138:R$140)-(SUMIF($D$95:$D$115,"46110050*",S$95:S$115)+SUMIF($D$138:$D$140,"46110050*",S$138:S$140))</f>
        <v>-29500</v>
      </c>
      <c r="S154" s="2733"/>
      <c r="T154" s="2756">
        <f>SUMIF($D$95:$D$115,"46110050*",T$95:T$115)+SUMIF($D$138:$D$140,"46110050*",T$138:T$140)-(SUMIF($D$95:$D$115,"46110050*",U$95:U$115)+SUMIF($D$138:$D$140,"46110050*",U$138:U$140))</f>
        <v>-29500</v>
      </c>
      <c r="U154" s="2733"/>
      <c r="V154" s="2756">
        <f>SUMIF($D$95:$D$115,"46110050*",V$95:V$115)+SUMIF($D$138:$D$140,"46110050*",V$138:V$140)-(SUMIF($D$95:$D$115,"46110050*",W$95:W$115)+SUMIF($D$138:$D$140,"46110050*",W$138:W$140))</f>
        <v>-29500</v>
      </c>
      <c r="W154" s="2733"/>
      <c r="X154" s="2756">
        <f>SUMIF($D$95:$D$115,"46110050*",X$95:X$115)+SUMIF($D$138:$D$140,"46110050*",X$138:X$140)-(SUMIF($D$95:$D$115,"46110050*",Y$95:Y$115)+SUMIF($D$138:$D$140,"46110050*",Y$138:Y$140))</f>
        <v>-29500</v>
      </c>
      <c r="Y154" s="2733"/>
      <c r="Z154" s="2756">
        <f>SUMIF($D$95:$D$115,"46110050*",Z$95:Z$115)+SUMIF($D$138:$D$140,"46110050*",Z$138:Z$140)-(SUMIF($D$95:$D$115,"46110050*",AA$95:AA$115)+SUMIF($D$138:$D$140,"46110050*",AA$138:AA$140))</f>
        <v>-29500</v>
      </c>
      <c r="AA154" s="2733"/>
      <c r="AB154" s="2756">
        <f>SUMIF($D$95:$D$115,"46110050*",AB$95:AB$115)+SUMIF($D$138:$D$140,"46110050*",AB$138:AB$140)-(SUMIF($D$95:$D$115,"46110050*",AC$95:AC$115)+SUMIF($D$138:$D$140,"46110050*",AC$138:AC$140))</f>
        <v>-204500</v>
      </c>
      <c r="AC154" s="2733"/>
      <c r="AD154" s="2756">
        <f>SUMIF($D$95:$D$115,"46110050*",AD$95:AD$115)+SUMIF($D$138:$D$140,"46110050*",AD$138:AD$140)-(SUMIF($D$95:$D$115,"46110050*",AE$95:AE$115)+SUMIF($D$138:$D$140,"46110050*",AE$138:AE$140))</f>
        <v>-29500</v>
      </c>
      <c r="AE154" s="2733"/>
      <c r="AF154" s="2756">
        <f>SUMIF($D$95:$D$115,"46110050*",AF$95:AF$115)+SUMIF($D$138:$D$140,"46110050*",AF$138:AF$140)-(SUMIF($D$95:$D$115,"46110050*",AG$95:AG$115)+SUMIF($D$138:$D$140,"46110050*",AG$138:AG$140))</f>
        <v>-1229500</v>
      </c>
      <c r="AG154" s="2733"/>
      <c r="AH154" s="2756">
        <f>SUMIF($D$95:$D$115,"46110050*",AH$95:AH$115)+SUMIF($D$138:$D$140,"46110050*",AH$138:AH$140)-(SUMIF($D$95:$D$115,"46110050*",AI$95:AI$115)+SUMIF($D$138:$D$140,"46110050*",AI$138:AI$140))</f>
        <v>-2994000</v>
      </c>
      <c r="AI154" s="2733"/>
      <c r="AJ154" s="2756"/>
      <c r="AK154" s="2733"/>
      <c r="AL154" s="2756">
        <f>SUMIF($D$95:$D$115,"46110050*",AL$95:AL$115)+SUMIF($D$138:$D$140,"46110050*",AL$138:AL$140)-(SUMIF($D$95:$D$115,"46110050*",AM$95:AM$115)+SUMIF($D$138:$D$140,"46110050*",AM$138:AM$140))</f>
        <v>-1470000</v>
      </c>
      <c r="AM154" s="2733"/>
      <c r="AN154" s="2756"/>
      <c r="AO154" s="2733"/>
      <c r="AP154" s="2756">
        <f>SUMIF($D$95:$D$115,"46110050*",AP$95:AP$115)+SUMIF($D$138:$D$140,"46110050*",AP$138:AP$140)-(SUMIF($D$95:$D$115,"46110050*",AQ$95:AQ$115)+SUMIF($D$138:$D$140,"46110050*",AQ$138:AQ$140))</f>
        <v>-1931500</v>
      </c>
      <c r="AQ154" s="2733"/>
      <c r="AR154" s="2756"/>
      <c r="AS154" s="2733"/>
      <c r="AT154" s="2756">
        <f>SUMIF($D$95:$D$115,"46110050*",AT$95:AT$115)+SUMIF($D$138:$D$140,"46110050*",AT$138:AT$140)-(SUMIF($D$95:$D$115,"46110050*",AU$95:AU$115)+SUMIF($D$138:$D$140,"46110050*",AU$138:AU$140))</f>
        <v>-1597500</v>
      </c>
      <c r="AU154" s="2733"/>
      <c r="AV154" s="2756"/>
      <c r="AW154" s="2733"/>
      <c r="AX154" s="2756">
        <f>SUMIF($D$95:$D$115,"46110050*",AX$95:AX$115)+SUMIF($D$138:$D$140,"46110050*",AX$138:AX$140)-(SUMIF($D$95:$D$115,"46110050*",AY$95:AY$115)+SUMIF($D$138:$D$140,"46110050*",AY$138:AY$140))</f>
        <v>0</v>
      </c>
      <c r="AY154" s="2733"/>
      <c r="AZ154" s="2756"/>
      <c r="BA154" s="2733"/>
      <c r="BB154" s="2731"/>
    </row>
    <row r="155" spans="1:55" s="2734" customFormat="1">
      <c r="A155" s="2731"/>
      <c r="B155" s="2732"/>
      <c r="C155" s="2732"/>
      <c r="D155" s="2731"/>
      <c r="E155" s="2731"/>
      <c r="F155" s="2733"/>
      <c r="G155" s="2733"/>
      <c r="H155" s="2731"/>
      <c r="I155" s="2731"/>
      <c r="J155" s="2733"/>
      <c r="K155" s="2733"/>
      <c r="L155" s="2733"/>
      <c r="M155" s="2733"/>
      <c r="N155" s="2731"/>
      <c r="O155" s="2733"/>
      <c r="P155" s="2731"/>
      <c r="Q155" s="2733"/>
      <c r="R155" s="2731"/>
      <c r="S155" s="2733"/>
      <c r="T155" s="2731"/>
      <c r="U155" s="2733"/>
      <c r="V155" s="2731"/>
      <c r="W155" s="2733"/>
      <c r="X155" s="2731"/>
      <c r="Y155" s="2733"/>
      <c r="Z155" s="2731"/>
      <c r="AA155" s="2733"/>
      <c r="AB155" s="2731"/>
      <c r="AC155" s="2733"/>
      <c r="AD155" s="2731"/>
      <c r="AE155" s="2733"/>
      <c r="AF155" s="2731"/>
      <c r="AG155" s="2733"/>
      <c r="AH155" s="2731"/>
      <c r="AI155" s="2733"/>
      <c r="AJ155" s="2733"/>
      <c r="AK155" s="2731"/>
      <c r="AM155" s="2731"/>
      <c r="AO155" s="2731"/>
      <c r="AP155" s="2731"/>
      <c r="AR155" s="2731"/>
      <c r="AT155" s="2731"/>
      <c r="AV155" s="2731"/>
      <c r="AX155" s="2731"/>
      <c r="AZ155" s="2731"/>
      <c r="BB155" s="2731"/>
    </row>
    <row r="156" spans="1:55" s="2734" customFormat="1">
      <c r="A156" s="2731"/>
      <c r="B156" s="2732"/>
      <c r="C156" s="2732"/>
      <c r="D156" s="2731"/>
      <c r="E156" s="2731"/>
      <c r="F156" s="2733"/>
      <c r="G156" s="2733"/>
      <c r="H156" s="2731"/>
      <c r="I156" s="2731"/>
      <c r="J156" s="2733"/>
      <c r="K156" s="2733"/>
      <c r="L156" s="2733"/>
      <c r="M156" s="2733"/>
      <c r="N156" s="2731"/>
      <c r="O156" s="2733"/>
      <c r="P156" s="2731"/>
      <c r="Q156" s="2733"/>
      <c r="R156" s="2731"/>
      <c r="S156" s="2733"/>
      <c r="T156" s="2731"/>
      <c r="U156" s="2733"/>
      <c r="V156" s="2731"/>
      <c r="W156" s="2733"/>
      <c r="X156" s="2731"/>
      <c r="Y156" s="2733"/>
      <c r="Z156" s="2731"/>
      <c r="AA156" s="2733"/>
      <c r="AB156" s="2731"/>
      <c r="AC156" s="2733"/>
      <c r="AD156" s="2731"/>
      <c r="AE156" s="2733"/>
      <c r="AF156" s="2731"/>
      <c r="AG156" s="2733"/>
      <c r="AH156" s="2731"/>
      <c r="AI156" s="2733"/>
      <c r="AJ156" s="2733"/>
      <c r="AK156" s="2731"/>
      <c r="AM156" s="2731"/>
      <c r="AO156" s="2731"/>
      <c r="AP156" s="2731"/>
      <c r="AR156" s="2731"/>
      <c r="AT156" s="2731"/>
      <c r="AV156" s="2731"/>
      <c r="AX156" s="2731"/>
      <c r="AZ156" s="2731"/>
      <c r="BB156" s="2731"/>
    </row>
    <row r="157" spans="1:55">
      <c r="A157" s="4"/>
      <c r="B157" s="98"/>
      <c r="C157" s="98"/>
      <c r="F157" s="98"/>
      <c r="G157" s="98"/>
      <c r="H157" s="105"/>
      <c r="K157" s="98"/>
      <c r="L157" s="105"/>
      <c r="M157" s="105"/>
      <c r="O157" s="105"/>
      <c r="Q157" s="105"/>
      <c r="S157" s="105"/>
      <c r="U157" s="105"/>
      <c r="W157" s="105"/>
      <c r="Y157" s="105"/>
      <c r="AA157" s="105"/>
      <c r="AC157" s="105"/>
      <c r="AE157" s="105"/>
      <c r="AG157" s="105"/>
      <c r="AI157" s="105"/>
      <c r="AK157" s="105"/>
      <c r="AO157" s="105"/>
      <c r="AS157" s="105"/>
      <c r="AW157" s="105"/>
      <c r="BA157" s="105"/>
      <c r="BC157" s="97"/>
    </row>
    <row r="158" spans="1:55" s="214" customFormat="1">
      <c r="B158" s="214" t="s">
        <v>745</v>
      </c>
      <c r="D158" s="97"/>
      <c r="E158" s="97"/>
    </row>
    <row r="159" spans="1:55" s="214" customFormat="1">
      <c r="B159" s="214" t="s">
        <v>2524</v>
      </c>
      <c r="C159" s="281"/>
      <c r="D159" s="97"/>
      <c r="E159" s="97"/>
      <c r="F159" s="2736">
        <f>SUMIF($B$95:$B$123,$B159,G$95:G$123)-SUMIF($B$95:$B$123,$B159,F$95:F$123)</f>
        <v>24879000</v>
      </c>
      <c r="G159" s="640">
        <f>+F159-F59</f>
        <v>0</v>
      </c>
      <c r="H159" s="2736"/>
      <c r="I159" s="640"/>
      <c r="J159" s="2736">
        <f>SUMIF($B$95:$B$123,$B159,K$95:K$123)-SUMIF($B$95:$B$123,$B159,J$95:J$123)</f>
        <v>7364668</v>
      </c>
      <c r="K159" s="640">
        <f>+J159-J59</f>
        <v>0</v>
      </c>
      <c r="L159" s="2736">
        <f>SUMIF($B$95:$B$123,$B159,M$95:M$123)-SUMIF($B$95:$B$123,$B159,L$95:L$123)</f>
        <v>5086450</v>
      </c>
      <c r="M159" s="640">
        <f>+L159-L59</f>
        <v>-67935082</v>
      </c>
      <c r="N159" s="2736">
        <f>SUMIF($B$95:$B$123,$B159,O$95:O$123)-SUMIF($B$95:$B$123,$B159,N$95:N$123)</f>
        <v>6966418</v>
      </c>
      <c r="O159" s="640">
        <f>+N159-N59</f>
        <v>0</v>
      </c>
      <c r="P159" s="2736">
        <f>SUMIF($B$95:$B$123,$B159,Q$95:Q$123)-SUMIF($B$95:$B$123,$B159,P$95:P$123)</f>
        <v>4222668</v>
      </c>
      <c r="Q159" s="640">
        <f>+P159-P59</f>
        <v>0</v>
      </c>
      <c r="R159" s="2736">
        <f>SUMIF($B$95:$B$123,$B159,S$95:S$123)-SUMIF($B$95:$B$123,$B159,R$95:R$123)</f>
        <v>6069668</v>
      </c>
      <c r="S159" s="640">
        <f>+R159-R59</f>
        <v>0</v>
      </c>
      <c r="T159" s="2736">
        <f>SUMIF($B$95:$B$123,$B159,U$95:U$123)-SUMIF($B$95:$B$123,$B159,T$95:T$123)</f>
        <v>3727668</v>
      </c>
      <c r="U159" s="640">
        <f>+T159-T59</f>
        <v>0</v>
      </c>
      <c r="V159" s="2736">
        <f>SUMIF($B$95:$B$123,$B159,W$95:W$123)-SUMIF($B$95:$B$123,$B159,V$95:V$123)</f>
        <v>7980568</v>
      </c>
      <c r="W159" s="640">
        <f>+V159-V59</f>
        <v>0</v>
      </c>
      <c r="X159" s="2736">
        <f>SUMIF($B$95:$B$123,$B159,Y$95:Y$123)-SUMIF($B$95:$B$123,$B159,X$95:X$123)</f>
        <v>4457668</v>
      </c>
      <c r="Y159" s="640">
        <f>+X159-X59</f>
        <v>0</v>
      </c>
      <c r="Z159" s="2736">
        <f>SUMIF($B$95:$B$123,$B159,AA$95:AA$123)-SUMIF($B$95:$B$123,$B159,Z$95:Z$123)</f>
        <v>4396168</v>
      </c>
      <c r="AA159" s="640">
        <f>+Z159-Z59</f>
        <v>0</v>
      </c>
      <c r="AB159" s="2736">
        <f>SUMIF($B$95:$B$123,$B159,AC$95:AC$123)-SUMIF($B$95:$B$123,$B159,AB$95:AB$123)</f>
        <v>5539168</v>
      </c>
      <c r="AC159" s="640">
        <f>+AB159-AB59</f>
        <v>0</v>
      </c>
      <c r="AD159" s="2736">
        <f>SUMIF($B$95:$B$123,$B159,AE$95:AE$123)-SUMIF($B$95:$B$123,$B159,AD$95:AD$123)</f>
        <v>5394168</v>
      </c>
      <c r="AE159" s="640">
        <f>+AD159-AD59</f>
        <v>0</v>
      </c>
      <c r="AF159" s="2736">
        <f>SUMIF($B$95:$B$123,$B159,AG$95:AG$123)-SUMIF($B$95:$B$123,$B159,AF$95:AF$123)</f>
        <v>11816252</v>
      </c>
      <c r="AG159" s="640">
        <f>+AF159-AF59</f>
        <v>0</v>
      </c>
      <c r="AH159" s="2736">
        <f>SUMIF($B$95:$B$123,$B159,AI$95:AI$123)-SUMIF($B$95:$B$123,$B159,AH$95:AH$123)</f>
        <v>73021532</v>
      </c>
      <c r="AI159" s="640">
        <f>+AH159-AH59</f>
        <v>0</v>
      </c>
      <c r="AJ159" s="2736"/>
      <c r="AK159" s="640"/>
      <c r="AL159" s="2736">
        <f>SUMIF($B$95:$B$123,$B159,AM$95:AM$123)-SUMIF($B$95:$B$123,$B159,AL$95:AL$123)</f>
        <v>74414390</v>
      </c>
      <c r="AM159" s="640">
        <f>+AL159-AL59</f>
        <v>0</v>
      </c>
      <c r="AN159" s="2736"/>
      <c r="AO159" s="640"/>
      <c r="AP159" s="2736">
        <f>SUMIF($B$95:$B$123,$B159,AQ$95:AQ$123)-SUMIF($B$95:$B$123,$B159,AP$95:AP$123)</f>
        <v>75921350</v>
      </c>
      <c r="AQ159" s="640">
        <f>+AP159-AP59</f>
        <v>0</v>
      </c>
      <c r="AR159" s="2736"/>
      <c r="AS159" s="640"/>
      <c r="AT159" s="2736">
        <f>SUMIF($B$95:$B$123,$B159,AU$95:AU$123)-SUMIF($B$95:$B$123,$B159,AT$95:AT$123)</f>
        <v>78556017</v>
      </c>
      <c r="AU159" s="640">
        <f>+AT159-AT59</f>
        <v>0</v>
      </c>
      <c r="AX159" s="2736">
        <f>SUMIF($B$95:$B$123,$B159,AY$95:AY$123)-SUMIF($B$95:$B$123,$B159,AX$95:AX$123)</f>
        <v>83656350</v>
      </c>
      <c r="AY159" s="640">
        <f>+AX159-AX59</f>
        <v>0</v>
      </c>
      <c r="AZ159" s="2736"/>
      <c r="BA159" s="640"/>
    </row>
    <row r="160" spans="1:55">
      <c r="J160" s="97"/>
      <c r="L160" s="97"/>
      <c r="N160" s="97"/>
      <c r="P160" s="97"/>
      <c r="R160" s="97"/>
      <c r="T160" s="97"/>
      <c r="V160" s="97"/>
      <c r="X160" s="97"/>
      <c r="Z160" s="97"/>
      <c r="AB160" s="97"/>
      <c r="AD160" s="97"/>
      <c r="AF160" s="97"/>
      <c r="AH160" s="97"/>
      <c r="AJ160" s="97"/>
      <c r="AN160" s="97"/>
      <c r="AR160" s="97"/>
      <c r="AV160" s="2736"/>
      <c r="AW160" s="640"/>
      <c r="AZ160" s="97"/>
      <c r="BC160" s="97"/>
    </row>
    <row r="161" spans="10:55">
      <c r="J161" s="97"/>
      <c r="L161" s="97"/>
      <c r="N161" s="97"/>
      <c r="P161" s="97"/>
      <c r="R161" s="97"/>
      <c r="T161" s="97"/>
      <c r="V161" s="97"/>
      <c r="X161" s="97"/>
      <c r="Z161" s="97"/>
      <c r="AB161" s="97"/>
      <c r="AD161" s="97"/>
      <c r="AF161" s="97"/>
      <c r="AH161" s="97"/>
      <c r="AJ161" s="97"/>
      <c r="AN161" s="97"/>
      <c r="AR161" s="97"/>
      <c r="AV161" s="97"/>
      <c r="AZ161" s="97"/>
      <c r="BC161" s="97"/>
    </row>
    <row r="162" spans="10:55" hidden="1">
      <c r="J162" s="97"/>
      <c r="L162" s="97"/>
      <c r="N162" s="97"/>
      <c r="P162" s="97"/>
      <c r="R162" s="97"/>
      <c r="T162" s="97"/>
      <c r="V162" s="97"/>
      <c r="X162" s="97"/>
      <c r="Z162" s="97"/>
      <c r="AB162" s="97"/>
      <c r="AD162" s="97"/>
      <c r="AF162" s="97"/>
      <c r="AH162" s="97"/>
      <c r="AJ162" s="97"/>
      <c r="AN162" s="97"/>
      <c r="AR162" s="97"/>
      <c r="AV162" s="97"/>
      <c r="AZ162" s="97"/>
      <c r="BC162" s="97"/>
    </row>
    <row r="163" spans="10:55" hidden="1">
      <c r="J163" s="97"/>
      <c r="L163" s="97"/>
      <c r="N163" s="97"/>
      <c r="P163" s="97"/>
      <c r="R163" s="97"/>
      <c r="T163" s="97"/>
      <c r="V163" s="97"/>
      <c r="X163" s="97"/>
      <c r="Z163" s="97"/>
      <c r="AB163" s="97"/>
      <c r="AD163" s="97"/>
      <c r="AF163" s="97"/>
      <c r="AH163" s="97"/>
      <c r="AJ163" s="97"/>
      <c r="AN163" s="97"/>
      <c r="AR163" s="97"/>
      <c r="AV163" s="97"/>
      <c r="AZ163" s="97"/>
      <c r="BC163" s="97"/>
    </row>
    <row r="164" spans="10:55" hidden="1">
      <c r="J164" s="97"/>
      <c r="L164" s="97"/>
      <c r="N164" s="97"/>
      <c r="P164" s="97"/>
      <c r="R164" s="97"/>
      <c r="T164" s="97"/>
      <c r="V164" s="97"/>
      <c r="X164" s="97"/>
      <c r="Z164" s="97"/>
      <c r="AB164" s="97"/>
      <c r="AD164" s="97"/>
      <c r="AF164" s="97"/>
      <c r="AH164" s="97"/>
      <c r="AJ164" s="97"/>
      <c r="AN164" s="97"/>
      <c r="AR164" s="97"/>
      <c r="AV164" s="97"/>
      <c r="AZ164" s="97"/>
      <c r="BC164" s="97"/>
    </row>
    <row r="165" spans="10:55" hidden="1">
      <c r="J165" s="97"/>
      <c r="L165" s="97"/>
      <c r="N165" s="97"/>
      <c r="P165" s="97"/>
      <c r="R165" s="97"/>
      <c r="T165" s="97"/>
      <c r="V165" s="97"/>
      <c r="X165" s="97"/>
      <c r="Z165" s="97"/>
      <c r="AB165" s="97"/>
      <c r="AD165" s="97"/>
      <c r="AF165" s="97"/>
      <c r="AH165" s="97"/>
      <c r="AJ165" s="97"/>
      <c r="AN165" s="97"/>
      <c r="AR165" s="97"/>
      <c r="AV165" s="97"/>
      <c r="AZ165" s="97"/>
      <c r="BC165" s="97"/>
    </row>
    <row r="166" spans="10:55" hidden="1">
      <c r="J166" s="97"/>
      <c r="L166" s="97"/>
      <c r="N166" s="97"/>
      <c r="P166" s="97"/>
      <c r="R166" s="97"/>
      <c r="T166" s="97"/>
      <c r="V166" s="97"/>
      <c r="X166" s="97"/>
      <c r="Z166" s="97"/>
      <c r="AB166" s="97"/>
      <c r="AD166" s="97"/>
      <c r="AF166" s="97"/>
      <c r="AH166" s="97"/>
      <c r="AJ166" s="97"/>
      <c r="AN166" s="97"/>
      <c r="AR166" s="97"/>
      <c r="AV166" s="97"/>
      <c r="AZ166" s="97"/>
      <c r="BC166" s="97"/>
    </row>
    <row r="167" spans="10:55" hidden="1">
      <c r="J167" s="97"/>
      <c r="L167" s="97"/>
      <c r="N167" s="97"/>
      <c r="P167" s="97"/>
      <c r="R167" s="97"/>
      <c r="T167" s="97"/>
      <c r="V167" s="97"/>
      <c r="X167" s="97"/>
      <c r="Z167" s="97"/>
      <c r="AB167" s="97"/>
      <c r="AD167" s="97"/>
      <c r="AF167" s="97"/>
      <c r="AH167" s="97"/>
      <c r="AJ167" s="97"/>
      <c r="AN167" s="97"/>
      <c r="AR167" s="97"/>
      <c r="AV167" s="97"/>
      <c r="AZ167" s="97"/>
      <c r="BC167" s="97"/>
    </row>
    <row r="168" spans="10:55" hidden="1">
      <c r="J168" s="97"/>
      <c r="L168" s="97"/>
      <c r="N168" s="97"/>
      <c r="P168" s="97"/>
      <c r="R168" s="97"/>
      <c r="T168" s="97"/>
      <c r="V168" s="97"/>
      <c r="X168" s="97"/>
      <c r="Z168" s="97"/>
      <c r="AB168" s="97"/>
      <c r="AD168" s="97"/>
      <c r="AF168" s="97"/>
      <c r="AH168" s="97"/>
      <c r="AJ168" s="97"/>
      <c r="AN168" s="97"/>
      <c r="AR168" s="97"/>
      <c r="AV168" s="97"/>
      <c r="AZ168" s="97"/>
      <c r="BC168" s="97"/>
    </row>
    <row r="169" spans="10:55" hidden="1">
      <c r="J169" s="97"/>
      <c r="L169" s="97"/>
      <c r="N169" s="97"/>
      <c r="P169" s="97"/>
      <c r="R169" s="97"/>
      <c r="T169" s="97"/>
      <c r="V169" s="97"/>
      <c r="X169" s="97"/>
      <c r="Z169" s="97"/>
      <c r="AB169" s="97"/>
      <c r="AD169" s="97"/>
      <c r="AF169" s="97"/>
      <c r="AH169" s="97"/>
      <c r="AJ169" s="97"/>
      <c r="AN169" s="97"/>
      <c r="AR169" s="97"/>
      <c r="AV169" s="97"/>
      <c r="AZ169" s="97"/>
      <c r="BC169" s="97"/>
    </row>
    <row r="170" spans="10:55" hidden="1">
      <c r="J170" s="97"/>
      <c r="L170" s="97"/>
      <c r="N170" s="97"/>
      <c r="P170" s="97"/>
      <c r="R170" s="97"/>
      <c r="T170" s="97"/>
      <c r="V170" s="97"/>
      <c r="X170" s="97"/>
      <c r="Z170" s="97"/>
      <c r="AB170" s="97"/>
      <c r="AD170" s="97"/>
      <c r="AF170" s="97"/>
      <c r="AH170" s="97"/>
      <c r="AJ170" s="97"/>
      <c r="AN170" s="97"/>
      <c r="AR170" s="97"/>
      <c r="AV170" s="97"/>
      <c r="AZ170" s="97"/>
      <c r="BC170" s="97"/>
    </row>
    <row r="171" spans="10:55" hidden="1">
      <c r="J171" s="97"/>
      <c r="L171" s="97"/>
      <c r="N171" s="97"/>
      <c r="P171" s="97"/>
      <c r="R171" s="97"/>
      <c r="T171" s="97"/>
      <c r="V171" s="97"/>
      <c r="X171" s="97"/>
      <c r="Z171" s="97"/>
      <c r="AB171" s="97"/>
      <c r="AD171" s="97"/>
      <c r="AF171" s="97"/>
      <c r="AH171" s="97"/>
      <c r="AJ171" s="97"/>
      <c r="AN171" s="97"/>
      <c r="AR171" s="97"/>
      <c r="AV171" s="97"/>
      <c r="AZ171" s="97"/>
      <c r="BC171" s="97"/>
    </row>
    <row r="172" spans="10:55" hidden="1">
      <c r="J172" s="97"/>
      <c r="L172" s="97"/>
      <c r="N172" s="97"/>
      <c r="P172" s="97"/>
      <c r="R172" s="97"/>
      <c r="T172" s="97"/>
      <c r="V172" s="97"/>
      <c r="X172" s="97"/>
      <c r="Z172" s="97"/>
      <c r="AB172" s="97"/>
      <c r="AD172" s="97"/>
      <c r="AF172" s="97"/>
      <c r="AH172" s="97"/>
      <c r="AJ172" s="97"/>
      <c r="AN172" s="97"/>
      <c r="AR172" s="97"/>
      <c r="AV172" s="97"/>
      <c r="AZ172" s="97"/>
      <c r="BC172" s="97"/>
    </row>
    <row r="173" spans="10:55" hidden="1">
      <c r="J173" s="97"/>
      <c r="L173" s="97"/>
      <c r="N173" s="97"/>
      <c r="P173" s="97"/>
      <c r="R173" s="97"/>
      <c r="T173" s="97"/>
      <c r="V173" s="97"/>
      <c r="X173" s="97"/>
      <c r="Z173" s="97"/>
      <c r="AB173" s="97"/>
      <c r="AD173" s="97"/>
      <c r="AF173" s="97"/>
      <c r="AH173" s="97"/>
      <c r="AJ173" s="97"/>
      <c r="AN173" s="97"/>
      <c r="AR173" s="97"/>
      <c r="AV173" s="97"/>
      <c r="AZ173" s="97"/>
      <c r="BC173" s="97"/>
    </row>
    <row r="174" spans="10:55" hidden="1">
      <c r="J174" s="97"/>
      <c r="L174" s="97"/>
      <c r="N174" s="97"/>
      <c r="P174" s="97"/>
      <c r="R174" s="97"/>
      <c r="T174" s="97"/>
      <c r="V174" s="97"/>
      <c r="X174" s="97"/>
      <c r="Z174" s="97"/>
      <c r="AB174" s="97"/>
      <c r="AD174" s="97"/>
      <c r="AF174" s="97"/>
      <c r="AH174" s="97"/>
      <c r="AJ174" s="97"/>
      <c r="AN174" s="97"/>
      <c r="AR174" s="97"/>
      <c r="AV174" s="97"/>
      <c r="AZ174" s="97"/>
      <c r="BC174" s="97"/>
    </row>
    <row r="175" spans="10:55" hidden="1">
      <c r="J175" s="97"/>
      <c r="L175" s="97"/>
      <c r="N175" s="97"/>
      <c r="P175" s="97"/>
      <c r="R175" s="97"/>
      <c r="T175" s="97"/>
      <c r="V175" s="97"/>
      <c r="X175" s="97"/>
      <c r="Z175" s="97"/>
      <c r="AB175" s="97"/>
      <c r="AD175" s="97"/>
      <c r="AF175" s="97"/>
      <c r="AH175" s="97"/>
      <c r="AJ175" s="97"/>
      <c r="AN175" s="97"/>
      <c r="AR175" s="97"/>
      <c r="AV175" s="97"/>
      <c r="AZ175" s="97"/>
      <c r="BC175" s="97"/>
    </row>
    <row r="176" spans="10:55" hidden="1">
      <c r="J176" s="97"/>
      <c r="L176" s="97"/>
      <c r="N176" s="97"/>
      <c r="P176" s="97"/>
      <c r="R176" s="97"/>
      <c r="T176" s="97"/>
      <c r="V176" s="97"/>
      <c r="X176" s="97"/>
      <c r="Z176" s="97"/>
      <c r="AB176" s="97"/>
      <c r="AD176" s="97"/>
      <c r="AF176" s="97"/>
      <c r="AH176" s="97"/>
      <c r="AJ176" s="97"/>
      <c r="AN176" s="97"/>
      <c r="AR176" s="97"/>
      <c r="AV176" s="97"/>
      <c r="AZ176" s="97"/>
      <c r="BC176" s="97"/>
    </row>
    <row r="177" spans="10:55" hidden="1">
      <c r="J177" s="97"/>
      <c r="L177" s="97"/>
      <c r="N177" s="97"/>
      <c r="P177" s="97"/>
      <c r="R177" s="97"/>
      <c r="T177" s="97"/>
      <c r="V177" s="97"/>
      <c r="X177" s="97"/>
      <c r="Z177" s="97"/>
      <c r="AB177" s="97"/>
      <c r="AD177" s="97"/>
      <c r="AF177" s="97"/>
      <c r="AH177" s="97"/>
      <c r="AJ177" s="97"/>
      <c r="AN177" s="97"/>
      <c r="AR177" s="97"/>
      <c r="AV177" s="97"/>
      <c r="AZ177" s="97"/>
      <c r="BC177" s="97"/>
    </row>
    <row r="178" spans="10:55" hidden="1">
      <c r="J178" s="97"/>
      <c r="L178" s="97"/>
      <c r="N178" s="97"/>
      <c r="P178" s="97"/>
      <c r="R178" s="97"/>
      <c r="T178" s="97"/>
      <c r="V178" s="97"/>
      <c r="X178" s="97"/>
      <c r="Z178" s="97"/>
      <c r="AB178" s="97"/>
      <c r="AD178" s="97"/>
      <c r="AF178" s="97"/>
      <c r="AH178" s="97"/>
      <c r="AJ178" s="97"/>
      <c r="AN178" s="97"/>
      <c r="AR178" s="97"/>
      <c r="AV178" s="97"/>
      <c r="AZ178" s="97"/>
      <c r="BC178" s="97"/>
    </row>
    <row r="179" spans="10:55" hidden="1">
      <c r="J179" s="97"/>
      <c r="L179" s="97"/>
      <c r="N179" s="97"/>
      <c r="P179" s="97"/>
      <c r="R179" s="97"/>
      <c r="T179" s="97"/>
      <c r="V179" s="97"/>
      <c r="X179" s="97"/>
      <c r="Z179" s="97"/>
      <c r="AB179" s="97"/>
      <c r="AD179" s="97"/>
      <c r="AF179" s="97"/>
      <c r="AH179" s="97"/>
      <c r="AJ179" s="97"/>
      <c r="AN179" s="97"/>
      <c r="AR179" s="97"/>
      <c r="AV179" s="97"/>
      <c r="AZ179" s="97"/>
      <c r="BC179" s="97"/>
    </row>
    <row r="180" spans="10:55" hidden="1">
      <c r="J180" s="97"/>
      <c r="L180" s="97"/>
      <c r="N180" s="97"/>
      <c r="P180" s="97"/>
      <c r="R180" s="97"/>
      <c r="T180" s="97"/>
      <c r="V180" s="97"/>
      <c r="X180" s="97"/>
      <c r="Z180" s="97"/>
      <c r="AB180" s="97"/>
      <c r="AD180" s="97"/>
      <c r="AF180" s="97"/>
      <c r="AH180" s="97"/>
      <c r="AJ180" s="97"/>
      <c r="AN180" s="97"/>
      <c r="AR180" s="97"/>
      <c r="AV180" s="97"/>
      <c r="AZ180" s="97"/>
      <c r="BC180" s="97"/>
    </row>
    <row r="181" spans="10:55" hidden="1">
      <c r="J181" s="97"/>
      <c r="L181" s="97"/>
      <c r="N181" s="97"/>
      <c r="P181" s="97"/>
      <c r="R181" s="97"/>
      <c r="T181" s="97"/>
      <c r="V181" s="97"/>
      <c r="X181" s="97"/>
      <c r="Z181" s="97"/>
      <c r="AB181" s="97"/>
      <c r="AD181" s="97"/>
      <c r="AF181" s="97"/>
      <c r="AH181" s="97"/>
      <c r="AJ181" s="97"/>
      <c r="AN181" s="97"/>
      <c r="AR181" s="97"/>
      <c r="AV181" s="97"/>
      <c r="AZ181" s="97"/>
      <c r="BC181" s="97"/>
    </row>
    <row r="182" spans="10:55" hidden="1">
      <c r="J182" s="97"/>
      <c r="L182" s="97"/>
      <c r="N182" s="97"/>
      <c r="P182" s="97"/>
      <c r="R182" s="97"/>
      <c r="T182" s="97"/>
      <c r="V182" s="97"/>
      <c r="X182" s="97"/>
      <c r="Z182" s="97"/>
      <c r="AB182" s="97"/>
      <c r="AD182" s="97"/>
      <c r="AF182" s="97"/>
      <c r="AH182" s="97"/>
      <c r="AJ182" s="97"/>
      <c r="AN182" s="97"/>
      <c r="AR182" s="97"/>
      <c r="AV182" s="97"/>
      <c r="AZ182" s="97"/>
      <c r="BC182" s="97"/>
    </row>
    <row r="183" spans="10:55" hidden="1">
      <c r="J183" s="97"/>
      <c r="L183" s="97"/>
      <c r="N183" s="97"/>
      <c r="P183" s="97"/>
      <c r="R183" s="97"/>
      <c r="T183" s="97"/>
      <c r="V183" s="97"/>
      <c r="X183" s="97"/>
      <c r="Z183" s="97"/>
      <c r="AB183" s="97"/>
      <c r="AD183" s="97"/>
      <c r="AF183" s="97"/>
      <c r="AH183" s="97"/>
      <c r="AJ183" s="97"/>
      <c r="AN183" s="97"/>
      <c r="AR183" s="97"/>
      <c r="AV183" s="97"/>
      <c r="AZ183" s="97"/>
      <c r="BC183" s="97"/>
    </row>
    <row r="184" spans="10:55" hidden="1">
      <c r="J184" s="97"/>
      <c r="L184" s="97"/>
      <c r="N184" s="97"/>
      <c r="P184" s="97"/>
      <c r="R184" s="97"/>
      <c r="T184" s="97"/>
      <c r="V184" s="97"/>
      <c r="X184" s="97"/>
      <c r="Z184" s="97"/>
      <c r="AB184" s="97"/>
      <c r="AD184" s="97"/>
      <c r="AF184" s="97"/>
      <c r="AH184" s="97"/>
      <c r="AJ184" s="97"/>
      <c r="AN184" s="97"/>
      <c r="AR184" s="97"/>
      <c r="AV184" s="97"/>
      <c r="AZ184" s="97"/>
      <c r="BC184" s="97"/>
    </row>
    <row r="185" spans="10:55" hidden="1">
      <c r="J185" s="97"/>
      <c r="L185" s="97"/>
      <c r="N185" s="97"/>
      <c r="P185" s="97"/>
      <c r="R185" s="97"/>
      <c r="T185" s="97"/>
      <c r="V185" s="97"/>
      <c r="X185" s="97"/>
      <c r="Z185" s="97"/>
      <c r="AB185" s="97"/>
      <c r="AD185" s="97"/>
      <c r="AF185" s="97"/>
      <c r="AH185" s="97"/>
      <c r="AJ185" s="97"/>
      <c r="AN185" s="97"/>
      <c r="AR185" s="97"/>
      <c r="AV185" s="97"/>
      <c r="AZ185" s="97"/>
      <c r="BC185" s="97"/>
    </row>
    <row r="186" spans="10:55" hidden="1">
      <c r="J186" s="97"/>
      <c r="L186" s="97"/>
      <c r="N186" s="97"/>
      <c r="P186" s="97"/>
      <c r="R186" s="97"/>
      <c r="T186" s="97"/>
      <c r="V186" s="97"/>
      <c r="X186" s="97"/>
      <c r="Z186" s="97"/>
      <c r="AB186" s="97"/>
      <c r="AD186" s="97"/>
      <c r="AF186" s="97"/>
      <c r="AH186" s="97"/>
      <c r="AJ186" s="97"/>
      <c r="AN186" s="97"/>
      <c r="AR186" s="97"/>
      <c r="AV186" s="97"/>
      <c r="AZ186" s="97"/>
      <c r="BC186" s="97"/>
    </row>
    <row r="187" spans="10:55" hidden="1">
      <c r="J187" s="97"/>
      <c r="L187" s="97"/>
      <c r="N187" s="97"/>
      <c r="P187" s="97"/>
      <c r="R187" s="97"/>
      <c r="T187" s="97"/>
      <c r="V187" s="97"/>
      <c r="X187" s="97"/>
      <c r="Z187" s="97"/>
      <c r="AB187" s="97"/>
      <c r="AD187" s="97"/>
      <c r="AF187" s="97"/>
      <c r="AH187" s="97"/>
      <c r="AJ187" s="97"/>
      <c r="AN187" s="97"/>
      <c r="AR187" s="97"/>
      <c r="AV187" s="97"/>
      <c r="AZ187" s="97"/>
      <c r="BC187" s="97"/>
    </row>
    <row r="188" spans="10:55" hidden="1">
      <c r="J188" s="97"/>
      <c r="L188" s="97"/>
      <c r="N188" s="97"/>
      <c r="P188" s="97"/>
      <c r="R188" s="97"/>
      <c r="T188" s="97"/>
      <c r="V188" s="97"/>
      <c r="X188" s="97"/>
      <c r="Z188" s="97"/>
      <c r="AB188" s="97"/>
      <c r="AD188" s="97"/>
      <c r="AF188" s="97"/>
      <c r="AH188" s="97"/>
      <c r="AJ188" s="97"/>
      <c r="AN188" s="97"/>
      <c r="AR188" s="97"/>
      <c r="AV188" s="97"/>
      <c r="AZ188" s="97"/>
      <c r="BC188" s="97"/>
    </row>
    <row r="189" spans="10:55" hidden="1">
      <c r="J189" s="97"/>
      <c r="L189" s="97"/>
      <c r="N189" s="97"/>
      <c r="P189" s="97"/>
      <c r="R189" s="97"/>
      <c r="T189" s="97"/>
      <c r="V189" s="97"/>
      <c r="X189" s="97"/>
      <c r="Z189" s="97"/>
      <c r="AB189" s="97"/>
      <c r="AD189" s="97"/>
      <c r="AF189" s="97"/>
      <c r="AH189" s="97"/>
      <c r="AJ189" s="97"/>
      <c r="AN189" s="97"/>
      <c r="AR189" s="97"/>
      <c r="AV189" s="97"/>
      <c r="AZ189" s="97"/>
      <c r="BC189" s="97"/>
    </row>
    <row r="190" spans="10:55" hidden="1">
      <c r="J190" s="97"/>
      <c r="L190" s="97"/>
      <c r="N190" s="97"/>
      <c r="P190" s="97"/>
      <c r="R190" s="97"/>
      <c r="T190" s="97"/>
      <c r="V190" s="97"/>
      <c r="X190" s="97"/>
      <c r="Z190" s="97"/>
      <c r="AB190" s="97"/>
      <c r="AD190" s="97"/>
      <c r="AF190" s="97"/>
      <c r="AH190" s="97"/>
      <c r="AJ190" s="97"/>
      <c r="AN190" s="97"/>
      <c r="AR190" s="97"/>
      <c r="AV190" s="97"/>
      <c r="AZ190" s="97"/>
      <c r="BC190" s="97"/>
    </row>
    <row r="191" spans="10:55" hidden="1">
      <c r="J191" s="97"/>
      <c r="L191" s="97"/>
      <c r="N191" s="97"/>
      <c r="P191" s="97"/>
      <c r="R191" s="97"/>
      <c r="T191" s="97"/>
      <c r="V191" s="97"/>
      <c r="X191" s="97"/>
      <c r="Z191" s="97"/>
      <c r="AB191" s="97"/>
      <c r="AD191" s="97"/>
      <c r="AF191" s="97"/>
      <c r="AH191" s="97"/>
      <c r="AJ191" s="97"/>
      <c r="AN191" s="97"/>
      <c r="AR191" s="97"/>
      <c r="AV191" s="97"/>
      <c r="AZ191" s="97"/>
      <c r="BC191" s="97"/>
    </row>
    <row r="192" spans="10:55" hidden="1">
      <c r="J192" s="97"/>
      <c r="L192" s="97"/>
      <c r="N192" s="97"/>
      <c r="P192" s="97"/>
      <c r="R192" s="97"/>
      <c r="T192" s="97"/>
      <c r="V192" s="97"/>
      <c r="X192" s="97"/>
      <c r="Z192" s="97"/>
      <c r="AB192" s="97"/>
      <c r="AD192" s="97"/>
      <c r="AF192" s="97"/>
      <c r="AH192" s="97"/>
      <c r="AJ192" s="97"/>
      <c r="AN192" s="97"/>
      <c r="AR192" s="97"/>
      <c r="AV192" s="97"/>
      <c r="AZ192" s="97"/>
      <c r="BC192" s="97"/>
    </row>
    <row r="193" spans="10:55" hidden="1">
      <c r="J193" s="97"/>
      <c r="L193" s="97"/>
      <c r="N193" s="97"/>
      <c r="P193" s="97"/>
      <c r="R193" s="97"/>
      <c r="T193" s="97"/>
      <c r="V193" s="97"/>
      <c r="X193" s="97"/>
      <c r="Z193" s="97"/>
      <c r="AB193" s="97"/>
      <c r="AD193" s="97"/>
      <c r="AF193" s="97"/>
      <c r="AH193" s="97"/>
      <c r="AJ193" s="97"/>
      <c r="AN193" s="97"/>
      <c r="AR193" s="97"/>
      <c r="AV193" s="97"/>
      <c r="AZ193" s="97"/>
      <c r="BC193" s="97"/>
    </row>
    <row r="194" spans="10:55" hidden="1">
      <c r="J194" s="97"/>
      <c r="L194" s="97"/>
      <c r="N194" s="97"/>
      <c r="P194" s="97"/>
      <c r="R194" s="97"/>
      <c r="T194" s="97"/>
      <c r="V194" s="97"/>
      <c r="X194" s="97"/>
      <c r="Z194" s="97"/>
      <c r="AB194" s="97"/>
      <c r="AD194" s="97"/>
      <c r="AF194" s="97"/>
      <c r="AH194" s="97"/>
      <c r="AJ194" s="97"/>
      <c r="AN194" s="97"/>
      <c r="AR194" s="97"/>
      <c r="AV194" s="97"/>
      <c r="AZ194" s="97"/>
      <c r="BC194" s="97"/>
    </row>
    <row r="195" spans="10:55" hidden="1">
      <c r="J195" s="97"/>
      <c r="L195" s="97"/>
      <c r="N195" s="97"/>
      <c r="P195" s="97"/>
      <c r="R195" s="97"/>
      <c r="T195" s="97"/>
      <c r="V195" s="97"/>
      <c r="X195" s="97"/>
      <c r="Z195" s="97"/>
      <c r="AB195" s="97"/>
      <c r="AD195" s="97"/>
      <c r="AF195" s="97"/>
      <c r="AH195" s="97"/>
      <c r="AJ195" s="97"/>
      <c r="AN195" s="97"/>
      <c r="AR195" s="97"/>
      <c r="AV195" s="97"/>
      <c r="AZ195" s="97"/>
      <c r="BC195" s="97"/>
    </row>
    <row r="196" spans="10:55" hidden="1">
      <c r="J196" s="97"/>
      <c r="L196" s="97"/>
      <c r="N196" s="97"/>
      <c r="P196" s="97"/>
      <c r="R196" s="97"/>
      <c r="T196" s="97"/>
      <c r="V196" s="97"/>
      <c r="X196" s="97"/>
      <c r="Z196" s="97"/>
      <c r="AB196" s="97"/>
      <c r="AD196" s="97"/>
      <c r="AF196" s="97"/>
      <c r="AH196" s="97"/>
      <c r="AJ196" s="97"/>
      <c r="AN196" s="97"/>
      <c r="AR196" s="97"/>
      <c r="AV196" s="97"/>
      <c r="AZ196" s="97"/>
      <c r="BC196" s="97"/>
    </row>
    <row r="197" spans="10:55" hidden="1">
      <c r="J197" s="97"/>
      <c r="L197" s="97"/>
      <c r="N197" s="97"/>
      <c r="P197" s="97"/>
      <c r="R197" s="97"/>
      <c r="T197" s="97"/>
      <c r="V197" s="97"/>
      <c r="X197" s="97"/>
      <c r="Z197" s="97"/>
      <c r="AB197" s="97"/>
      <c r="AD197" s="97"/>
      <c r="AF197" s="97"/>
      <c r="AH197" s="97"/>
      <c r="AJ197" s="97"/>
      <c r="AN197" s="97"/>
      <c r="AR197" s="97"/>
      <c r="AV197" s="97"/>
      <c r="AZ197" s="97"/>
      <c r="BC197" s="97"/>
    </row>
    <row r="198" spans="10:55" hidden="1">
      <c r="J198" s="97"/>
      <c r="L198" s="97"/>
      <c r="N198" s="97"/>
      <c r="P198" s="97"/>
      <c r="R198" s="97"/>
      <c r="T198" s="97"/>
      <c r="V198" s="97"/>
      <c r="X198" s="97"/>
      <c r="Z198" s="97"/>
      <c r="AB198" s="97"/>
      <c r="AD198" s="97"/>
      <c r="AF198" s="97"/>
      <c r="AH198" s="97"/>
      <c r="AJ198" s="97"/>
      <c r="AN198" s="97"/>
      <c r="AR198" s="97"/>
      <c r="AV198" s="97"/>
      <c r="AZ198" s="97"/>
      <c r="BC198" s="97"/>
    </row>
    <row r="199" spans="10:55" hidden="1">
      <c r="J199" s="97"/>
      <c r="L199" s="97"/>
      <c r="N199" s="97"/>
      <c r="P199" s="97"/>
      <c r="R199" s="97"/>
      <c r="T199" s="97"/>
      <c r="V199" s="97"/>
      <c r="X199" s="97"/>
      <c r="Z199" s="97"/>
      <c r="AB199" s="97"/>
      <c r="AD199" s="97"/>
      <c r="AF199" s="97"/>
      <c r="AH199" s="97"/>
      <c r="AJ199" s="97"/>
      <c r="AN199" s="97"/>
      <c r="AR199" s="97"/>
      <c r="AV199" s="97"/>
      <c r="AZ199" s="97"/>
      <c r="BC199" s="97"/>
    </row>
    <row r="200" spans="10:55" hidden="1">
      <c r="J200" s="97"/>
      <c r="L200" s="97"/>
      <c r="N200" s="97"/>
      <c r="P200" s="97"/>
      <c r="R200" s="97"/>
      <c r="T200" s="97"/>
      <c r="V200" s="97"/>
      <c r="X200" s="97"/>
      <c r="Z200" s="97"/>
      <c r="AB200" s="97"/>
      <c r="AD200" s="97"/>
      <c r="AF200" s="97"/>
      <c r="AH200" s="97"/>
      <c r="AJ200" s="97"/>
      <c r="AN200" s="97"/>
      <c r="AR200" s="97"/>
      <c r="AV200" s="97"/>
      <c r="AZ200" s="97"/>
      <c r="BC200" s="97"/>
    </row>
    <row r="201" spans="10:55" hidden="1">
      <c r="J201" s="97"/>
      <c r="L201" s="97"/>
      <c r="N201" s="97"/>
      <c r="P201" s="97"/>
      <c r="R201" s="97"/>
      <c r="T201" s="97"/>
      <c r="V201" s="97"/>
      <c r="X201" s="97"/>
      <c r="Z201" s="97"/>
      <c r="AB201" s="97"/>
      <c r="AD201" s="97"/>
      <c r="AF201" s="97"/>
      <c r="AH201" s="97"/>
      <c r="AJ201" s="97"/>
      <c r="AN201" s="97"/>
      <c r="AR201" s="97"/>
      <c r="AV201" s="97"/>
      <c r="AZ201" s="97"/>
      <c r="BC201" s="97"/>
    </row>
    <row r="202" spans="10:55" hidden="1">
      <c r="J202" s="97"/>
      <c r="L202" s="97"/>
      <c r="N202" s="97"/>
      <c r="P202" s="97"/>
      <c r="R202" s="97"/>
      <c r="T202" s="97"/>
      <c r="V202" s="97"/>
      <c r="X202" s="97"/>
      <c r="Z202" s="97"/>
      <c r="AB202" s="97"/>
      <c r="AD202" s="97"/>
      <c r="AF202" s="97"/>
      <c r="AH202" s="97"/>
      <c r="AJ202" s="97"/>
      <c r="AN202" s="97"/>
      <c r="AR202" s="97"/>
      <c r="AV202" s="97"/>
      <c r="AZ202" s="97"/>
      <c r="BC202" s="97"/>
    </row>
    <row r="203" spans="10:55" hidden="1">
      <c r="J203" s="97"/>
      <c r="L203" s="97"/>
      <c r="N203" s="97"/>
      <c r="P203" s="97"/>
      <c r="R203" s="97"/>
      <c r="T203" s="97"/>
      <c r="V203" s="97"/>
      <c r="X203" s="97"/>
      <c r="Z203" s="97"/>
      <c r="AB203" s="97"/>
      <c r="AD203" s="97"/>
      <c r="AF203" s="97"/>
      <c r="AH203" s="97"/>
      <c r="AJ203" s="97"/>
      <c r="AN203" s="97"/>
      <c r="AR203" s="97"/>
      <c r="AV203" s="97"/>
      <c r="AZ203" s="97"/>
      <c r="BC203" s="97"/>
    </row>
    <row r="204" spans="10:55" hidden="1">
      <c r="J204" s="97"/>
      <c r="L204" s="97"/>
      <c r="N204" s="97"/>
      <c r="P204" s="97"/>
      <c r="R204" s="97"/>
      <c r="T204" s="97"/>
      <c r="V204" s="97"/>
      <c r="X204" s="97"/>
      <c r="Z204" s="97"/>
      <c r="AB204" s="97"/>
      <c r="AD204" s="97"/>
      <c r="AF204" s="97"/>
      <c r="AH204" s="97"/>
      <c r="AJ204" s="97"/>
      <c r="AN204" s="97"/>
      <c r="AR204" s="97"/>
      <c r="AV204" s="97"/>
      <c r="AZ204" s="97"/>
      <c r="BC204" s="97"/>
    </row>
    <row r="205" spans="10:55" hidden="1">
      <c r="J205" s="97"/>
      <c r="L205" s="97"/>
      <c r="N205" s="97"/>
      <c r="P205" s="97"/>
      <c r="R205" s="97"/>
      <c r="T205" s="97"/>
      <c r="V205" s="97"/>
      <c r="X205" s="97"/>
      <c r="Z205" s="97"/>
      <c r="AB205" s="97"/>
      <c r="AD205" s="97"/>
      <c r="AF205" s="97"/>
      <c r="AH205" s="97"/>
      <c r="AJ205" s="97"/>
      <c r="AN205" s="97"/>
      <c r="AR205" s="97"/>
      <c r="AV205" s="97"/>
      <c r="AZ205" s="97"/>
      <c r="BC205" s="97"/>
    </row>
    <row r="206" spans="10:55" hidden="1">
      <c r="J206" s="97"/>
      <c r="L206" s="97"/>
      <c r="N206" s="97"/>
      <c r="P206" s="97"/>
      <c r="R206" s="97"/>
      <c r="T206" s="97"/>
      <c r="V206" s="97"/>
      <c r="X206" s="97"/>
      <c r="Z206" s="97"/>
      <c r="AB206" s="97"/>
      <c r="AD206" s="97"/>
      <c r="AF206" s="97"/>
      <c r="AH206" s="97"/>
      <c r="AJ206" s="97"/>
      <c r="AN206" s="97"/>
      <c r="AR206" s="97"/>
      <c r="AV206" s="97"/>
      <c r="AZ206" s="97"/>
      <c r="BC206" s="97"/>
    </row>
    <row r="207" spans="10:55" hidden="1">
      <c r="J207" s="97"/>
      <c r="L207" s="97"/>
      <c r="N207" s="97"/>
      <c r="P207" s="97"/>
      <c r="R207" s="97"/>
      <c r="T207" s="97"/>
      <c r="V207" s="97"/>
      <c r="X207" s="97"/>
      <c r="Z207" s="97"/>
      <c r="AB207" s="97"/>
      <c r="AD207" s="97"/>
      <c r="AF207" s="97"/>
      <c r="AH207" s="97"/>
      <c r="AJ207" s="97"/>
      <c r="AN207" s="97"/>
      <c r="AR207" s="97"/>
      <c r="AV207" s="97"/>
      <c r="AZ207" s="97"/>
      <c r="BC207" s="97"/>
    </row>
    <row r="208" spans="10:55" hidden="1">
      <c r="J208" s="97"/>
      <c r="L208" s="97"/>
      <c r="N208" s="97"/>
      <c r="P208" s="97"/>
      <c r="R208" s="97"/>
      <c r="T208" s="97"/>
      <c r="V208" s="97"/>
      <c r="X208" s="97"/>
      <c r="Z208" s="97"/>
      <c r="AB208" s="97"/>
      <c r="AD208" s="97"/>
      <c r="AF208" s="97"/>
      <c r="AH208" s="97"/>
      <c r="AJ208" s="97"/>
      <c r="AN208" s="97"/>
      <c r="AR208" s="97"/>
      <c r="AV208" s="97"/>
      <c r="AZ208" s="97"/>
      <c r="BC208" s="97"/>
    </row>
    <row r="209" spans="1:55" hidden="1">
      <c r="J209" s="97"/>
      <c r="L209" s="97"/>
      <c r="N209" s="97"/>
      <c r="P209" s="97"/>
      <c r="R209" s="97"/>
      <c r="T209" s="97"/>
      <c r="V209" s="97"/>
      <c r="X209" s="97"/>
      <c r="Z209" s="97"/>
      <c r="AB209" s="97"/>
      <c r="AD209" s="97"/>
      <c r="AF209" s="97"/>
      <c r="AH209" s="97"/>
      <c r="AJ209" s="97"/>
      <c r="AN209" s="97"/>
      <c r="AR209" s="97"/>
      <c r="AV209" s="97"/>
      <c r="AZ209" s="97"/>
      <c r="BC209" s="97"/>
    </row>
    <row r="210" spans="1:55" hidden="1">
      <c r="J210" s="97"/>
      <c r="L210" s="97"/>
      <c r="N210" s="97"/>
      <c r="P210" s="97"/>
      <c r="R210" s="97"/>
      <c r="T210" s="97"/>
      <c r="V210" s="97"/>
      <c r="X210" s="97"/>
      <c r="Z210" s="97"/>
      <c r="AB210" s="97"/>
      <c r="AD210" s="97"/>
      <c r="AF210" s="97"/>
      <c r="AH210" s="97"/>
      <c r="AJ210" s="97"/>
      <c r="AN210" s="97"/>
      <c r="AR210" s="97"/>
      <c r="AV210" s="97"/>
      <c r="AZ210" s="97"/>
      <c r="BC210" s="97"/>
    </row>
    <row r="211" spans="1:55" hidden="1">
      <c r="J211" s="97"/>
      <c r="L211" s="97"/>
      <c r="N211" s="97"/>
      <c r="P211" s="97"/>
      <c r="R211" s="97"/>
      <c r="T211" s="97"/>
      <c r="V211" s="97"/>
      <c r="X211" s="97"/>
      <c r="Z211" s="97"/>
      <c r="AB211" s="97"/>
      <c r="AD211" s="97"/>
      <c r="AF211" s="97"/>
      <c r="AH211" s="97"/>
      <c r="AJ211" s="97"/>
      <c r="AN211" s="97"/>
      <c r="AR211" s="97"/>
      <c r="AV211" s="97"/>
      <c r="AZ211" s="97"/>
      <c r="BC211" s="97"/>
    </row>
    <row r="212" spans="1:55" hidden="1">
      <c r="J212" s="97"/>
      <c r="L212" s="97"/>
      <c r="N212" s="97"/>
      <c r="P212" s="97"/>
      <c r="R212" s="97"/>
      <c r="T212" s="97"/>
      <c r="V212" s="97"/>
      <c r="X212" s="97"/>
      <c r="Z212" s="97"/>
      <c r="AB212" s="97"/>
      <c r="AD212" s="97"/>
      <c r="AF212" s="97"/>
      <c r="AH212" s="97"/>
      <c r="AJ212" s="97"/>
      <c r="AN212" s="97"/>
      <c r="AR212" s="97"/>
      <c r="AV212" s="97"/>
      <c r="AZ212" s="97"/>
      <c r="BC212" s="97"/>
    </row>
    <row r="213" spans="1:55" hidden="1">
      <c r="J213" s="97"/>
      <c r="L213" s="97"/>
      <c r="N213" s="97"/>
      <c r="P213" s="97"/>
      <c r="R213" s="97"/>
      <c r="T213" s="97"/>
      <c r="V213" s="97"/>
      <c r="X213" s="97"/>
      <c r="Z213" s="97"/>
      <c r="AB213" s="97"/>
      <c r="AD213" s="97"/>
      <c r="AF213" s="97"/>
      <c r="AH213" s="97"/>
      <c r="AJ213" s="97"/>
      <c r="AN213" s="97"/>
      <c r="AR213" s="97"/>
      <c r="AV213" s="97"/>
      <c r="AZ213" s="97"/>
      <c r="BC213" s="97"/>
    </row>
    <row r="214" spans="1:55" hidden="1">
      <c r="J214" s="97"/>
      <c r="L214" s="97"/>
      <c r="N214" s="97"/>
      <c r="P214" s="97"/>
      <c r="R214" s="97"/>
      <c r="T214" s="97"/>
      <c r="V214" s="97"/>
      <c r="X214" s="97"/>
      <c r="Z214" s="97"/>
      <c r="AB214" s="97"/>
      <c r="AD214" s="97"/>
      <c r="AF214" s="97"/>
      <c r="AH214" s="97"/>
      <c r="AJ214" s="97"/>
      <c r="AN214" s="97"/>
      <c r="AR214" s="97"/>
      <c r="AV214" s="97"/>
      <c r="AZ214" s="97"/>
      <c r="BC214" s="97"/>
    </row>
    <row r="215" spans="1:55" hidden="1">
      <c r="J215" s="97"/>
      <c r="L215" s="97"/>
      <c r="N215" s="97"/>
      <c r="P215" s="97"/>
      <c r="R215" s="97"/>
      <c r="T215" s="97"/>
      <c r="V215" s="97"/>
      <c r="X215" s="97"/>
      <c r="Z215" s="97"/>
      <c r="AB215" s="97"/>
      <c r="AD215" s="97"/>
      <c r="AF215" s="97"/>
      <c r="AH215" s="97"/>
      <c r="AJ215" s="97"/>
      <c r="AN215" s="97"/>
      <c r="AR215" s="97"/>
      <c r="AV215" s="97"/>
      <c r="AZ215" s="97"/>
      <c r="BC215" s="97"/>
    </row>
    <row r="216" spans="1:55" hidden="1">
      <c r="J216" s="97"/>
      <c r="L216" s="97"/>
      <c r="N216" s="97"/>
      <c r="P216" s="97"/>
      <c r="R216" s="97"/>
      <c r="T216" s="97"/>
      <c r="V216" s="97"/>
      <c r="X216" s="97"/>
      <c r="Z216" s="97"/>
      <c r="AB216" s="97"/>
      <c r="AD216" s="97"/>
      <c r="AF216" s="97"/>
      <c r="AH216" s="97"/>
      <c r="AJ216" s="97"/>
      <c r="AN216" s="97"/>
      <c r="AR216" s="97"/>
      <c r="AV216" s="97"/>
      <c r="AZ216" s="97"/>
      <c r="BC216" s="97"/>
    </row>
    <row r="217" spans="1:55" hidden="1">
      <c r="J217" s="97"/>
      <c r="L217" s="97"/>
      <c r="N217" s="97"/>
      <c r="P217" s="97"/>
      <c r="R217" s="97"/>
      <c r="T217" s="97"/>
      <c r="V217" s="97"/>
      <c r="X217" s="97"/>
      <c r="Z217" s="97"/>
      <c r="AB217" s="97"/>
      <c r="AD217" s="97"/>
      <c r="AF217" s="97"/>
      <c r="AH217" s="97"/>
      <c r="AJ217" s="97"/>
      <c r="AN217" s="97"/>
      <c r="AR217" s="97"/>
      <c r="AV217" s="97"/>
      <c r="AZ217" s="97"/>
      <c r="BC217" s="97"/>
    </row>
    <row r="218" spans="1:55" hidden="1">
      <c r="J218" s="97"/>
      <c r="L218" s="97"/>
      <c r="N218" s="97"/>
      <c r="P218" s="97"/>
      <c r="R218" s="97"/>
      <c r="T218" s="97"/>
      <c r="V218" s="97"/>
      <c r="X218" s="97"/>
      <c r="Z218" s="97"/>
      <c r="AB218" s="97"/>
      <c r="AD218" s="97"/>
      <c r="AF218" s="97"/>
      <c r="AH218" s="97"/>
      <c r="AJ218" s="97"/>
      <c r="AN218" s="97"/>
      <c r="AR218" s="97"/>
      <c r="AV218" s="97"/>
      <c r="AZ218" s="97"/>
      <c r="BC218" s="97"/>
    </row>
    <row r="219" spans="1:55" hidden="1">
      <c r="J219" s="97"/>
      <c r="L219" s="97"/>
      <c r="N219" s="97"/>
      <c r="P219" s="97"/>
      <c r="R219" s="97"/>
      <c r="T219" s="97"/>
      <c r="V219" s="97"/>
      <c r="X219" s="97"/>
      <c r="Z219" s="97"/>
      <c r="AB219" s="97"/>
      <c r="AD219" s="97"/>
      <c r="AF219" s="97"/>
      <c r="AH219" s="97"/>
      <c r="AJ219" s="97"/>
      <c r="AN219" s="97"/>
      <c r="AR219" s="97"/>
      <c r="AV219" s="97"/>
      <c r="AZ219" s="97"/>
      <c r="BC219" s="97"/>
    </row>
    <row r="220" spans="1:55" hidden="1">
      <c r="J220" s="97"/>
      <c r="L220" s="97"/>
      <c r="N220" s="97"/>
      <c r="P220" s="97"/>
      <c r="R220" s="97"/>
      <c r="T220" s="97"/>
      <c r="V220" s="97"/>
      <c r="X220" s="97"/>
      <c r="Z220" s="97"/>
      <c r="AB220" s="97"/>
      <c r="AD220" s="97"/>
      <c r="AF220" s="97"/>
      <c r="AH220" s="97"/>
      <c r="AJ220" s="97"/>
      <c r="AN220" s="97"/>
      <c r="AR220" s="97"/>
      <c r="AV220" s="97"/>
      <c r="AZ220" s="97"/>
      <c r="BC220" s="97"/>
    </row>
    <row r="221" spans="1:55" hidden="1">
      <c r="J221" s="97"/>
      <c r="L221" s="97"/>
      <c r="N221" s="97"/>
      <c r="P221" s="97"/>
      <c r="R221" s="97"/>
      <c r="T221" s="97"/>
      <c r="V221" s="97"/>
      <c r="X221" s="97"/>
      <c r="Z221" s="97"/>
      <c r="AB221" s="97"/>
      <c r="AD221" s="97"/>
      <c r="AF221" s="97"/>
      <c r="AH221" s="97"/>
      <c r="AJ221" s="97"/>
      <c r="AN221" s="97"/>
      <c r="AR221" s="97"/>
      <c r="AV221" s="97"/>
      <c r="AZ221" s="97"/>
      <c r="BC221" s="97"/>
    </row>
    <row r="222" spans="1:55">
      <c r="J222" s="97"/>
      <c r="L222" s="97"/>
      <c r="N222" s="97"/>
      <c r="P222" s="97"/>
      <c r="R222" s="97"/>
      <c r="T222" s="97"/>
      <c r="V222" s="97"/>
      <c r="X222" s="97"/>
      <c r="Z222" s="97"/>
      <c r="AB222" s="97"/>
      <c r="AD222" s="97"/>
      <c r="AF222" s="97"/>
      <c r="AH222" s="97"/>
      <c r="AJ222" s="97"/>
      <c r="AN222" s="97"/>
      <c r="AR222" s="97"/>
      <c r="AV222" s="97"/>
      <c r="AZ222" s="97"/>
      <c r="BC222" s="97"/>
    </row>
    <row r="223" spans="1:55">
      <c r="J223" s="97"/>
      <c r="L223" s="97"/>
      <c r="N223" s="97"/>
      <c r="P223" s="97"/>
      <c r="R223" s="97"/>
      <c r="T223" s="97"/>
      <c r="V223" s="97"/>
      <c r="X223" s="97"/>
      <c r="Z223" s="97"/>
      <c r="AB223" s="97"/>
      <c r="AD223" s="97"/>
      <c r="AF223" s="97"/>
      <c r="AH223" s="97"/>
      <c r="AJ223" s="97"/>
      <c r="AN223" s="97"/>
      <c r="AR223" s="97"/>
      <c r="AV223" s="97"/>
      <c r="AZ223" s="97"/>
      <c r="BC223" s="97"/>
    </row>
    <row r="224" spans="1:55">
      <c r="A224" s="208">
        <v>1</v>
      </c>
      <c r="B224" s="208">
        <v>2</v>
      </c>
      <c r="C224" s="208"/>
      <c r="D224" s="1405" t="s">
        <v>2515</v>
      </c>
      <c r="E224" s="1405" t="s">
        <v>1603</v>
      </c>
      <c r="F224" s="1405" t="s">
        <v>1604</v>
      </c>
      <c r="G224" s="1405" t="s">
        <v>1605</v>
      </c>
      <c r="H224" s="1405" t="s">
        <v>1606</v>
      </c>
      <c r="I224" s="1405" t="s">
        <v>1607</v>
      </c>
      <c r="J224" s="1405" t="s">
        <v>1608</v>
      </c>
      <c r="K224" s="1405" t="s">
        <v>1609</v>
      </c>
      <c r="L224" s="1405" t="s">
        <v>1610</v>
      </c>
      <c r="M224" s="1405" t="s">
        <v>1611</v>
      </c>
      <c r="N224" s="1405" t="s">
        <v>1612</v>
      </c>
      <c r="O224" s="1405" t="s">
        <v>1613</v>
      </c>
      <c r="P224" s="1405" t="s">
        <v>1614</v>
      </c>
      <c r="Q224" s="1405" t="s">
        <v>1615</v>
      </c>
      <c r="R224" s="1405" t="s">
        <v>1616</v>
      </c>
      <c r="S224" s="1405" t="s">
        <v>1617</v>
      </c>
      <c r="T224" s="1405" t="s">
        <v>1618</v>
      </c>
      <c r="U224" s="1405" t="s">
        <v>1619</v>
      </c>
      <c r="V224" s="1405" t="s">
        <v>1620</v>
      </c>
      <c r="W224" s="1405" t="s">
        <v>1621</v>
      </c>
      <c r="X224" s="1405" t="s">
        <v>1622</v>
      </c>
      <c r="Y224" s="1405" t="s">
        <v>1623</v>
      </c>
      <c r="Z224" s="1405" t="s">
        <v>1624</v>
      </c>
      <c r="AA224" s="1405" t="s">
        <v>1625</v>
      </c>
      <c r="AB224" s="1405" t="s">
        <v>1626</v>
      </c>
      <c r="AC224" s="1405" t="s">
        <v>1627</v>
      </c>
      <c r="AD224" s="1405" t="s">
        <v>1628</v>
      </c>
      <c r="AE224" s="1405" t="s">
        <v>1629</v>
      </c>
      <c r="AF224" s="1405" t="s">
        <v>1630</v>
      </c>
      <c r="AG224" s="1405" t="s">
        <v>1631</v>
      </c>
      <c r="AH224" s="1405" t="s">
        <v>1632</v>
      </c>
      <c r="AI224" s="1405" t="s">
        <v>1633</v>
      </c>
      <c r="AJ224" s="1405" t="s">
        <v>1634</v>
      </c>
      <c r="AK224" s="1405" t="s">
        <v>1635</v>
      </c>
      <c r="AL224" s="1405" t="s">
        <v>1636</v>
      </c>
      <c r="AM224" s="1405" t="s">
        <v>1637</v>
      </c>
      <c r="AN224" s="1405" t="s">
        <v>1638</v>
      </c>
      <c r="AO224" s="1405" t="s">
        <v>1639</v>
      </c>
      <c r="AP224" s="1405" t="s">
        <v>1640</v>
      </c>
      <c r="AQ224" s="1405" t="s">
        <v>1641</v>
      </c>
      <c r="AR224" s="1405" t="s">
        <v>1642</v>
      </c>
      <c r="AS224" s="1405" t="s">
        <v>1643</v>
      </c>
      <c r="AT224" s="1405" t="s">
        <v>1644</v>
      </c>
      <c r="AU224" s="1405" t="s">
        <v>1237</v>
      </c>
      <c r="AV224" s="1405" t="s">
        <v>1645</v>
      </c>
      <c r="AW224" s="1405" t="s">
        <v>1646</v>
      </c>
      <c r="AX224" s="1405" t="s">
        <v>1647</v>
      </c>
      <c r="AY224" s="1405" t="s">
        <v>1648</v>
      </c>
      <c r="AZ224" s="1405" t="s">
        <v>1649</v>
      </c>
      <c r="BA224" s="1405" t="s">
        <v>1650</v>
      </c>
      <c r="BB224" s="208"/>
      <c r="BC224" s="208"/>
    </row>
    <row r="225" spans="1:55" ht="16.2" thickBot="1">
      <c r="A225" s="2784" t="s">
        <v>769</v>
      </c>
      <c r="B225" s="2784"/>
      <c r="C225" s="2784"/>
      <c r="D225" s="2784" t="s">
        <v>769</v>
      </c>
      <c r="F225" s="1661" t="inlineStr">
        <is>
          <t xml:space="preserve">入BS</t>
        </is>
      </c>
      <c r="G225" s="2767"/>
      <c r="J225" s="1661" t="inlineStr">
        <is>
          <t xml:space="preserve">入BS</t>
        </is>
      </c>
      <c r="L225" s="1661" t="inlineStr">
        <is>
          <t xml:space="preserve">入BS</t>
        </is>
      </c>
      <c r="N225" s="1661" t="inlineStr">
        <is>
          <t xml:space="preserve">入BS</t>
        </is>
      </c>
      <c r="P225" s="1661" t="inlineStr">
        <is>
          <t xml:space="preserve">入BS</t>
        </is>
      </c>
      <c r="R225" s="1661" t="inlineStr">
        <is>
          <t xml:space="preserve">入BS</t>
        </is>
      </c>
      <c r="T225" s="1661" t="inlineStr">
        <is>
          <t xml:space="preserve">入BS</t>
        </is>
      </c>
      <c r="V225" s="1661" t="inlineStr">
        <is>
          <t xml:space="preserve">入BS</t>
        </is>
      </c>
      <c r="X225" s="1661" t="inlineStr">
        <is>
          <t xml:space="preserve">入BS</t>
        </is>
      </c>
      <c r="Z225" s="1661" t="inlineStr">
        <is>
          <t xml:space="preserve">入BS</t>
        </is>
      </c>
      <c r="AB225" s="1661" t="inlineStr">
        <is>
          <t xml:space="preserve">入BS</t>
        </is>
      </c>
      <c r="AD225" s="1661" t="inlineStr">
        <is>
          <t xml:space="preserve">入BS</t>
        </is>
      </c>
      <c r="AF225" s="1661" t="inlineStr">
        <is>
          <t xml:space="preserve">入BS</t>
        </is>
      </c>
      <c r="AH225" s="1661" t="inlineStr">
        <is>
          <t xml:space="preserve">入BS</t>
        </is>
      </c>
      <c r="AJ225" s="2763"/>
      <c r="AK225" s="2766"/>
      <c r="AL225" s="1661" t="inlineStr">
        <is>
          <t xml:space="preserve">入BS</t>
        </is>
      </c>
      <c r="AN225" s="2763"/>
      <c r="AO225" s="2766"/>
      <c r="AP225" s="1661" t="inlineStr">
        <is>
          <t xml:space="preserve">入BS</t>
        </is>
      </c>
      <c r="AR225" s="2763"/>
      <c r="AS225" s="2766"/>
      <c r="AT225" s="1661" t="inlineStr">
        <is>
          <t xml:space="preserve">入BS</t>
        </is>
      </c>
      <c r="AV225" s="2763"/>
      <c r="AW225" s="2766"/>
      <c r="AX225" s="1661" t="inlineStr">
        <is>
          <t xml:space="preserve">入BS</t>
        </is>
      </c>
      <c r="AZ225" s="2763"/>
      <c r="BA225" s="2766"/>
      <c r="BC225" s="97"/>
    </row>
    <row r="226" spans="1:55">
      <c r="A226" s="2759">
        <v>12400000</v>
      </c>
      <c r="B226" s="2764" t="s">
        <v>615</v>
      </c>
      <c r="C226" s="2731"/>
      <c r="D226" s="2743">
        <v>12400000</v>
      </c>
      <c r="E226" s="2764"/>
      <c r="F226" s="2768">
        <f>SUMIF($D95:$D141,$D226,F95:F141)-SUMIF($D95:$D141,$D226,G95:G141)</f>
        <v>0</v>
      </c>
      <c r="G226" s="2769"/>
      <c r="H226" s="2731"/>
      <c r="I226" s="2731"/>
      <c r="J226" s="2768">
        <f>SUMIF($D95:$D141,$D226,J95:J141)-SUMIF($D95:$D141,$D226,K95:K141)</f>
        <v>0</v>
      </c>
      <c r="K226" s="2769"/>
      <c r="L226" s="2768">
        <f>SUMIF($D95:$D141,$D226,L95:L141)-SUMIF($D95:$D141,$D226,M95:M141)</f>
        <v>0</v>
      </c>
      <c r="M226" s="2769"/>
      <c r="N226" s="2768">
        <f>SUMIF($D95:$D141,$D226,N95:N141)-SUMIF($D95:$D141,$D226,O95:O141)</f>
        <v>0</v>
      </c>
      <c r="O226" s="2769"/>
      <c r="P226" s="2768">
        <f>SUMIF($D95:$D141,$D226,P95:P141)-SUMIF($D95:$D141,$D226,Q95:Q141)</f>
        <v>0</v>
      </c>
      <c r="Q226" s="2769"/>
      <c r="R226" s="2768">
        <f>SUMIF($D95:$D141,$D226,R95:R141)-SUMIF($D95:$D141,$D226,S95:S141)</f>
        <v>0</v>
      </c>
      <c r="S226" s="2769"/>
      <c r="T226" s="2768">
        <f>SUMIF($D95:$D141,$D226,T95:T141)-SUMIF($D95:$D141,$D226,U95:U141)</f>
        <v>0</v>
      </c>
      <c r="U226" s="2769"/>
      <c r="V226" s="2768">
        <f>SUMIF($D95:$D141,$D226,V95:V141)-SUMIF($D95:$D141,$D226,W95:W141)</f>
        <v>0</v>
      </c>
      <c r="W226" s="2769"/>
      <c r="X226" s="2768">
        <f>SUMIF($D95:$D141,$D226,X95:X141)-SUMIF($D95:$D141,$D226,Y95:Y141)</f>
        <v>0</v>
      </c>
      <c r="Y226" s="2769"/>
      <c r="Z226" s="2768">
        <f>SUMIF($D95:$D141,$D226,Z95:Z141)-SUMIF($D95:$D141,$D226,AA95:AA141)</f>
        <v>0</v>
      </c>
      <c r="AA226" s="2769"/>
      <c r="AB226" s="2768">
        <f>SUMIF($D95:$D141,$D226,AB95:AB141)-SUMIF($D95:$D141,$D226,AC95:AC141)</f>
        <v>0</v>
      </c>
      <c r="AC226" s="2769"/>
      <c r="AD226" s="2768">
        <f>SUMIF($D95:$D141,$D226,AD95:AD141)-SUMIF($D95:$D141,$D226,AE95:AE141)</f>
        <v>0</v>
      </c>
      <c r="AE226" s="2769"/>
      <c r="AF226" s="2768">
        <f>SUMIF($D95:$D141,$D226,AF95:AF141)-SUMIF($D95:$D141,$D226,AG95:AG141)</f>
        <v>0</v>
      </c>
      <c r="AG226" s="2769"/>
      <c r="AH226" s="2768">
        <f>SUMIF($D95:$D141,$D226,AH95:AH141)-SUMIF($D95:$D141,$D226,AI95:AI141)</f>
        <v>0</v>
      </c>
      <c r="AI226" s="2769"/>
      <c r="AJ226" s="2768"/>
      <c r="AK226" s="2782"/>
      <c r="AL226" s="2768">
        <f>SUMIF($D95:$D141,$D226,AL95:AL141)-SUMIF($D95:$D141,$D226,AM95:AM141)</f>
        <v>0</v>
      </c>
      <c r="AM226" s="2769"/>
      <c r="AN226" s="2768"/>
      <c r="AO226" s="2782"/>
      <c r="AP226" s="2768">
        <f>SUMIF($D95:$D141,$D226,AP95:AP141)-SUMIF($D95:$D141,$D226,AQ95:AQ141)</f>
        <v>0</v>
      </c>
      <c r="AQ226" s="2769"/>
      <c r="AR226" s="2768"/>
      <c r="AS226" s="2782"/>
      <c r="AT226" s="2768">
        <f>SUMIF($D95:$D141,$D226,AT95:AT141)-SUMIF($D95:$D141,$D226,AU95:AU141)</f>
        <v>0</v>
      </c>
      <c r="AU226" s="2769"/>
      <c r="AV226" s="2768"/>
      <c r="AW226" s="2782"/>
      <c r="AX226" s="2768">
        <f>SUMIF($D95:$D141,$D226,AX95:AX141)-SUMIF($D95:$D141,$D226,AY95:AY141)</f>
        <v>0</v>
      </c>
      <c r="AY226" s="2769"/>
      <c r="AZ226" s="2768"/>
      <c r="BA226" s="2782"/>
      <c r="BC226" s="97"/>
    </row>
    <row r="227" spans="1:55" ht="15" customHeight="1">
      <c r="A227" s="2743">
        <v>12470000</v>
      </c>
      <c r="B227" s="2764" t="s">
        <v>2547</v>
      </c>
      <c r="C227" s="2731"/>
      <c r="D227" s="2743">
        <v>12470000</v>
      </c>
      <c r="E227" s="2764"/>
      <c r="F227" s="2768">
        <f>SUMIF($D$95:$D$141,$D227,F95:F141)-SUMIF($D$95:$D$141,$D227,G95:G141)</f>
        <v>0</v>
      </c>
      <c r="G227" s="2769"/>
      <c r="H227" s="2731"/>
      <c r="I227" s="2731"/>
      <c r="J227" s="2768">
        <f>SUMIF($D$95:$D$141,$D227,J95:J141)-SUMIF($D$95:$D$141,$D227,K95:K141)</f>
        <v>0</v>
      </c>
      <c r="K227" s="2769"/>
      <c r="L227" s="2768">
        <f>SUMIF($D$95:$D$141,$D227,L95:L141)-SUMIF($D$95:$D$141,$D227,M95:M141)</f>
        <v>0</v>
      </c>
      <c r="M227" s="2769"/>
      <c r="N227" s="2768">
        <f>SUMIF($D$95:$D$141,$D227,N95:N141)-SUMIF($D$95:$D$141,$D227,O95:O141)</f>
        <v>0</v>
      </c>
      <c r="O227" s="2769"/>
      <c r="P227" s="2768">
        <f>SUMIF($D$95:$D$141,$D227,P95:P141)-SUMIF($D$95:$D$141,$D227,Q95:Q141)</f>
        <v>0</v>
      </c>
      <c r="Q227" s="2769"/>
      <c r="R227" s="2768">
        <f>SUMIF($D$95:$D$141,$D227,R95:R141)-SUMIF($D$95:$D$141,$D227,S95:S141)</f>
        <v>0</v>
      </c>
      <c r="S227" s="2769"/>
      <c r="T227" s="2768">
        <f>SUMIF($D$95:$D$141,$D227,T95:T141)-SUMIF($D$95:$D$141,$D227,U95:U141)</f>
        <v>0</v>
      </c>
      <c r="U227" s="2769"/>
      <c r="V227" s="2768">
        <f>SUMIF($D$95:$D$141,$D227,V95:V141)-SUMIF($D$95:$D$141,$D227,W95:W141)</f>
        <v>0</v>
      </c>
      <c r="W227" s="2769"/>
      <c r="X227" s="2768">
        <f>SUMIF($D$95:$D$141,$D227,X95:X141)-SUMIF($D$95:$D$141,$D227,Y95:Y141)</f>
        <v>0</v>
      </c>
      <c r="Y227" s="2769"/>
      <c r="Z227" s="2768">
        <f>SUMIF($D$95:$D$141,$D227,Z95:Z141)-SUMIF($D$95:$D$141,$D227,AA95:AA141)</f>
        <v>0</v>
      </c>
      <c r="AA227" s="2769"/>
      <c r="AB227" s="2768">
        <f>SUMIF($D$95:$D$141,$D227,AB95:AB141)-SUMIF($D$95:$D$141,$D227,AC95:AC141)</f>
        <v>0</v>
      </c>
      <c r="AC227" s="2769"/>
      <c r="AD227" s="2768">
        <f>SUMIF($D$95:$D$141,$D227,AD95:AD141)-SUMIF($D$95:$D$141,$D227,AE95:AE141)</f>
        <v>0</v>
      </c>
      <c r="AE227" s="2769"/>
      <c r="AF227" s="2768">
        <f>SUMIF($D$95:$D$141,$D227,AF95:AF141)-SUMIF($D$95:$D$141,$D227,AG95:AG141)</f>
        <v>0</v>
      </c>
      <c r="AG227" s="2769"/>
      <c r="AH227" s="2768">
        <f>SUMIF($D$95:$D$141,$D227,AH95:AH141)-SUMIF($D$95:$D$141,$D227,AI95:AI141)</f>
        <v>0</v>
      </c>
      <c r="AI227" s="2769"/>
      <c r="AJ227" s="2768"/>
      <c r="AK227" s="2782"/>
      <c r="AL227" s="2768">
        <f>SUMIF($D$95:$D$141,$D227,AL95:AL141)-SUMIF($D$95:$D$141,$D227,AM95:AM141)</f>
        <v>0</v>
      </c>
      <c r="AM227" s="2769"/>
      <c r="AN227" s="2768"/>
      <c r="AO227" s="2782"/>
      <c r="AP227" s="2768">
        <f>SUMIF($D$95:$D$141,$D227,AP95:AP141)-SUMIF($D$95:$D$141,$D227,AQ95:AQ141)</f>
        <v>0</v>
      </c>
      <c r="AQ227" s="2769"/>
      <c r="AR227" s="2768"/>
      <c r="AS227" s="2782"/>
      <c r="AT227" s="2768">
        <f>SUMIF($D$95:$D$141,$D227,AT95:AT141)-SUMIF($D$95:$D$141,$D227,AU95:AU141)</f>
        <v>0</v>
      </c>
      <c r="AU227" s="2769"/>
      <c r="AV227" s="2768"/>
      <c r="AW227" s="2782"/>
      <c r="AX227" s="2768">
        <f>SUMIF($D$95:$D$141,$D227,AX95:AX141)-SUMIF($D$95:$D$141,$D227,AY95:AY141)</f>
        <v>0</v>
      </c>
      <c r="AY227" s="2769"/>
      <c r="AZ227" s="2768"/>
      <c r="BA227" s="2782"/>
      <c r="BC227" s="97"/>
    </row>
    <row r="228" spans="1:55" ht="15" customHeight="1">
      <c r="A228" s="2743" t="s">
        <v>2532</v>
      </c>
      <c r="B228" s="2764" t="s">
        <v>31</v>
      </c>
      <c r="C228" s="2731"/>
      <c r="D228" s="2743" t="s">
        <v>2534</v>
      </c>
      <c r="E228" s="2764"/>
      <c r="F228" s="2768">
        <f>SUMIF($D$95:$D$140,$D228,F95:F140)-SUMIF($D$95:$D$140,$D228,G95:G140)</f>
        <v>7286475</v>
      </c>
      <c r="G228" s="2769"/>
      <c r="H228" s="2731"/>
      <c r="I228" s="2731"/>
      <c r="J228" s="2768">
        <f>SUMIF($D$95:$D$140,$D228,J95:J140)-SUMIF($D$95:$D$140,$D228,K95:K140)</f>
        <v>1815975</v>
      </c>
      <c r="K228" s="2769"/>
      <c r="L228" s="2768">
        <f>SUMIF($D$95:$D$140,$D228,L95:L140)-SUMIF($D$95:$D$140,$D228,M95:M140)</f>
        <v>0</v>
      </c>
      <c r="M228" s="2769"/>
      <c r="N228" s="2768">
        <f>SUMIF($D$95:$D$140,$D228,N95:N140)-SUMIF($D$95:$D$140,$D228,O95:O140)</f>
        <v>1746150</v>
      </c>
      <c r="O228" s="2769"/>
      <c r="P228" s="2768">
        <f>SUMIF($D$95:$D$140,$D228,P95:P140)-SUMIF($D$95:$D$140,$D228,Q95:Q140)</f>
        <v>332325</v>
      </c>
      <c r="Q228" s="2769"/>
      <c r="R228" s="2768">
        <f>SUMIF($D$95:$D$140,$D228,R95:R140)-SUMIF($D$95:$D$140,$D228,S95:S140)</f>
        <v>1381800</v>
      </c>
      <c r="S228" s="2769"/>
      <c r="T228" s="2768">
        <f>SUMIF($D$95:$D$140,$D228,T95:T140)-SUMIF($D$95:$D$140,$D228,U95:U140)</f>
        <v>0</v>
      </c>
      <c r="U228" s="2769"/>
      <c r="V228" s="2768">
        <f>SUMIF($D$95:$D$140,$D228,V95:V140)-SUMIF($D$95:$D$140,$D228,W95:W140)</f>
        <v>2455320</v>
      </c>
      <c r="W228" s="2769"/>
      <c r="X228" s="2768">
        <f>SUMIF($D$95:$D$140,$D228,X95:X140)-SUMIF($D$95:$D$140,$D228,Y95:Y140)</f>
        <v>0</v>
      </c>
      <c r="Y228" s="2769"/>
      <c r="Z228" s="2768">
        <f>SUMIF($D$95:$D$140,$D228,Z95:Z140)-SUMIF($D$95:$D$140,$D228,AA95:AA140)</f>
        <v>0</v>
      </c>
      <c r="AA228" s="2769"/>
      <c r="AB228" s="2768">
        <f>SUMIF($D$95:$D$140,$D228,AB95:AB140)-SUMIF($D$95:$D$140,$D228,AC95:AC140)</f>
        <v>0</v>
      </c>
      <c r="AC228" s="2769"/>
      <c r="AD228" s="2768">
        <f>SUMIF($D$95:$D$140,$D228,AD95:AD140)-SUMIF($D$95:$D$140,$D228,AE95:AE140)</f>
        <v>0</v>
      </c>
      <c r="AE228" s="2769"/>
      <c r="AF228" s="2768">
        <f>SUMIF($D$95:$D$140,$D228,AF95:AF140)-SUMIF($D$95:$D$140,$D228,AG95:AG140)</f>
        <v>5798205</v>
      </c>
      <c r="AG228" s="2769"/>
      <c r="AH228" s="2768">
        <f>SUMIF($D$95:$D$140,$D228,AH95:AH140)-SUMIF($D$95:$D$140,$D228,AI95:AI140)</f>
        <v>13529775</v>
      </c>
      <c r="AI228" s="2769"/>
      <c r="AJ228" s="2768"/>
      <c r="AK228" s="2782"/>
      <c r="AL228" s="2768">
        <f>SUMIF($D$95:$D$140,$D228,AL95:AL140)-SUMIF($D$95:$D$140,$D228,AM95:AM140)</f>
        <v>3904005</v>
      </c>
      <c r="AM228" s="2769"/>
      <c r="AN228" s="2768"/>
      <c r="AO228" s="2782"/>
      <c r="AP228" s="2768">
        <f>SUMIF($D$95:$D$140,$D228,AP95:AP140)-SUMIF($D$95:$D$140,$D228,AQ95:AQ140)</f>
        <v>4296705</v>
      </c>
      <c r="AQ228" s="2769"/>
      <c r="AR228" s="2768"/>
      <c r="AS228" s="2782"/>
      <c r="AT228" s="2768">
        <f>SUMIF($D$95:$D$140,$D228,AT95:AT140)-SUMIF($D$95:$D$140,$D228,AU95:AU140)</f>
        <v>3877230</v>
      </c>
      <c r="AU228" s="2769"/>
      <c r="AV228" s="2768"/>
      <c r="AW228" s="2782"/>
      <c r="AX228" s="2768">
        <f>SUMIF($D$95:$D$140,$D228,AX95:AX140)-SUMIF($D$95:$D$140,$D228,AY95:AY140)</f>
        <v>2900205</v>
      </c>
      <c r="AY228" s="2769"/>
      <c r="AZ228" s="2768"/>
      <c r="BA228" s="2782"/>
      <c r="BC228" s="97"/>
    </row>
    <row r="229" spans="1:55">
      <c r="A229" s="2759">
        <v>11430000</v>
      </c>
      <c r="B229" s="2760" t="s">
        <v>733</v>
      </c>
      <c r="C229" s="2731"/>
      <c r="D229" s="2741" t="s">
        <v>2575</v>
      </c>
      <c r="E229" s="2764"/>
      <c r="F229" s="2768">
        <f>SUMIF($D$95:$D$140,$D229,F95:F140)-SUMIF($D$95:$D$140,$D229,G95:G140)</f>
        <v>0</v>
      </c>
      <c r="G229" s="2770"/>
      <c r="H229" s="2731"/>
      <c r="I229" s="2731"/>
      <c r="J229" s="2768">
        <f>SUMIF($D$95:$D$140,$D229,J95:J140)-SUMIF($D$95:$D$140,$D229,K95:K140)</f>
        <v>0</v>
      </c>
      <c r="K229" s="2770"/>
      <c r="L229" s="2768">
        <f>SUMIF($D$95:$D$140,$D229,L95:L140)-SUMIF($D$95:$D$140,$D229,M95:M140)</f>
        <v>0</v>
      </c>
      <c r="M229" s="2770"/>
      <c r="N229" s="2768">
        <f>SUMIF($D$95:$D$140,$D229,N95:N140)-SUMIF($D$95:$D$140,$D229,O95:O140)</f>
        <v>0</v>
      </c>
      <c r="O229" s="2770"/>
      <c r="P229" s="2768">
        <f>SUMIF($D$95:$D$140,$D229,P95:P140)-SUMIF($D$95:$D$140,$D229,Q95:Q140)</f>
        <v>0</v>
      </c>
      <c r="Q229" s="2770"/>
      <c r="R229" s="2768">
        <f>SUMIF($D$95:$D$140,$D229,R95:R140)-SUMIF($D$95:$D$140,$D229,S95:S140)</f>
        <v>0</v>
      </c>
      <c r="S229" s="2770"/>
      <c r="T229" s="2768">
        <f>SUMIF($D$95:$D$140,$D229,T95:T140)-SUMIF($D$95:$D$140,$D229,U95:U140)</f>
        <v>0</v>
      </c>
      <c r="U229" s="2770"/>
      <c r="V229" s="2768">
        <f>SUMIF($D$95:$D$140,$D229,V95:V140)-SUMIF($D$95:$D$140,$D229,W95:W140)</f>
        <v>0</v>
      </c>
      <c r="W229" s="2770"/>
      <c r="X229" s="2768">
        <f>SUMIF($D$95:$D$140,$D229,X95:X140)-SUMIF($D$95:$D$140,$D229,Y95:Y140)</f>
        <v>0</v>
      </c>
      <c r="Y229" s="2770"/>
      <c r="Z229" s="2768">
        <f>SUMIF($D$95:$D$140,$D229,Z95:Z140)-SUMIF($D$95:$D$140,$D229,AA95:AA140)</f>
        <v>0</v>
      </c>
      <c r="AA229" s="2770"/>
      <c r="AB229" s="2768">
        <f>SUMIF($D$95:$D$140,$D229,AB95:AB140)-SUMIF($D$95:$D$140,$D229,AC95:AC140)</f>
        <v>0</v>
      </c>
      <c r="AC229" s="2770"/>
      <c r="AD229" s="2768">
        <f>SUMIF($D$95:$D$140,$D229,AD95:AD140)-SUMIF($D$95:$D$140,$D229,AE95:AE140)</f>
        <v>0</v>
      </c>
      <c r="AE229" s="2770"/>
      <c r="AF229" s="2768">
        <f>SUMIF($D$95:$D$140,$D229,AF95:AF140)-SUMIF($D$95:$D$140,$D229,AG95:AG140)</f>
        <v>0</v>
      </c>
      <c r="AG229" s="2770"/>
      <c r="AH229" s="2768">
        <f>SUMIF($D$95:$D$140,$D229,AH95:AH140)-SUMIF($D$95:$D$140,$D229,AI95:AI140)</f>
        <v>0</v>
      </c>
      <c r="AI229" s="2770"/>
      <c r="AJ229" s="2768"/>
      <c r="AK229" s="2768"/>
      <c r="AL229" s="2768">
        <f>SUMIF($D$95:$D$140,$D229,AL95:AL140)-SUMIF($D$95:$D$140,$D229,AM95:AM140)</f>
        <v>0</v>
      </c>
      <c r="AM229" s="2770"/>
      <c r="AN229" s="2768"/>
      <c r="AO229" s="2768"/>
      <c r="AP229" s="2768">
        <f>SUMIF($D$95:$D$140,$D229,AP95:AP140)-SUMIF($D$95:$D$140,$D229,AQ95:AQ140)</f>
        <v>0</v>
      </c>
      <c r="AQ229" s="2770"/>
      <c r="AR229" s="2768"/>
      <c r="AS229" s="2768"/>
      <c r="AT229" s="2768">
        <f>SUMIF($D$95:$D$140,$D229,AT95:AT140)-SUMIF($D$95:$D$140,$D229,AU95:AU140)</f>
        <v>0</v>
      </c>
      <c r="AU229" s="2770"/>
      <c r="AV229" s="2768"/>
      <c r="AW229" s="2768"/>
      <c r="AX229" s="2768">
        <f>SUMIF($D$95:$D$140,$D229,AX95:AX140)-SUMIF($D$95:$D$140,$D229,AY95:AY140)</f>
        <v>0</v>
      </c>
      <c r="AY229" s="2770"/>
      <c r="AZ229" s="2768"/>
      <c r="BA229" s="2768"/>
      <c r="BC229" s="97"/>
    </row>
    <row r="230" spans="1:55">
      <c r="A230" s="2776" t="s">
        <v>2576</v>
      </c>
      <c r="B230" s="2771" t="s">
        <v>2561</v>
      </c>
      <c r="C230" s="2771"/>
      <c r="D230" s="2771" t="s">
        <v>2527</v>
      </c>
      <c r="E230" s="2764"/>
      <c r="F230" s="2771">
        <f>SUMIF($D$95:$D$115,$D230,F95:F115)-SUMIF($D$95:$D$115,$D230,G95:G115)</f>
        <v>21367000</v>
      </c>
      <c r="G230" s="2770">
        <f>SUM(F226:F230)</f>
        <v>28653475</v>
      </c>
      <c r="H230" s="2772"/>
      <c r="I230" s="2731"/>
      <c r="J230" s="2771">
        <f>SUMIF($D$95:$D$115,$D230,J95:J115)-SUMIF($D$95:$D$115,$D230,K95:K115)</f>
        <v>5664668</v>
      </c>
      <c r="K230" s="2770">
        <f>SUM(J226:J230)</f>
        <v>7480643</v>
      </c>
      <c r="L230" s="2771">
        <f>SUMIF($D$95:$D$115,$D230,L95:L115)-SUMIF($D$95:$D$115,$D230,M95:M115)</f>
        <v>5115950</v>
      </c>
      <c r="M230" s="2770">
        <f>SUM(L226:L230)</f>
        <v>5115950</v>
      </c>
      <c r="N230" s="2771">
        <f>SUMIF($D$95:$D$115,$D230,N95:N115)-SUMIF($D$95:$D$115,$D230,O95:O115)</f>
        <v>5332918</v>
      </c>
      <c r="O230" s="2770">
        <f>SUM(N226:N230)</f>
        <v>7079068</v>
      </c>
      <c r="P230" s="2771">
        <f>SUMIF($D$95:$D$115,$D230,P95:P115)-SUMIF($D$95:$D$115,$D230,Q95:Q115)</f>
        <v>5200668</v>
      </c>
      <c r="Q230" s="2770">
        <f>SUM(P226:P230)</f>
        <v>5532993</v>
      </c>
      <c r="R230" s="2771">
        <f>SUMIF($D$95:$D$115,$D230,R95:R115)-SUMIF($D$95:$D$115,$D230,S95:S115)</f>
        <v>4783168</v>
      </c>
      <c r="S230" s="2770">
        <f>SUM(R226:R230)</f>
        <v>6164968</v>
      </c>
      <c r="T230" s="2771">
        <f>SUMIF($D$95:$D$115,$D230,T95:T115)-SUMIF($D$95:$D$115,$D230,U95:U115)</f>
        <v>3757168</v>
      </c>
      <c r="U230" s="2770">
        <f>SUM(T226:T230)</f>
        <v>3757168</v>
      </c>
      <c r="V230" s="2771">
        <f>SUMIF($D$95:$D$115,$D230,V95:V115)-SUMIF($D$95:$D$115,$D230,W95:W115)</f>
        <v>5671668</v>
      </c>
      <c r="W230" s="2770">
        <f>SUM(V226:V230)</f>
        <v>8126988</v>
      </c>
      <c r="X230" s="2771">
        <f>SUMIF($D$95:$D$115,$D230,X95:X115)-SUMIF($D$95:$D$115,$D230,Y95:Y115)</f>
        <v>4487168</v>
      </c>
      <c r="Y230" s="2770">
        <f>SUM(X226:X230)</f>
        <v>4487168</v>
      </c>
      <c r="Z230" s="2771">
        <f>SUMIF($D$95:$D$115,$D230,Z95:Z115)-SUMIF($D$95:$D$115,$D230,AA95:AA115)</f>
        <v>4425668</v>
      </c>
      <c r="AA230" s="2770">
        <f>SUM(Z226:Z230)</f>
        <v>4425668</v>
      </c>
      <c r="AB230" s="2771">
        <f>SUMIF($D$95:$D$115,$D230,AB95:AB115)-SUMIF($D$95:$D$115,$D230,AC95:AC115)</f>
        <v>5743668</v>
      </c>
      <c r="AC230" s="2770">
        <f>SUM(AB226:AB230)</f>
        <v>5743668</v>
      </c>
      <c r="AD230" s="2771">
        <f>SUMIF($D$95:$D$115,$D230,AD95:AD115)-SUMIF($D$95:$D$115,$D230,AE95:AE115)</f>
        <v>5423668</v>
      </c>
      <c r="AE230" s="2770">
        <f>SUM(AD226:AD230)</f>
        <v>5423668</v>
      </c>
      <c r="AF230" s="2771">
        <f>SUMIF($D$95:$D$115,$D230,AF95:AF115)-SUMIF($D$95:$D$115,$D230,AG95:AG115)</f>
        <v>7523652</v>
      </c>
      <c r="AG230" s="2770">
        <f>SUM(AF226:AF230)</f>
        <v>13321857</v>
      </c>
      <c r="AH230" s="2771">
        <f>SUMIF($D$95:$D$115,$D230,AH95:AH115)-SUMIF($D$95:$D$115,$D230,AI95:AI115)</f>
        <v>63130032</v>
      </c>
      <c r="AI230" s="2770">
        <f>SUM(AH226:AH230)</f>
        <v>76659807</v>
      </c>
      <c r="AJ230" s="2768"/>
      <c r="AK230" s="2768"/>
      <c r="AL230" s="2771">
        <f>SUMIF($D$95:$D$115,$D230,AL95:AL115)-SUMIF($D$95:$D$115,$D230,AM95:AM115)</f>
        <v>72166290</v>
      </c>
      <c r="AM230" s="2770">
        <f>SUM(AL226:AL230)</f>
        <v>76070295</v>
      </c>
      <c r="AN230" s="2768"/>
      <c r="AO230" s="2768"/>
      <c r="AP230" s="2771">
        <f>SUMIF($D$95:$D$115,$D230,AP95:AP115)-SUMIF($D$95:$D$115,$D230,AQ95:AQ115)</f>
        <v>73760750</v>
      </c>
      <c r="AQ230" s="2770">
        <f>SUM(AP226:AP230)</f>
        <v>78057455</v>
      </c>
      <c r="AR230" s="2768"/>
      <c r="AS230" s="2768"/>
      <c r="AT230" s="2771">
        <f>SUMIF($D$95:$D$115,$D230,AT95:AT115)-SUMIF($D$95:$D$115,$D230,AU95:AU115)</f>
        <v>76460917</v>
      </c>
      <c r="AU230" s="2770">
        <f>SUM(AT226:AT230)</f>
        <v>80338147</v>
      </c>
      <c r="AV230" s="2768"/>
      <c r="AW230" s="2768"/>
      <c r="AX230" s="2771">
        <f>SUMIF($D$95:$D$115,$D230,AX95:AX115)-SUMIF($D$95:$D$115,$D230,AY95:AY115)</f>
        <v>80894250</v>
      </c>
      <c r="AY230" s="2770">
        <f>SUM(AX226:AX230)</f>
        <v>83794455</v>
      </c>
      <c r="AZ230" s="2768"/>
      <c r="BA230" s="2768"/>
      <c r="BC230" s="97"/>
    </row>
    <row r="231" spans="1:55" ht="16.2">
      <c r="A231" s="2759">
        <v>3353</v>
      </c>
      <c r="B231" s="2778" t="s">
        <v>2549</v>
      </c>
      <c r="C231" s="2734"/>
      <c r="D231" s="2773" t="s">
        <v>1579</v>
      </c>
      <c r="E231" s="2764"/>
      <c r="F231" s="2768">
        <f>-(SUMIF($B$95:$B$115,$D231,F95:F115)-SUMIF($B$95:$B$115,$D231,G95:G115))</f>
        <v>3427500</v>
      </c>
      <c r="G231" s="2770"/>
      <c r="H231" s="2731"/>
      <c r="I231" s="2731"/>
      <c r="J231" s="2768">
        <f>-(SUMIF($B$95:$B$115,$D231,J95:J115)-SUMIF($B$95:$B$115,$D231,K95:K115))</f>
        <v>29500</v>
      </c>
      <c r="K231" s="2770"/>
      <c r="L231" s="2768">
        <f>-(SUMIF($B$95:$B$115,$D231,L95:L115)-SUMIF($B$95:$B$115,$D231,M95:M115))</f>
        <v>29500</v>
      </c>
      <c r="M231" s="2770"/>
      <c r="N231" s="2768">
        <f>-(SUMIF($B$95:$B$115,$D231,N95:N115)-SUMIF($B$95:$B$115,$D231,O95:O115))</f>
        <v>29500</v>
      </c>
      <c r="O231" s="2770"/>
      <c r="P231" s="2768">
        <f>-(SUMIF($B$95:$B$115,$D231,P95:P115)-SUMIF($B$95:$B$115,$D231,Q95:Q115))</f>
        <v>1294500</v>
      </c>
      <c r="Q231" s="2770"/>
      <c r="R231" s="2768">
        <f>-(SUMIF($B$95:$B$115,$D231,R95:R115)-SUMIF($B$95:$B$115,$D231,S95:S115))</f>
        <v>29500</v>
      </c>
      <c r="S231" s="2770"/>
      <c r="T231" s="2768">
        <f>-(SUMIF($B$95:$B$115,$D231,T95:T115)-SUMIF($B$95:$B$115,$D231,U95:U115))</f>
        <v>29500</v>
      </c>
      <c r="U231" s="2770"/>
      <c r="V231" s="2768">
        <f>-(SUMIF($B$95:$B$115,$D231,V95:V115)-SUMIF($B$95:$B$115,$D231,W95:W115))</f>
        <v>29500</v>
      </c>
      <c r="W231" s="2770"/>
      <c r="X231" s="2768">
        <f>-(SUMIF($B$95:$B$115,$D231,X95:X115)-SUMIF($B$95:$B$115,$D231,Y95:Y115))</f>
        <v>29500</v>
      </c>
      <c r="Y231" s="2770"/>
      <c r="Z231" s="2768">
        <f>-(SUMIF($B$95:$B$115,$D231,Z95:Z115)-SUMIF($B$95:$B$115,$D231,AA95:AA115))</f>
        <v>29500</v>
      </c>
      <c r="AA231" s="2770"/>
      <c r="AB231" s="2768">
        <f>-(SUMIF($B$95:$B$115,$D231,AB95:AB115)-SUMIF($B$95:$B$115,$D231,AC95:AC115))</f>
        <v>204500</v>
      </c>
      <c r="AC231" s="2770"/>
      <c r="AD231" s="2768">
        <f>-(SUMIF($B$95:$B$115,$D231,AD95:AD115)-SUMIF($B$95:$B$115,$D231,AE95:AE115))</f>
        <v>29500</v>
      </c>
      <c r="AE231" s="2770"/>
      <c r="AF231" s="2768">
        <f>-(SUMIF($B$95:$B$115,$D231,AF95:AF115)-SUMIF($B$95:$B$115,$D231,AG95:AG115))</f>
        <v>1229500</v>
      </c>
      <c r="AG231" s="2770"/>
      <c r="AH231" s="2768">
        <f>-(SUMIF($B$95:$B$115,$D231,AH95:AH115)-SUMIF($B$95:$B$115,$D231,AI95:AI115))</f>
        <v>2994000</v>
      </c>
      <c r="AI231" s="2770"/>
      <c r="AJ231" s="2768"/>
      <c r="AK231" s="2768"/>
      <c r="AL231" s="2768">
        <f>-(SUMIF($B$95:$B$115,$D231,AL95:AL115)-SUMIF($B$95:$B$115,$D231,AM95:AM115))</f>
        <v>1470000</v>
      </c>
      <c r="AM231" s="2770"/>
      <c r="AN231" s="2768"/>
      <c r="AO231" s="2768"/>
      <c r="AP231" s="2768">
        <f>-(SUMIF($B$95:$B$115,$D231,AP95:AP115)-SUMIF($B$95:$B$115,$D231,AQ95:AQ115))</f>
        <v>1931500</v>
      </c>
      <c r="AQ231" s="2770"/>
      <c r="AR231" s="2768"/>
      <c r="AS231" s="2768"/>
      <c r="AT231" s="2768">
        <f>-(SUMIF($B$95:$B$115,$D231,AT95:AT115)-SUMIF($B$95:$B$115,$D231,AU95:AU115))</f>
        <v>1597500</v>
      </c>
      <c r="AU231" s="2770"/>
      <c r="AV231" s="2768"/>
      <c r="AW231" s="2768"/>
      <c r="AX231" s="2768">
        <f>-(SUMIF($B$95:$B$115,$D231,AX95:AX115)-SUMIF($B$95:$B$115,$D231,AY95:AY115))</f>
        <v>0</v>
      </c>
      <c r="AY231" s="2770"/>
      <c r="AZ231" s="2768"/>
      <c r="BA231" s="2768"/>
      <c r="BC231" s="97"/>
    </row>
    <row r="232" spans="1:55" s="214" customFormat="1" ht="16.2">
      <c r="A232" s="2777">
        <v>2214</v>
      </c>
      <c r="B232" s="2780" t="s">
        <v>2550</v>
      </c>
      <c r="C232" s="2762"/>
      <c r="D232" s="2765" t="s">
        <v>771</v>
      </c>
      <c r="E232" s="2765"/>
      <c r="F232" s="2768">
        <f>-SUMIF($D$95:$D$141,$D232,F95:F141)+SUMIF($D$95:$D$141,$D232,G95:G141)</f>
        <v>346975</v>
      </c>
      <c r="G232" s="2774"/>
      <c r="H232" s="2775"/>
      <c r="I232" s="2775"/>
      <c r="J232" s="2768">
        <f>-SUMIF($D$95:$D$141,$D232,J95:J141)+SUMIF($D$95:$D$141,$D232,K95:K141)</f>
        <v>86475</v>
      </c>
      <c r="K232" s="2774"/>
      <c r="L232" s="2768">
        <f>-SUMIF($D$95:$D$141,$D232,L95:L141)+SUMIF($D$95:$D$141,$D232,M95:M141)</f>
        <v>0</v>
      </c>
      <c r="M232" s="2774"/>
      <c r="N232" s="2768">
        <f>-SUMIF($D$95:$D$141,$D232,N95:N141)+SUMIF($D$95:$D$141,$D232,O95:O141)</f>
        <v>83150</v>
      </c>
      <c r="O232" s="2774"/>
      <c r="P232" s="2768">
        <f>-SUMIF($D$95:$D$141,$D232,P95:P141)+SUMIF($D$95:$D$141,$D232,Q95:Q141)</f>
        <v>15825</v>
      </c>
      <c r="Q232" s="2774"/>
      <c r="R232" s="2768">
        <f>-SUMIF($D$95:$D$141,$D232,R95:R141)+SUMIF($D$95:$D$141,$D232,S95:S141)</f>
        <v>65800</v>
      </c>
      <c r="S232" s="2774"/>
      <c r="T232" s="2768">
        <f>-SUMIF($D$95:$D$141,$D232,T95:T141)+SUMIF($D$95:$D$141,$D232,U95:U141)</f>
        <v>0</v>
      </c>
      <c r="U232" s="2774"/>
      <c r="V232" s="2768">
        <f>-SUMIF($D$95:$D$141,$D232,V95:V141)+SUMIF($D$95:$D$141,$D232,W95:W141)</f>
        <v>116920</v>
      </c>
      <c r="W232" s="2774"/>
      <c r="X232" s="2768">
        <f>-SUMIF($D$95:$D$141,$D232,X95:X141)+SUMIF($D$95:$D$141,$D232,Y95:Y141)</f>
        <v>0</v>
      </c>
      <c r="Y232" s="2774"/>
      <c r="Z232" s="2768">
        <f>-SUMIF($D$95:$D$141,$D232,Z95:Z141)+SUMIF($D$95:$D$141,$D232,AA95:AA141)</f>
        <v>0</v>
      </c>
      <c r="AA232" s="2774"/>
      <c r="AB232" s="2768">
        <f>-SUMIF($D$95:$D$141,$D232,AB95:AB141)+SUMIF($D$95:$D$141,$D232,AC95:AC141)</f>
        <v>0</v>
      </c>
      <c r="AC232" s="2774"/>
      <c r="AD232" s="2768">
        <f>-SUMIF($D$95:$D$141,$D232,AD95:AD141)+SUMIF($D$95:$D$141,$D232,AE95:AE141)</f>
        <v>0</v>
      </c>
      <c r="AE232" s="2774"/>
      <c r="AF232" s="2768">
        <f>-SUMIF($D$95:$D$141,$D232,AF95:AF141)+SUMIF($D$95:$D$141,$D232,AG95:AG141)</f>
        <v>276105</v>
      </c>
      <c r="AG232" s="2774"/>
      <c r="AH232" s="2768">
        <f>-SUMIF($D$95:$D$141,$D232,AH95:AH141)+SUMIF($D$95:$D$141,$D232,AI95:AI141)</f>
        <v>644275</v>
      </c>
      <c r="AI232" s="2774"/>
      <c r="AJ232" s="2768"/>
      <c r="AK232" s="2783"/>
      <c r="AL232" s="2768">
        <f>-SUMIF($D$95:$D$141,$D232,AL95:AL141)+SUMIF($D$95:$D$141,$D232,AM95:AM141)</f>
        <v>185905</v>
      </c>
      <c r="AM232" s="2774"/>
      <c r="AN232" s="2768"/>
      <c r="AO232" s="2783"/>
      <c r="AP232" s="2768">
        <f>-SUMIF($D$95:$D$141,$D232,AP95:AP141)+SUMIF($D$95:$D$141,$D232,AQ95:AQ141)</f>
        <v>204605</v>
      </c>
      <c r="AQ232" s="2774"/>
      <c r="AR232" s="2768"/>
      <c r="AS232" s="2783"/>
      <c r="AT232" s="2768">
        <f>-SUMIF($D$95:$D$141,$D232,AT95:AT141)+SUMIF($D$95:$D$141,$D232,AU95:AU141)</f>
        <v>184630</v>
      </c>
      <c r="AU232" s="2774"/>
      <c r="AV232" s="2768"/>
      <c r="AW232" s="2783"/>
      <c r="AX232" s="2768">
        <f>-SUMIF($D$95:$D$141,$D232,AX95:AX141)+SUMIF($D$95:$D$141,$D232,AY95:AY141)</f>
        <v>138105</v>
      </c>
      <c r="AY232" s="2774"/>
      <c r="AZ232" s="2768"/>
      <c r="BA232" s="2783"/>
    </row>
    <row r="233" spans="1:55">
      <c r="A233" s="2761">
        <v>22640000</v>
      </c>
      <c r="B233" s="2779" t="s">
        <v>2529</v>
      </c>
      <c r="C233" s="2781"/>
      <c r="D233" s="2779" t="s">
        <v>2524</v>
      </c>
      <c r="E233" s="2731"/>
      <c r="F233" s="2771">
        <f>SUMIF($D$95:$D$123,$D233,G95:G123)-SUMIF($D$95:$D$123,$D233,F95:F123)</f>
        <v>24879000</v>
      </c>
      <c r="G233" s="2731">
        <f>SUM(F231:F233)</f>
        <v>28653475</v>
      </c>
      <c r="H233" s="2731"/>
      <c r="I233" s="2731"/>
      <c r="J233" s="2771">
        <f>SUMIF($D$95:$D$123,$D233,K95:K123)-SUMIF($D$95:$D$123,$D233,J95:J123)</f>
        <v>7364668</v>
      </c>
      <c r="K233" s="2731">
        <f>SUM(J231:J233)</f>
        <v>7480643</v>
      </c>
      <c r="L233" s="2771">
        <f>SUMIF($D$95:$D$123,$D233,M95:M123)-SUMIF($D$95:$D$123,$D233,L95:L123)</f>
        <v>5086450</v>
      </c>
      <c r="M233" s="2731">
        <f>SUM(L231:L233)</f>
        <v>5115950</v>
      </c>
      <c r="N233" s="2771">
        <f>SUMIF($D$95:$D$123,$D233,O95:O123)-SUMIF($D$95:$D$123,$D233,N95:N123)</f>
        <v>6966418</v>
      </c>
      <c r="O233" s="2731">
        <f>SUM(N231:N233)</f>
        <v>7079068</v>
      </c>
      <c r="P233" s="2771">
        <f>SUMIF($D$95:$D$123,$D233,Q95:Q123)-SUMIF($D$95:$D$123,$D233,P95:P123)</f>
        <v>4222668</v>
      </c>
      <c r="Q233" s="2731">
        <f>SUM(P231:P233)</f>
        <v>5532993</v>
      </c>
      <c r="R233" s="2771">
        <f>SUMIF($D$95:$D$123,$D233,S95:S123)-SUMIF($D$95:$D$123,$D233,R95:R123)</f>
        <v>6069668</v>
      </c>
      <c r="S233" s="2731">
        <f>SUM(R231:R233)</f>
        <v>6164968</v>
      </c>
      <c r="T233" s="2771">
        <f>SUMIF($D$95:$D$123,$D233,U95:U123)-SUMIF($D$95:$D$123,$D233,T95:T123)</f>
        <v>3727668</v>
      </c>
      <c r="U233" s="2731">
        <f>SUM(T231:T233)</f>
        <v>3757168</v>
      </c>
      <c r="V233" s="2771">
        <f>SUMIF($D$95:$D$123,$D233,W95:W123)-SUMIF($D$95:$D$123,$D233,V95:V123)</f>
        <v>7980568</v>
      </c>
      <c r="W233" s="2731">
        <f>SUM(V231:V233)</f>
        <v>8126988</v>
      </c>
      <c r="X233" s="2771">
        <f>SUMIF($D$95:$D$123,$D233,Y95:Y123)-SUMIF($D$95:$D$123,$D233,X95:X123)</f>
        <v>4457668</v>
      </c>
      <c r="Y233" s="2731">
        <f>SUM(X231:X233)</f>
        <v>4487168</v>
      </c>
      <c r="Z233" s="2771">
        <f>SUMIF($D$95:$D$123,$D233,AA95:AA123)-SUMIF($D$95:$D$123,$D233,Z95:Z123)</f>
        <v>4396168</v>
      </c>
      <c r="AA233" s="2731">
        <f>SUM(Z231:Z233)</f>
        <v>4425668</v>
      </c>
      <c r="AB233" s="2771">
        <f>SUMIF($D$95:$D$123,$D233,AC95:AC123)-SUMIF($D$95:$D$123,$D233,AB95:AB123)</f>
        <v>5539168</v>
      </c>
      <c r="AC233" s="2731">
        <f>SUM(AB231:AB233)</f>
        <v>5743668</v>
      </c>
      <c r="AD233" s="2771">
        <f>SUMIF($D$95:$D$123,$D233,AE95:AE123)-SUMIF($D$95:$D$123,$D233,AD95:AD123)</f>
        <v>5394168</v>
      </c>
      <c r="AE233" s="2731">
        <f>SUM(AD231:AD233)</f>
        <v>5423668</v>
      </c>
      <c r="AF233" s="2771">
        <f>SUMIF($D$95:$D$123,$D233,AG95:AG123)-SUMIF($D$95:$D$123,$D233,AF95:AF123)</f>
        <v>11816252</v>
      </c>
      <c r="AG233" s="2731">
        <f>SUM(AF231:AF233)</f>
        <v>13321857</v>
      </c>
      <c r="AH233" s="2771">
        <f>SUMIF($D$95:$D$123,$D233,AI95:AI123)-SUMIF($D$95:$D$123,$D233,AH95:AH123)</f>
        <v>73021532</v>
      </c>
      <c r="AI233" s="2731">
        <f>SUM(AH231:AH233)</f>
        <v>76659807</v>
      </c>
      <c r="AJ233" s="2768"/>
      <c r="AK233" s="2741"/>
      <c r="AL233" s="2771">
        <f>SUMIF($D$95:$D$123,$D233,AM95:AM123)-SUMIF($D$95:$D$123,$D233,AL95:AL123)</f>
        <v>74414390</v>
      </c>
      <c r="AM233" s="2731">
        <f>SUM(AL231:AL233)</f>
        <v>76070295</v>
      </c>
      <c r="AN233" s="2768"/>
      <c r="AO233" s="2741"/>
      <c r="AP233" s="2771">
        <f>SUMIF($D$95:$D$123,$D233,AQ95:AQ123)-SUMIF($D$95:$D$123,$D233,AP95:AP123)</f>
        <v>75921350</v>
      </c>
      <c r="AQ233" s="2731">
        <f>SUM(AP231:AP233)</f>
        <v>78057455</v>
      </c>
      <c r="AR233" s="2768"/>
      <c r="AS233" s="2741"/>
      <c r="AT233" s="2771">
        <f>SUMIF($D$95:$D$123,$D233,AU95:AU123)-SUMIF($D$95:$D$123,$D233,AT95:AT123)</f>
        <v>78556017</v>
      </c>
      <c r="AU233" s="2731">
        <f>SUM(AT231:AT233)</f>
        <v>80338147</v>
      </c>
      <c r="AV233" s="2768"/>
      <c r="AW233" s="2741"/>
      <c r="AX233" s="2771">
        <f>SUMIF($D$95:$D$123,$D233,AY95:AY123)-SUMIF($D$95:$D$123,$D233,AX95:AX123)</f>
        <v>83656350</v>
      </c>
      <c r="AY233" s="2731">
        <f>SUM(AX231:AX233)</f>
        <v>83794455</v>
      </c>
      <c r="AZ233" s="2768"/>
      <c r="BA233" s="2741"/>
    </row>
    <row r="234" spans="1:55">
      <c r="A234" s="2731"/>
      <c r="B234" s="2731"/>
      <c r="C234" s="2731"/>
      <c r="D234" s="2731"/>
      <c r="E234" s="2731"/>
      <c r="F234" s="2731"/>
      <c r="G234" s="2731"/>
      <c r="H234" s="2731"/>
      <c r="I234" s="2731"/>
      <c r="J234" s="2731"/>
      <c r="K234" s="2731"/>
      <c r="L234" s="2731"/>
      <c r="M234" s="2731"/>
      <c r="N234" s="2731"/>
      <c r="O234" s="2731"/>
      <c r="P234" s="2731"/>
      <c r="Q234" s="2731"/>
      <c r="R234" s="2731"/>
      <c r="S234" s="2731"/>
      <c r="T234" s="2731"/>
      <c r="U234" s="2731"/>
      <c r="V234" s="2731"/>
      <c r="W234" s="2731"/>
      <c r="X234" s="2731"/>
      <c r="Y234" s="2731"/>
      <c r="Z234" s="2731"/>
      <c r="AA234" s="2731"/>
      <c r="AB234" s="2731"/>
      <c r="AC234" s="2731"/>
      <c r="AD234" s="2731"/>
      <c r="AE234" s="2731"/>
      <c r="AF234" s="2731"/>
      <c r="AG234" s="2731"/>
      <c r="AH234" s="2731"/>
      <c r="AI234" s="2731"/>
      <c r="AJ234" s="2741"/>
      <c r="AK234" s="2741"/>
      <c r="AL234" s="2731"/>
      <c r="AM234" s="2731"/>
      <c r="AN234" s="2741"/>
      <c r="AO234" s="2741"/>
      <c r="AP234" s="2731"/>
      <c r="AQ234" s="2731"/>
      <c r="AR234" s="2741"/>
      <c r="AS234" s="2741"/>
      <c r="AT234" s="2731"/>
      <c r="AU234" s="2731"/>
      <c r="AV234" s="2741"/>
      <c r="AW234" s="2741"/>
      <c r="AX234" s="2731"/>
      <c r="AY234" s="2731"/>
      <c r="AZ234" s="2741"/>
      <c r="BA234" s="2741"/>
    </row>
    <row r="235" spans="1:55">
      <c r="D235" s="2766"/>
      <c r="E235" s="2766"/>
      <c r="F235" s="2736"/>
      <c r="G235" s="532">
        <f>G233-G230</f>
        <v>0</v>
      </c>
      <c r="H235" s="325"/>
      <c r="J235" s="2736"/>
      <c r="K235" s="532">
        <f>K233-K230</f>
        <v>0</v>
      </c>
      <c r="L235" s="2736"/>
      <c r="M235" s="532">
        <f>M233-M230</f>
        <v>0</v>
      </c>
      <c r="N235" s="2736"/>
      <c r="O235" s="532">
        <f>O233-O230</f>
        <v>0</v>
      </c>
      <c r="P235" s="2736"/>
      <c r="Q235" s="532">
        <f>Q233-Q230</f>
        <v>0</v>
      </c>
      <c r="R235" s="2736"/>
      <c r="S235" s="532">
        <f>S233-S230</f>
        <v>0</v>
      </c>
      <c r="T235" s="2736"/>
      <c r="U235" s="532">
        <f>U233-U230</f>
        <v>0</v>
      </c>
      <c r="V235" s="2736"/>
      <c r="W235" s="532">
        <f>W233-W230</f>
        <v>0</v>
      </c>
      <c r="X235" s="2736"/>
      <c r="Y235" s="532">
        <f>Y233-Y230</f>
        <v>0</v>
      </c>
      <c r="Z235" s="2736"/>
      <c r="AA235" s="532">
        <f>AA233-AA230</f>
        <v>0</v>
      </c>
      <c r="AB235" s="2736"/>
      <c r="AC235" s="532">
        <f>AC233-AC230</f>
        <v>0</v>
      </c>
      <c r="AD235" s="2736"/>
      <c r="AE235" s="532">
        <f>AE233-AE230</f>
        <v>0</v>
      </c>
      <c r="AF235" s="2736"/>
      <c r="AG235" s="532">
        <f>AG233-AG230</f>
        <v>0</v>
      </c>
      <c r="AH235" s="2736"/>
      <c r="AI235" s="532">
        <f>AI233-AI230</f>
        <v>0</v>
      </c>
      <c r="AJ235" s="2736"/>
      <c r="AK235" s="2736"/>
      <c r="AL235" s="2736"/>
      <c r="AM235" s="532">
        <f>AM233-AM230</f>
        <v>0</v>
      </c>
      <c r="AN235" s="2736"/>
      <c r="AO235" s="2736"/>
      <c r="AP235" s="2736"/>
      <c r="AQ235" s="532">
        <f>AQ233-AQ230</f>
        <v>0</v>
      </c>
      <c r="AR235" s="2736"/>
      <c r="AS235" s="2736"/>
      <c r="AT235" s="2736"/>
      <c r="AU235" s="532">
        <f>AU233-AU230</f>
        <v>0</v>
      </c>
      <c r="AV235" s="2736"/>
      <c r="AW235" s="2736"/>
      <c r="AX235" s="2736"/>
      <c r="AY235" s="532">
        <f>AY233-AY230</f>
        <v>0</v>
      </c>
      <c r="AZ235" s="2736"/>
      <c r="BA235" s="2736"/>
      <c r="BC235" s="97"/>
    </row>
    <row r="236" spans="1:55">
      <c r="J236" s="97"/>
      <c r="L236" s="97"/>
      <c r="N236" s="97"/>
      <c r="P236" s="97"/>
      <c r="R236" s="97"/>
      <c r="T236" s="97"/>
      <c r="V236" s="97"/>
      <c r="X236" s="97"/>
      <c r="Z236" s="97"/>
      <c r="AB236" s="97"/>
      <c r="AD236" s="97"/>
      <c r="AF236" s="97"/>
      <c r="AH236" s="97"/>
      <c r="AJ236" s="97"/>
      <c r="AN236" s="97"/>
      <c r="AR236" s="97"/>
      <c r="AV236" s="97"/>
      <c r="AZ236" s="97"/>
      <c r="BC236" s="97"/>
    </row>
    <row r="237" spans="1:55">
      <c r="J237" s="97"/>
      <c r="K237" s="98"/>
      <c r="L237" s="97"/>
      <c r="BC237" s="97"/>
    </row>
    <row r="238" spans="1:55">
      <c r="J238" s="97"/>
      <c r="K238" s="98"/>
      <c r="L238" s="97"/>
      <c r="BC238" s="97"/>
    </row>
    <row r="239" spans="1:55">
      <c r="J239" s="97"/>
      <c r="K239" s="98"/>
      <c r="L239" s="97"/>
      <c r="BC239" s="97"/>
    </row>
    <row r="240" spans="1:55">
      <c r="J240" s="97"/>
      <c r="K240" s="98"/>
      <c r="L240" s="97"/>
      <c r="BC240" s="97"/>
    </row>
  </sheetData>
  <autoFilter ref="B1:B236" xr:uid="{00000000-0009-0000-0000-000006000000}"/>
  <mergeCells count="48">
    <mergeCell ref="H93:I93"/>
    <mergeCell ref="AR93:AS93"/>
    <mergeCell ref="AV93:AW93"/>
    <mergeCell ref="AP93:AQ93"/>
    <mergeCell ref="AT93:AU93"/>
    <mergeCell ref="AX93:AY93"/>
    <mergeCell ref="AZ93:BA93"/>
    <mergeCell ref="AN93:AO93"/>
    <mergeCell ref="AB93:AC93"/>
    <mergeCell ref="AD93:AE93"/>
    <mergeCell ref="AF93:AG93"/>
    <mergeCell ref="AH93:AI93"/>
    <mergeCell ref="AL93:AM93"/>
    <mergeCell ref="F93:G93"/>
    <mergeCell ref="J93:K93"/>
    <mergeCell ref="D3:E3"/>
    <mergeCell ref="R3:S3"/>
    <mergeCell ref="AH3:AI3"/>
    <mergeCell ref="F3:G3"/>
    <mergeCell ref="H3:I3"/>
    <mergeCell ref="J3:K3"/>
    <mergeCell ref="L93:M93"/>
    <mergeCell ref="N93:O93"/>
    <mergeCell ref="P93:Q93"/>
    <mergeCell ref="R93:S93"/>
    <mergeCell ref="T93:U93"/>
    <mergeCell ref="V93:W93"/>
    <mergeCell ref="X93:Y93"/>
    <mergeCell ref="Z93:AA93"/>
    <mergeCell ref="AL3:AM3"/>
    <mergeCell ref="AP3:AQ3"/>
    <mergeCell ref="L3:M3"/>
    <mergeCell ref="N3:O3"/>
    <mergeCell ref="P3:Q3"/>
    <mergeCell ref="AF3:AG3"/>
    <mergeCell ref="AD3:AE3"/>
    <mergeCell ref="AB3:AC3"/>
    <mergeCell ref="Z3:AA3"/>
    <mergeCell ref="X3:Y3"/>
    <mergeCell ref="V3:W3"/>
    <mergeCell ref="T3:U3"/>
    <mergeCell ref="AJ3:AK3"/>
    <mergeCell ref="AZ3:BA3"/>
    <mergeCell ref="AT3:AU3"/>
    <mergeCell ref="AX3:AY3"/>
    <mergeCell ref="AV3:AW3"/>
    <mergeCell ref="AN3:AO3"/>
    <mergeCell ref="AR3:AS3"/>
  </mergeCells>
  <phoneticPr fontId="101" type="noConversion"/>
  <pageMargins left="0.70833333333333304" right="0.70833333333333304" top="0.74791666666666701" bottom="0.74791666666666701" header="0.511811023622047" footer="0.511811023622047"/>
  <pageSetup paperSize="9" scale="1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3F8E-6985-4BD8-8870-921250262EF1}">
  <sheetPr>
    <tabColor theme="7" tint="0.39997558519241921"/>
  </sheetPr>
  <dimension ref="A1:KC293"/>
  <sheetViews>
    <sheetView zoomScale="70" zoomScaleNormal="70" workbookViewId="0">
      <pane xSplit="2" ySplit="7" topLeftCell="AE38" activePane="bottomRight" state="frozen"/>
      <selection pane="topRight" activeCell="C1" sqref="C1"/>
      <selection pane="bottomLeft" activeCell="A8" sqref="A8"/>
      <selection pane="bottomRight" activeCell="AR49" sqref="AR49"/>
    </sheetView>
  </sheetViews>
  <sheetFormatPr defaultColWidth="9" defaultRowHeight="15.6" outlineLevelRow="1" outlineLevelCol="1"/>
  <cols>
    <col min="1" max="1" width="47" style="872" bestFit="1" customWidth="1"/>
    <col min="2" max="3" width="29.44140625" style="872" bestFit="1" customWidth="1"/>
    <col min="4" max="4" width="16.77734375" style="872" hidden="1" customWidth="1" outlineLevel="1"/>
    <col min="5" max="5" width="16.88671875" style="872" bestFit="1" customWidth="1" collapsed="1"/>
    <col min="6" max="6" width="17.6640625" style="872" bestFit="1" customWidth="1"/>
    <col min="7" max="8" width="15.6640625" style="872" bestFit="1" customWidth="1"/>
    <col min="9" max="13" width="15.6640625" style="872" customWidth="1"/>
    <col min="14" max="14" width="15.6640625" style="872" bestFit="1" customWidth="1"/>
    <col min="15" max="24" width="14.33203125" style="872" bestFit="1" customWidth="1"/>
    <col min="25" max="25" width="15.6640625" style="872" bestFit="1" customWidth="1"/>
    <col min="26" max="26" width="16.77734375" style="872" bestFit="1" customWidth="1"/>
    <col min="27" max="33" width="12.6640625" style="872" customWidth="1" outlineLevel="1"/>
    <col min="34" max="34" width="14" style="872" customWidth="1" outlineLevel="1"/>
    <col min="35" max="39" width="12.6640625" style="872" customWidth="1" outlineLevel="1"/>
    <col min="40" max="40" width="12.6640625" style="872" customWidth="1"/>
    <col min="41" max="41" width="12.6640625" style="878" customWidth="1"/>
    <col min="42" max="46" width="17.88671875" style="872" customWidth="1" outlineLevel="1"/>
    <col min="47" max="47" width="12.6640625" style="872" customWidth="1"/>
    <col min="48" max="48" width="15.77734375" style="872" customWidth="1"/>
    <col min="49" max="50" width="12.6640625" style="872" customWidth="1"/>
    <col min="51" max="51" width="4.21875" style="872" customWidth="1"/>
    <col min="52" max="52" width="31.88671875" style="872" customWidth="1"/>
    <col min="53" max="54" width="12.44140625" style="872" customWidth="1"/>
    <col min="55" max="59" width="12.6640625" style="872" customWidth="1"/>
    <col min="60" max="60" width="13.109375" style="872" customWidth="1"/>
    <col min="61" max="61" width="11.88671875" style="872" bestFit="1" customWidth="1"/>
    <col min="62" max="63" width="9" style="872" bestFit="1"/>
    <col min="64" max="64" width="9.77734375" style="872" bestFit="1" customWidth="1"/>
    <col min="65" max="65" width="9" style="872" bestFit="1"/>
    <col min="66" max="288" width="9" style="872"/>
    <col min="289" max="289" width="9" style="872" bestFit="1"/>
    <col min="290" max="16384" width="9" style="872"/>
  </cols>
  <sheetData>
    <row r="1" spans="1:289">
      <c r="A1" s="868" t="s">
        <v>1276</v>
      </c>
      <c r="B1" s="869"/>
      <c r="C1" s="870">
        <v>3</v>
      </c>
      <c r="D1" s="870">
        <v>4</v>
      </c>
      <c r="E1" s="870">
        <v>5</v>
      </c>
      <c r="F1" s="871" t="s">
        <v>2511</v>
      </c>
      <c r="G1" s="871" t="s">
        <v>1606</v>
      </c>
      <c r="H1" s="871" t="s">
        <v>1607</v>
      </c>
      <c r="I1" s="871" t="s">
        <v>1608</v>
      </c>
      <c r="J1" s="871" t="s">
        <v>1609</v>
      </c>
      <c r="K1" s="871" t="s">
        <v>1610</v>
      </c>
      <c r="L1" s="871" t="s">
        <v>1611</v>
      </c>
      <c r="M1" s="871" t="s">
        <v>1612</v>
      </c>
      <c r="N1" s="871" t="s">
        <v>1613</v>
      </c>
      <c r="O1" s="871" t="s">
        <v>1614</v>
      </c>
      <c r="P1" s="871" t="s">
        <v>1615</v>
      </c>
      <c r="Q1" s="871" t="s">
        <v>1616</v>
      </c>
      <c r="R1" s="871" t="s">
        <v>1617</v>
      </c>
      <c r="S1" s="871" t="s">
        <v>1618</v>
      </c>
      <c r="T1" s="871" t="s">
        <v>1619</v>
      </c>
      <c r="U1" s="871" t="s">
        <v>1620</v>
      </c>
      <c r="V1" s="871" t="s">
        <v>1621</v>
      </c>
      <c r="W1" s="871" t="s">
        <v>1622</v>
      </c>
      <c r="X1" s="871" t="s">
        <v>1623</v>
      </c>
      <c r="Y1" s="871" t="s">
        <v>1624</v>
      </c>
      <c r="Z1" s="871" t="s">
        <v>1625</v>
      </c>
      <c r="AA1" s="871" t="s">
        <v>1626</v>
      </c>
      <c r="AB1" s="871" t="s">
        <v>1627</v>
      </c>
      <c r="AC1" s="871" t="s">
        <v>1628</v>
      </c>
      <c r="AD1" s="871" t="s">
        <v>1629</v>
      </c>
      <c r="AE1" s="871" t="s">
        <v>1630</v>
      </c>
      <c r="AF1" s="871" t="s">
        <v>1631</v>
      </c>
      <c r="AG1" s="871" t="s">
        <v>1632</v>
      </c>
      <c r="AH1" s="871" t="s">
        <v>1633</v>
      </c>
      <c r="AI1" s="871" t="s">
        <v>1634</v>
      </c>
      <c r="AJ1" s="871" t="s">
        <v>1635</v>
      </c>
      <c r="AK1" s="871" t="s">
        <v>1636</v>
      </c>
      <c r="AL1" s="871" t="s">
        <v>1637</v>
      </c>
      <c r="AM1" s="871" t="s">
        <v>1638</v>
      </c>
      <c r="AN1" s="871" t="s">
        <v>1639</v>
      </c>
      <c r="AO1" s="871" t="s">
        <v>1640</v>
      </c>
      <c r="AP1" s="871" t="s">
        <v>1641</v>
      </c>
      <c r="AQ1" s="871" t="s">
        <v>1642</v>
      </c>
      <c r="AR1" s="871" t="s">
        <v>1643</v>
      </c>
      <c r="AS1" s="871" t="s">
        <v>1644</v>
      </c>
      <c r="AT1" s="871" t="s">
        <v>1237</v>
      </c>
      <c r="AU1" s="871" t="s">
        <v>1645</v>
      </c>
      <c r="AV1" s="871" t="s">
        <v>1646</v>
      </c>
      <c r="AW1" s="871" t="s">
        <v>1647</v>
      </c>
      <c r="AX1" s="871" t="s">
        <v>1277</v>
      </c>
      <c r="AY1" s="871" t="s">
        <v>1237</v>
      </c>
      <c r="AZ1" s="871"/>
      <c r="BA1" s="871"/>
    </row>
    <row r="2" spans="1:289">
      <c r="A2" s="2472" t="s">
        <v>1278</v>
      </c>
      <c r="B2" s="2472"/>
      <c r="C2" s="873"/>
      <c r="D2" s="874"/>
      <c r="E2" s="875"/>
      <c r="F2" s="874"/>
      <c r="G2" s="876"/>
      <c r="H2" s="874"/>
      <c r="I2" s="874"/>
      <c r="J2" s="874"/>
      <c r="K2" s="874"/>
      <c r="L2" s="874"/>
      <c r="M2" s="874"/>
      <c r="N2" s="877"/>
      <c r="O2" s="874"/>
      <c r="P2" s="874"/>
      <c r="Q2" s="874"/>
      <c r="R2" s="874"/>
      <c r="AA2" s="876"/>
      <c r="AP2" s="879"/>
      <c r="AQ2" s="880"/>
      <c r="AR2" s="880"/>
      <c r="AS2" s="880"/>
      <c r="AT2" s="880"/>
      <c r="AU2" s="880"/>
    </row>
    <row r="3" spans="1:289" ht="17.100000000000001" customHeight="1">
      <c r="A3" s="881" t="s">
        <v>1279</v>
      </c>
      <c r="B3" s="882">
        <v>2026</v>
      </c>
      <c r="C3" s="883"/>
      <c r="D3" s="2473" t="s">
        <v>1280</v>
      </c>
      <c r="E3" s="2473"/>
      <c r="F3" s="874"/>
      <c r="G3" s="874"/>
      <c r="H3" s="874"/>
      <c r="I3" s="874"/>
      <c r="J3" s="874"/>
      <c r="K3" s="874"/>
      <c r="L3" s="874"/>
      <c r="M3" s="874"/>
      <c r="N3" s="884"/>
      <c r="O3" s="874"/>
      <c r="P3" s="874"/>
      <c r="Q3" s="874"/>
      <c r="R3" s="874"/>
      <c r="AA3" s="874"/>
      <c r="AP3" s="885"/>
      <c r="AQ3" s="885"/>
      <c r="AR3" s="885"/>
      <c r="AS3" s="885"/>
      <c r="AT3" s="885"/>
      <c r="AU3" s="885"/>
    </row>
    <row r="4" spans="1:289">
      <c r="A4" s="881" t="s">
        <v>1281</v>
      </c>
      <c r="B4" s="886">
        <v>46235</v>
      </c>
      <c r="C4" s="887" t="s">
        <v>1282</v>
      </c>
      <c r="D4" s="2474"/>
      <c r="E4" s="2474"/>
      <c r="F4" s="888"/>
      <c r="G4" s="889"/>
      <c r="H4" s="890"/>
      <c r="I4" s="890"/>
      <c r="J4" s="890"/>
      <c r="K4" s="890"/>
      <c r="L4" s="890"/>
      <c r="M4" s="890"/>
      <c r="N4" s="891"/>
      <c r="O4" s="891"/>
      <c r="P4" s="891"/>
      <c r="Q4" s="891"/>
      <c r="R4" s="891"/>
      <c r="S4" s="891"/>
      <c r="T4" s="891"/>
      <c r="U4" s="890"/>
      <c r="V4" s="890"/>
      <c r="W4" s="890"/>
      <c r="X4" s="890"/>
      <c r="AA4" s="889"/>
    </row>
    <row r="5" spans="1:289" s="901" customFormat="1" ht="31.2">
      <c r="A5" s="2475" t="s">
        <v>1283</v>
      </c>
      <c r="B5" s="2476"/>
      <c r="C5" s="2476"/>
      <c r="D5" s="2476"/>
      <c r="E5" s="2476"/>
      <c r="F5" s="892" t="s">
        <v>1284</v>
      </c>
      <c r="G5" s="893"/>
      <c r="H5" s="2477" t="s">
        <v>1285</v>
      </c>
      <c r="I5" s="2477"/>
      <c r="J5" s="2477"/>
      <c r="K5" s="2477"/>
      <c r="L5" s="2477"/>
      <c r="M5" s="2477"/>
      <c r="N5" s="2477"/>
      <c r="O5" s="2477"/>
      <c r="P5" s="2477"/>
      <c r="Q5" s="2477"/>
      <c r="R5" s="2477"/>
      <c r="S5" s="2477"/>
      <c r="T5" s="2477"/>
      <c r="U5" s="2477"/>
      <c r="V5" s="2477"/>
      <c r="W5" s="2477"/>
      <c r="X5" s="2477"/>
      <c r="Y5" s="2477"/>
      <c r="Z5" s="895"/>
      <c r="AA5" s="2478" t="s">
        <v>1286</v>
      </c>
      <c r="AB5" s="2477"/>
      <c r="AC5" s="2477"/>
      <c r="AD5" s="2477"/>
      <c r="AE5" s="2477"/>
      <c r="AF5" s="2477"/>
      <c r="AG5" s="2477"/>
      <c r="AH5" s="2477"/>
      <c r="AI5" s="2477"/>
      <c r="AJ5" s="2477"/>
      <c r="AK5" s="2477"/>
      <c r="AL5" s="2477"/>
      <c r="AM5" s="2477"/>
      <c r="AN5" s="2477"/>
      <c r="AO5" s="549"/>
      <c r="AP5" s="896"/>
      <c r="AQ5" s="897"/>
      <c r="AR5" s="897"/>
      <c r="AS5" s="898"/>
      <c r="AT5" s="898"/>
      <c r="AU5" s="899"/>
      <c r="AV5" s="900"/>
      <c r="AW5" s="897"/>
      <c r="BA5" s="901" t="s">
        <v>1287</v>
      </c>
    </row>
    <row r="6" spans="1:289" s="912" customFormat="1" ht="31.2">
      <c r="A6" s="2488" t="s">
        <v>1288</v>
      </c>
      <c r="B6" s="2490" t="s">
        <v>1289</v>
      </c>
      <c r="C6" s="2480" t="s">
        <v>1290</v>
      </c>
      <c r="D6" s="2480" t="s">
        <v>1291</v>
      </c>
      <c r="E6" s="2487" t="s">
        <v>1292</v>
      </c>
      <c r="F6" s="2479" t="s">
        <v>1293</v>
      </c>
      <c r="G6" s="903" t="s">
        <v>1238</v>
      </c>
      <c r="H6" s="904" t="s">
        <v>1239</v>
      </c>
      <c r="I6" s="2439" t="s">
        <v>2508</v>
      </c>
      <c r="J6" s="2439" t="s">
        <v>2501</v>
      </c>
      <c r="K6" s="2439" t="s">
        <v>2502</v>
      </c>
      <c r="L6" s="2451" t="s">
        <v>2503</v>
      </c>
      <c r="M6" s="2451" t="s">
        <v>2502</v>
      </c>
      <c r="N6" s="905">
        <v>46023</v>
      </c>
      <c r="O6" s="905">
        <v>46054</v>
      </c>
      <c r="P6" s="905">
        <v>46082</v>
      </c>
      <c r="Q6" s="905">
        <v>46113</v>
      </c>
      <c r="R6" s="905">
        <v>46143</v>
      </c>
      <c r="S6" s="905">
        <v>46174</v>
      </c>
      <c r="T6" s="905">
        <v>46204</v>
      </c>
      <c r="U6" s="905">
        <v>46235</v>
      </c>
      <c r="V6" s="905">
        <v>46266</v>
      </c>
      <c r="W6" s="905">
        <v>46296</v>
      </c>
      <c r="X6" s="905">
        <v>46327</v>
      </c>
      <c r="Y6" s="905">
        <v>46357</v>
      </c>
      <c r="Z6" s="906" t="s">
        <v>1273</v>
      </c>
      <c r="AA6" s="904" t="s">
        <v>1294</v>
      </c>
      <c r="AB6" s="905">
        <v>46023</v>
      </c>
      <c r="AC6" s="905">
        <v>46054</v>
      </c>
      <c r="AD6" s="905">
        <v>46082</v>
      </c>
      <c r="AE6" s="905">
        <v>46113</v>
      </c>
      <c r="AF6" s="905">
        <v>46143</v>
      </c>
      <c r="AG6" s="905">
        <v>46174</v>
      </c>
      <c r="AH6" s="905">
        <v>46204</v>
      </c>
      <c r="AI6" s="905">
        <v>46235</v>
      </c>
      <c r="AJ6" s="905">
        <v>46266</v>
      </c>
      <c r="AK6" s="905">
        <v>46296</v>
      </c>
      <c r="AL6" s="905">
        <v>46327</v>
      </c>
      <c r="AM6" s="905">
        <v>46357</v>
      </c>
      <c r="AN6" s="907" t="s">
        <v>1295</v>
      </c>
      <c r="AO6" s="908" t="s">
        <v>1296</v>
      </c>
      <c r="AP6" s="909">
        <v>47088</v>
      </c>
      <c r="AQ6" s="910">
        <v>47453</v>
      </c>
      <c r="AR6" s="910">
        <v>47818</v>
      </c>
      <c r="AS6" s="911">
        <v>48183</v>
      </c>
      <c r="AT6" s="911" t="s">
        <v>1297</v>
      </c>
      <c r="AV6" s="913"/>
      <c r="AW6" s="913"/>
      <c r="AZ6" s="914"/>
      <c r="BA6" s="915" t="s">
        <v>1298</v>
      </c>
      <c r="BB6" s="916" t="s">
        <v>1299</v>
      </c>
      <c r="BC6" s="915"/>
      <c r="BD6" s="917"/>
      <c r="BE6" s="917"/>
      <c r="BF6" s="918"/>
      <c r="BG6" s="919"/>
      <c r="BH6" s="914"/>
    </row>
    <row r="7" spans="1:289" s="912" customFormat="1">
      <c r="A7" s="2489"/>
      <c r="B7" s="2491"/>
      <c r="C7" s="2492"/>
      <c r="D7" s="2492"/>
      <c r="E7" s="2493"/>
      <c r="F7" s="2480"/>
      <c r="G7" s="922" t="s">
        <v>1300</v>
      </c>
      <c r="H7" s="923" t="s">
        <v>1300</v>
      </c>
      <c r="I7" s="2440"/>
      <c r="J7" s="2440"/>
      <c r="K7" s="2440"/>
      <c r="L7" s="2452"/>
      <c r="M7" s="2452"/>
      <c r="N7" s="924" t="s">
        <v>1301</v>
      </c>
      <c r="O7" s="924" t="s">
        <v>1301</v>
      </c>
      <c r="P7" s="925" t="s">
        <v>1302</v>
      </c>
      <c r="Q7" s="925" t="s">
        <v>1302</v>
      </c>
      <c r="R7" s="925" t="s">
        <v>1302</v>
      </c>
      <c r="S7" s="925" t="s">
        <v>1302</v>
      </c>
      <c r="T7" s="925" t="s">
        <v>1302</v>
      </c>
      <c r="U7" s="925" t="s">
        <v>1302</v>
      </c>
      <c r="V7" s="926" t="s">
        <v>1303</v>
      </c>
      <c r="W7" s="926" t="s">
        <v>1303</v>
      </c>
      <c r="X7" s="926" t="s">
        <v>1303</v>
      </c>
      <c r="Y7" s="926" t="s">
        <v>1303</v>
      </c>
      <c r="Z7" s="927" t="s">
        <v>1303</v>
      </c>
      <c r="AA7" s="926" t="s">
        <v>1300</v>
      </c>
      <c r="AB7" s="926" t="s">
        <v>1241</v>
      </c>
      <c r="AC7" s="926" t="s">
        <v>1241</v>
      </c>
      <c r="AD7" s="926" t="s">
        <v>1241</v>
      </c>
      <c r="AE7" s="926" t="s">
        <v>1241</v>
      </c>
      <c r="AF7" s="926" t="s">
        <v>1241</v>
      </c>
      <c r="AG7" s="926" t="s">
        <v>1241</v>
      </c>
      <c r="AH7" s="926" t="s">
        <v>1241</v>
      </c>
      <c r="AI7" s="926" t="s">
        <v>1241</v>
      </c>
      <c r="AJ7" s="926" t="s">
        <v>1241</v>
      </c>
      <c r="AK7" s="926" t="s">
        <v>1241</v>
      </c>
      <c r="AL7" s="926" t="s">
        <v>1241</v>
      </c>
      <c r="AM7" s="926" t="s">
        <v>1241</v>
      </c>
      <c r="AN7" s="926" t="s">
        <v>1303</v>
      </c>
      <c r="AO7" s="928" t="s">
        <v>1304</v>
      </c>
      <c r="AP7" s="929" t="s">
        <v>1240</v>
      </c>
      <c r="AQ7" s="930" t="s">
        <v>1240</v>
      </c>
      <c r="AR7" s="930" t="s">
        <v>1240</v>
      </c>
      <c r="AS7" s="931" t="s">
        <v>1240</v>
      </c>
      <c r="AT7" s="931" t="s">
        <v>1240</v>
      </c>
      <c r="AV7" s="932" t="s">
        <v>1305</v>
      </c>
      <c r="AW7" s="933" t="s">
        <v>1306</v>
      </c>
      <c r="AZ7" s="934"/>
      <c r="BA7" s="935"/>
      <c r="BB7" s="936" t="s">
        <v>1185</v>
      </c>
      <c r="BC7" s="937">
        <v>8</v>
      </c>
      <c r="BD7" s="938">
        <v>9</v>
      </c>
      <c r="BE7" s="938">
        <v>10</v>
      </c>
      <c r="BF7" s="938">
        <v>11</v>
      </c>
      <c r="BG7" s="936">
        <v>12</v>
      </c>
      <c r="BH7" s="939" t="s">
        <v>1307</v>
      </c>
      <c r="BJ7" s="940"/>
      <c r="BK7" s="940"/>
      <c r="BL7" s="940"/>
      <c r="KC7" s="912">
        <v>0</v>
      </c>
    </row>
    <row r="8" spans="1:289">
      <c r="A8" s="574" t="s">
        <v>620</v>
      </c>
      <c r="B8" s="574" t="s">
        <v>621</v>
      </c>
      <c r="C8" s="941">
        <v>1632393</v>
      </c>
      <c r="D8" s="942">
        <v>1966785</v>
      </c>
      <c r="E8" s="942">
        <v>-334392</v>
      </c>
      <c r="F8" s="943">
        <v>1547393</v>
      </c>
      <c r="G8" s="944">
        <v>85000</v>
      </c>
      <c r="H8" s="945">
        <v>85000</v>
      </c>
      <c r="I8" s="2441">
        <f>F8+SUM(N8:U8)</f>
        <v>1547393</v>
      </c>
      <c r="J8" s="2441">
        <f>VLOOKUP(A8,SAP累計至20260831收入實際數!$A:$B,2,FALSE)</f>
        <v>1547393</v>
      </c>
      <c r="K8" s="2441">
        <f>J8-I8</f>
        <v>0</v>
      </c>
      <c r="L8" s="2453">
        <f>VLOOKUP(A8,'202608收入成本表'!A:Y,22,FALSE)</f>
        <v>1547393</v>
      </c>
      <c r="M8" s="2453">
        <f>J8-L8</f>
        <v>0</v>
      </c>
      <c r="N8" s="946"/>
      <c r="O8" s="947"/>
      <c r="P8" s="947"/>
      <c r="Q8" s="947"/>
      <c r="R8" s="947"/>
      <c r="S8" s="947"/>
      <c r="T8" s="947"/>
      <c r="U8" s="947"/>
      <c r="V8" s="946"/>
      <c r="W8" s="946"/>
      <c r="X8" s="946"/>
      <c r="Y8" s="946">
        <v>85000</v>
      </c>
      <c r="Z8" s="945">
        <v>1632393</v>
      </c>
      <c r="AA8" s="945">
        <v>0</v>
      </c>
      <c r="AB8" s="948">
        <v>0</v>
      </c>
      <c r="AC8" s="948">
        <v>0</v>
      </c>
      <c r="AD8" s="948">
        <v>0</v>
      </c>
      <c r="AE8" s="948">
        <v>0</v>
      </c>
      <c r="AF8" s="948">
        <v>0</v>
      </c>
      <c r="AG8" s="948">
        <v>0</v>
      </c>
      <c r="AH8" s="948">
        <v>0</v>
      </c>
      <c r="AI8" s="948">
        <v>0</v>
      </c>
      <c r="AJ8" s="948">
        <v>0</v>
      </c>
      <c r="AK8" s="948">
        <v>0</v>
      </c>
      <c r="AL8" s="948">
        <v>0</v>
      </c>
      <c r="AM8" s="948">
        <v>0</v>
      </c>
      <c r="AN8" s="945">
        <v>1632393</v>
      </c>
      <c r="AO8" s="949" t="s">
        <v>1308</v>
      </c>
      <c r="AP8" s="950">
        <v>0</v>
      </c>
      <c r="AQ8" s="950">
        <v>0</v>
      </c>
      <c r="AR8" s="950">
        <v>0</v>
      </c>
      <c r="AS8" s="950">
        <v>0</v>
      </c>
      <c r="AT8" s="950">
        <v>0</v>
      </c>
      <c r="AU8" s="951"/>
      <c r="AV8" s="952">
        <v>1632393</v>
      </c>
      <c r="AW8" s="950">
        <v>0</v>
      </c>
      <c r="AZ8" s="953" t="s">
        <v>621</v>
      </c>
      <c r="BA8" s="954">
        <v>0</v>
      </c>
      <c r="BB8" s="955">
        <v>85000</v>
      </c>
      <c r="BC8" s="954">
        <v>0</v>
      </c>
      <c r="BD8" s="956">
        <v>0</v>
      </c>
      <c r="BE8" s="956">
        <v>0</v>
      </c>
      <c r="BF8" s="956">
        <v>0</v>
      </c>
      <c r="BG8" s="956">
        <v>85000</v>
      </c>
      <c r="BH8" s="957">
        <v>85000</v>
      </c>
      <c r="BJ8" s="958"/>
      <c r="BK8" s="958"/>
      <c r="BL8" s="958"/>
      <c r="BM8" s="956"/>
    </row>
    <row r="9" spans="1:289">
      <c r="A9" s="574" t="s">
        <v>622</v>
      </c>
      <c r="B9" s="751" t="s">
        <v>623</v>
      </c>
      <c r="C9" s="941">
        <v>24780000</v>
      </c>
      <c r="D9" s="942">
        <v>16733307</v>
      </c>
      <c r="E9" s="942">
        <v>8046693</v>
      </c>
      <c r="F9" s="943">
        <v>16428000</v>
      </c>
      <c r="G9" s="944">
        <v>795000</v>
      </c>
      <c r="H9" s="945">
        <v>795000</v>
      </c>
      <c r="I9" s="2441">
        <f t="shared" ref="I9:I34" si="0">F9+SUM(N9:U9)</f>
        <v>16428000</v>
      </c>
      <c r="J9" s="2441">
        <f>VLOOKUP(A9,SAP累計至20260831收入實際數!$A:$B,2,FALSE)</f>
        <v>16428000</v>
      </c>
      <c r="K9" s="2441">
        <f t="shared" ref="K9:K34" si="1">J9-I9</f>
        <v>0</v>
      </c>
      <c r="L9" s="2453">
        <f>VLOOKUP(A9,'202608收入成本表'!A:Y,22,FALSE)</f>
        <v>16428000</v>
      </c>
      <c r="M9" s="2453">
        <f t="shared" ref="M9:M34" si="2">J9-L9</f>
        <v>0</v>
      </c>
      <c r="N9" s="946"/>
      <c r="O9" s="947"/>
      <c r="P9" s="947"/>
      <c r="Q9" s="947"/>
      <c r="R9" s="947"/>
      <c r="S9" s="947"/>
      <c r="T9" s="947"/>
      <c r="U9" s="947"/>
      <c r="V9" s="946"/>
      <c r="W9" s="946"/>
      <c r="X9" s="946">
        <v>270000</v>
      </c>
      <c r="Y9" s="946">
        <v>525000</v>
      </c>
      <c r="Z9" s="945">
        <v>17223000</v>
      </c>
      <c r="AA9" s="945">
        <v>585000</v>
      </c>
      <c r="AB9" s="948">
        <v>0</v>
      </c>
      <c r="AC9" s="948">
        <v>240000</v>
      </c>
      <c r="AD9" s="948">
        <v>0</v>
      </c>
      <c r="AE9" s="948">
        <v>0</v>
      </c>
      <c r="AF9" s="948">
        <v>0</v>
      </c>
      <c r="AG9" s="948">
        <v>0</v>
      </c>
      <c r="AH9" s="948">
        <v>0</v>
      </c>
      <c r="AI9" s="948">
        <v>0</v>
      </c>
      <c r="AJ9" s="948">
        <v>0</v>
      </c>
      <c r="AK9" s="948">
        <v>0</v>
      </c>
      <c r="AL9" s="948">
        <v>0</v>
      </c>
      <c r="AM9" s="948">
        <v>345000</v>
      </c>
      <c r="AN9" s="945">
        <v>17808000</v>
      </c>
      <c r="AO9" s="959" t="s">
        <v>1308</v>
      </c>
      <c r="AP9" s="950">
        <v>700000</v>
      </c>
      <c r="AQ9" s="950">
        <v>6272000</v>
      </c>
      <c r="AR9" s="950">
        <v>0</v>
      </c>
      <c r="AS9" s="950">
        <v>0</v>
      </c>
      <c r="AT9" s="950">
        <v>0</v>
      </c>
      <c r="AU9" s="951"/>
      <c r="AV9" s="960">
        <v>24780000</v>
      </c>
      <c r="AW9" s="950">
        <v>0</v>
      </c>
      <c r="AZ9" s="953" t="s">
        <v>623</v>
      </c>
      <c r="BA9" s="954">
        <v>0</v>
      </c>
      <c r="BB9" s="955">
        <v>795000</v>
      </c>
      <c r="BC9" s="954">
        <v>0</v>
      </c>
      <c r="BD9" s="956">
        <v>0</v>
      </c>
      <c r="BE9" s="956">
        <v>0</v>
      </c>
      <c r="BF9" s="956">
        <v>270000</v>
      </c>
      <c r="BG9" s="956">
        <v>525000</v>
      </c>
      <c r="BH9" s="957">
        <v>795000</v>
      </c>
      <c r="BJ9" s="958"/>
      <c r="BK9" s="958"/>
      <c r="BL9" s="958"/>
      <c r="BM9" s="956"/>
    </row>
    <row r="10" spans="1:289">
      <c r="A10" s="574" t="s">
        <v>624</v>
      </c>
      <c r="B10" s="751" t="s">
        <v>1309</v>
      </c>
      <c r="C10" s="941">
        <v>11380550</v>
      </c>
      <c r="D10" s="942">
        <v>8457888</v>
      </c>
      <c r="E10" s="942">
        <v>2922662</v>
      </c>
      <c r="F10" s="943">
        <v>6771518</v>
      </c>
      <c r="G10" s="944">
        <v>1650000</v>
      </c>
      <c r="H10" s="945">
        <v>1650000</v>
      </c>
      <c r="I10" s="2441">
        <f t="shared" si="0"/>
        <v>7971518</v>
      </c>
      <c r="J10" s="2441">
        <f>VLOOKUP(A10,SAP累計至20260831收入實際數!$A:$B,2,FALSE)</f>
        <v>7971518</v>
      </c>
      <c r="K10" s="2441">
        <f t="shared" si="1"/>
        <v>0</v>
      </c>
      <c r="L10" s="2453">
        <f>VLOOKUP(A10,'202608收入成本表'!A:Y,22,FALSE)</f>
        <v>7971518</v>
      </c>
      <c r="M10" s="2453">
        <f t="shared" si="2"/>
        <v>0</v>
      </c>
      <c r="N10" s="946">
        <v>75000</v>
      </c>
      <c r="O10" s="947">
        <v>75000</v>
      </c>
      <c r="P10" s="947">
        <v>75000</v>
      </c>
      <c r="Q10" s="947">
        <v>675000</v>
      </c>
      <c r="R10" s="947">
        <v>75000</v>
      </c>
      <c r="S10" s="947">
        <v>75000</v>
      </c>
      <c r="T10" s="947">
        <v>75000</v>
      </c>
      <c r="U10" s="947">
        <v>75000</v>
      </c>
      <c r="V10" s="946">
        <v>75000</v>
      </c>
      <c r="W10" s="946">
        <v>75000</v>
      </c>
      <c r="X10" s="946">
        <v>150000</v>
      </c>
      <c r="Y10" s="946">
        <v>150000</v>
      </c>
      <c r="Z10" s="945">
        <v>8421518</v>
      </c>
      <c r="AA10" s="945">
        <v>2561032</v>
      </c>
      <c r="AB10" s="948">
        <v>675000</v>
      </c>
      <c r="AC10" s="948">
        <v>1136032</v>
      </c>
      <c r="AD10" s="948">
        <v>75000</v>
      </c>
      <c r="AE10" s="948">
        <v>75000</v>
      </c>
      <c r="AF10" s="948">
        <v>75000</v>
      </c>
      <c r="AG10" s="948">
        <v>75000</v>
      </c>
      <c r="AH10" s="948">
        <v>75000</v>
      </c>
      <c r="AI10" s="948">
        <v>75000</v>
      </c>
      <c r="AJ10" s="948">
        <v>75000</v>
      </c>
      <c r="AK10" s="948">
        <v>75000</v>
      </c>
      <c r="AL10" s="948">
        <v>75000</v>
      </c>
      <c r="AM10" s="948">
        <v>75000</v>
      </c>
      <c r="AN10" s="945">
        <v>10982550</v>
      </c>
      <c r="AO10" s="959" t="s">
        <v>1308</v>
      </c>
      <c r="AP10" s="950">
        <v>398000</v>
      </c>
      <c r="AQ10" s="950">
        <v>0</v>
      </c>
      <c r="AR10" s="950">
        <v>0</v>
      </c>
      <c r="AS10" s="950">
        <v>0</v>
      </c>
      <c r="AT10" s="950">
        <v>0</v>
      </c>
      <c r="AU10" s="951"/>
      <c r="AV10" s="960">
        <v>11380550</v>
      </c>
      <c r="AW10" s="950">
        <v>0</v>
      </c>
      <c r="AZ10" s="953" t="s">
        <v>1242</v>
      </c>
      <c r="BA10" s="954">
        <v>1125000</v>
      </c>
      <c r="BB10" s="955">
        <v>525000</v>
      </c>
      <c r="BC10" s="954">
        <v>75000</v>
      </c>
      <c r="BD10" s="956">
        <v>75000</v>
      </c>
      <c r="BE10" s="956">
        <v>75000</v>
      </c>
      <c r="BF10" s="956">
        <v>150000</v>
      </c>
      <c r="BG10" s="956">
        <v>150000</v>
      </c>
      <c r="BH10" s="957">
        <v>1650000</v>
      </c>
      <c r="BJ10" s="958"/>
      <c r="BK10" s="958"/>
      <c r="BL10" s="958"/>
      <c r="BM10" s="956"/>
    </row>
    <row r="11" spans="1:289">
      <c r="A11" s="574" t="s">
        <v>626</v>
      </c>
      <c r="B11" s="751" t="s">
        <v>1310</v>
      </c>
      <c r="C11" s="941">
        <v>1950000</v>
      </c>
      <c r="D11" s="942">
        <v>1258917</v>
      </c>
      <c r="E11" s="942">
        <v>691083</v>
      </c>
      <c r="F11" s="943">
        <v>1950000</v>
      </c>
      <c r="G11" s="944">
        <v>0</v>
      </c>
      <c r="H11" s="945">
        <v>0</v>
      </c>
      <c r="I11" s="2441">
        <f t="shared" si="0"/>
        <v>1950000</v>
      </c>
      <c r="J11" s="2441">
        <f>VLOOKUP(A11,SAP累計至20260831收入實際數!$A:$B,2,FALSE)</f>
        <v>1950000</v>
      </c>
      <c r="K11" s="2441">
        <f t="shared" si="1"/>
        <v>0</v>
      </c>
      <c r="L11" s="2453">
        <f>VLOOKUP(A11,'202608收入成本表'!A:Y,22,FALSE)</f>
        <v>1950000</v>
      </c>
      <c r="M11" s="2453">
        <f t="shared" si="2"/>
        <v>0</v>
      </c>
      <c r="N11" s="946"/>
      <c r="O11" s="947"/>
      <c r="P11" s="947"/>
      <c r="Q11" s="947"/>
      <c r="R11" s="947"/>
      <c r="S11" s="947"/>
      <c r="T11" s="947"/>
      <c r="U11" s="947"/>
      <c r="V11" s="946"/>
      <c r="W11" s="946"/>
      <c r="X11" s="946"/>
      <c r="Y11" s="946"/>
      <c r="Z11" s="945">
        <v>1950000</v>
      </c>
      <c r="AA11" s="945">
        <v>0</v>
      </c>
      <c r="AB11" s="948">
        <v>0</v>
      </c>
      <c r="AC11" s="948">
        <v>0</v>
      </c>
      <c r="AD11" s="948">
        <v>0</v>
      </c>
      <c r="AE11" s="948">
        <v>0</v>
      </c>
      <c r="AF11" s="948">
        <v>0</v>
      </c>
      <c r="AG11" s="948">
        <v>0</v>
      </c>
      <c r="AH11" s="948">
        <v>0</v>
      </c>
      <c r="AI11" s="948">
        <v>0</v>
      </c>
      <c r="AJ11" s="948">
        <v>0</v>
      </c>
      <c r="AK11" s="948">
        <v>0</v>
      </c>
      <c r="AL11" s="948">
        <v>0</v>
      </c>
      <c r="AM11" s="948">
        <v>0</v>
      </c>
      <c r="AN11" s="945">
        <v>1950000</v>
      </c>
      <c r="AO11" s="959" t="s">
        <v>1308</v>
      </c>
      <c r="AP11" s="950">
        <v>0</v>
      </c>
      <c r="AQ11" s="950">
        <v>0</v>
      </c>
      <c r="AR11" s="950">
        <v>0</v>
      </c>
      <c r="AS11" s="950">
        <v>0</v>
      </c>
      <c r="AT11" s="950">
        <v>0</v>
      </c>
      <c r="AU11" s="951"/>
      <c r="AV11" s="960">
        <v>1950000</v>
      </c>
      <c r="AW11" s="950">
        <v>0</v>
      </c>
      <c r="AZ11" s="953" t="s">
        <v>1243</v>
      </c>
      <c r="BA11" s="954">
        <v>0</v>
      </c>
      <c r="BB11" s="955">
        <v>0</v>
      </c>
      <c r="BC11" s="954">
        <v>0</v>
      </c>
      <c r="BD11" s="956">
        <v>0</v>
      </c>
      <c r="BE11" s="956">
        <v>0</v>
      </c>
      <c r="BF11" s="956">
        <v>0</v>
      </c>
      <c r="BG11" s="956">
        <v>0</v>
      </c>
      <c r="BH11" s="957">
        <v>0</v>
      </c>
      <c r="BJ11" s="958"/>
      <c r="BK11" s="958"/>
      <c r="BL11" s="958"/>
      <c r="BM11" s="956"/>
    </row>
    <row r="12" spans="1:289">
      <c r="A12" s="574" t="s">
        <v>628</v>
      </c>
      <c r="B12" s="751" t="s">
        <v>1311</v>
      </c>
      <c r="C12" s="941">
        <v>18000000</v>
      </c>
      <c r="D12" s="942">
        <v>16145608</v>
      </c>
      <c r="E12" s="942">
        <v>1854392</v>
      </c>
      <c r="F12" s="943">
        <v>10350000</v>
      </c>
      <c r="G12" s="944">
        <v>1782000</v>
      </c>
      <c r="H12" s="945">
        <v>1584000</v>
      </c>
      <c r="I12" s="2441">
        <f t="shared" si="0"/>
        <v>11541000</v>
      </c>
      <c r="J12" s="2441">
        <f>VLOOKUP(A12,SAP累計至20260831收入實際數!$A:$B,2,FALSE)</f>
        <v>11541000</v>
      </c>
      <c r="K12" s="2441">
        <f t="shared" si="1"/>
        <v>0</v>
      </c>
      <c r="L12" s="2453">
        <f>VLOOKUP(A12,'202608收入成本表'!A:Y,22,FALSE)</f>
        <v>11541000</v>
      </c>
      <c r="M12" s="2453">
        <f t="shared" si="2"/>
        <v>0</v>
      </c>
      <c r="N12" s="946">
        <v>30000</v>
      </c>
      <c r="O12" s="947">
        <v>30000</v>
      </c>
      <c r="P12" s="961">
        <v>330000</v>
      </c>
      <c r="Q12" s="961">
        <v>408000</v>
      </c>
      <c r="R12" s="961">
        <v>30000</v>
      </c>
      <c r="S12" s="961">
        <v>30000</v>
      </c>
      <c r="T12" s="947">
        <v>303000</v>
      </c>
      <c r="U12" s="947">
        <v>30000</v>
      </c>
      <c r="V12" s="946">
        <v>30000</v>
      </c>
      <c r="W12" s="946">
        <v>303000</v>
      </c>
      <c r="X12" s="946">
        <v>30000</v>
      </c>
      <c r="Y12" s="946">
        <v>30000</v>
      </c>
      <c r="Z12" s="945">
        <v>11934000</v>
      </c>
      <c r="AA12" s="945">
        <v>423000</v>
      </c>
      <c r="AB12" s="948">
        <v>93000</v>
      </c>
      <c r="AC12" s="948">
        <v>30000</v>
      </c>
      <c r="AD12" s="948">
        <v>30000</v>
      </c>
      <c r="AE12" s="948">
        <v>30000</v>
      </c>
      <c r="AF12" s="948">
        <v>30000</v>
      </c>
      <c r="AG12" s="948">
        <v>30000</v>
      </c>
      <c r="AH12" s="948">
        <v>30000</v>
      </c>
      <c r="AI12" s="948">
        <v>30000</v>
      </c>
      <c r="AJ12" s="948">
        <v>30000</v>
      </c>
      <c r="AK12" s="948">
        <v>30000</v>
      </c>
      <c r="AL12" s="948">
        <v>30000</v>
      </c>
      <c r="AM12" s="948">
        <v>30000</v>
      </c>
      <c r="AN12" s="945">
        <v>12357000</v>
      </c>
      <c r="AO12" s="959" t="s">
        <v>1308</v>
      </c>
      <c r="AP12" s="950">
        <v>420000</v>
      </c>
      <c r="AQ12" s="950">
        <v>794000</v>
      </c>
      <c r="AR12" s="950">
        <v>468000</v>
      </c>
      <c r="AS12" s="950">
        <v>3961000</v>
      </c>
      <c r="AT12" s="950">
        <v>0</v>
      </c>
      <c r="AU12" s="951"/>
      <c r="AV12" s="960">
        <v>18000000</v>
      </c>
      <c r="AW12" s="950">
        <v>0</v>
      </c>
      <c r="AZ12" s="953" t="s">
        <v>1244</v>
      </c>
      <c r="BA12" s="954">
        <v>1161000</v>
      </c>
      <c r="BB12" s="955">
        <v>423000</v>
      </c>
      <c r="BC12" s="954">
        <v>30000</v>
      </c>
      <c r="BD12" s="956">
        <v>30000</v>
      </c>
      <c r="BE12" s="956">
        <v>303000</v>
      </c>
      <c r="BF12" s="956">
        <v>30000</v>
      </c>
      <c r="BG12" s="956">
        <v>30000</v>
      </c>
      <c r="BH12" s="957">
        <v>1584000</v>
      </c>
      <c r="BJ12" s="958"/>
      <c r="BK12" s="958"/>
      <c r="BL12" s="958"/>
      <c r="BM12" s="956"/>
    </row>
    <row r="13" spans="1:289">
      <c r="A13" s="574" t="s">
        <v>631</v>
      </c>
      <c r="B13" s="751" t="s">
        <v>1312</v>
      </c>
      <c r="C13" s="941">
        <v>4380000</v>
      </c>
      <c r="D13" s="942">
        <v>4575503</v>
      </c>
      <c r="E13" s="942">
        <v>-195503</v>
      </c>
      <c r="F13" s="943">
        <v>3615000</v>
      </c>
      <c r="G13" s="944">
        <v>765000</v>
      </c>
      <c r="H13" s="945">
        <v>765000</v>
      </c>
      <c r="I13" s="2441">
        <f t="shared" si="0"/>
        <v>3615000</v>
      </c>
      <c r="J13" s="2441">
        <f>VLOOKUP(A13,SAP累計至20260831收入實際數!$A:$B,2,FALSE)</f>
        <v>3615000</v>
      </c>
      <c r="K13" s="2441">
        <f t="shared" si="1"/>
        <v>0</v>
      </c>
      <c r="L13" s="2453">
        <f>VLOOKUP(A13,'202608收入成本表'!A:Y,22,FALSE)</f>
        <v>3615000</v>
      </c>
      <c r="M13" s="2453">
        <f t="shared" si="2"/>
        <v>0</v>
      </c>
      <c r="N13" s="946"/>
      <c r="O13" s="947"/>
      <c r="P13" s="947"/>
      <c r="Q13" s="947"/>
      <c r="R13" s="947"/>
      <c r="S13" s="947"/>
      <c r="T13" s="947"/>
      <c r="U13" s="947"/>
      <c r="V13" s="946"/>
      <c r="W13" s="946"/>
      <c r="X13" s="946"/>
      <c r="Y13" s="946">
        <v>765000</v>
      </c>
      <c r="Z13" s="945">
        <v>4380000</v>
      </c>
      <c r="AA13" s="945">
        <v>0</v>
      </c>
      <c r="AB13" s="948">
        <v>0</v>
      </c>
      <c r="AC13" s="948">
        <v>0</v>
      </c>
      <c r="AD13" s="948">
        <v>0</v>
      </c>
      <c r="AE13" s="948">
        <v>0</v>
      </c>
      <c r="AF13" s="948">
        <v>0</v>
      </c>
      <c r="AG13" s="948">
        <v>0</v>
      </c>
      <c r="AH13" s="948">
        <v>0</v>
      </c>
      <c r="AI13" s="948">
        <v>0</v>
      </c>
      <c r="AJ13" s="948">
        <v>0</v>
      </c>
      <c r="AK13" s="948">
        <v>0</v>
      </c>
      <c r="AL13" s="948">
        <v>0</v>
      </c>
      <c r="AM13" s="948">
        <v>0</v>
      </c>
      <c r="AN13" s="945">
        <v>4380000</v>
      </c>
      <c r="AO13" s="959" t="s">
        <v>1308</v>
      </c>
      <c r="AP13" s="950">
        <v>0</v>
      </c>
      <c r="AQ13" s="950">
        <v>0</v>
      </c>
      <c r="AR13" s="950">
        <v>0</v>
      </c>
      <c r="AS13" s="950">
        <v>0</v>
      </c>
      <c r="AT13" s="950">
        <v>0</v>
      </c>
      <c r="AU13" s="951"/>
      <c r="AV13" s="960">
        <v>4380000</v>
      </c>
      <c r="AW13" s="950">
        <v>0</v>
      </c>
      <c r="AZ13" s="953" t="s">
        <v>1050</v>
      </c>
      <c r="BA13" s="954">
        <v>0</v>
      </c>
      <c r="BB13" s="955">
        <v>765000</v>
      </c>
      <c r="BC13" s="954">
        <v>0</v>
      </c>
      <c r="BD13" s="956">
        <v>0</v>
      </c>
      <c r="BE13" s="956">
        <v>0</v>
      </c>
      <c r="BF13" s="956">
        <v>0</v>
      </c>
      <c r="BG13" s="956">
        <v>765000</v>
      </c>
      <c r="BH13" s="957">
        <v>765000</v>
      </c>
      <c r="BJ13" s="956"/>
      <c r="BK13" s="956"/>
      <c r="BL13" s="956"/>
      <c r="BM13" s="956"/>
    </row>
    <row r="14" spans="1:289" s="971" customFormat="1">
      <c r="A14" s="962" t="s">
        <v>633</v>
      </c>
      <c r="B14" s="963" t="s">
        <v>1313</v>
      </c>
      <c r="C14" s="964">
        <v>3525000</v>
      </c>
      <c r="D14" s="965">
        <v>2838696</v>
      </c>
      <c r="E14" s="965">
        <v>686304</v>
      </c>
      <c r="F14" s="943">
        <v>0</v>
      </c>
      <c r="G14" s="944">
        <v>1617000</v>
      </c>
      <c r="H14" s="966">
        <v>867500</v>
      </c>
      <c r="I14" s="2441">
        <f t="shared" si="0"/>
        <v>0</v>
      </c>
      <c r="J14" s="2441"/>
      <c r="K14" s="2441">
        <f t="shared" si="1"/>
        <v>0</v>
      </c>
      <c r="L14" s="2453">
        <f>VLOOKUP(A14,'202608收入成本表'!A:Y,22,FALSE)</f>
        <v>0</v>
      </c>
      <c r="M14" s="2453">
        <f t="shared" si="2"/>
        <v>0</v>
      </c>
      <c r="N14" s="946"/>
      <c r="O14" s="947"/>
      <c r="P14" s="947"/>
      <c r="Q14" s="947"/>
      <c r="R14" s="947"/>
      <c r="S14" s="947"/>
      <c r="T14" s="947"/>
      <c r="U14" s="947"/>
      <c r="V14" s="946"/>
      <c r="W14" s="946"/>
      <c r="X14" s="946"/>
      <c r="Y14" s="946">
        <v>867500</v>
      </c>
      <c r="Z14" s="966">
        <v>867500</v>
      </c>
      <c r="AA14" s="966">
        <v>1388000</v>
      </c>
      <c r="AB14" s="967">
        <v>347000</v>
      </c>
      <c r="AC14" s="967"/>
      <c r="AD14" s="967">
        <v>347000</v>
      </c>
      <c r="AE14" s="967"/>
      <c r="AF14" s="967"/>
      <c r="AG14" s="967"/>
      <c r="AH14" s="967"/>
      <c r="AI14" s="967"/>
      <c r="AJ14" s="967"/>
      <c r="AK14" s="967"/>
      <c r="AL14" s="967"/>
      <c r="AM14" s="967">
        <v>694000</v>
      </c>
      <c r="AN14" s="966">
        <v>2255500</v>
      </c>
      <c r="AO14" s="968" t="s">
        <v>1314</v>
      </c>
      <c r="AP14" s="969">
        <v>822500</v>
      </c>
      <c r="AQ14" s="969">
        <v>447000</v>
      </c>
      <c r="AR14" s="969">
        <v>0</v>
      </c>
      <c r="AS14" s="969">
        <v>0</v>
      </c>
      <c r="AT14" s="969">
        <v>0</v>
      </c>
      <c r="AU14" s="970"/>
      <c r="AV14" s="960">
        <v>3525000</v>
      </c>
      <c r="AW14" s="950">
        <v>0</v>
      </c>
      <c r="AZ14" s="953" t="s">
        <v>1056</v>
      </c>
      <c r="BA14" s="954">
        <v>0</v>
      </c>
      <c r="BB14" s="955">
        <v>867500</v>
      </c>
      <c r="BC14" s="954">
        <v>0</v>
      </c>
      <c r="BD14" s="956">
        <v>0</v>
      </c>
      <c r="BE14" s="956">
        <v>0</v>
      </c>
      <c r="BF14" s="956">
        <v>0</v>
      </c>
      <c r="BG14" s="956">
        <v>867500</v>
      </c>
      <c r="BH14" s="957">
        <v>867500</v>
      </c>
    </row>
    <row r="15" spans="1:289">
      <c r="A15" s="574" t="s">
        <v>634</v>
      </c>
      <c r="B15" s="751" t="s">
        <v>1315</v>
      </c>
      <c r="C15" s="941">
        <v>7800000</v>
      </c>
      <c r="D15" s="942">
        <v>7041372</v>
      </c>
      <c r="E15" s="942">
        <v>758628</v>
      </c>
      <c r="F15" s="943">
        <v>4185000</v>
      </c>
      <c r="G15" s="944">
        <v>1440000</v>
      </c>
      <c r="H15" s="945">
        <v>1440000</v>
      </c>
      <c r="I15" s="2441">
        <f t="shared" si="0"/>
        <v>5465000</v>
      </c>
      <c r="J15" s="2441">
        <f>VLOOKUP(A15,SAP累計至20260831收入實際數!$A:$B,2,FALSE)</f>
        <v>5465000</v>
      </c>
      <c r="K15" s="2441">
        <f t="shared" si="1"/>
        <v>0</v>
      </c>
      <c r="L15" s="2453">
        <f>VLOOKUP(A15,'202608收入成本表'!A:Y,22,FALSE)</f>
        <v>5465000</v>
      </c>
      <c r="M15" s="2453">
        <f t="shared" si="2"/>
        <v>0</v>
      </c>
      <c r="N15" s="946">
        <v>160000</v>
      </c>
      <c r="O15" s="947">
        <v>160000</v>
      </c>
      <c r="P15" s="947">
        <v>160000</v>
      </c>
      <c r="Q15" s="947">
        <v>160000</v>
      </c>
      <c r="R15" s="947">
        <v>160000</v>
      </c>
      <c r="S15" s="947">
        <v>160000</v>
      </c>
      <c r="T15" s="947">
        <v>160000</v>
      </c>
      <c r="U15" s="947">
        <v>160000</v>
      </c>
      <c r="V15" s="946"/>
      <c r="W15" s="946"/>
      <c r="X15" s="946">
        <v>80000</v>
      </c>
      <c r="Y15" s="946">
        <v>80000</v>
      </c>
      <c r="Z15" s="945">
        <v>5625000</v>
      </c>
      <c r="AA15" s="945">
        <v>2175000</v>
      </c>
      <c r="AB15" s="948">
        <v>160000</v>
      </c>
      <c r="AC15" s="948">
        <v>160000</v>
      </c>
      <c r="AD15" s="948">
        <v>160000</v>
      </c>
      <c r="AE15" s="948">
        <v>160000</v>
      </c>
      <c r="AF15" s="948">
        <v>160000</v>
      </c>
      <c r="AG15" s="948">
        <v>160000</v>
      </c>
      <c r="AH15" s="948">
        <v>160000</v>
      </c>
      <c r="AI15" s="948">
        <v>160000</v>
      </c>
      <c r="AJ15" s="948">
        <v>160000</v>
      </c>
      <c r="AK15" s="948">
        <v>160000</v>
      </c>
      <c r="AL15" s="948">
        <v>160000</v>
      </c>
      <c r="AM15" s="948">
        <v>415000</v>
      </c>
      <c r="AN15" s="945">
        <v>7800000</v>
      </c>
      <c r="AO15" s="959" t="s">
        <v>1308</v>
      </c>
      <c r="AP15" s="950">
        <v>0</v>
      </c>
      <c r="AQ15" s="950">
        <v>0</v>
      </c>
      <c r="AR15" s="950">
        <v>0</v>
      </c>
      <c r="AS15" s="950">
        <v>0</v>
      </c>
      <c r="AT15" s="950">
        <v>0</v>
      </c>
      <c r="AU15" s="951"/>
      <c r="AV15" s="960">
        <v>7800000</v>
      </c>
      <c r="AW15" s="950">
        <v>0</v>
      </c>
      <c r="AZ15" s="953" t="s">
        <v>1060</v>
      </c>
      <c r="BA15" s="954">
        <v>1120000</v>
      </c>
      <c r="BB15" s="955">
        <v>320000</v>
      </c>
      <c r="BC15" s="954">
        <v>160000</v>
      </c>
      <c r="BD15" s="956">
        <v>0</v>
      </c>
      <c r="BE15" s="956">
        <v>0</v>
      </c>
      <c r="BF15" s="956">
        <v>80000</v>
      </c>
      <c r="BG15" s="956">
        <v>80000</v>
      </c>
      <c r="BH15" s="957">
        <v>1440000</v>
      </c>
    </row>
    <row r="16" spans="1:289">
      <c r="A16" s="574" t="s">
        <v>636</v>
      </c>
      <c r="B16" s="751" t="s">
        <v>1316</v>
      </c>
      <c r="C16" s="941">
        <v>40013400</v>
      </c>
      <c r="D16" s="942">
        <v>26960687</v>
      </c>
      <c r="E16" s="942">
        <v>13052713</v>
      </c>
      <c r="F16" s="943">
        <v>6018000</v>
      </c>
      <c r="G16" s="944">
        <v>6300000</v>
      </c>
      <c r="H16" s="945">
        <v>2595000</v>
      </c>
      <c r="I16" s="2441">
        <f t="shared" si="0"/>
        <v>6868000</v>
      </c>
      <c r="J16" s="2441">
        <f>VLOOKUP(A16,SAP累計至20260831收入實際數!$A:$B,2,FALSE)</f>
        <v>6868000</v>
      </c>
      <c r="K16" s="2441">
        <f t="shared" si="1"/>
        <v>0</v>
      </c>
      <c r="L16" s="2453">
        <f>VLOOKUP(A16,'202608收入成本表'!A:Y,22,FALSE)</f>
        <v>6868000</v>
      </c>
      <c r="M16" s="2453">
        <f t="shared" si="2"/>
        <v>0</v>
      </c>
      <c r="N16" s="946"/>
      <c r="O16" s="947">
        <v>170000</v>
      </c>
      <c r="P16" s="947">
        <v>0</v>
      </c>
      <c r="Q16" s="947">
        <v>170000</v>
      </c>
      <c r="R16" s="947">
        <v>170000</v>
      </c>
      <c r="S16" s="947">
        <v>170000</v>
      </c>
      <c r="T16" s="947">
        <v>170000</v>
      </c>
      <c r="U16" s="947">
        <v>0</v>
      </c>
      <c r="V16" s="946">
        <v>170000</v>
      </c>
      <c r="W16" s="946">
        <v>525000</v>
      </c>
      <c r="X16" s="946">
        <v>525000</v>
      </c>
      <c r="Y16" s="946">
        <v>525000</v>
      </c>
      <c r="Z16" s="945">
        <v>8613000</v>
      </c>
      <c r="AA16" s="945">
        <v>5480000</v>
      </c>
      <c r="AB16" s="948">
        <v>431668</v>
      </c>
      <c r="AC16" s="948">
        <v>731668</v>
      </c>
      <c r="AD16" s="948">
        <v>431668</v>
      </c>
      <c r="AE16" s="948">
        <v>431668</v>
      </c>
      <c r="AF16" s="948">
        <v>431668</v>
      </c>
      <c r="AG16" s="948">
        <v>431668</v>
      </c>
      <c r="AH16" s="948">
        <v>431668</v>
      </c>
      <c r="AI16" s="948">
        <v>431668</v>
      </c>
      <c r="AJ16" s="948">
        <v>431668</v>
      </c>
      <c r="AK16" s="948">
        <v>431668</v>
      </c>
      <c r="AL16" s="948">
        <v>431668</v>
      </c>
      <c r="AM16" s="948">
        <v>431652</v>
      </c>
      <c r="AN16" s="945">
        <v>14093000</v>
      </c>
      <c r="AO16" s="959" t="s">
        <v>1308</v>
      </c>
      <c r="AP16" s="950">
        <v>3500000</v>
      </c>
      <c r="AQ16" s="950">
        <v>1850000</v>
      </c>
      <c r="AR16" s="950">
        <v>2170000</v>
      </c>
      <c r="AS16" s="950">
        <v>2050000</v>
      </c>
      <c r="AT16" s="950">
        <v>16350400</v>
      </c>
      <c r="AU16" s="951"/>
      <c r="AV16" s="960">
        <v>40013400</v>
      </c>
      <c r="AW16" s="950">
        <v>0</v>
      </c>
      <c r="AZ16" s="953" t="s">
        <v>1064</v>
      </c>
      <c r="BA16" s="954">
        <v>850000</v>
      </c>
      <c r="BB16" s="955">
        <v>1745000</v>
      </c>
      <c r="BC16" s="954">
        <v>0</v>
      </c>
      <c r="BD16" s="956">
        <v>170000</v>
      </c>
      <c r="BE16" s="956">
        <v>525000</v>
      </c>
      <c r="BF16" s="956">
        <v>525000</v>
      </c>
      <c r="BG16" s="956">
        <v>525000</v>
      </c>
      <c r="BH16" s="957">
        <v>2595000</v>
      </c>
    </row>
    <row r="17" spans="1:60">
      <c r="A17" s="685" t="s">
        <v>1065</v>
      </c>
      <c r="B17" s="685" t="s">
        <v>1317</v>
      </c>
      <c r="C17" s="972">
        <v>49477750</v>
      </c>
      <c r="D17" s="973">
        <v>33486571</v>
      </c>
      <c r="E17" s="973">
        <v>15991179</v>
      </c>
      <c r="F17" s="943">
        <v>1486250</v>
      </c>
      <c r="G17" s="944">
        <v>7876000</v>
      </c>
      <c r="H17" s="974">
        <v>3745000</v>
      </c>
      <c r="I17" s="2441">
        <f t="shared" si="0"/>
        <v>2888750</v>
      </c>
      <c r="J17" s="2441">
        <f>VLOOKUP(A17,SAP累計至20260831收入實際數!$A:$B,2,FALSE)</f>
        <v>2888750</v>
      </c>
      <c r="K17" s="2441">
        <f t="shared" si="1"/>
        <v>0</v>
      </c>
      <c r="L17" s="2453">
        <f>VLOOKUP(A17,'202608收入成本表'!A:Y,22,FALSE)</f>
        <v>2888750</v>
      </c>
      <c r="M17" s="2453">
        <f t="shared" si="2"/>
        <v>0</v>
      </c>
      <c r="N17" s="946">
        <v>160000</v>
      </c>
      <c r="O17" s="947">
        <v>282500</v>
      </c>
      <c r="P17" s="947">
        <v>160000</v>
      </c>
      <c r="Q17" s="947">
        <v>160000</v>
      </c>
      <c r="R17" s="947">
        <v>160000</v>
      </c>
      <c r="S17" s="947">
        <v>160000</v>
      </c>
      <c r="T17" s="947">
        <v>160000</v>
      </c>
      <c r="U17" s="947">
        <v>160000</v>
      </c>
      <c r="V17" s="946">
        <v>160000</v>
      </c>
      <c r="W17" s="946">
        <v>160000</v>
      </c>
      <c r="X17" s="946">
        <v>1910000</v>
      </c>
      <c r="Y17" s="946">
        <v>112500</v>
      </c>
      <c r="Z17" s="974">
        <v>5231250</v>
      </c>
      <c r="AA17" s="974">
        <v>6453250</v>
      </c>
      <c r="AB17" s="946">
        <v>1740000</v>
      </c>
      <c r="AC17" s="946">
        <v>393250</v>
      </c>
      <c r="AD17" s="946">
        <v>900000</v>
      </c>
      <c r="AE17" s="946">
        <v>60000</v>
      </c>
      <c r="AF17" s="946">
        <v>900000</v>
      </c>
      <c r="AG17" s="946">
        <v>60000</v>
      </c>
      <c r="AH17" s="946">
        <v>900000</v>
      </c>
      <c r="AI17" s="946">
        <v>230000</v>
      </c>
      <c r="AJ17" s="946">
        <v>230000</v>
      </c>
      <c r="AK17" s="946">
        <v>60000</v>
      </c>
      <c r="AL17" s="946">
        <v>60000</v>
      </c>
      <c r="AM17" s="946">
        <v>920000</v>
      </c>
      <c r="AN17" s="974">
        <v>11684500</v>
      </c>
      <c r="AO17" s="975" t="s">
        <v>1318</v>
      </c>
      <c r="AP17" s="960">
        <v>4793250</v>
      </c>
      <c r="AQ17" s="960">
        <v>4276250</v>
      </c>
      <c r="AR17" s="960">
        <v>3577750</v>
      </c>
      <c r="AS17" s="960">
        <v>3297750</v>
      </c>
      <c r="AT17" s="960">
        <v>21848250</v>
      </c>
      <c r="AU17" s="976"/>
      <c r="AV17" s="960">
        <v>49477750</v>
      </c>
      <c r="AW17" s="950">
        <v>0</v>
      </c>
      <c r="AZ17" s="977" t="s">
        <v>1068</v>
      </c>
      <c r="BA17" s="954">
        <v>1242500</v>
      </c>
      <c r="BB17" s="955">
        <v>2502500</v>
      </c>
      <c r="BC17" s="954">
        <v>160000</v>
      </c>
      <c r="BD17" s="956">
        <v>160000</v>
      </c>
      <c r="BE17" s="956">
        <v>160000</v>
      </c>
      <c r="BF17" s="978">
        <v>1910000</v>
      </c>
      <c r="BG17" s="956">
        <v>112500</v>
      </c>
      <c r="BH17" s="957">
        <v>3745000</v>
      </c>
    </row>
    <row r="18" spans="1:60" s="971" customFormat="1">
      <c r="A18" s="599" t="s">
        <v>1069</v>
      </c>
      <c r="B18" s="599" t="s">
        <v>1319</v>
      </c>
      <c r="C18" s="964">
        <v>5000000</v>
      </c>
      <c r="D18" s="965">
        <v>2812703</v>
      </c>
      <c r="E18" s="965">
        <v>2187297</v>
      </c>
      <c r="F18" s="943">
        <v>3200000</v>
      </c>
      <c r="G18" s="944">
        <v>1800000</v>
      </c>
      <c r="H18" s="966">
        <v>990000</v>
      </c>
      <c r="I18" s="2441">
        <f t="shared" si="0"/>
        <v>4000000</v>
      </c>
      <c r="J18" s="2441">
        <f>VLOOKUP(A18,SAP累計至20260831收入實際數!$A:$B,2,FALSE)</f>
        <v>4000000</v>
      </c>
      <c r="K18" s="2441">
        <f t="shared" si="1"/>
        <v>0</v>
      </c>
      <c r="L18" s="2453">
        <f>VLOOKUP(A18,'202608收入成本表'!A:Y,22,FALSE)</f>
        <v>4000000</v>
      </c>
      <c r="M18" s="2453">
        <f t="shared" si="2"/>
        <v>0</v>
      </c>
      <c r="N18" s="946"/>
      <c r="O18" s="947"/>
      <c r="P18" s="947"/>
      <c r="Q18" s="947"/>
      <c r="R18" s="947">
        <v>800000</v>
      </c>
      <c r="S18" s="947"/>
      <c r="T18" s="947"/>
      <c r="U18" s="947">
        <v>0</v>
      </c>
      <c r="V18" s="946"/>
      <c r="W18" s="946">
        <v>190000</v>
      </c>
      <c r="X18" s="946"/>
      <c r="Y18" s="946"/>
      <c r="Z18" s="966">
        <v>4190000</v>
      </c>
      <c r="AA18" s="966">
        <v>810000</v>
      </c>
      <c r="AB18" s="967">
        <v>0</v>
      </c>
      <c r="AC18" s="967">
        <v>0</v>
      </c>
      <c r="AD18" s="967">
        <v>0</v>
      </c>
      <c r="AE18" s="967">
        <v>0</v>
      </c>
      <c r="AF18" s="967">
        <v>0</v>
      </c>
      <c r="AG18" s="967">
        <v>0</v>
      </c>
      <c r="AH18" s="967">
        <v>0</v>
      </c>
      <c r="AI18" s="967">
        <v>0</v>
      </c>
      <c r="AJ18" s="967">
        <v>0</v>
      </c>
      <c r="AK18" s="967">
        <v>0</v>
      </c>
      <c r="AL18" s="967">
        <v>0</v>
      </c>
      <c r="AM18" s="967">
        <v>810000</v>
      </c>
      <c r="AN18" s="966">
        <v>5000000</v>
      </c>
      <c r="AO18" s="968" t="s">
        <v>1314</v>
      </c>
      <c r="AP18" s="969">
        <v>0</v>
      </c>
      <c r="AQ18" s="969">
        <v>0</v>
      </c>
      <c r="AR18" s="969">
        <v>0</v>
      </c>
      <c r="AS18" s="969">
        <v>0</v>
      </c>
      <c r="AT18" s="969">
        <v>0</v>
      </c>
      <c r="AU18" s="970"/>
      <c r="AV18" s="960">
        <v>5000000</v>
      </c>
      <c r="AW18" s="950">
        <v>0</v>
      </c>
      <c r="AZ18" s="953" t="s">
        <v>1072</v>
      </c>
      <c r="BA18" s="954">
        <v>800000</v>
      </c>
      <c r="BB18" s="979">
        <v>190000</v>
      </c>
      <c r="BC18" s="954">
        <v>0</v>
      </c>
      <c r="BD18" s="956">
        <v>0</v>
      </c>
      <c r="BE18" s="956">
        <v>190000</v>
      </c>
      <c r="BF18" s="956">
        <v>0</v>
      </c>
      <c r="BG18" s="956">
        <v>0</v>
      </c>
      <c r="BH18" s="957">
        <v>990000</v>
      </c>
    </row>
    <row r="19" spans="1:60">
      <c r="A19" s="685" t="s">
        <v>1073</v>
      </c>
      <c r="B19" s="685" t="s">
        <v>1320</v>
      </c>
      <c r="C19" s="972">
        <v>11400000</v>
      </c>
      <c r="D19" s="973">
        <v>8045334</v>
      </c>
      <c r="E19" s="973">
        <v>3354666</v>
      </c>
      <c r="F19" s="943">
        <v>2280000</v>
      </c>
      <c r="G19" s="944">
        <v>1140000</v>
      </c>
      <c r="H19" s="974">
        <v>1140000</v>
      </c>
      <c r="I19" s="2441">
        <f t="shared" si="0"/>
        <v>2280000</v>
      </c>
      <c r="J19" s="2441">
        <f>VLOOKUP(A19,SAP累計至20260831收入實際數!$A:$B,2,FALSE)</f>
        <v>2280000</v>
      </c>
      <c r="K19" s="2441">
        <f t="shared" si="1"/>
        <v>0</v>
      </c>
      <c r="L19" s="2453">
        <f>VLOOKUP(A19,'202608收入成本表'!A:Y,22,FALSE)</f>
        <v>2280000</v>
      </c>
      <c r="M19" s="2453">
        <f t="shared" si="2"/>
        <v>0</v>
      </c>
      <c r="N19" s="946"/>
      <c r="O19" s="947"/>
      <c r="P19" s="947"/>
      <c r="Q19" s="947"/>
      <c r="R19" s="947"/>
      <c r="S19" s="947"/>
      <c r="T19" s="947"/>
      <c r="U19" s="947">
        <v>0</v>
      </c>
      <c r="V19" s="946"/>
      <c r="W19" s="946"/>
      <c r="X19" s="946"/>
      <c r="Y19" s="946">
        <v>1140000</v>
      </c>
      <c r="Z19" s="974">
        <v>3420000</v>
      </c>
      <c r="AA19" s="974">
        <v>1140000</v>
      </c>
      <c r="AB19" s="946">
        <v>0</v>
      </c>
      <c r="AC19" s="946">
        <v>0</v>
      </c>
      <c r="AD19" s="946">
        <v>0</v>
      </c>
      <c r="AE19" s="946">
        <v>0</v>
      </c>
      <c r="AF19" s="946">
        <v>0</v>
      </c>
      <c r="AG19" s="946">
        <v>0</v>
      </c>
      <c r="AH19" s="946">
        <v>1022400</v>
      </c>
      <c r="AI19" s="946">
        <v>0</v>
      </c>
      <c r="AJ19" s="946">
        <v>0</v>
      </c>
      <c r="AK19" s="946">
        <v>0</v>
      </c>
      <c r="AL19" s="946">
        <v>0</v>
      </c>
      <c r="AM19" s="946">
        <v>117600</v>
      </c>
      <c r="AN19" s="974">
        <v>4560000</v>
      </c>
      <c r="AO19" s="975" t="s">
        <v>1318</v>
      </c>
      <c r="AP19" s="960">
        <v>1045100</v>
      </c>
      <c r="AQ19" s="960">
        <v>1098100</v>
      </c>
      <c r="AR19" s="960">
        <v>1151100</v>
      </c>
      <c r="AS19" s="960">
        <v>1204100</v>
      </c>
      <c r="AT19" s="960">
        <v>2341600</v>
      </c>
      <c r="AU19" s="976"/>
      <c r="AV19" s="960">
        <v>11400000</v>
      </c>
      <c r="AW19" s="950">
        <v>0</v>
      </c>
      <c r="AZ19" s="977" t="s">
        <v>1076</v>
      </c>
      <c r="BA19" s="954">
        <v>0</v>
      </c>
      <c r="BB19" s="955">
        <v>1140000</v>
      </c>
      <c r="BC19" s="954">
        <v>0</v>
      </c>
      <c r="BD19" s="956">
        <v>0</v>
      </c>
      <c r="BE19" s="956">
        <v>0</v>
      </c>
      <c r="BF19" s="956">
        <v>0</v>
      </c>
      <c r="BG19" s="978">
        <v>1140000</v>
      </c>
      <c r="BH19" s="957">
        <v>1140000</v>
      </c>
    </row>
    <row r="20" spans="1:60" s="971" customFormat="1">
      <c r="A20" s="865" t="s">
        <v>1321</v>
      </c>
      <c r="B20" s="599" t="s">
        <v>1322</v>
      </c>
      <c r="C20" s="964">
        <v>9400000</v>
      </c>
      <c r="D20" s="965">
        <v>6304845</v>
      </c>
      <c r="E20" s="965">
        <v>3095155</v>
      </c>
      <c r="F20" s="943">
        <v>0</v>
      </c>
      <c r="G20" s="980">
        <v>0</v>
      </c>
      <c r="H20" s="966">
        <v>2914000</v>
      </c>
      <c r="I20" s="2441">
        <f t="shared" si="0"/>
        <v>2256000</v>
      </c>
      <c r="J20" s="2441">
        <f>VLOOKUP(A20,SAP累計至20260831收入實際數!$A:$B,2,FALSE)</f>
        <v>2256000</v>
      </c>
      <c r="K20" s="2441">
        <f t="shared" si="1"/>
        <v>0</v>
      </c>
      <c r="L20" s="2453">
        <f>VLOOKUP(A20,'202608收入成本表'!A:Y,22,FALSE)</f>
        <v>2256000</v>
      </c>
      <c r="M20" s="2453">
        <f t="shared" si="2"/>
        <v>0</v>
      </c>
      <c r="N20" s="967"/>
      <c r="O20" s="967"/>
      <c r="P20" s="967">
        <v>940000</v>
      </c>
      <c r="Q20" s="967"/>
      <c r="R20" s="967"/>
      <c r="S20" s="967"/>
      <c r="T20" s="947"/>
      <c r="U20" s="947">
        <v>1316000</v>
      </c>
      <c r="V20" s="967"/>
      <c r="W20" s="967"/>
      <c r="X20" s="967"/>
      <c r="Y20" s="967">
        <v>658000</v>
      </c>
      <c r="Z20" s="966">
        <v>2914000</v>
      </c>
      <c r="AA20" s="966">
        <v>6486000</v>
      </c>
      <c r="AB20" s="967">
        <v>658000</v>
      </c>
      <c r="AC20" s="967"/>
      <c r="AD20" s="967">
        <v>1316000</v>
      </c>
      <c r="AE20" s="967"/>
      <c r="AF20" s="967">
        <v>1316000</v>
      </c>
      <c r="AG20" s="967"/>
      <c r="AH20" s="967">
        <v>1316000</v>
      </c>
      <c r="AI20" s="967"/>
      <c r="AJ20" s="967"/>
      <c r="AK20" s="967"/>
      <c r="AL20" s="967"/>
      <c r="AM20" s="967">
        <v>1880000</v>
      </c>
      <c r="AN20" s="966">
        <v>9400000</v>
      </c>
      <c r="AO20" s="968" t="s">
        <v>1314</v>
      </c>
      <c r="AP20" s="969">
        <v>0</v>
      </c>
      <c r="AQ20" s="969">
        <v>0</v>
      </c>
      <c r="AR20" s="969">
        <v>0</v>
      </c>
      <c r="AS20" s="969">
        <v>0</v>
      </c>
      <c r="AT20" s="969">
        <v>0</v>
      </c>
      <c r="AU20" s="970"/>
      <c r="AV20" s="969">
        <v>9400000</v>
      </c>
      <c r="AW20" s="950">
        <v>0</v>
      </c>
      <c r="AZ20" s="977" t="s">
        <v>1079</v>
      </c>
      <c r="BA20" s="954">
        <v>940000</v>
      </c>
      <c r="BB20" s="955">
        <v>1974000</v>
      </c>
      <c r="BC20" s="954">
        <v>1316000</v>
      </c>
      <c r="BD20" s="956">
        <v>0</v>
      </c>
      <c r="BE20" s="956">
        <v>0</v>
      </c>
      <c r="BF20" s="956">
        <v>0</v>
      </c>
      <c r="BG20" s="978">
        <v>658000</v>
      </c>
      <c r="BH20" s="957">
        <v>2914000</v>
      </c>
    </row>
    <row r="21" spans="1:60" s="971" customFormat="1">
      <c r="A21" s="865" t="s">
        <v>1080</v>
      </c>
      <c r="B21" s="599" t="s">
        <v>1247</v>
      </c>
      <c r="C21" s="964">
        <v>1330000</v>
      </c>
      <c r="D21" s="965">
        <v>575468</v>
      </c>
      <c r="E21" s="965">
        <v>754532</v>
      </c>
      <c r="F21" s="943"/>
      <c r="G21" s="980"/>
      <c r="H21" s="966">
        <v>1330000</v>
      </c>
      <c r="I21" s="2441">
        <f t="shared" si="0"/>
        <v>0</v>
      </c>
      <c r="J21" s="2441"/>
      <c r="K21" s="2441">
        <f t="shared" si="1"/>
        <v>0</v>
      </c>
      <c r="L21" s="2453">
        <f>VLOOKUP(A21,'202608收入成本表'!A:Y,22,FALSE)</f>
        <v>0</v>
      </c>
      <c r="M21" s="2453">
        <f t="shared" si="2"/>
        <v>0</v>
      </c>
      <c r="N21" s="967"/>
      <c r="O21" s="967"/>
      <c r="P21" s="967"/>
      <c r="Q21" s="967"/>
      <c r="R21" s="967"/>
      <c r="S21" s="967"/>
      <c r="T21" s="947"/>
      <c r="U21" s="947">
        <v>0</v>
      </c>
      <c r="V21" s="967">
        <v>1200000</v>
      </c>
      <c r="W21" s="967">
        <v>130000</v>
      </c>
      <c r="X21" s="967"/>
      <c r="Y21" s="967"/>
      <c r="Z21" s="966">
        <v>1330000</v>
      </c>
      <c r="AA21" s="966">
        <v>0</v>
      </c>
      <c r="AB21" s="967"/>
      <c r="AC21" s="967"/>
      <c r="AD21" s="967"/>
      <c r="AE21" s="967"/>
      <c r="AF21" s="967"/>
      <c r="AG21" s="967"/>
      <c r="AH21" s="967"/>
      <c r="AI21" s="967"/>
      <c r="AJ21" s="967"/>
      <c r="AK21" s="967"/>
      <c r="AL21" s="967"/>
      <c r="AM21" s="967"/>
      <c r="AN21" s="966">
        <v>1330000</v>
      </c>
      <c r="AO21" s="968" t="s">
        <v>1314</v>
      </c>
      <c r="AP21" s="969">
        <v>0</v>
      </c>
      <c r="AQ21" s="969">
        <v>0</v>
      </c>
      <c r="AR21" s="969">
        <v>0</v>
      </c>
      <c r="AS21" s="969">
        <v>0</v>
      </c>
      <c r="AT21" s="969">
        <v>0</v>
      </c>
      <c r="AU21" s="970"/>
      <c r="AV21" s="969">
        <v>1330000</v>
      </c>
      <c r="AW21" s="950">
        <v>0</v>
      </c>
      <c r="AZ21" s="953" t="s">
        <v>1247</v>
      </c>
      <c r="BA21" s="954">
        <v>0</v>
      </c>
      <c r="BB21" s="955">
        <v>1330000</v>
      </c>
      <c r="BC21" s="954">
        <v>0</v>
      </c>
      <c r="BD21" s="956">
        <v>1200000</v>
      </c>
      <c r="BE21" s="956">
        <v>130000</v>
      </c>
      <c r="BF21" s="956">
        <v>0</v>
      </c>
      <c r="BG21" s="956">
        <v>0</v>
      </c>
      <c r="BH21" s="957">
        <v>1330000</v>
      </c>
    </row>
    <row r="22" spans="1:60" s="971" customFormat="1">
      <c r="A22" s="865" t="s">
        <v>1082</v>
      </c>
      <c r="B22" s="599" t="s">
        <v>1248</v>
      </c>
      <c r="C22" s="964">
        <v>15000000</v>
      </c>
      <c r="D22" s="965">
        <v>10227649</v>
      </c>
      <c r="E22" s="965">
        <v>4772351</v>
      </c>
      <c r="F22" s="981"/>
      <c r="G22" s="980"/>
      <c r="H22" s="966">
        <v>2754000</v>
      </c>
      <c r="I22" s="2441">
        <f t="shared" si="0"/>
        <v>0</v>
      </c>
      <c r="J22" s="2441"/>
      <c r="K22" s="2441">
        <f t="shared" si="1"/>
        <v>0</v>
      </c>
      <c r="L22" s="2453">
        <f>VLOOKUP(A22,'202608收入成本表'!A:Y,22,FALSE)</f>
        <v>0</v>
      </c>
      <c r="M22" s="2453">
        <f t="shared" si="2"/>
        <v>0</v>
      </c>
      <c r="N22" s="967"/>
      <c r="O22" s="967"/>
      <c r="P22" s="967"/>
      <c r="Q22" s="967"/>
      <c r="R22" s="967"/>
      <c r="S22" s="967"/>
      <c r="T22" s="947"/>
      <c r="U22" s="947"/>
      <c r="V22" s="967"/>
      <c r="W22" s="967"/>
      <c r="X22" s="967"/>
      <c r="Y22" s="967">
        <v>2754000</v>
      </c>
      <c r="Z22" s="966">
        <v>2754000</v>
      </c>
      <c r="AA22" s="966">
        <v>1500000</v>
      </c>
      <c r="AB22" s="967"/>
      <c r="AC22" s="967"/>
      <c r="AD22" s="967"/>
      <c r="AE22" s="967"/>
      <c r="AF22" s="967"/>
      <c r="AG22" s="967"/>
      <c r="AH22" s="967"/>
      <c r="AI22" s="967"/>
      <c r="AJ22" s="967"/>
      <c r="AK22" s="967"/>
      <c r="AL22" s="967"/>
      <c r="AM22" s="967">
        <v>1500000</v>
      </c>
      <c r="AN22" s="966">
        <v>4254000</v>
      </c>
      <c r="AO22" s="968" t="s">
        <v>1314</v>
      </c>
      <c r="AP22" s="969">
        <v>1330000</v>
      </c>
      <c r="AQ22" s="969">
        <v>1406000</v>
      </c>
      <c r="AR22" s="969">
        <v>1482000</v>
      </c>
      <c r="AS22" s="969">
        <v>1558000</v>
      </c>
      <c r="AT22" s="969">
        <v>4970000</v>
      </c>
      <c r="AU22" s="970"/>
      <c r="AV22" s="969">
        <v>15000000</v>
      </c>
      <c r="AW22" s="950">
        <v>0</v>
      </c>
      <c r="AZ22" s="977" t="s">
        <v>1248</v>
      </c>
      <c r="BA22" s="954">
        <v>0</v>
      </c>
      <c r="BB22" s="955">
        <v>2754000</v>
      </c>
      <c r="BC22" s="954">
        <v>0</v>
      </c>
      <c r="BD22" s="956">
        <v>0</v>
      </c>
      <c r="BE22" s="956">
        <v>0</v>
      </c>
      <c r="BF22" s="956">
        <v>0</v>
      </c>
      <c r="BG22" s="978">
        <v>2754000</v>
      </c>
      <c r="BH22" s="957">
        <v>2754000</v>
      </c>
    </row>
    <row r="23" spans="1:60" s="990" customFormat="1">
      <c r="A23" s="866" t="s">
        <v>1249</v>
      </c>
      <c r="B23" s="867" t="s">
        <v>1085</v>
      </c>
      <c r="C23" s="982">
        <v>14840000</v>
      </c>
      <c r="D23" s="983">
        <v>9953304</v>
      </c>
      <c r="E23" s="983">
        <v>4886696</v>
      </c>
      <c r="F23" s="984"/>
      <c r="G23" s="985"/>
      <c r="H23" s="986">
        <v>0</v>
      </c>
      <c r="I23" s="2441">
        <f t="shared" si="0"/>
        <v>0</v>
      </c>
      <c r="J23" s="2441"/>
      <c r="K23" s="2441">
        <f t="shared" si="1"/>
        <v>0</v>
      </c>
      <c r="L23" s="2453">
        <f>VLOOKUP(A23,'202608收入成本表'!A:Y,22,FALSE)</f>
        <v>0</v>
      </c>
      <c r="M23" s="2453">
        <f t="shared" si="2"/>
        <v>0</v>
      </c>
      <c r="N23" s="947"/>
      <c r="O23" s="947"/>
      <c r="P23" s="947"/>
      <c r="Q23" s="947"/>
      <c r="R23" s="947"/>
      <c r="S23" s="947"/>
      <c r="T23" s="947"/>
      <c r="U23" s="947"/>
      <c r="V23" s="947"/>
      <c r="W23" s="947"/>
      <c r="X23" s="947"/>
      <c r="Y23" s="947"/>
      <c r="Z23" s="986">
        <v>0</v>
      </c>
      <c r="AA23" s="986">
        <v>4704000</v>
      </c>
      <c r="AB23" s="947">
        <v>392000</v>
      </c>
      <c r="AC23" s="947">
        <v>392000</v>
      </c>
      <c r="AD23" s="947">
        <v>392000</v>
      </c>
      <c r="AE23" s="947">
        <v>392000</v>
      </c>
      <c r="AF23" s="947">
        <v>392000</v>
      </c>
      <c r="AG23" s="947">
        <v>392000</v>
      </c>
      <c r="AH23" s="947">
        <v>392000</v>
      </c>
      <c r="AI23" s="947">
        <v>392000</v>
      </c>
      <c r="AJ23" s="947">
        <v>392000</v>
      </c>
      <c r="AK23" s="947">
        <v>392000</v>
      </c>
      <c r="AL23" s="947">
        <v>392000</v>
      </c>
      <c r="AM23" s="947">
        <v>392000</v>
      </c>
      <c r="AN23" s="986">
        <v>4704000</v>
      </c>
      <c r="AO23" s="987" t="s">
        <v>1323</v>
      </c>
      <c r="AP23" s="988">
        <v>4200000</v>
      </c>
      <c r="AQ23" s="988">
        <v>2220000</v>
      </c>
      <c r="AR23" s="988">
        <v>3061500</v>
      </c>
      <c r="AS23" s="988">
        <v>0</v>
      </c>
      <c r="AT23" s="988">
        <v>654500</v>
      </c>
      <c r="AU23" s="989"/>
      <c r="AV23" s="988">
        <v>14840000</v>
      </c>
      <c r="AW23" s="950">
        <v>0</v>
      </c>
      <c r="AZ23" s="953" t="s">
        <v>646</v>
      </c>
      <c r="BA23" s="954">
        <v>0</v>
      </c>
      <c r="BB23" s="955">
        <v>0</v>
      </c>
      <c r="BC23" s="954">
        <v>0</v>
      </c>
      <c r="BD23" s="956">
        <v>0</v>
      </c>
      <c r="BE23" s="956">
        <v>0</v>
      </c>
      <c r="BF23" s="956">
        <v>0</v>
      </c>
      <c r="BG23" s="956">
        <v>0</v>
      </c>
      <c r="BH23" s="957">
        <v>0</v>
      </c>
    </row>
    <row r="24" spans="1:60">
      <c r="A24" s="574" t="s">
        <v>647</v>
      </c>
      <c r="B24" s="751" t="s">
        <v>1324</v>
      </c>
      <c r="C24" s="991">
        <v>5915700</v>
      </c>
      <c r="D24" s="942">
        <v>3888792.623163024</v>
      </c>
      <c r="E24" s="942">
        <v>2026907.376836976</v>
      </c>
      <c r="F24" s="943">
        <v>1016700</v>
      </c>
      <c r="G24" s="944">
        <v>1050000</v>
      </c>
      <c r="H24" s="945">
        <v>787500</v>
      </c>
      <c r="I24" s="2441">
        <f t="shared" si="0"/>
        <v>1016700</v>
      </c>
      <c r="J24" s="2441">
        <f>VLOOKUP(A24,SAP累計至20260831收入實際數!$A:$B,2,FALSE)</f>
        <v>1284200</v>
      </c>
      <c r="K24" s="2441">
        <f t="shared" si="1"/>
        <v>267500</v>
      </c>
      <c r="L24" s="2453">
        <f>VLOOKUP(A24,'202608收入成本表'!A:Y,22,FALSE)</f>
        <v>0</v>
      </c>
      <c r="M24" s="2453">
        <f t="shared" si="2"/>
        <v>1284200</v>
      </c>
      <c r="N24" s="946"/>
      <c r="O24" s="947"/>
      <c r="P24" s="947"/>
      <c r="Q24" s="947"/>
      <c r="R24" s="947"/>
      <c r="S24" s="947"/>
      <c r="T24" s="947"/>
      <c r="U24" s="947"/>
      <c r="V24" s="946">
        <v>700000</v>
      </c>
      <c r="W24" s="946"/>
      <c r="X24" s="946"/>
      <c r="Y24" s="946">
        <v>87500</v>
      </c>
      <c r="Z24" s="945">
        <v>1804200</v>
      </c>
      <c r="AA24" s="945">
        <v>354000</v>
      </c>
      <c r="AB24" s="948">
        <v>29500</v>
      </c>
      <c r="AC24" s="948">
        <v>29500</v>
      </c>
      <c r="AD24" s="948">
        <v>29500</v>
      </c>
      <c r="AE24" s="948">
        <v>29500</v>
      </c>
      <c r="AF24" s="948">
        <v>29500</v>
      </c>
      <c r="AG24" s="948">
        <v>29500</v>
      </c>
      <c r="AH24" s="948">
        <v>29500</v>
      </c>
      <c r="AI24" s="948">
        <v>29500</v>
      </c>
      <c r="AJ24" s="948">
        <v>29500</v>
      </c>
      <c r="AK24" s="948">
        <v>29500</v>
      </c>
      <c r="AL24" s="948">
        <v>29500</v>
      </c>
      <c r="AM24" s="948">
        <v>29500</v>
      </c>
      <c r="AN24" s="945">
        <v>2158200</v>
      </c>
      <c r="AO24" s="959" t="s">
        <v>1308</v>
      </c>
      <c r="AP24" s="950">
        <v>1050000</v>
      </c>
      <c r="AQ24" s="950">
        <v>1110000</v>
      </c>
      <c r="AR24" s="950">
        <v>1597500</v>
      </c>
      <c r="AS24" s="950">
        <v>0</v>
      </c>
      <c r="AT24" s="950">
        <v>0</v>
      </c>
      <c r="AU24" s="951"/>
      <c r="AV24" s="960">
        <v>5915700</v>
      </c>
      <c r="AW24" s="950">
        <v>0</v>
      </c>
      <c r="AZ24" s="953" t="s">
        <v>1091</v>
      </c>
      <c r="BA24" s="954">
        <v>0</v>
      </c>
      <c r="BB24" s="955">
        <v>787500</v>
      </c>
      <c r="BC24" s="954">
        <v>0</v>
      </c>
      <c r="BD24" s="956">
        <v>700000</v>
      </c>
      <c r="BE24" s="956">
        <v>0</v>
      </c>
      <c r="BF24" s="956">
        <v>0</v>
      </c>
      <c r="BG24" s="956">
        <v>87500</v>
      </c>
      <c r="BH24" s="957">
        <v>787500</v>
      </c>
    </row>
    <row r="25" spans="1:60" s="971" customFormat="1">
      <c r="A25" s="599" t="s">
        <v>649</v>
      </c>
      <c r="B25" s="992" t="s">
        <v>1325</v>
      </c>
      <c r="C25" s="993">
        <v>267500</v>
      </c>
      <c r="D25" s="965">
        <v>157614.37683697604</v>
      </c>
      <c r="E25" s="965">
        <v>109885.62316302396</v>
      </c>
      <c r="F25" s="981">
        <v>215000</v>
      </c>
      <c r="G25" s="980">
        <v>0</v>
      </c>
      <c r="H25" s="966">
        <v>52500</v>
      </c>
      <c r="I25" s="2441">
        <f t="shared" si="0"/>
        <v>267500</v>
      </c>
      <c r="J25" s="2441"/>
      <c r="K25" s="2441">
        <f t="shared" si="1"/>
        <v>-267500</v>
      </c>
      <c r="L25" s="2453">
        <f>VLOOKUP(A25,'202608收入成本表'!A:Y,22,FALSE)</f>
        <v>52500</v>
      </c>
      <c r="M25" s="2453">
        <f t="shared" si="2"/>
        <v>-52500</v>
      </c>
      <c r="N25" s="967"/>
      <c r="O25" s="967"/>
      <c r="P25" s="967"/>
      <c r="Q25" s="967"/>
      <c r="R25" s="967"/>
      <c r="S25" s="967">
        <v>52500</v>
      </c>
      <c r="T25" s="947"/>
      <c r="U25" s="947"/>
      <c r="V25" s="967"/>
      <c r="W25" s="967"/>
      <c r="X25" s="967"/>
      <c r="Y25" s="967"/>
      <c r="Z25" s="966">
        <v>267500</v>
      </c>
      <c r="AA25" s="966">
        <v>0</v>
      </c>
      <c r="AB25" s="967">
        <v>0</v>
      </c>
      <c r="AC25" s="967">
        <v>0</v>
      </c>
      <c r="AD25" s="967">
        <v>0</v>
      </c>
      <c r="AE25" s="967">
        <v>0</v>
      </c>
      <c r="AF25" s="967">
        <v>0</v>
      </c>
      <c r="AG25" s="967">
        <v>0</v>
      </c>
      <c r="AH25" s="967">
        <v>0</v>
      </c>
      <c r="AI25" s="967">
        <v>0</v>
      </c>
      <c r="AJ25" s="967">
        <v>0</v>
      </c>
      <c r="AK25" s="967">
        <v>0</v>
      </c>
      <c r="AL25" s="967">
        <v>0</v>
      </c>
      <c r="AM25" s="967">
        <v>0</v>
      </c>
      <c r="AN25" s="966">
        <v>267500</v>
      </c>
      <c r="AO25" s="968" t="s">
        <v>1314</v>
      </c>
      <c r="AP25" s="969">
        <v>0</v>
      </c>
      <c r="AQ25" s="969">
        <v>0</v>
      </c>
      <c r="AR25" s="969">
        <v>0</v>
      </c>
      <c r="AS25" s="969">
        <v>0</v>
      </c>
      <c r="AT25" s="969">
        <v>0</v>
      </c>
      <c r="AU25" s="970"/>
      <c r="AV25" s="969">
        <v>267500</v>
      </c>
      <c r="AW25" s="950">
        <v>0</v>
      </c>
      <c r="AZ25" s="953" t="s">
        <v>1250</v>
      </c>
      <c r="BA25" s="954">
        <v>52500</v>
      </c>
      <c r="BB25" s="955">
        <v>0</v>
      </c>
      <c r="BC25" s="954">
        <v>0</v>
      </c>
      <c r="BD25" s="956">
        <v>0</v>
      </c>
      <c r="BE25" s="956">
        <v>0</v>
      </c>
      <c r="BF25" s="956">
        <v>0</v>
      </c>
      <c r="BG25" s="956">
        <v>0</v>
      </c>
      <c r="BH25" s="957">
        <v>52500</v>
      </c>
    </row>
    <row r="26" spans="1:60">
      <c r="A26" s="574" t="s">
        <v>651</v>
      </c>
      <c r="B26" s="751" t="s">
        <v>1326</v>
      </c>
      <c r="C26" s="991">
        <v>7631600</v>
      </c>
      <c r="D26" s="942">
        <v>4131826</v>
      </c>
      <c r="E26" s="942">
        <v>3499774</v>
      </c>
      <c r="F26" s="943">
        <v>3990100</v>
      </c>
      <c r="G26" s="944">
        <v>1200000</v>
      </c>
      <c r="H26" s="945">
        <v>1200000</v>
      </c>
      <c r="I26" s="2441">
        <f t="shared" si="0"/>
        <v>3990100</v>
      </c>
      <c r="J26" s="2441">
        <f>VLOOKUP(A26,SAP累計至20260831收入實際數!$A:$B,2,FALSE)</f>
        <v>3990100</v>
      </c>
      <c r="K26" s="2441">
        <f t="shared" si="1"/>
        <v>0</v>
      </c>
      <c r="L26" s="2453">
        <f>VLOOKUP(A26,'202608收入成本表'!A:Y,22,FALSE)</f>
        <v>0</v>
      </c>
      <c r="M26" s="2453">
        <f>J26-L26</f>
        <v>3990100</v>
      </c>
      <c r="N26" s="946"/>
      <c r="O26" s="947"/>
      <c r="P26" s="947"/>
      <c r="Q26" s="947"/>
      <c r="R26" s="947"/>
      <c r="S26" s="947"/>
      <c r="T26" s="947"/>
      <c r="U26" s="947"/>
      <c r="V26" s="946"/>
      <c r="W26" s="946"/>
      <c r="X26" s="946"/>
      <c r="Y26" s="946">
        <v>1200000</v>
      </c>
      <c r="Z26" s="945">
        <v>5190100</v>
      </c>
      <c r="AA26" s="945">
        <v>1200000</v>
      </c>
      <c r="AB26" s="948"/>
      <c r="AC26" s="948"/>
      <c r="AD26" s="948"/>
      <c r="AE26" s="948"/>
      <c r="AF26" s="948"/>
      <c r="AG26" s="948"/>
      <c r="AH26" s="948"/>
      <c r="AI26" s="948"/>
      <c r="AJ26" s="948"/>
      <c r="AK26" s="948"/>
      <c r="AL26" s="948"/>
      <c r="AM26" s="948">
        <v>1200000</v>
      </c>
      <c r="AN26" s="945">
        <v>6390100</v>
      </c>
      <c r="AO26" s="959" t="s">
        <v>1308</v>
      </c>
      <c r="AP26" s="950">
        <v>420000</v>
      </c>
      <c r="AQ26" s="950">
        <v>821500</v>
      </c>
      <c r="AR26" s="950">
        <v>0</v>
      </c>
      <c r="AS26" s="950">
        <v>0</v>
      </c>
      <c r="AT26" s="950">
        <v>0</v>
      </c>
      <c r="AU26" s="951"/>
      <c r="AV26" s="960">
        <v>7631600</v>
      </c>
      <c r="AW26" s="950">
        <v>0</v>
      </c>
      <c r="AZ26" s="977" t="s">
        <v>1097</v>
      </c>
      <c r="BA26" s="954">
        <v>0</v>
      </c>
      <c r="BB26" s="955">
        <v>1200000</v>
      </c>
      <c r="BC26" s="954">
        <v>0</v>
      </c>
      <c r="BD26" s="956">
        <v>0</v>
      </c>
      <c r="BE26" s="956">
        <v>0</v>
      </c>
      <c r="BF26" s="956">
        <v>0</v>
      </c>
      <c r="BG26" s="978">
        <v>1200000</v>
      </c>
      <c r="BH26" s="957">
        <v>1200000</v>
      </c>
    </row>
    <row r="27" spans="1:60">
      <c r="A27" s="994" t="s">
        <v>1251</v>
      </c>
      <c r="B27" s="995" t="s">
        <v>1327</v>
      </c>
      <c r="C27" s="991"/>
      <c r="D27" s="942">
        <v>0</v>
      </c>
      <c r="E27" s="942">
        <v>0</v>
      </c>
      <c r="F27" s="943">
        <v>0</v>
      </c>
      <c r="G27" s="996">
        <v>3240000</v>
      </c>
      <c r="H27" s="945">
        <v>0</v>
      </c>
      <c r="I27" s="2441">
        <f t="shared" si="0"/>
        <v>0</v>
      </c>
      <c r="J27" s="2441"/>
      <c r="K27" s="2441">
        <f t="shared" si="1"/>
        <v>0</v>
      </c>
      <c r="L27" s="2453"/>
      <c r="M27" s="2453">
        <f t="shared" si="2"/>
        <v>0</v>
      </c>
      <c r="N27" s="946"/>
      <c r="O27" s="997"/>
      <c r="P27" s="997"/>
      <c r="Q27" s="997"/>
      <c r="R27" s="997"/>
      <c r="S27" s="997"/>
      <c r="T27" s="997"/>
      <c r="U27" s="997"/>
      <c r="V27" s="998"/>
      <c r="W27" s="998"/>
      <c r="X27" s="998"/>
      <c r="Y27" s="946"/>
      <c r="Z27" s="945">
        <v>0</v>
      </c>
      <c r="AA27" s="945">
        <v>0</v>
      </c>
      <c r="AB27" s="948"/>
      <c r="AC27" s="948"/>
      <c r="AD27" s="948"/>
      <c r="AE27" s="948"/>
      <c r="AF27" s="948"/>
      <c r="AG27" s="948"/>
      <c r="AH27" s="948"/>
      <c r="AI27" s="948"/>
      <c r="AJ27" s="948"/>
      <c r="AK27" s="948"/>
      <c r="AL27" s="948"/>
      <c r="AM27" s="948"/>
      <c r="AN27" s="945">
        <v>0</v>
      </c>
      <c r="AO27" s="959" t="s">
        <v>1308</v>
      </c>
      <c r="AP27" s="950">
        <v>0</v>
      </c>
      <c r="AQ27" s="950">
        <v>0</v>
      </c>
      <c r="AR27" s="950">
        <v>0</v>
      </c>
      <c r="AS27" s="950">
        <v>0</v>
      </c>
      <c r="AT27" s="950">
        <v>0</v>
      </c>
      <c r="AU27" s="951"/>
      <c r="AV27" s="960">
        <v>0</v>
      </c>
      <c r="AW27" s="950">
        <v>0</v>
      </c>
      <c r="AZ27" s="953" t="s">
        <v>1432</v>
      </c>
      <c r="BA27" s="954">
        <v>0</v>
      </c>
      <c r="BB27" s="955">
        <v>0</v>
      </c>
      <c r="BC27" s="954">
        <v>0</v>
      </c>
      <c r="BD27" s="956">
        <v>0</v>
      </c>
      <c r="BE27" s="956">
        <v>0</v>
      </c>
      <c r="BF27" s="956">
        <v>0</v>
      </c>
      <c r="BG27" s="956">
        <v>0</v>
      </c>
      <c r="BH27" s="957">
        <v>0</v>
      </c>
    </row>
    <row r="28" spans="1:60" outlineLevel="1">
      <c r="A28" s="994" t="s">
        <v>656</v>
      </c>
      <c r="B28" s="751" t="s">
        <v>1328</v>
      </c>
      <c r="C28" s="991"/>
      <c r="D28" s="942">
        <v>0</v>
      </c>
      <c r="E28" s="942">
        <v>0</v>
      </c>
      <c r="F28" s="943">
        <v>0</v>
      </c>
      <c r="G28" s="944"/>
      <c r="H28" s="945">
        <v>0</v>
      </c>
      <c r="I28" s="2441">
        <f t="shared" si="0"/>
        <v>0</v>
      </c>
      <c r="J28" s="2441"/>
      <c r="K28" s="2441">
        <f t="shared" si="1"/>
        <v>0</v>
      </c>
      <c r="L28" s="2453"/>
      <c r="M28" s="2453">
        <f t="shared" si="2"/>
        <v>0</v>
      </c>
      <c r="N28" s="946">
        <v>0</v>
      </c>
      <c r="O28" s="997">
        <v>0</v>
      </c>
      <c r="P28" s="997">
        <v>0</v>
      </c>
      <c r="Q28" s="997">
        <v>0</v>
      </c>
      <c r="R28" s="997">
        <v>0</v>
      </c>
      <c r="S28" s="997">
        <v>0</v>
      </c>
      <c r="T28" s="997">
        <v>0</v>
      </c>
      <c r="U28" s="997">
        <v>0</v>
      </c>
      <c r="V28" s="998"/>
      <c r="W28" s="998"/>
      <c r="X28" s="998"/>
      <c r="Y28" s="946"/>
      <c r="Z28" s="945">
        <v>0</v>
      </c>
      <c r="AA28" s="945">
        <v>0</v>
      </c>
      <c r="AB28" s="948"/>
      <c r="AC28" s="948"/>
      <c r="AD28" s="948"/>
      <c r="AE28" s="948"/>
      <c r="AF28" s="948"/>
      <c r="AG28" s="948"/>
      <c r="AH28" s="948"/>
      <c r="AI28" s="948"/>
      <c r="AJ28" s="948"/>
      <c r="AK28" s="948"/>
      <c r="AL28" s="948"/>
      <c r="AM28" s="948"/>
      <c r="AN28" s="945">
        <v>0</v>
      </c>
      <c r="AO28" s="959" t="s">
        <v>1308</v>
      </c>
      <c r="AP28" s="950">
        <v>0</v>
      </c>
      <c r="AQ28" s="950">
        <v>0</v>
      </c>
      <c r="AR28" s="950">
        <v>0</v>
      </c>
      <c r="AS28" s="950">
        <v>0</v>
      </c>
      <c r="AT28" s="950">
        <v>0</v>
      </c>
      <c r="AU28" s="951"/>
      <c r="AV28" s="960">
        <v>0</v>
      </c>
      <c r="AW28" s="950">
        <v>0</v>
      </c>
      <c r="AZ28" s="953"/>
      <c r="BA28" s="954">
        <v>0</v>
      </c>
      <c r="BB28" s="955">
        <v>0</v>
      </c>
      <c r="BC28" s="954">
        <v>0</v>
      </c>
      <c r="BD28" s="956">
        <v>0</v>
      </c>
      <c r="BE28" s="956">
        <v>0</v>
      </c>
      <c r="BF28" s="956">
        <v>0</v>
      </c>
      <c r="BG28" s="956">
        <v>0</v>
      </c>
      <c r="BH28" s="957">
        <v>0</v>
      </c>
    </row>
    <row r="29" spans="1:60" outlineLevel="1">
      <c r="A29" s="994" t="s">
        <v>657</v>
      </c>
      <c r="B29" s="751" t="s">
        <v>1329</v>
      </c>
      <c r="C29" s="991">
        <v>109000000</v>
      </c>
      <c r="D29" s="942">
        <v>72632285</v>
      </c>
      <c r="E29" s="942">
        <v>36367715</v>
      </c>
      <c r="F29" s="943"/>
      <c r="G29" s="944"/>
      <c r="H29" s="945">
        <v>0</v>
      </c>
      <c r="I29" s="2441">
        <f t="shared" si="0"/>
        <v>0</v>
      </c>
      <c r="J29" s="2441"/>
      <c r="K29" s="2441">
        <f t="shared" si="1"/>
        <v>0</v>
      </c>
      <c r="L29" s="2453"/>
      <c r="M29" s="2453">
        <f t="shared" si="2"/>
        <v>0</v>
      </c>
      <c r="N29" s="946">
        <v>0</v>
      </c>
      <c r="O29" s="997">
        <v>0</v>
      </c>
      <c r="P29" s="997">
        <v>0</v>
      </c>
      <c r="Q29" s="997">
        <v>0</v>
      </c>
      <c r="R29" s="997">
        <v>0</v>
      </c>
      <c r="S29" s="997">
        <v>0</v>
      </c>
      <c r="T29" s="997">
        <v>0</v>
      </c>
      <c r="U29" s="997">
        <v>0</v>
      </c>
      <c r="V29" s="998">
        <v>0</v>
      </c>
      <c r="W29" s="998">
        <v>0</v>
      </c>
      <c r="X29" s="998">
        <v>0</v>
      </c>
      <c r="Y29" s="946">
        <v>0</v>
      </c>
      <c r="Z29" s="945">
        <v>0</v>
      </c>
      <c r="AA29" s="945">
        <v>2874000</v>
      </c>
      <c r="AB29" s="948"/>
      <c r="AC29" s="948"/>
      <c r="AD29" s="948"/>
      <c r="AE29" s="948"/>
      <c r="AF29" s="948"/>
      <c r="AG29" s="948"/>
      <c r="AH29" s="948"/>
      <c r="AI29" s="948"/>
      <c r="AJ29" s="948"/>
      <c r="AK29" s="948">
        <v>958000</v>
      </c>
      <c r="AL29" s="948">
        <v>958000</v>
      </c>
      <c r="AM29" s="948">
        <v>958000</v>
      </c>
      <c r="AN29" s="945">
        <v>2874000</v>
      </c>
      <c r="AO29" s="959" t="s">
        <v>1308</v>
      </c>
      <c r="AP29" s="950">
        <v>12250000</v>
      </c>
      <c r="AQ29" s="950">
        <v>7400000</v>
      </c>
      <c r="AR29" s="950">
        <v>7800000</v>
      </c>
      <c r="AS29" s="950">
        <v>8200000</v>
      </c>
      <c r="AT29" s="950">
        <v>70476000</v>
      </c>
      <c r="AU29" s="951"/>
      <c r="AV29" s="960">
        <v>109000000</v>
      </c>
      <c r="AW29" s="950">
        <v>0</v>
      </c>
      <c r="AZ29" s="953"/>
      <c r="BA29" s="954">
        <v>0</v>
      </c>
      <c r="BB29" s="955">
        <v>0</v>
      </c>
      <c r="BC29" s="954">
        <v>0</v>
      </c>
      <c r="BD29" s="956">
        <v>0</v>
      </c>
      <c r="BE29" s="956">
        <v>0</v>
      </c>
      <c r="BF29" s="956">
        <v>0</v>
      </c>
      <c r="BG29" s="956">
        <v>0</v>
      </c>
      <c r="BH29" s="957">
        <v>0</v>
      </c>
    </row>
    <row r="30" spans="1:60" outlineLevel="1">
      <c r="A30" s="994" t="s">
        <v>659</v>
      </c>
      <c r="B30" s="751" t="s">
        <v>1330</v>
      </c>
      <c r="C30" s="991">
        <v>76500000</v>
      </c>
      <c r="D30" s="942">
        <v>51343045</v>
      </c>
      <c r="E30" s="942">
        <v>25156955</v>
      </c>
      <c r="F30" s="943"/>
      <c r="G30" s="944"/>
      <c r="H30" s="945">
        <v>0</v>
      </c>
      <c r="I30" s="2441">
        <f t="shared" si="0"/>
        <v>0</v>
      </c>
      <c r="J30" s="2441"/>
      <c r="K30" s="2441">
        <f t="shared" si="1"/>
        <v>0</v>
      </c>
      <c r="L30" s="2453"/>
      <c r="M30" s="2453">
        <f t="shared" si="2"/>
        <v>0</v>
      </c>
      <c r="N30" s="946">
        <v>0</v>
      </c>
      <c r="O30" s="997">
        <v>0</v>
      </c>
      <c r="P30" s="997">
        <v>0</v>
      </c>
      <c r="Q30" s="997">
        <v>0</v>
      </c>
      <c r="R30" s="997">
        <v>0</v>
      </c>
      <c r="S30" s="997">
        <v>0</v>
      </c>
      <c r="T30" s="997">
        <v>0</v>
      </c>
      <c r="U30" s="997">
        <v>0</v>
      </c>
      <c r="V30" s="998">
        <v>0</v>
      </c>
      <c r="W30" s="998">
        <v>0</v>
      </c>
      <c r="X30" s="998">
        <v>0</v>
      </c>
      <c r="Y30" s="946">
        <v>0</v>
      </c>
      <c r="Z30" s="945">
        <v>0</v>
      </c>
      <c r="AA30" s="945">
        <v>0</v>
      </c>
      <c r="AB30" s="948"/>
      <c r="AC30" s="948"/>
      <c r="AD30" s="948"/>
      <c r="AE30" s="948"/>
      <c r="AF30" s="948"/>
      <c r="AG30" s="948"/>
      <c r="AH30" s="948"/>
      <c r="AI30" s="948"/>
      <c r="AJ30" s="948"/>
      <c r="AK30" s="948"/>
      <c r="AL30" s="948"/>
      <c r="AM30" s="948"/>
      <c r="AN30" s="945">
        <v>0</v>
      </c>
      <c r="AO30" s="959" t="s">
        <v>1308</v>
      </c>
      <c r="AP30" s="950">
        <v>7000000</v>
      </c>
      <c r="AQ30" s="950">
        <v>3700000</v>
      </c>
      <c r="AR30" s="950">
        <v>3900000</v>
      </c>
      <c r="AS30" s="950">
        <v>4100000</v>
      </c>
      <c r="AT30" s="950">
        <v>57800000</v>
      </c>
      <c r="AU30" s="951"/>
      <c r="AV30" s="960">
        <v>76500000</v>
      </c>
      <c r="AW30" s="950">
        <v>0</v>
      </c>
      <c r="AZ30" s="953"/>
      <c r="BA30" s="954">
        <v>0</v>
      </c>
      <c r="BB30" s="955">
        <v>0</v>
      </c>
      <c r="BC30" s="954">
        <v>0</v>
      </c>
      <c r="BD30" s="956">
        <v>0</v>
      </c>
      <c r="BE30" s="956">
        <v>0</v>
      </c>
      <c r="BF30" s="956">
        <v>0</v>
      </c>
      <c r="BG30" s="956">
        <v>0</v>
      </c>
      <c r="BH30" s="957">
        <v>0</v>
      </c>
    </row>
    <row r="31" spans="1:60" outlineLevel="1">
      <c r="A31" s="994" t="s">
        <v>661</v>
      </c>
      <c r="B31" s="751" t="s">
        <v>1331</v>
      </c>
      <c r="C31" s="991">
        <v>77000000</v>
      </c>
      <c r="D31" s="942">
        <v>51899975</v>
      </c>
      <c r="E31" s="942">
        <v>25100025</v>
      </c>
      <c r="F31" s="943"/>
      <c r="G31" s="944"/>
      <c r="H31" s="999">
        <v>0</v>
      </c>
      <c r="I31" s="2441">
        <f t="shared" si="0"/>
        <v>0</v>
      </c>
      <c r="J31" s="2441"/>
      <c r="K31" s="2441">
        <f t="shared" si="1"/>
        <v>0</v>
      </c>
      <c r="L31" s="2453"/>
      <c r="M31" s="2453">
        <f t="shared" si="2"/>
        <v>0</v>
      </c>
      <c r="N31" s="946">
        <v>0</v>
      </c>
      <c r="O31" s="997">
        <v>0</v>
      </c>
      <c r="P31" s="997">
        <v>0</v>
      </c>
      <c r="Q31" s="997">
        <v>0</v>
      </c>
      <c r="R31" s="997">
        <v>0</v>
      </c>
      <c r="S31" s="997">
        <v>0</v>
      </c>
      <c r="T31" s="997">
        <v>0</v>
      </c>
      <c r="U31" s="997">
        <v>0</v>
      </c>
      <c r="V31" s="998">
        <v>0</v>
      </c>
      <c r="W31" s="998">
        <v>0</v>
      </c>
      <c r="X31" s="998">
        <v>0</v>
      </c>
      <c r="Y31" s="946">
        <v>0</v>
      </c>
      <c r="Z31" s="945">
        <v>0</v>
      </c>
      <c r="AA31" s="945">
        <v>0</v>
      </c>
      <c r="AB31" s="948"/>
      <c r="AC31" s="948"/>
      <c r="AD31" s="948"/>
      <c r="AE31" s="948"/>
      <c r="AF31" s="948"/>
      <c r="AG31" s="948"/>
      <c r="AH31" s="948"/>
      <c r="AI31" s="948"/>
      <c r="AJ31" s="948"/>
      <c r="AK31" s="948"/>
      <c r="AL31" s="948"/>
      <c r="AM31" s="948"/>
      <c r="AN31" s="945">
        <v>0</v>
      </c>
      <c r="AO31" s="959" t="s">
        <v>1308</v>
      </c>
      <c r="AP31" s="950">
        <v>0</v>
      </c>
      <c r="AQ31" s="950">
        <v>7400000</v>
      </c>
      <c r="AR31" s="950">
        <v>7800000</v>
      </c>
      <c r="AS31" s="950">
        <v>4100000</v>
      </c>
      <c r="AT31" s="950">
        <v>57700000</v>
      </c>
      <c r="AU31" s="951"/>
      <c r="AV31" s="960">
        <v>77000000</v>
      </c>
      <c r="AW31" s="950">
        <v>0</v>
      </c>
      <c r="AZ31" s="953"/>
      <c r="BA31" s="954">
        <v>0</v>
      </c>
      <c r="BB31" s="955">
        <v>0</v>
      </c>
      <c r="BC31" s="954">
        <v>0</v>
      </c>
      <c r="BD31" s="956">
        <v>0</v>
      </c>
      <c r="BE31" s="956">
        <v>0</v>
      </c>
      <c r="BF31" s="956">
        <v>0</v>
      </c>
      <c r="BG31" s="956">
        <v>0</v>
      </c>
      <c r="BH31" s="957">
        <v>0</v>
      </c>
    </row>
    <row r="32" spans="1:60" outlineLevel="1">
      <c r="A32" s="994" t="s">
        <v>663</v>
      </c>
      <c r="B32" s="995" t="s">
        <v>1332</v>
      </c>
      <c r="C32" s="991">
        <v>77500000</v>
      </c>
      <c r="D32" s="942">
        <v>52205495</v>
      </c>
      <c r="E32" s="942">
        <v>25294505</v>
      </c>
      <c r="F32" s="943"/>
      <c r="G32" s="944"/>
      <c r="H32" s="999">
        <v>0</v>
      </c>
      <c r="I32" s="2441">
        <f t="shared" si="0"/>
        <v>0</v>
      </c>
      <c r="J32" s="2441"/>
      <c r="K32" s="2441">
        <f t="shared" si="1"/>
        <v>0</v>
      </c>
      <c r="L32" s="2453"/>
      <c r="M32" s="2453">
        <f t="shared" si="2"/>
        <v>0</v>
      </c>
      <c r="N32" s="946"/>
      <c r="O32" s="997"/>
      <c r="P32" s="997"/>
      <c r="Q32" s="997"/>
      <c r="R32" s="997"/>
      <c r="S32" s="997"/>
      <c r="T32" s="997"/>
      <c r="U32" s="997"/>
      <c r="V32" s="998"/>
      <c r="W32" s="998"/>
      <c r="X32" s="998"/>
      <c r="Y32" s="946"/>
      <c r="Z32" s="945">
        <v>0</v>
      </c>
      <c r="AA32" s="945">
        <v>0</v>
      </c>
      <c r="AB32" s="948"/>
      <c r="AC32" s="948"/>
      <c r="AD32" s="948"/>
      <c r="AE32" s="948"/>
      <c r="AF32" s="948"/>
      <c r="AG32" s="948"/>
      <c r="AH32" s="948"/>
      <c r="AI32" s="948"/>
      <c r="AJ32" s="948"/>
      <c r="AK32" s="948"/>
      <c r="AL32" s="948"/>
      <c r="AM32" s="948"/>
      <c r="AN32" s="945">
        <v>0</v>
      </c>
      <c r="AO32" s="959" t="s">
        <v>1308</v>
      </c>
      <c r="AP32" s="950">
        <v>0</v>
      </c>
      <c r="AQ32" s="950">
        <v>0</v>
      </c>
      <c r="AR32" s="950">
        <v>7800000</v>
      </c>
      <c r="AS32" s="950">
        <v>8200000</v>
      </c>
      <c r="AT32" s="950">
        <v>61500000</v>
      </c>
      <c r="AU32" s="951"/>
      <c r="AV32" s="960">
        <v>77500000</v>
      </c>
      <c r="AW32" s="950">
        <v>0</v>
      </c>
      <c r="AZ32" s="953"/>
      <c r="BA32" s="954"/>
      <c r="BB32" s="955"/>
      <c r="BC32" s="954"/>
      <c r="BD32" s="956"/>
      <c r="BE32" s="956"/>
      <c r="BF32" s="956"/>
      <c r="BG32" s="956"/>
      <c r="BH32" s="957"/>
    </row>
    <row r="33" spans="1:60" outlineLevel="1">
      <c r="A33" s="994" t="s">
        <v>665</v>
      </c>
      <c r="B33" s="995" t="s">
        <v>1333</v>
      </c>
      <c r="C33" s="991">
        <v>78000000</v>
      </c>
      <c r="D33" s="942">
        <v>52560130</v>
      </c>
      <c r="E33" s="942">
        <v>25439870</v>
      </c>
      <c r="F33" s="943"/>
      <c r="G33" s="944"/>
      <c r="H33" s="999">
        <v>0</v>
      </c>
      <c r="I33" s="2441">
        <f t="shared" si="0"/>
        <v>0</v>
      </c>
      <c r="J33" s="2441"/>
      <c r="K33" s="2441">
        <f t="shared" si="1"/>
        <v>0</v>
      </c>
      <c r="L33" s="2453"/>
      <c r="M33" s="2453">
        <f t="shared" si="2"/>
        <v>0</v>
      </c>
      <c r="N33" s="946"/>
      <c r="O33" s="997"/>
      <c r="P33" s="997"/>
      <c r="Q33" s="997"/>
      <c r="R33" s="997"/>
      <c r="S33" s="997"/>
      <c r="T33" s="997"/>
      <c r="U33" s="997"/>
      <c r="V33" s="998"/>
      <c r="W33" s="998"/>
      <c r="X33" s="998"/>
      <c r="Y33" s="946"/>
      <c r="Z33" s="945">
        <v>0</v>
      </c>
      <c r="AA33" s="945">
        <v>0</v>
      </c>
      <c r="AB33" s="948"/>
      <c r="AC33" s="948"/>
      <c r="AD33" s="948"/>
      <c r="AE33" s="948"/>
      <c r="AF33" s="948"/>
      <c r="AG33" s="948"/>
      <c r="AH33" s="948"/>
      <c r="AI33" s="948"/>
      <c r="AJ33" s="948"/>
      <c r="AK33" s="948"/>
      <c r="AL33" s="948"/>
      <c r="AM33" s="948"/>
      <c r="AN33" s="945">
        <v>0</v>
      </c>
      <c r="AO33" s="959" t="s">
        <v>1308</v>
      </c>
      <c r="AP33" s="950">
        <v>0</v>
      </c>
      <c r="AQ33" s="950">
        <v>0</v>
      </c>
      <c r="AR33" s="950">
        <v>0</v>
      </c>
      <c r="AS33" s="950">
        <v>8200000</v>
      </c>
      <c r="AT33" s="950">
        <v>69800000</v>
      </c>
      <c r="AU33" s="951"/>
      <c r="AV33" s="960">
        <v>78000000</v>
      </c>
      <c r="AW33" s="950">
        <v>0</v>
      </c>
      <c r="AZ33" s="953"/>
      <c r="BA33" s="954"/>
      <c r="BB33" s="955"/>
      <c r="BC33" s="954"/>
      <c r="BD33" s="956"/>
      <c r="BE33" s="956"/>
      <c r="BF33" s="956"/>
      <c r="BG33" s="956"/>
      <c r="BH33" s="957"/>
    </row>
    <row r="34" spans="1:60" outlineLevel="1">
      <c r="A34" s="1000"/>
      <c r="B34" s="751"/>
      <c r="C34" s="991"/>
      <c r="D34" s="942"/>
      <c r="E34" s="942"/>
      <c r="F34" s="943"/>
      <c r="G34" s="944"/>
      <c r="H34" s="999">
        <v>0</v>
      </c>
      <c r="I34" s="2441">
        <f t="shared" si="0"/>
        <v>0</v>
      </c>
      <c r="J34" s="2441"/>
      <c r="K34" s="2441">
        <f t="shared" si="1"/>
        <v>0</v>
      </c>
      <c r="L34" s="2453"/>
      <c r="M34" s="2453">
        <f t="shared" si="2"/>
        <v>0</v>
      </c>
      <c r="N34" s="946"/>
      <c r="O34" s="997"/>
      <c r="P34" s="997"/>
      <c r="Q34" s="997"/>
      <c r="R34" s="997"/>
      <c r="S34" s="997"/>
      <c r="T34" s="997"/>
      <c r="U34" s="997"/>
      <c r="V34" s="998"/>
      <c r="W34" s="998"/>
      <c r="X34" s="998"/>
      <c r="Y34" s="946"/>
      <c r="Z34" s="945">
        <v>0</v>
      </c>
      <c r="AA34" s="945">
        <v>0</v>
      </c>
      <c r="AB34" s="948"/>
      <c r="AC34" s="948"/>
      <c r="AD34" s="948"/>
      <c r="AE34" s="948"/>
      <c r="AF34" s="948"/>
      <c r="AG34" s="948"/>
      <c r="AH34" s="948"/>
      <c r="AI34" s="948"/>
      <c r="AJ34" s="948"/>
      <c r="AK34" s="948"/>
      <c r="AL34" s="948"/>
      <c r="AM34" s="948"/>
      <c r="AN34" s="945">
        <v>0</v>
      </c>
      <c r="AO34" s="959" t="s">
        <v>1308</v>
      </c>
      <c r="AP34" s="950"/>
      <c r="AQ34" s="950"/>
      <c r="AR34" s="950"/>
      <c r="AS34" s="950"/>
      <c r="AT34" s="950"/>
      <c r="AU34" s="951"/>
      <c r="AV34" s="960">
        <v>0</v>
      </c>
      <c r="AW34" s="950">
        <v>0</v>
      </c>
      <c r="AZ34" s="953"/>
      <c r="BA34" s="954"/>
      <c r="BB34" s="955"/>
      <c r="BC34" s="954"/>
      <c r="BD34" s="956"/>
      <c r="BE34" s="956"/>
      <c r="BF34" s="956"/>
      <c r="BG34" s="956"/>
      <c r="BH34" s="957"/>
    </row>
    <row r="35" spans="1:60" s="912" customFormat="1">
      <c r="A35" s="1001" t="s">
        <v>1252</v>
      </c>
      <c r="B35" s="1002"/>
      <c r="C35" s="1003">
        <v>651723893</v>
      </c>
      <c r="D35" s="1003">
        <v>446203800</v>
      </c>
      <c r="E35" s="1003">
        <v>205520093</v>
      </c>
      <c r="F35" s="1003">
        <v>63052961</v>
      </c>
      <c r="G35" s="1003">
        <v>30740000</v>
      </c>
      <c r="H35" s="1003">
        <v>24694500</v>
      </c>
      <c r="I35" s="2442">
        <f>SUM(I8:I34)</f>
        <v>72084961</v>
      </c>
      <c r="J35" s="2442">
        <f t="shared" ref="J35:K35" si="3">SUM(J8:J34)</f>
        <v>72084961</v>
      </c>
      <c r="K35" s="2442">
        <f t="shared" si="3"/>
        <v>0</v>
      </c>
      <c r="L35" s="2454">
        <f t="shared" ref="L35" si="4">SUM(L8:L34)</f>
        <v>66863161</v>
      </c>
      <c r="M35" s="2454">
        <f t="shared" ref="M35" si="5">SUM(M8:M34)</f>
        <v>5221800</v>
      </c>
      <c r="N35" s="1003">
        <v>425000</v>
      </c>
      <c r="O35" s="1003">
        <v>717500</v>
      </c>
      <c r="P35" s="1003">
        <v>1665000</v>
      </c>
      <c r="Q35" s="1003">
        <v>1573000</v>
      </c>
      <c r="R35" s="1003">
        <v>1395000</v>
      </c>
      <c r="S35" s="1003">
        <v>647500</v>
      </c>
      <c r="T35" s="1003">
        <v>868000</v>
      </c>
      <c r="U35" s="1003">
        <v>1741000</v>
      </c>
      <c r="V35" s="1003">
        <v>2335000</v>
      </c>
      <c r="W35" s="1003">
        <v>1383000</v>
      </c>
      <c r="X35" s="1003">
        <v>2965000</v>
      </c>
      <c r="Y35" s="1003">
        <v>8979500</v>
      </c>
      <c r="Z35" s="1003">
        <v>87747461</v>
      </c>
      <c r="AA35" s="1003">
        <v>38133282</v>
      </c>
      <c r="AB35" s="1003">
        <v>4526168</v>
      </c>
      <c r="AC35" s="1003">
        <v>3112450</v>
      </c>
      <c r="AD35" s="1003">
        <v>3681168</v>
      </c>
      <c r="AE35" s="1003">
        <v>1178168</v>
      </c>
      <c r="AF35" s="1003">
        <v>3334168</v>
      </c>
      <c r="AG35" s="1003">
        <v>1178168</v>
      </c>
      <c r="AH35" s="1003">
        <v>4356568</v>
      </c>
      <c r="AI35" s="1003">
        <v>1348168</v>
      </c>
      <c r="AJ35" s="1003">
        <v>1348168</v>
      </c>
      <c r="AK35" s="1003">
        <v>2136168</v>
      </c>
      <c r="AL35" s="1003">
        <v>2136168</v>
      </c>
      <c r="AM35" s="1003">
        <v>9797752</v>
      </c>
      <c r="AN35" s="1003">
        <v>125880743</v>
      </c>
      <c r="AO35" s="1004"/>
      <c r="AP35" s="1003">
        <v>37928850</v>
      </c>
      <c r="AQ35" s="1003">
        <v>38794850</v>
      </c>
      <c r="AR35" s="1003">
        <v>40807850</v>
      </c>
      <c r="AS35" s="1003">
        <v>44870850</v>
      </c>
      <c r="AT35" s="1003">
        <v>363440750</v>
      </c>
      <c r="AU35" s="1005"/>
      <c r="AV35" s="1003">
        <v>651723893</v>
      </c>
      <c r="AW35" s="1003">
        <v>0</v>
      </c>
      <c r="AZ35" s="934"/>
      <c r="BA35" s="1006">
        <v>7291000</v>
      </c>
      <c r="BB35" s="1006">
        <v>17403500</v>
      </c>
      <c r="BC35" s="1006">
        <v>1741000</v>
      </c>
      <c r="BD35" s="1006">
        <v>2335000</v>
      </c>
      <c r="BE35" s="1006">
        <v>1383000</v>
      </c>
      <c r="BF35" s="1006">
        <v>2965000</v>
      </c>
      <c r="BG35" s="1006">
        <v>8979500</v>
      </c>
      <c r="BH35" s="1006">
        <v>24694500</v>
      </c>
    </row>
    <row r="36" spans="1:60" s="971" customFormat="1">
      <c r="A36" s="962" t="s">
        <v>667</v>
      </c>
      <c r="B36" s="963" t="s">
        <v>1334</v>
      </c>
      <c r="C36" s="964">
        <v>11112000</v>
      </c>
      <c r="D36" s="965">
        <v>7070420</v>
      </c>
      <c r="E36" s="965">
        <v>4041580</v>
      </c>
      <c r="F36" s="943">
        <v>11112000</v>
      </c>
      <c r="G36" s="944">
        <v>0</v>
      </c>
      <c r="H36" s="966">
        <v>0</v>
      </c>
      <c r="I36" s="2441">
        <f>F36+SUM(N36:U36)</f>
        <v>11112000</v>
      </c>
      <c r="J36" s="2441">
        <f>VLOOKUP(A36,SAP累計至20260831收入實際數!$A:$B,2,FALSE)</f>
        <v>11112000</v>
      </c>
      <c r="K36" s="2441">
        <f t="shared" ref="K36" si="6">J36-I36</f>
        <v>0</v>
      </c>
      <c r="L36" s="2453">
        <f>VLOOKUP(A36,'202608收入成本表'!A:Y,22,FALSE)</f>
        <v>11112000</v>
      </c>
      <c r="M36" s="2453">
        <f t="shared" ref="M36" si="7">J36-L36</f>
        <v>0</v>
      </c>
      <c r="N36" s="946">
        <v>0</v>
      </c>
      <c r="O36" s="947">
        <v>0</v>
      </c>
      <c r="P36" s="947">
        <v>0</v>
      </c>
      <c r="Q36" s="947">
        <v>0</v>
      </c>
      <c r="R36" s="947">
        <v>0</v>
      </c>
      <c r="S36" s="947">
        <v>0</v>
      </c>
      <c r="T36" s="947">
        <v>0</v>
      </c>
      <c r="U36" s="947">
        <v>0</v>
      </c>
      <c r="V36" s="946">
        <v>0</v>
      </c>
      <c r="W36" s="946">
        <v>0</v>
      </c>
      <c r="X36" s="946">
        <v>0</v>
      </c>
      <c r="Y36" s="946">
        <v>0</v>
      </c>
      <c r="Z36" s="966">
        <v>11112000</v>
      </c>
      <c r="AA36" s="966">
        <v>0</v>
      </c>
      <c r="AB36" s="967">
        <v>0</v>
      </c>
      <c r="AC36" s="967">
        <v>0</v>
      </c>
      <c r="AD36" s="967">
        <v>0</v>
      </c>
      <c r="AE36" s="967">
        <v>0</v>
      </c>
      <c r="AF36" s="967">
        <v>0</v>
      </c>
      <c r="AG36" s="967">
        <v>0</v>
      </c>
      <c r="AH36" s="967">
        <v>0</v>
      </c>
      <c r="AI36" s="967">
        <v>0</v>
      </c>
      <c r="AJ36" s="967">
        <v>0</v>
      </c>
      <c r="AK36" s="967">
        <v>0</v>
      </c>
      <c r="AL36" s="967">
        <v>0</v>
      </c>
      <c r="AM36" s="967">
        <v>0</v>
      </c>
      <c r="AN36" s="966">
        <v>11112000</v>
      </c>
      <c r="AO36" s="968" t="s">
        <v>1314</v>
      </c>
      <c r="AP36" s="969">
        <v>0</v>
      </c>
      <c r="AQ36" s="969">
        <v>0</v>
      </c>
      <c r="AR36" s="969">
        <v>0</v>
      </c>
      <c r="AS36" s="969">
        <v>0</v>
      </c>
      <c r="AT36" s="969">
        <v>0</v>
      </c>
      <c r="AU36" s="970"/>
      <c r="AV36" s="960">
        <v>11112000</v>
      </c>
      <c r="AW36" s="950">
        <v>0</v>
      </c>
      <c r="AZ36" s="1007" t="s">
        <v>1253</v>
      </c>
      <c r="BA36" s="954">
        <v>0</v>
      </c>
      <c r="BB36" s="955">
        <v>0</v>
      </c>
      <c r="BC36" s="954">
        <v>0</v>
      </c>
      <c r="BD36" s="956">
        <v>0</v>
      </c>
      <c r="BE36" s="956">
        <v>0</v>
      </c>
      <c r="BF36" s="956">
        <v>0</v>
      </c>
      <c r="BG36" s="956">
        <v>0</v>
      </c>
      <c r="BH36" s="957">
        <v>0</v>
      </c>
    </row>
    <row r="37" spans="1:60">
      <c r="A37" s="574" t="s">
        <v>668</v>
      </c>
      <c r="B37" s="751" t="s">
        <v>1335</v>
      </c>
      <c r="C37" s="941">
        <v>7820000</v>
      </c>
      <c r="D37" s="942">
        <v>8635953</v>
      </c>
      <c r="E37" s="942">
        <v>-815953</v>
      </c>
      <c r="F37" s="943">
        <v>7385000</v>
      </c>
      <c r="G37" s="944">
        <v>360000</v>
      </c>
      <c r="H37" s="945">
        <v>360000</v>
      </c>
      <c r="I37" s="2441">
        <f t="shared" ref="I37:I66" si="8">F37+SUM(N37:U37)</f>
        <v>7485000</v>
      </c>
      <c r="J37" s="2441">
        <f>VLOOKUP(A37,SAP累計至20260831收入實際數!$A:$B,2,FALSE)</f>
        <v>7485000</v>
      </c>
      <c r="K37" s="2441">
        <f t="shared" ref="K37:K66" si="9">J37-I37</f>
        <v>0</v>
      </c>
      <c r="L37" s="2453">
        <f>VLOOKUP(A37,'202608收入成本表'!A:Y,22,FALSE)</f>
        <v>7485000</v>
      </c>
      <c r="M37" s="2453">
        <f t="shared" ref="M37:M66" si="10">J37-L37</f>
        <v>0</v>
      </c>
      <c r="N37" s="946">
        <v>0</v>
      </c>
      <c r="O37" s="947">
        <v>0</v>
      </c>
      <c r="P37" s="947">
        <v>0</v>
      </c>
      <c r="Q37" s="947">
        <v>0</v>
      </c>
      <c r="R37" s="947">
        <v>0</v>
      </c>
      <c r="S37" s="947">
        <v>0</v>
      </c>
      <c r="T37" s="947">
        <v>0</v>
      </c>
      <c r="U37" s="947">
        <v>100000</v>
      </c>
      <c r="V37" s="946">
        <v>0</v>
      </c>
      <c r="W37" s="946">
        <v>0</v>
      </c>
      <c r="X37" s="946">
        <v>130000</v>
      </c>
      <c r="Y37" s="946">
        <v>130000</v>
      </c>
      <c r="Z37" s="945">
        <v>7745000</v>
      </c>
      <c r="AA37" s="945">
        <v>75000</v>
      </c>
      <c r="AB37" s="948">
        <v>75000</v>
      </c>
      <c r="AC37" s="948">
        <v>0</v>
      </c>
      <c r="AD37" s="948">
        <v>0</v>
      </c>
      <c r="AE37" s="948">
        <v>0</v>
      </c>
      <c r="AF37" s="948">
        <v>0</v>
      </c>
      <c r="AG37" s="948">
        <v>0</v>
      </c>
      <c r="AH37" s="948">
        <v>0</v>
      </c>
      <c r="AI37" s="948">
        <v>0</v>
      </c>
      <c r="AJ37" s="948">
        <v>0</v>
      </c>
      <c r="AK37" s="948">
        <v>0</v>
      </c>
      <c r="AL37" s="948">
        <v>0</v>
      </c>
      <c r="AM37" s="948">
        <v>0</v>
      </c>
      <c r="AN37" s="945">
        <v>7820000</v>
      </c>
      <c r="AO37" s="959" t="s">
        <v>1308</v>
      </c>
      <c r="AP37" s="950">
        <v>0</v>
      </c>
      <c r="AQ37" s="950">
        <v>0</v>
      </c>
      <c r="AR37" s="950">
        <v>0</v>
      </c>
      <c r="AS37" s="950">
        <v>0</v>
      </c>
      <c r="AT37" s="950">
        <v>0</v>
      </c>
      <c r="AU37" s="951"/>
      <c r="AV37" s="960">
        <v>7820000</v>
      </c>
      <c r="AW37" s="950">
        <v>0</v>
      </c>
      <c r="AZ37" s="953" t="s">
        <v>1107</v>
      </c>
      <c r="BA37" s="954">
        <v>0</v>
      </c>
      <c r="BB37" s="955">
        <v>360000</v>
      </c>
      <c r="BC37" s="954">
        <v>100000</v>
      </c>
      <c r="BD37" s="956">
        <v>0</v>
      </c>
      <c r="BE37" s="956">
        <v>0</v>
      </c>
      <c r="BF37" s="956">
        <v>130000</v>
      </c>
      <c r="BG37" s="956">
        <v>130000</v>
      </c>
      <c r="BH37" s="957">
        <v>360000</v>
      </c>
    </row>
    <row r="38" spans="1:60">
      <c r="A38" s="574" t="s">
        <v>670</v>
      </c>
      <c r="B38" s="751" t="s">
        <v>1336</v>
      </c>
      <c r="C38" s="941">
        <v>4030000</v>
      </c>
      <c r="D38" s="942">
        <v>2390732</v>
      </c>
      <c r="E38" s="942">
        <v>1639268</v>
      </c>
      <c r="F38" s="943">
        <v>3590000</v>
      </c>
      <c r="G38" s="944">
        <v>310000</v>
      </c>
      <c r="H38" s="945">
        <v>440000</v>
      </c>
      <c r="I38" s="2441">
        <f t="shared" si="8"/>
        <v>3920000</v>
      </c>
      <c r="J38" s="2441">
        <f>VLOOKUP(A38,SAP累計至20260831收入實際數!$A:$B,2,FALSE)</f>
        <v>3920000</v>
      </c>
      <c r="K38" s="2441">
        <f t="shared" si="9"/>
        <v>0</v>
      </c>
      <c r="L38" s="2453">
        <f>VLOOKUP(A38,'202608收入成本表'!A:Y,22,FALSE)</f>
        <v>3920000</v>
      </c>
      <c r="M38" s="2453">
        <f t="shared" si="10"/>
        <v>0</v>
      </c>
      <c r="N38" s="946">
        <v>0</v>
      </c>
      <c r="O38" s="947">
        <v>65000</v>
      </c>
      <c r="P38" s="947">
        <v>0</v>
      </c>
      <c r="Q38" s="947">
        <v>135000</v>
      </c>
      <c r="R38" s="947">
        <v>0</v>
      </c>
      <c r="S38" s="947">
        <v>65000</v>
      </c>
      <c r="T38" s="947">
        <v>0</v>
      </c>
      <c r="U38" s="947">
        <v>65000</v>
      </c>
      <c r="V38" s="946">
        <v>0</v>
      </c>
      <c r="W38" s="946">
        <v>65000</v>
      </c>
      <c r="X38" s="946">
        <v>0</v>
      </c>
      <c r="Y38" s="946">
        <v>45000</v>
      </c>
      <c r="Z38" s="945">
        <v>4030000</v>
      </c>
      <c r="AA38" s="945">
        <v>0</v>
      </c>
      <c r="AB38" s="948">
        <v>0</v>
      </c>
      <c r="AC38" s="948">
        <v>0</v>
      </c>
      <c r="AD38" s="948">
        <v>0</v>
      </c>
      <c r="AE38" s="948">
        <v>0</v>
      </c>
      <c r="AF38" s="948">
        <v>0</v>
      </c>
      <c r="AG38" s="948">
        <v>0</v>
      </c>
      <c r="AH38" s="948">
        <v>0</v>
      </c>
      <c r="AI38" s="948">
        <v>0</v>
      </c>
      <c r="AJ38" s="948">
        <v>0</v>
      </c>
      <c r="AK38" s="948">
        <v>0</v>
      </c>
      <c r="AL38" s="948">
        <v>0</v>
      </c>
      <c r="AM38" s="948">
        <v>0</v>
      </c>
      <c r="AN38" s="945">
        <v>4030000</v>
      </c>
      <c r="AO38" s="959" t="s">
        <v>1308</v>
      </c>
      <c r="AP38" s="950">
        <v>0</v>
      </c>
      <c r="AQ38" s="950">
        <v>0</v>
      </c>
      <c r="AR38" s="950">
        <v>0</v>
      </c>
      <c r="AS38" s="950">
        <v>0</v>
      </c>
      <c r="AT38" s="950">
        <v>0</v>
      </c>
      <c r="AU38" s="951"/>
      <c r="AV38" s="960">
        <v>4030000</v>
      </c>
      <c r="AW38" s="950">
        <v>0</v>
      </c>
      <c r="AZ38" s="953" t="s">
        <v>1254</v>
      </c>
      <c r="BA38" s="954">
        <v>265000</v>
      </c>
      <c r="BB38" s="955">
        <v>175000</v>
      </c>
      <c r="BC38" s="954">
        <v>65000</v>
      </c>
      <c r="BD38" s="956">
        <v>0</v>
      </c>
      <c r="BE38" s="956">
        <v>65000</v>
      </c>
      <c r="BF38" s="956">
        <v>0</v>
      </c>
      <c r="BG38" s="956">
        <v>45000</v>
      </c>
      <c r="BH38" s="957">
        <v>440000</v>
      </c>
    </row>
    <row r="39" spans="1:60" s="971" customFormat="1">
      <c r="A39" s="962" t="s">
        <v>672</v>
      </c>
      <c r="B39" s="963" t="s">
        <v>1337</v>
      </c>
      <c r="C39" s="964">
        <v>5150000</v>
      </c>
      <c r="D39" s="965">
        <v>3686233</v>
      </c>
      <c r="E39" s="965">
        <v>1463767</v>
      </c>
      <c r="F39" s="943">
        <v>867500</v>
      </c>
      <c r="G39" s="980">
        <v>1041000</v>
      </c>
      <c r="H39" s="966">
        <v>0</v>
      </c>
      <c r="I39" s="2441">
        <f t="shared" si="8"/>
        <v>867500</v>
      </c>
      <c r="J39" s="2441">
        <f>VLOOKUP(A39,SAP累計至20260831收入實際數!$A:$B,2,FALSE)</f>
        <v>867500</v>
      </c>
      <c r="K39" s="2441">
        <f t="shared" si="9"/>
        <v>0</v>
      </c>
      <c r="L39" s="2453">
        <f>VLOOKUP(A39,'202608收入成本表'!A:Y,22,FALSE)</f>
        <v>867500</v>
      </c>
      <c r="M39" s="2453">
        <f t="shared" si="10"/>
        <v>0</v>
      </c>
      <c r="N39" s="967">
        <v>0</v>
      </c>
      <c r="O39" s="967">
        <v>0</v>
      </c>
      <c r="P39" s="967">
        <v>0</v>
      </c>
      <c r="Q39" s="967">
        <v>0</v>
      </c>
      <c r="R39" s="967">
        <v>0</v>
      </c>
      <c r="S39" s="967">
        <v>0</v>
      </c>
      <c r="T39" s="947">
        <v>0</v>
      </c>
      <c r="U39" s="947">
        <v>0</v>
      </c>
      <c r="V39" s="967">
        <v>0</v>
      </c>
      <c r="W39" s="967">
        <v>0</v>
      </c>
      <c r="X39" s="967">
        <v>0</v>
      </c>
      <c r="Y39" s="967">
        <v>0</v>
      </c>
      <c r="Z39" s="966">
        <v>867500</v>
      </c>
      <c r="AA39" s="966">
        <v>1561500</v>
      </c>
      <c r="AB39" s="967">
        <v>724500</v>
      </c>
      <c r="AC39" s="967">
        <v>0</v>
      </c>
      <c r="AD39" s="967">
        <v>0</v>
      </c>
      <c r="AE39" s="967">
        <v>316500</v>
      </c>
      <c r="AF39" s="967">
        <v>0</v>
      </c>
      <c r="AG39" s="967">
        <v>0</v>
      </c>
      <c r="AH39" s="967">
        <v>0</v>
      </c>
      <c r="AI39" s="967">
        <v>0</v>
      </c>
      <c r="AJ39" s="967">
        <v>0</v>
      </c>
      <c r="AK39" s="967">
        <v>0</v>
      </c>
      <c r="AL39" s="967">
        <v>0</v>
      </c>
      <c r="AM39" s="967">
        <v>520500</v>
      </c>
      <c r="AN39" s="966">
        <v>2429000</v>
      </c>
      <c r="AO39" s="968" t="s">
        <v>1314</v>
      </c>
      <c r="AP39" s="969">
        <v>520500</v>
      </c>
      <c r="AQ39" s="969">
        <v>1141000</v>
      </c>
      <c r="AR39" s="969">
        <v>1059500</v>
      </c>
      <c r="AS39" s="969">
        <v>0</v>
      </c>
      <c r="AT39" s="969">
        <v>0</v>
      </c>
      <c r="AU39" s="970"/>
      <c r="AV39" s="969">
        <v>5150000</v>
      </c>
      <c r="AW39" s="950">
        <v>0</v>
      </c>
      <c r="AZ39" s="953" t="s">
        <v>1115</v>
      </c>
      <c r="BA39" s="1008">
        <v>0</v>
      </c>
      <c r="BB39" s="979">
        <v>0</v>
      </c>
      <c r="BC39" s="954">
        <v>0</v>
      </c>
      <c r="BD39" s="956">
        <v>0</v>
      </c>
      <c r="BE39" s="956">
        <v>0</v>
      </c>
      <c r="BF39" s="956">
        <v>0</v>
      </c>
      <c r="BG39" s="956">
        <v>0</v>
      </c>
      <c r="BH39" s="957">
        <v>0</v>
      </c>
    </row>
    <row r="40" spans="1:60">
      <c r="A40" s="574" t="s">
        <v>673</v>
      </c>
      <c r="B40" s="751" t="s">
        <v>1338</v>
      </c>
      <c r="C40" s="941">
        <v>19200000</v>
      </c>
      <c r="D40" s="942">
        <v>12357744</v>
      </c>
      <c r="E40" s="942">
        <v>6842256</v>
      </c>
      <c r="F40" s="943">
        <v>10965000</v>
      </c>
      <c r="G40" s="944">
        <v>4860000</v>
      </c>
      <c r="H40" s="945">
        <v>5055000</v>
      </c>
      <c r="I40" s="2441">
        <f t="shared" si="8"/>
        <v>14190000</v>
      </c>
      <c r="J40" s="2441">
        <f>VLOOKUP(A40,SAP累計至20260831收入實際數!$A:$B,2,FALSE)</f>
        <v>14190000</v>
      </c>
      <c r="K40" s="2441">
        <f t="shared" si="9"/>
        <v>0</v>
      </c>
      <c r="L40" s="2453">
        <f>VLOOKUP(A40,'202608收入成本表'!A:Y,22,FALSE)</f>
        <v>14190000</v>
      </c>
      <c r="M40" s="2453">
        <f t="shared" si="10"/>
        <v>0</v>
      </c>
      <c r="N40" s="946">
        <v>1125000</v>
      </c>
      <c r="O40" s="947">
        <v>300000</v>
      </c>
      <c r="P40" s="947">
        <v>300000</v>
      </c>
      <c r="Q40" s="947">
        <v>300000</v>
      </c>
      <c r="R40" s="947">
        <v>300000</v>
      </c>
      <c r="S40" s="947">
        <v>300000</v>
      </c>
      <c r="T40" s="947">
        <v>300000</v>
      </c>
      <c r="U40" s="947">
        <v>300000</v>
      </c>
      <c r="V40" s="946">
        <v>300000</v>
      </c>
      <c r="W40" s="946">
        <v>300000</v>
      </c>
      <c r="X40" s="946">
        <v>780000</v>
      </c>
      <c r="Y40" s="946">
        <v>450000</v>
      </c>
      <c r="Z40" s="945">
        <v>16020000</v>
      </c>
      <c r="AA40" s="945">
        <v>2580000</v>
      </c>
      <c r="AB40" s="948">
        <v>300000</v>
      </c>
      <c r="AC40" s="948">
        <v>300000</v>
      </c>
      <c r="AD40" s="948">
        <v>150000</v>
      </c>
      <c r="AE40" s="948">
        <v>150000</v>
      </c>
      <c r="AF40" s="948">
        <v>150000</v>
      </c>
      <c r="AG40" s="948">
        <v>150000</v>
      </c>
      <c r="AH40" s="948">
        <v>150000</v>
      </c>
      <c r="AI40" s="948">
        <v>150000</v>
      </c>
      <c r="AJ40" s="948">
        <v>150000</v>
      </c>
      <c r="AK40" s="948">
        <v>150000</v>
      </c>
      <c r="AL40" s="948">
        <v>630000</v>
      </c>
      <c r="AM40" s="948">
        <v>150000</v>
      </c>
      <c r="AN40" s="945">
        <v>18600000</v>
      </c>
      <c r="AO40" s="959" t="s">
        <v>1308</v>
      </c>
      <c r="AP40" s="950">
        <v>600000</v>
      </c>
      <c r="AQ40" s="950">
        <v>0</v>
      </c>
      <c r="AR40" s="950">
        <v>0</v>
      </c>
      <c r="AS40" s="950">
        <v>0</v>
      </c>
      <c r="AT40" s="950">
        <v>0</v>
      </c>
      <c r="AU40" s="951"/>
      <c r="AV40" s="960">
        <v>19200000</v>
      </c>
      <c r="AW40" s="950">
        <v>0</v>
      </c>
      <c r="AZ40" s="953" t="s">
        <v>1255</v>
      </c>
      <c r="BA40" s="954">
        <v>2925000</v>
      </c>
      <c r="BB40" s="955">
        <v>2130000</v>
      </c>
      <c r="BC40" s="954">
        <v>300000</v>
      </c>
      <c r="BD40" s="956">
        <v>300000</v>
      </c>
      <c r="BE40" s="956">
        <v>300000</v>
      </c>
      <c r="BF40" s="956">
        <v>780000</v>
      </c>
      <c r="BG40" s="956">
        <v>450000</v>
      </c>
      <c r="BH40" s="957">
        <v>5055000</v>
      </c>
    </row>
    <row r="41" spans="1:60">
      <c r="A41" s="574" t="s">
        <v>675</v>
      </c>
      <c r="B41" s="751" t="s">
        <v>1339</v>
      </c>
      <c r="C41" s="941">
        <v>4940000</v>
      </c>
      <c r="D41" s="942">
        <v>3200000</v>
      </c>
      <c r="E41" s="942">
        <v>1740000</v>
      </c>
      <c r="F41" s="943">
        <v>3530000</v>
      </c>
      <c r="G41" s="944">
        <v>1340000</v>
      </c>
      <c r="H41" s="945">
        <v>1410000</v>
      </c>
      <c r="I41" s="2441">
        <f t="shared" si="8"/>
        <v>4370000</v>
      </c>
      <c r="J41" s="2441">
        <f>VLOOKUP(A41,SAP累計至20260831收入實際數!$A:$B,2,FALSE)</f>
        <v>4370000</v>
      </c>
      <c r="K41" s="2441">
        <f t="shared" si="9"/>
        <v>0</v>
      </c>
      <c r="L41" s="2453">
        <f>VLOOKUP(A41,'202608收入成本表'!A:Y,22,FALSE)</f>
        <v>4370000</v>
      </c>
      <c r="M41" s="2453">
        <f t="shared" si="10"/>
        <v>0</v>
      </c>
      <c r="N41" s="946">
        <v>0</v>
      </c>
      <c r="O41" s="947">
        <v>0</v>
      </c>
      <c r="P41" s="947">
        <v>140000</v>
      </c>
      <c r="Q41" s="947">
        <v>140000</v>
      </c>
      <c r="R41" s="947">
        <v>140000</v>
      </c>
      <c r="S41" s="947">
        <v>140000</v>
      </c>
      <c r="T41" s="947">
        <v>140000</v>
      </c>
      <c r="U41" s="947">
        <v>140000</v>
      </c>
      <c r="V41" s="946">
        <v>140000</v>
      </c>
      <c r="W41" s="946">
        <v>290000</v>
      </c>
      <c r="X41" s="946">
        <v>140000</v>
      </c>
      <c r="Y41" s="946">
        <v>0</v>
      </c>
      <c r="Z41" s="945">
        <v>4940000</v>
      </c>
      <c r="AA41" s="945">
        <v>0</v>
      </c>
      <c r="AB41" s="948">
        <v>0</v>
      </c>
      <c r="AC41" s="948">
        <v>0</v>
      </c>
      <c r="AD41" s="948">
        <v>0</v>
      </c>
      <c r="AE41" s="948">
        <v>0</v>
      </c>
      <c r="AF41" s="948">
        <v>0</v>
      </c>
      <c r="AG41" s="948">
        <v>0</v>
      </c>
      <c r="AH41" s="948">
        <v>0</v>
      </c>
      <c r="AI41" s="948">
        <v>0</v>
      </c>
      <c r="AJ41" s="948">
        <v>0</v>
      </c>
      <c r="AK41" s="948">
        <v>0</v>
      </c>
      <c r="AL41" s="948">
        <v>0</v>
      </c>
      <c r="AM41" s="948">
        <v>0</v>
      </c>
      <c r="AN41" s="945">
        <v>4940000</v>
      </c>
      <c r="AO41" s="959" t="s">
        <v>1308</v>
      </c>
      <c r="AP41" s="950">
        <v>0</v>
      </c>
      <c r="AQ41" s="950">
        <v>0</v>
      </c>
      <c r="AR41" s="950">
        <v>0</v>
      </c>
      <c r="AS41" s="950">
        <v>0</v>
      </c>
      <c r="AT41" s="950">
        <v>0</v>
      </c>
      <c r="AU41" s="951"/>
      <c r="AV41" s="960">
        <v>4940000</v>
      </c>
      <c r="AW41" s="950">
        <v>0</v>
      </c>
      <c r="AZ41" s="953" t="s">
        <v>1256</v>
      </c>
      <c r="BA41" s="954">
        <v>700000</v>
      </c>
      <c r="BB41" s="955">
        <v>710000</v>
      </c>
      <c r="BC41" s="954">
        <v>140000</v>
      </c>
      <c r="BD41" s="956">
        <v>140000</v>
      </c>
      <c r="BE41" s="956">
        <v>290000</v>
      </c>
      <c r="BF41" s="956">
        <v>140000</v>
      </c>
      <c r="BG41" s="956">
        <v>0</v>
      </c>
      <c r="BH41" s="957">
        <v>1410000</v>
      </c>
    </row>
    <row r="42" spans="1:60">
      <c r="A42" s="574" t="s">
        <v>677</v>
      </c>
      <c r="B42" s="751" t="s">
        <v>1340</v>
      </c>
      <c r="C42" s="941">
        <v>31186000</v>
      </c>
      <c r="D42" s="942">
        <v>16578194</v>
      </c>
      <c r="E42" s="942">
        <v>14607806</v>
      </c>
      <c r="F42" s="943">
        <v>21665000</v>
      </c>
      <c r="G42" s="944">
        <v>9310000</v>
      </c>
      <c r="H42" s="945">
        <v>9020000</v>
      </c>
      <c r="I42" s="2441">
        <f t="shared" si="8"/>
        <v>28945000</v>
      </c>
      <c r="J42" s="2441">
        <f>VLOOKUP(A42,SAP累計至20260831收入實際數!$A:$B,2,FALSE)</f>
        <v>28945000</v>
      </c>
      <c r="K42" s="2441">
        <f t="shared" si="9"/>
        <v>0</v>
      </c>
      <c r="L42" s="2453">
        <f>VLOOKUP(A42,'202608收入成本表'!A:Y,22,FALSE)</f>
        <v>28945000</v>
      </c>
      <c r="M42" s="2453">
        <f t="shared" si="10"/>
        <v>0</v>
      </c>
      <c r="N42" s="946">
        <v>870000</v>
      </c>
      <c r="O42" s="947">
        <v>870000</v>
      </c>
      <c r="P42" s="947">
        <v>870000</v>
      </c>
      <c r="Q42" s="947">
        <v>870000</v>
      </c>
      <c r="R42" s="947">
        <v>1190000</v>
      </c>
      <c r="S42" s="947">
        <v>870000</v>
      </c>
      <c r="T42" s="947">
        <v>870000</v>
      </c>
      <c r="U42" s="947">
        <v>870000</v>
      </c>
      <c r="V42" s="946">
        <v>870000</v>
      </c>
      <c r="W42" s="946">
        <v>290000</v>
      </c>
      <c r="X42" s="946">
        <v>290000</v>
      </c>
      <c r="Y42" s="946">
        <v>290000</v>
      </c>
      <c r="Z42" s="945">
        <v>30685000</v>
      </c>
      <c r="AA42" s="945">
        <v>500999.99999999994</v>
      </c>
      <c r="AB42" s="948">
        <v>145000</v>
      </c>
      <c r="AC42" s="948">
        <v>35999.999999999942</v>
      </c>
      <c r="AD42" s="948">
        <v>0</v>
      </c>
      <c r="AE42" s="948">
        <v>0</v>
      </c>
      <c r="AF42" s="948">
        <v>320000</v>
      </c>
      <c r="AG42" s="948">
        <v>0</v>
      </c>
      <c r="AH42" s="948">
        <v>0</v>
      </c>
      <c r="AI42" s="948">
        <v>0</v>
      </c>
      <c r="AJ42" s="948">
        <v>0</v>
      </c>
      <c r="AK42" s="948">
        <v>0</v>
      </c>
      <c r="AL42" s="948">
        <v>0</v>
      </c>
      <c r="AM42" s="948">
        <v>0</v>
      </c>
      <c r="AN42" s="945">
        <v>31186000</v>
      </c>
      <c r="AO42" s="959" t="s">
        <v>1308</v>
      </c>
      <c r="AP42" s="950">
        <v>0</v>
      </c>
      <c r="AQ42" s="950">
        <v>0</v>
      </c>
      <c r="AR42" s="950">
        <v>0</v>
      </c>
      <c r="AS42" s="950">
        <v>0</v>
      </c>
      <c r="AT42" s="950">
        <v>0</v>
      </c>
      <c r="AU42" s="951"/>
      <c r="AV42" s="960">
        <v>31186000</v>
      </c>
      <c r="AW42" s="950">
        <v>0</v>
      </c>
      <c r="AZ42" s="953" t="s">
        <v>446</v>
      </c>
      <c r="BA42" s="954">
        <v>6410000</v>
      </c>
      <c r="BB42" s="955">
        <v>2610000</v>
      </c>
      <c r="BC42" s="954">
        <v>870000</v>
      </c>
      <c r="BD42" s="956">
        <v>870000</v>
      </c>
      <c r="BE42" s="956">
        <v>290000</v>
      </c>
      <c r="BF42" s="956">
        <v>290000</v>
      </c>
      <c r="BG42" s="956">
        <v>290000</v>
      </c>
      <c r="BH42" s="957">
        <v>9020000</v>
      </c>
    </row>
    <row r="43" spans="1:60">
      <c r="A43" s="574" t="s">
        <v>678</v>
      </c>
      <c r="B43" s="751" t="s">
        <v>1341</v>
      </c>
      <c r="C43" s="941">
        <v>2200000</v>
      </c>
      <c r="D43" s="942">
        <v>1681852</v>
      </c>
      <c r="E43" s="942">
        <v>518148</v>
      </c>
      <c r="F43" s="943">
        <v>2200000</v>
      </c>
      <c r="G43" s="944">
        <v>0</v>
      </c>
      <c r="H43" s="945">
        <v>0</v>
      </c>
      <c r="I43" s="2441">
        <f t="shared" si="8"/>
        <v>2200000</v>
      </c>
      <c r="J43" s="2441">
        <f>VLOOKUP(A43,SAP累計至20260831收入實際數!$A:$B,2,FALSE)</f>
        <v>2200000</v>
      </c>
      <c r="K43" s="2441">
        <f t="shared" si="9"/>
        <v>0</v>
      </c>
      <c r="L43" s="2453">
        <f>VLOOKUP(A43,'202608收入成本表'!A:Y,22,FALSE)</f>
        <v>2200000</v>
      </c>
      <c r="M43" s="2453">
        <f t="shared" si="10"/>
        <v>0</v>
      </c>
      <c r="N43" s="946">
        <v>0</v>
      </c>
      <c r="O43" s="947">
        <v>0</v>
      </c>
      <c r="P43" s="947">
        <v>0</v>
      </c>
      <c r="Q43" s="947">
        <v>0</v>
      </c>
      <c r="R43" s="947">
        <v>0</v>
      </c>
      <c r="S43" s="947">
        <v>0</v>
      </c>
      <c r="T43" s="947">
        <v>0</v>
      </c>
      <c r="U43" s="947">
        <v>0</v>
      </c>
      <c r="V43" s="946">
        <v>0</v>
      </c>
      <c r="W43" s="946">
        <v>0</v>
      </c>
      <c r="X43" s="946">
        <v>0</v>
      </c>
      <c r="Y43" s="946">
        <v>0</v>
      </c>
      <c r="Z43" s="945">
        <v>2200000</v>
      </c>
      <c r="AA43" s="945">
        <v>0</v>
      </c>
      <c r="AB43" s="948">
        <v>0</v>
      </c>
      <c r="AC43" s="948">
        <v>0</v>
      </c>
      <c r="AD43" s="948">
        <v>0</v>
      </c>
      <c r="AE43" s="948">
        <v>0</v>
      </c>
      <c r="AF43" s="948">
        <v>0</v>
      </c>
      <c r="AG43" s="948">
        <v>0</v>
      </c>
      <c r="AH43" s="948">
        <v>0</v>
      </c>
      <c r="AI43" s="948">
        <v>0</v>
      </c>
      <c r="AJ43" s="948">
        <v>0</v>
      </c>
      <c r="AK43" s="948">
        <v>0</v>
      </c>
      <c r="AL43" s="948">
        <v>0</v>
      </c>
      <c r="AM43" s="948">
        <v>0</v>
      </c>
      <c r="AN43" s="945">
        <v>2200000</v>
      </c>
      <c r="AO43" s="959" t="s">
        <v>1308</v>
      </c>
      <c r="AP43" s="950">
        <v>0</v>
      </c>
      <c r="AQ43" s="950">
        <v>0</v>
      </c>
      <c r="AR43" s="950">
        <v>0</v>
      </c>
      <c r="AS43" s="950">
        <v>0</v>
      </c>
      <c r="AT43" s="950">
        <v>0</v>
      </c>
      <c r="AU43" s="951"/>
      <c r="AV43" s="960">
        <v>2200000</v>
      </c>
      <c r="AW43" s="950">
        <v>0</v>
      </c>
      <c r="AZ43" s="953" t="s">
        <v>1257</v>
      </c>
      <c r="BA43" s="954">
        <v>0</v>
      </c>
      <c r="BB43" s="955">
        <v>0</v>
      </c>
      <c r="BC43" s="954">
        <v>0</v>
      </c>
      <c r="BD43" s="956">
        <v>0</v>
      </c>
      <c r="BE43" s="956">
        <v>0</v>
      </c>
      <c r="BF43" s="956">
        <v>0</v>
      </c>
      <c r="BG43" s="956">
        <v>0</v>
      </c>
      <c r="BH43" s="957">
        <v>0</v>
      </c>
    </row>
    <row r="44" spans="1:60">
      <c r="A44" s="574" t="s">
        <v>680</v>
      </c>
      <c r="B44" s="751" t="s">
        <v>1342</v>
      </c>
      <c r="C44" s="941">
        <v>3125000</v>
      </c>
      <c r="D44" s="942">
        <v>2550964</v>
      </c>
      <c r="E44" s="942">
        <v>574036</v>
      </c>
      <c r="F44" s="943">
        <v>2685000</v>
      </c>
      <c r="G44" s="944">
        <v>440000.00000000012</v>
      </c>
      <c r="H44" s="945">
        <v>440000</v>
      </c>
      <c r="I44" s="2441">
        <f t="shared" si="8"/>
        <v>2975000</v>
      </c>
      <c r="J44" s="2441">
        <f>VLOOKUP(A44,SAP累計至20260831收入實際數!$A:$B,2,FALSE)</f>
        <v>2975000</v>
      </c>
      <c r="K44" s="2441">
        <f t="shared" si="9"/>
        <v>0</v>
      </c>
      <c r="L44" s="2453">
        <f>VLOOKUP(A44,'202608收入成本表'!A:Y,22,FALSE)</f>
        <v>2975000</v>
      </c>
      <c r="M44" s="2453">
        <f t="shared" si="10"/>
        <v>0</v>
      </c>
      <c r="N44" s="946">
        <v>145000</v>
      </c>
      <c r="O44" s="947">
        <v>145000</v>
      </c>
      <c r="P44" s="947">
        <v>0</v>
      </c>
      <c r="Q44" s="947">
        <v>0</v>
      </c>
      <c r="R44" s="947">
        <v>0</v>
      </c>
      <c r="S44" s="947">
        <v>0</v>
      </c>
      <c r="T44" s="947">
        <v>0</v>
      </c>
      <c r="U44" s="947">
        <v>0</v>
      </c>
      <c r="V44" s="946">
        <v>0</v>
      </c>
      <c r="W44" s="946">
        <v>0</v>
      </c>
      <c r="X44" s="946">
        <v>150000</v>
      </c>
      <c r="Y44" s="946">
        <v>0</v>
      </c>
      <c r="Z44" s="945">
        <v>3125000</v>
      </c>
      <c r="AA44" s="945">
        <v>0</v>
      </c>
      <c r="AB44" s="948">
        <v>0</v>
      </c>
      <c r="AC44" s="948">
        <v>0</v>
      </c>
      <c r="AD44" s="948">
        <v>0</v>
      </c>
      <c r="AE44" s="948">
        <v>0</v>
      </c>
      <c r="AF44" s="948">
        <v>0</v>
      </c>
      <c r="AG44" s="948">
        <v>0</v>
      </c>
      <c r="AH44" s="948">
        <v>0</v>
      </c>
      <c r="AI44" s="948">
        <v>0</v>
      </c>
      <c r="AJ44" s="948">
        <v>0</v>
      </c>
      <c r="AK44" s="948">
        <v>0</v>
      </c>
      <c r="AL44" s="948">
        <v>0</v>
      </c>
      <c r="AM44" s="948">
        <v>0</v>
      </c>
      <c r="AN44" s="945">
        <v>3125000</v>
      </c>
      <c r="AO44" s="959" t="s">
        <v>1308</v>
      </c>
      <c r="AP44" s="950">
        <v>0</v>
      </c>
      <c r="AQ44" s="950">
        <v>0</v>
      </c>
      <c r="AR44" s="950">
        <v>0</v>
      </c>
      <c r="AS44" s="950">
        <v>0</v>
      </c>
      <c r="AT44" s="950">
        <v>0</v>
      </c>
      <c r="AU44" s="951"/>
      <c r="AV44" s="960">
        <v>3125000</v>
      </c>
      <c r="AW44" s="950">
        <v>0</v>
      </c>
      <c r="AZ44" s="953" t="s">
        <v>1258</v>
      </c>
      <c r="BA44" s="954">
        <v>290000</v>
      </c>
      <c r="BB44" s="955">
        <v>150000</v>
      </c>
      <c r="BC44" s="954">
        <v>0</v>
      </c>
      <c r="BD44" s="956">
        <v>0</v>
      </c>
      <c r="BE44" s="956">
        <v>0</v>
      </c>
      <c r="BF44" s="956">
        <v>150000</v>
      </c>
      <c r="BG44" s="956">
        <v>0</v>
      </c>
      <c r="BH44" s="957">
        <v>440000</v>
      </c>
    </row>
    <row r="45" spans="1:60">
      <c r="A45" s="574" t="s">
        <v>682</v>
      </c>
      <c r="B45" s="751" t="s">
        <v>1343</v>
      </c>
      <c r="C45" s="941">
        <v>2042000</v>
      </c>
      <c r="D45" s="942">
        <v>1088331</v>
      </c>
      <c r="E45" s="942">
        <v>953669</v>
      </c>
      <c r="F45" s="943">
        <v>1542000</v>
      </c>
      <c r="G45" s="944">
        <v>427500.00000000012</v>
      </c>
      <c r="H45" s="945">
        <v>500000</v>
      </c>
      <c r="I45" s="2441">
        <f t="shared" si="8"/>
        <v>1977000</v>
      </c>
      <c r="J45" s="2441">
        <f>VLOOKUP(A45,SAP累計至20260831收入實際數!$A:$B,2,FALSE)</f>
        <v>1977000</v>
      </c>
      <c r="K45" s="2441">
        <f t="shared" si="9"/>
        <v>0</v>
      </c>
      <c r="L45" s="2453">
        <f>VLOOKUP(A45,'202608收入成本表'!A:Y,22,FALSE)</f>
        <v>1977000</v>
      </c>
      <c r="M45" s="2453">
        <f t="shared" si="10"/>
        <v>0</v>
      </c>
      <c r="N45" s="946">
        <v>145000</v>
      </c>
      <c r="O45" s="947">
        <v>72500</v>
      </c>
      <c r="P45" s="947">
        <v>72500</v>
      </c>
      <c r="Q45" s="947">
        <v>72500</v>
      </c>
      <c r="R45" s="947">
        <v>0</v>
      </c>
      <c r="S45" s="947">
        <v>72500</v>
      </c>
      <c r="T45" s="947">
        <v>0</v>
      </c>
      <c r="U45" s="947">
        <v>0</v>
      </c>
      <c r="V45" s="946">
        <v>0</v>
      </c>
      <c r="W45" s="946">
        <v>0</v>
      </c>
      <c r="X45" s="946">
        <v>0</v>
      </c>
      <c r="Y45" s="946">
        <v>65000</v>
      </c>
      <c r="Z45" s="945">
        <v>2042000</v>
      </c>
      <c r="AA45" s="945">
        <v>0</v>
      </c>
      <c r="AB45" s="948">
        <v>0</v>
      </c>
      <c r="AC45" s="948">
        <v>0</v>
      </c>
      <c r="AD45" s="948">
        <v>0</v>
      </c>
      <c r="AE45" s="948">
        <v>0</v>
      </c>
      <c r="AF45" s="948">
        <v>0</v>
      </c>
      <c r="AG45" s="948">
        <v>0</v>
      </c>
      <c r="AH45" s="948">
        <v>0</v>
      </c>
      <c r="AI45" s="948">
        <v>0</v>
      </c>
      <c r="AJ45" s="948">
        <v>0</v>
      </c>
      <c r="AK45" s="948">
        <v>0</v>
      </c>
      <c r="AL45" s="948">
        <v>0</v>
      </c>
      <c r="AM45" s="948">
        <v>0</v>
      </c>
      <c r="AN45" s="945">
        <v>2042000</v>
      </c>
      <c r="AO45" s="959" t="s">
        <v>1308</v>
      </c>
      <c r="AP45" s="950">
        <v>0</v>
      </c>
      <c r="AQ45" s="950">
        <v>0</v>
      </c>
      <c r="AR45" s="950">
        <v>0</v>
      </c>
      <c r="AS45" s="950">
        <v>0</v>
      </c>
      <c r="AT45" s="950">
        <v>0</v>
      </c>
      <c r="AU45" s="951"/>
      <c r="AV45" s="960">
        <v>2042000</v>
      </c>
      <c r="AW45" s="950">
        <v>0</v>
      </c>
      <c r="AZ45" s="953" t="s">
        <v>1259</v>
      </c>
      <c r="BA45" s="954">
        <v>435000</v>
      </c>
      <c r="BB45" s="955">
        <v>65000</v>
      </c>
      <c r="BC45" s="954">
        <v>0</v>
      </c>
      <c r="BD45" s="956">
        <v>0</v>
      </c>
      <c r="BE45" s="956">
        <v>0</v>
      </c>
      <c r="BF45" s="956">
        <v>0</v>
      </c>
      <c r="BG45" s="956">
        <v>65000</v>
      </c>
      <c r="BH45" s="957">
        <v>500000</v>
      </c>
    </row>
    <row r="46" spans="1:60">
      <c r="A46" s="685" t="s">
        <v>684</v>
      </c>
      <c r="B46" s="1009" t="s">
        <v>1344</v>
      </c>
      <c r="C46" s="941">
        <v>2202000</v>
      </c>
      <c r="D46" s="942">
        <v>1089400</v>
      </c>
      <c r="E46" s="942">
        <v>1112600</v>
      </c>
      <c r="F46" s="943">
        <v>1537000</v>
      </c>
      <c r="G46" s="944">
        <v>572500.00000000012</v>
      </c>
      <c r="H46" s="945">
        <v>665000</v>
      </c>
      <c r="I46" s="2441">
        <f t="shared" si="8"/>
        <v>1557000</v>
      </c>
      <c r="J46" s="2441">
        <f>VLOOKUP(A46,SAP累計至20260831收入實際數!$A:$B,2,FALSE)</f>
        <v>1557000</v>
      </c>
      <c r="K46" s="2441">
        <f t="shared" si="9"/>
        <v>0</v>
      </c>
      <c r="L46" s="2453">
        <f>VLOOKUP(A46,'202608收入成本表'!A:Y,22,FALSE)</f>
        <v>1557000</v>
      </c>
      <c r="M46" s="2453">
        <f t="shared" si="10"/>
        <v>0</v>
      </c>
      <c r="N46" s="946">
        <v>0</v>
      </c>
      <c r="O46" s="947">
        <v>20000</v>
      </c>
      <c r="P46" s="947">
        <v>0</v>
      </c>
      <c r="Q46" s="947">
        <v>0</v>
      </c>
      <c r="R46" s="947">
        <v>0</v>
      </c>
      <c r="S46" s="947">
        <v>0</v>
      </c>
      <c r="T46" s="947">
        <v>0</v>
      </c>
      <c r="U46" s="947">
        <v>0</v>
      </c>
      <c r="V46" s="946">
        <v>145000</v>
      </c>
      <c r="W46" s="946">
        <v>0</v>
      </c>
      <c r="X46" s="946">
        <v>0</v>
      </c>
      <c r="Y46" s="946">
        <v>500000</v>
      </c>
      <c r="Z46" s="945">
        <v>2202000</v>
      </c>
      <c r="AA46" s="945">
        <v>0</v>
      </c>
      <c r="AB46" s="948">
        <v>0</v>
      </c>
      <c r="AC46" s="948">
        <v>0</v>
      </c>
      <c r="AD46" s="948">
        <v>0</v>
      </c>
      <c r="AE46" s="948">
        <v>0</v>
      </c>
      <c r="AF46" s="948">
        <v>0</v>
      </c>
      <c r="AG46" s="948">
        <v>0</v>
      </c>
      <c r="AH46" s="948">
        <v>0</v>
      </c>
      <c r="AI46" s="948">
        <v>0</v>
      </c>
      <c r="AJ46" s="948">
        <v>0</v>
      </c>
      <c r="AK46" s="948">
        <v>0</v>
      </c>
      <c r="AL46" s="948">
        <v>0</v>
      </c>
      <c r="AM46" s="948">
        <v>0</v>
      </c>
      <c r="AN46" s="945">
        <v>2202000</v>
      </c>
      <c r="AO46" s="959" t="s">
        <v>1308</v>
      </c>
      <c r="AP46" s="950">
        <v>0</v>
      </c>
      <c r="AQ46" s="950">
        <v>0</v>
      </c>
      <c r="AR46" s="950">
        <v>0</v>
      </c>
      <c r="AS46" s="950">
        <v>0</v>
      </c>
      <c r="AT46" s="950">
        <v>0</v>
      </c>
      <c r="AU46" s="951"/>
      <c r="AV46" s="960">
        <v>2202000</v>
      </c>
      <c r="AW46" s="950">
        <v>0</v>
      </c>
      <c r="AZ46" s="953" t="s">
        <v>1260</v>
      </c>
      <c r="BA46" s="954">
        <v>20000</v>
      </c>
      <c r="BB46" s="955">
        <v>645000</v>
      </c>
      <c r="BC46" s="954">
        <v>0</v>
      </c>
      <c r="BD46" s="956">
        <v>145000</v>
      </c>
      <c r="BE46" s="956">
        <v>0</v>
      </c>
      <c r="BF46" s="956">
        <v>0</v>
      </c>
      <c r="BG46" s="956">
        <v>500000</v>
      </c>
      <c r="BH46" s="957">
        <v>665000</v>
      </c>
    </row>
    <row r="47" spans="1:60">
      <c r="A47" s="685" t="s">
        <v>686</v>
      </c>
      <c r="B47" s="1009" t="s">
        <v>1345</v>
      </c>
      <c r="C47" s="941">
        <v>3365000</v>
      </c>
      <c r="D47" s="942">
        <v>1792862</v>
      </c>
      <c r="E47" s="942">
        <v>1572138</v>
      </c>
      <c r="F47" s="943">
        <v>3100000</v>
      </c>
      <c r="G47" s="944">
        <v>140000</v>
      </c>
      <c r="H47" s="945">
        <v>265000</v>
      </c>
      <c r="I47" s="2441">
        <f t="shared" si="8"/>
        <v>3240000</v>
      </c>
      <c r="J47" s="2441">
        <f>VLOOKUP(A47,SAP累計至20260831收入實際數!$A:$B,2,FALSE)</f>
        <v>3240000</v>
      </c>
      <c r="K47" s="2441">
        <f t="shared" si="9"/>
        <v>0</v>
      </c>
      <c r="L47" s="2453">
        <f>VLOOKUP(A47,'202608收入成本表'!A:Y,22,FALSE)</f>
        <v>3240000</v>
      </c>
      <c r="M47" s="2453">
        <f t="shared" si="10"/>
        <v>0</v>
      </c>
      <c r="N47" s="946">
        <v>140000.00000000003</v>
      </c>
      <c r="O47" s="947">
        <v>0</v>
      </c>
      <c r="P47" s="947">
        <v>0</v>
      </c>
      <c r="Q47" s="947">
        <v>0</v>
      </c>
      <c r="R47" s="947">
        <v>0</v>
      </c>
      <c r="S47" s="947">
        <v>0</v>
      </c>
      <c r="T47" s="947">
        <v>0</v>
      </c>
      <c r="U47" s="947">
        <v>0</v>
      </c>
      <c r="V47" s="946">
        <v>125000</v>
      </c>
      <c r="W47" s="946">
        <v>0</v>
      </c>
      <c r="X47" s="946">
        <v>0</v>
      </c>
      <c r="Y47" s="946">
        <v>0</v>
      </c>
      <c r="Z47" s="945">
        <v>3365000</v>
      </c>
      <c r="AA47" s="945">
        <v>0</v>
      </c>
      <c r="AB47" s="948">
        <v>0</v>
      </c>
      <c r="AC47" s="948">
        <v>0</v>
      </c>
      <c r="AD47" s="948">
        <v>0</v>
      </c>
      <c r="AE47" s="948">
        <v>0</v>
      </c>
      <c r="AF47" s="948">
        <v>0</v>
      </c>
      <c r="AG47" s="948">
        <v>0</v>
      </c>
      <c r="AH47" s="948">
        <v>0</v>
      </c>
      <c r="AI47" s="948">
        <v>0</v>
      </c>
      <c r="AJ47" s="948">
        <v>0</v>
      </c>
      <c r="AK47" s="948">
        <v>0</v>
      </c>
      <c r="AL47" s="948">
        <v>0</v>
      </c>
      <c r="AM47" s="948">
        <v>0</v>
      </c>
      <c r="AN47" s="945">
        <v>3365000</v>
      </c>
      <c r="AO47" s="959" t="s">
        <v>1308</v>
      </c>
      <c r="AP47" s="950">
        <v>0</v>
      </c>
      <c r="AQ47" s="950">
        <v>0</v>
      </c>
      <c r="AR47" s="950">
        <v>0</v>
      </c>
      <c r="AS47" s="950">
        <v>0</v>
      </c>
      <c r="AT47" s="950">
        <v>0</v>
      </c>
      <c r="AU47" s="951"/>
      <c r="AV47" s="960">
        <v>3365000</v>
      </c>
      <c r="AW47" s="950">
        <v>0</v>
      </c>
      <c r="AZ47" s="953" t="s">
        <v>687</v>
      </c>
      <c r="BA47" s="954">
        <v>140000</v>
      </c>
      <c r="BB47" s="955">
        <v>125000</v>
      </c>
      <c r="BC47" s="954">
        <v>0</v>
      </c>
      <c r="BD47" s="956">
        <v>125000</v>
      </c>
      <c r="BE47" s="956">
        <v>0</v>
      </c>
      <c r="BF47" s="956">
        <v>0</v>
      </c>
      <c r="BG47" s="956">
        <v>0</v>
      </c>
      <c r="BH47" s="957">
        <v>265000</v>
      </c>
    </row>
    <row r="48" spans="1:60" s="971" customFormat="1">
      <c r="A48" s="599" t="s">
        <v>688</v>
      </c>
      <c r="B48" s="1010" t="s">
        <v>1346</v>
      </c>
      <c r="C48" s="964">
        <v>3047620</v>
      </c>
      <c r="D48" s="965">
        <v>1250140</v>
      </c>
      <c r="E48" s="965">
        <v>1797480</v>
      </c>
      <c r="F48" s="943">
        <v>3047620</v>
      </c>
      <c r="G48" s="944">
        <v>0</v>
      </c>
      <c r="H48" s="966">
        <v>0</v>
      </c>
      <c r="I48" s="2441">
        <f t="shared" si="8"/>
        <v>3047620</v>
      </c>
      <c r="J48" s="2441">
        <f>VLOOKUP(A48,SAP累計至20260831收入實際數!$A:$B,2,FALSE)</f>
        <v>3047620</v>
      </c>
      <c r="K48" s="2441">
        <f t="shared" si="9"/>
        <v>0</v>
      </c>
      <c r="L48" s="2453">
        <f>VLOOKUP(A48,'202608收入成本表'!A:Y,22,FALSE)</f>
        <v>3047620</v>
      </c>
      <c r="M48" s="2453">
        <f t="shared" si="10"/>
        <v>0</v>
      </c>
      <c r="N48" s="946">
        <v>0</v>
      </c>
      <c r="O48" s="947">
        <v>0</v>
      </c>
      <c r="P48" s="947">
        <v>0</v>
      </c>
      <c r="Q48" s="947">
        <v>0</v>
      </c>
      <c r="R48" s="947">
        <v>0</v>
      </c>
      <c r="S48" s="947">
        <v>0</v>
      </c>
      <c r="T48" s="947">
        <v>0</v>
      </c>
      <c r="U48" s="947">
        <v>0</v>
      </c>
      <c r="V48" s="946">
        <v>0</v>
      </c>
      <c r="W48" s="946">
        <v>0</v>
      </c>
      <c r="X48" s="946">
        <v>0</v>
      </c>
      <c r="Y48" s="946">
        <v>0</v>
      </c>
      <c r="Z48" s="966">
        <v>3047620</v>
      </c>
      <c r="AA48" s="966">
        <v>0</v>
      </c>
      <c r="AB48" s="967">
        <v>0</v>
      </c>
      <c r="AC48" s="967">
        <v>0</v>
      </c>
      <c r="AD48" s="967">
        <v>0</v>
      </c>
      <c r="AE48" s="967">
        <v>0</v>
      </c>
      <c r="AF48" s="967">
        <v>0</v>
      </c>
      <c r="AG48" s="967">
        <v>0</v>
      </c>
      <c r="AH48" s="967">
        <v>0</v>
      </c>
      <c r="AI48" s="967">
        <v>0</v>
      </c>
      <c r="AJ48" s="967">
        <v>0</v>
      </c>
      <c r="AK48" s="967">
        <v>0</v>
      </c>
      <c r="AL48" s="967">
        <v>0</v>
      </c>
      <c r="AM48" s="967">
        <v>0</v>
      </c>
      <c r="AN48" s="966">
        <v>3047620</v>
      </c>
      <c r="AO48" s="968" t="s">
        <v>1347</v>
      </c>
      <c r="AP48" s="969">
        <v>0</v>
      </c>
      <c r="AQ48" s="969">
        <v>0</v>
      </c>
      <c r="AR48" s="969">
        <v>0</v>
      </c>
      <c r="AS48" s="969">
        <v>0</v>
      </c>
      <c r="AT48" s="969">
        <v>0</v>
      </c>
      <c r="AU48" s="970"/>
      <c r="AV48" s="960">
        <v>3047620</v>
      </c>
      <c r="AW48" s="950">
        <v>0</v>
      </c>
      <c r="AZ48" s="953" t="s">
        <v>689</v>
      </c>
      <c r="BA48" s="954">
        <v>0</v>
      </c>
      <c r="BB48" s="955">
        <v>0</v>
      </c>
      <c r="BC48" s="954">
        <v>0</v>
      </c>
      <c r="BD48" s="956">
        <v>0</v>
      </c>
      <c r="BE48" s="956">
        <v>0</v>
      </c>
      <c r="BF48" s="956">
        <v>0</v>
      </c>
      <c r="BG48" s="956">
        <v>0</v>
      </c>
      <c r="BH48" s="957">
        <v>0</v>
      </c>
    </row>
    <row r="49" spans="1:60">
      <c r="A49" s="685" t="s">
        <v>690</v>
      </c>
      <c r="B49" s="1009" t="s">
        <v>1348</v>
      </c>
      <c r="C49" s="972">
        <v>36177000</v>
      </c>
      <c r="D49" s="973">
        <v>28979864</v>
      </c>
      <c r="E49" s="973">
        <v>7197136</v>
      </c>
      <c r="F49" s="943">
        <v>3030000</v>
      </c>
      <c r="G49" s="944">
        <v>9592500</v>
      </c>
      <c r="H49" s="974">
        <v>8534750</v>
      </c>
      <c r="I49" s="2441">
        <f t="shared" si="8"/>
        <v>9774750</v>
      </c>
      <c r="J49" s="2441">
        <f>VLOOKUP(A49,SAP累計至20260831收入實際數!$A:$B,2,FALSE)</f>
        <v>9774750</v>
      </c>
      <c r="K49" s="2441">
        <f t="shared" si="9"/>
        <v>0</v>
      </c>
      <c r="L49" s="2453">
        <f>VLOOKUP(A49,'202608收入成本表'!A:Y,22,FALSE)</f>
        <v>9774750</v>
      </c>
      <c r="M49" s="2453">
        <f t="shared" si="10"/>
        <v>0</v>
      </c>
      <c r="N49" s="946">
        <v>165000</v>
      </c>
      <c r="O49" s="947">
        <v>2255250</v>
      </c>
      <c r="P49" s="947">
        <v>165000</v>
      </c>
      <c r="Q49" s="947">
        <v>365000</v>
      </c>
      <c r="R49" s="947">
        <v>165000</v>
      </c>
      <c r="S49" s="947">
        <v>1732250</v>
      </c>
      <c r="T49" s="947">
        <v>1732250</v>
      </c>
      <c r="U49" s="947">
        <v>165000</v>
      </c>
      <c r="V49" s="946">
        <v>165000</v>
      </c>
      <c r="W49" s="946">
        <v>165000</v>
      </c>
      <c r="X49" s="946">
        <v>1130000</v>
      </c>
      <c r="Y49" s="946">
        <v>330000</v>
      </c>
      <c r="Z49" s="974">
        <v>11564750</v>
      </c>
      <c r="AA49" s="974">
        <v>7497250</v>
      </c>
      <c r="AB49" s="946">
        <v>330000</v>
      </c>
      <c r="AC49" s="946">
        <v>510000</v>
      </c>
      <c r="AD49" s="946">
        <v>1497250</v>
      </c>
      <c r="AE49" s="946">
        <v>730000</v>
      </c>
      <c r="AF49" s="946">
        <v>330000</v>
      </c>
      <c r="AG49" s="946">
        <v>330000</v>
      </c>
      <c r="AH49" s="946">
        <v>895000</v>
      </c>
      <c r="AI49" s="946">
        <v>495000</v>
      </c>
      <c r="AJ49" s="946">
        <v>495000</v>
      </c>
      <c r="AK49" s="946">
        <v>895000</v>
      </c>
      <c r="AL49" s="946">
        <v>495000</v>
      </c>
      <c r="AM49" s="946">
        <v>495000</v>
      </c>
      <c r="AN49" s="974">
        <v>19062000</v>
      </c>
      <c r="AO49" s="975" t="s">
        <v>1318</v>
      </c>
      <c r="AP49" s="960">
        <v>9275000</v>
      </c>
      <c r="AQ49" s="960">
        <v>6730000</v>
      </c>
      <c r="AR49" s="960">
        <v>1109999.9999999988</v>
      </c>
      <c r="AS49" s="960">
        <v>0</v>
      </c>
      <c r="AT49" s="960">
        <v>0</v>
      </c>
      <c r="AU49" s="976"/>
      <c r="AV49" s="960">
        <v>36177000</v>
      </c>
      <c r="AW49" s="950">
        <v>0</v>
      </c>
      <c r="AZ49" s="977" t="s">
        <v>1155</v>
      </c>
      <c r="BA49" s="954">
        <v>6579750</v>
      </c>
      <c r="BB49" s="955">
        <v>1955000</v>
      </c>
      <c r="BC49" s="954">
        <v>165000</v>
      </c>
      <c r="BD49" s="956">
        <v>165000</v>
      </c>
      <c r="BE49" s="956">
        <v>165000</v>
      </c>
      <c r="BF49" s="978">
        <v>1130000</v>
      </c>
      <c r="BG49" s="956">
        <v>330000</v>
      </c>
      <c r="BH49" s="957">
        <v>8534750</v>
      </c>
    </row>
    <row r="50" spans="1:60">
      <c r="A50" s="685" t="s">
        <v>692</v>
      </c>
      <c r="B50" s="1009" t="s">
        <v>1349</v>
      </c>
      <c r="C50" s="972">
        <v>1910000</v>
      </c>
      <c r="D50" s="973">
        <v>1274592</v>
      </c>
      <c r="E50" s="973">
        <v>635408</v>
      </c>
      <c r="F50" s="943">
        <v>1170000</v>
      </c>
      <c r="G50" s="944">
        <v>850000</v>
      </c>
      <c r="H50" s="974">
        <v>690000</v>
      </c>
      <c r="I50" s="2441">
        <f t="shared" si="8"/>
        <v>1780000</v>
      </c>
      <c r="J50" s="2441">
        <f>VLOOKUP(A50,SAP累計至20260831收入實際數!$A:$B,2,FALSE)</f>
        <v>1780000</v>
      </c>
      <c r="K50" s="2441">
        <f t="shared" si="9"/>
        <v>0</v>
      </c>
      <c r="L50" s="2453">
        <f>VLOOKUP(A50,'202608收入成本表'!A:Y,22,FALSE)</f>
        <v>1780000</v>
      </c>
      <c r="M50" s="2453">
        <f t="shared" si="10"/>
        <v>0</v>
      </c>
      <c r="N50" s="946">
        <v>160000</v>
      </c>
      <c r="O50" s="947">
        <v>0</v>
      </c>
      <c r="P50" s="947">
        <v>0</v>
      </c>
      <c r="Q50" s="947">
        <v>80000</v>
      </c>
      <c r="R50" s="947">
        <v>80000</v>
      </c>
      <c r="S50" s="947">
        <v>80000</v>
      </c>
      <c r="T50" s="947">
        <v>130000</v>
      </c>
      <c r="U50" s="947">
        <v>80000</v>
      </c>
      <c r="V50" s="946">
        <v>0</v>
      </c>
      <c r="W50" s="946">
        <v>80000</v>
      </c>
      <c r="X50" s="946">
        <v>0</v>
      </c>
      <c r="Y50" s="946">
        <v>0</v>
      </c>
      <c r="Z50" s="974">
        <v>1860000</v>
      </c>
      <c r="AA50" s="974">
        <v>50000</v>
      </c>
      <c r="AB50" s="946">
        <v>0</v>
      </c>
      <c r="AC50" s="946">
        <v>0</v>
      </c>
      <c r="AD50" s="946">
        <v>0</v>
      </c>
      <c r="AE50" s="946">
        <v>0</v>
      </c>
      <c r="AF50" s="946">
        <v>0</v>
      </c>
      <c r="AG50" s="946">
        <v>0</v>
      </c>
      <c r="AH50" s="946">
        <v>50000</v>
      </c>
      <c r="AI50" s="946">
        <v>0</v>
      </c>
      <c r="AJ50" s="946">
        <v>0</v>
      </c>
      <c r="AK50" s="946">
        <v>0</v>
      </c>
      <c r="AL50" s="946">
        <v>0</v>
      </c>
      <c r="AM50" s="946">
        <v>0</v>
      </c>
      <c r="AN50" s="974">
        <v>1910000</v>
      </c>
      <c r="AO50" s="975" t="s">
        <v>1318</v>
      </c>
      <c r="AP50" s="960">
        <v>0</v>
      </c>
      <c r="AQ50" s="960">
        <v>0</v>
      </c>
      <c r="AR50" s="960">
        <v>0</v>
      </c>
      <c r="AS50" s="960">
        <v>0</v>
      </c>
      <c r="AT50" s="960">
        <v>0</v>
      </c>
      <c r="AU50" s="976"/>
      <c r="AV50" s="960">
        <v>1910000</v>
      </c>
      <c r="AW50" s="950">
        <v>0</v>
      </c>
      <c r="AZ50" s="953" t="s">
        <v>693</v>
      </c>
      <c r="BA50" s="954">
        <v>530000</v>
      </c>
      <c r="BB50" s="955">
        <v>160000</v>
      </c>
      <c r="BC50" s="954">
        <v>80000</v>
      </c>
      <c r="BD50" s="956">
        <v>0</v>
      </c>
      <c r="BE50" s="956">
        <v>80000</v>
      </c>
      <c r="BF50" s="956">
        <v>0</v>
      </c>
      <c r="BG50" s="956">
        <v>0</v>
      </c>
      <c r="BH50" s="957">
        <v>690000</v>
      </c>
    </row>
    <row r="51" spans="1:60">
      <c r="A51" s="685" t="s">
        <v>1159</v>
      </c>
      <c r="B51" s="1009" t="s">
        <v>1350</v>
      </c>
      <c r="C51" s="972">
        <v>3969500</v>
      </c>
      <c r="D51" s="973">
        <v>2705044</v>
      </c>
      <c r="E51" s="973">
        <v>1264456</v>
      </c>
      <c r="F51" s="943">
        <v>517000</v>
      </c>
      <c r="G51" s="944">
        <v>1957000</v>
      </c>
      <c r="H51" s="974">
        <v>2163000</v>
      </c>
      <c r="I51" s="2441">
        <f t="shared" si="8"/>
        <v>2040000</v>
      </c>
      <c r="J51" s="2441">
        <f>VLOOKUP(A51,SAP累計至20260831收入實際數!$A:$B,2,FALSE)</f>
        <v>2040000</v>
      </c>
      <c r="K51" s="2441">
        <f t="shared" si="9"/>
        <v>0</v>
      </c>
      <c r="L51" s="2453">
        <f>VLOOKUP(A51,'202608收入成本表'!A:Y,22,FALSE)</f>
        <v>2040000</v>
      </c>
      <c r="M51" s="2453">
        <f t="shared" si="10"/>
        <v>0</v>
      </c>
      <c r="N51" s="946">
        <v>46000</v>
      </c>
      <c r="O51" s="947">
        <v>320000</v>
      </c>
      <c r="P51" s="947">
        <v>320000</v>
      </c>
      <c r="Q51" s="947">
        <v>160000</v>
      </c>
      <c r="R51" s="947">
        <v>160000</v>
      </c>
      <c r="S51" s="947">
        <v>160000</v>
      </c>
      <c r="T51" s="947">
        <v>160000</v>
      </c>
      <c r="U51" s="947">
        <v>197000</v>
      </c>
      <c r="V51" s="946">
        <v>160000</v>
      </c>
      <c r="W51" s="946">
        <v>160000</v>
      </c>
      <c r="X51" s="946">
        <v>160000</v>
      </c>
      <c r="Y51" s="946">
        <v>160000</v>
      </c>
      <c r="Z51" s="974">
        <v>2680000</v>
      </c>
      <c r="AA51" s="974">
        <v>1289500</v>
      </c>
      <c r="AB51" s="946">
        <v>160000</v>
      </c>
      <c r="AC51" s="946">
        <v>160000</v>
      </c>
      <c r="AD51" s="946">
        <v>160000</v>
      </c>
      <c r="AE51" s="946">
        <v>160000</v>
      </c>
      <c r="AF51" s="946">
        <v>160000</v>
      </c>
      <c r="AG51" s="946">
        <v>160000</v>
      </c>
      <c r="AH51" s="946">
        <v>197000</v>
      </c>
      <c r="AI51" s="946">
        <v>132500</v>
      </c>
      <c r="AJ51" s="946">
        <v>0</v>
      </c>
      <c r="AK51" s="946">
        <v>0</v>
      </c>
      <c r="AL51" s="946">
        <v>0</v>
      </c>
      <c r="AM51" s="946">
        <v>0</v>
      </c>
      <c r="AN51" s="974">
        <v>3969500</v>
      </c>
      <c r="AO51" s="975" t="s">
        <v>1318</v>
      </c>
      <c r="AP51" s="960">
        <v>0</v>
      </c>
      <c r="AQ51" s="960">
        <v>0</v>
      </c>
      <c r="AR51" s="960">
        <v>0</v>
      </c>
      <c r="AS51" s="960">
        <v>0</v>
      </c>
      <c r="AT51" s="960">
        <v>0</v>
      </c>
      <c r="AU51" s="976"/>
      <c r="AV51" s="960">
        <v>3969500</v>
      </c>
      <c r="AW51" s="950">
        <v>0</v>
      </c>
      <c r="AZ51" s="953" t="s">
        <v>454</v>
      </c>
      <c r="BA51" s="954">
        <v>1326000</v>
      </c>
      <c r="BB51" s="955">
        <v>837000</v>
      </c>
      <c r="BC51" s="954">
        <v>197000</v>
      </c>
      <c r="BD51" s="956">
        <v>160000</v>
      </c>
      <c r="BE51" s="956">
        <v>160000</v>
      </c>
      <c r="BF51" s="956">
        <v>160000</v>
      </c>
      <c r="BG51" s="956">
        <v>160000</v>
      </c>
      <c r="BH51" s="957">
        <v>2163000</v>
      </c>
    </row>
    <row r="52" spans="1:60">
      <c r="A52" s="685" t="s">
        <v>1162</v>
      </c>
      <c r="B52" s="1009" t="s">
        <v>1351</v>
      </c>
      <c r="C52" s="972">
        <v>2655000</v>
      </c>
      <c r="D52" s="973">
        <v>1823753</v>
      </c>
      <c r="E52" s="973">
        <v>831247</v>
      </c>
      <c r="F52" s="943">
        <v>155000</v>
      </c>
      <c r="G52" s="944">
        <v>0</v>
      </c>
      <c r="H52" s="974">
        <v>1860000</v>
      </c>
      <c r="I52" s="2441">
        <f t="shared" si="8"/>
        <v>1395000</v>
      </c>
      <c r="J52" s="2441">
        <f>VLOOKUP(A52,SAP累計至20260831收入實際數!$A:$B,2,FALSE)</f>
        <v>1395000</v>
      </c>
      <c r="K52" s="2441">
        <f t="shared" si="9"/>
        <v>0</v>
      </c>
      <c r="L52" s="2453">
        <f>VLOOKUP(A52,'202608收入成本表'!A:Y,22,FALSE)</f>
        <v>1395000</v>
      </c>
      <c r="M52" s="2453">
        <f t="shared" si="10"/>
        <v>0</v>
      </c>
      <c r="N52" s="946">
        <v>0</v>
      </c>
      <c r="O52" s="947">
        <v>232500</v>
      </c>
      <c r="P52" s="947">
        <v>232500</v>
      </c>
      <c r="Q52" s="947">
        <v>155000</v>
      </c>
      <c r="R52" s="947">
        <v>155000</v>
      </c>
      <c r="S52" s="947">
        <v>155000</v>
      </c>
      <c r="T52" s="947">
        <v>155000</v>
      </c>
      <c r="U52" s="947">
        <v>155000</v>
      </c>
      <c r="V52" s="946">
        <v>155000</v>
      </c>
      <c r="W52" s="946">
        <v>155000</v>
      </c>
      <c r="X52" s="946">
        <v>155000</v>
      </c>
      <c r="Y52" s="946">
        <v>155000</v>
      </c>
      <c r="Z52" s="974">
        <v>2015000</v>
      </c>
      <c r="AA52" s="974">
        <v>640000</v>
      </c>
      <c r="AB52" s="946">
        <v>155000</v>
      </c>
      <c r="AC52" s="946">
        <v>155000</v>
      </c>
      <c r="AD52" s="946">
        <v>155000</v>
      </c>
      <c r="AE52" s="946">
        <v>174999.99999999997</v>
      </c>
      <c r="AF52" s="946">
        <v>0</v>
      </c>
      <c r="AG52" s="946">
        <v>0</v>
      </c>
      <c r="AH52" s="946">
        <v>0</v>
      </c>
      <c r="AI52" s="946">
        <v>0</v>
      </c>
      <c r="AJ52" s="946">
        <v>0</v>
      </c>
      <c r="AK52" s="946">
        <v>0</v>
      </c>
      <c r="AL52" s="946">
        <v>0</v>
      </c>
      <c r="AM52" s="946">
        <v>0</v>
      </c>
      <c r="AN52" s="974">
        <v>2655000</v>
      </c>
      <c r="AO52" s="975" t="s">
        <v>1318</v>
      </c>
      <c r="AP52" s="960">
        <v>0</v>
      </c>
      <c r="AQ52" s="960">
        <v>0</v>
      </c>
      <c r="AR52" s="960">
        <v>0</v>
      </c>
      <c r="AS52" s="960">
        <v>0</v>
      </c>
      <c r="AT52" s="960">
        <v>0</v>
      </c>
      <c r="AU52" s="976"/>
      <c r="AV52" s="960">
        <v>2655000</v>
      </c>
      <c r="AW52" s="950">
        <v>0</v>
      </c>
      <c r="AZ52" s="953" t="s">
        <v>696</v>
      </c>
      <c r="BA52" s="954">
        <v>1085000</v>
      </c>
      <c r="BB52" s="955">
        <v>775000</v>
      </c>
      <c r="BC52" s="954">
        <v>155000</v>
      </c>
      <c r="BD52" s="956">
        <v>155000</v>
      </c>
      <c r="BE52" s="956">
        <v>155000</v>
      </c>
      <c r="BF52" s="956">
        <v>155000</v>
      </c>
      <c r="BG52" s="956">
        <v>155000</v>
      </c>
      <c r="BH52" s="957">
        <v>1860000</v>
      </c>
    </row>
    <row r="53" spans="1:60" s="990" customFormat="1">
      <c r="A53" s="866" t="s">
        <v>1261</v>
      </c>
      <c r="B53" s="630" t="s">
        <v>1352</v>
      </c>
      <c r="C53" s="982">
        <v>2588000</v>
      </c>
      <c r="D53" s="983">
        <v>1778000</v>
      </c>
      <c r="E53" s="983">
        <v>810000</v>
      </c>
      <c r="F53" s="984"/>
      <c r="G53" s="985">
        <v>0</v>
      </c>
      <c r="H53" s="986">
        <v>1014000</v>
      </c>
      <c r="I53" s="2441">
        <f t="shared" si="8"/>
        <v>534000</v>
      </c>
      <c r="J53" s="2441">
        <f>VLOOKUP(A53,SAP累計至20260831收入實際數!$A:$B,2,FALSE)</f>
        <v>534000</v>
      </c>
      <c r="K53" s="2441">
        <f t="shared" si="9"/>
        <v>0</v>
      </c>
      <c r="L53" s="2453">
        <f>VLOOKUP(A53,'202608收入成本表'!A:Y,22,FALSE)</f>
        <v>534000</v>
      </c>
      <c r="M53" s="2453">
        <f t="shared" si="10"/>
        <v>0</v>
      </c>
      <c r="N53" s="947">
        <v>0</v>
      </c>
      <c r="O53" s="947">
        <v>0</v>
      </c>
      <c r="P53" s="947">
        <v>0</v>
      </c>
      <c r="Q53" s="947">
        <v>0</v>
      </c>
      <c r="R53" s="947">
        <v>0</v>
      </c>
      <c r="S53" s="947">
        <v>0</v>
      </c>
      <c r="T53" s="947">
        <v>374000</v>
      </c>
      <c r="U53" s="947">
        <v>160000</v>
      </c>
      <c r="V53" s="947">
        <v>80000</v>
      </c>
      <c r="W53" s="947">
        <v>160000</v>
      </c>
      <c r="X53" s="947">
        <v>160000</v>
      </c>
      <c r="Y53" s="947">
        <v>80000</v>
      </c>
      <c r="Z53" s="986">
        <v>1014000</v>
      </c>
      <c r="AA53" s="986">
        <v>1574000</v>
      </c>
      <c r="AB53" s="947">
        <v>160000</v>
      </c>
      <c r="AC53" s="947">
        <v>160000</v>
      </c>
      <c r="AD53" s="947">
        <v>160000</v>
      </c>
      <c r="AE53" s="947">
        <v>160000</v>
      </c>
      <c r="AF53" s="947">
        <v>80000</v>
      </c>
      <c r="AG53" s="947">
        <v>160000</v>
      </c>
      <c r="AH53" s="947">
        <v>294000</v>
      </c>
      <c r="AI53" s="947">
        <v>240000</v>
      </c>
      <c r="AJ53" s="947">
        <v>160000</v>
      </c>
      <c r="AK53" s="947">
        <v>0</v>
      </c>
      <c r="AL53" s="947">
        <v>0</v>
      </c>
      <c r="AM53" s="947">
        <v>0</v>
      </c>
      <c r="AN53" s="986">
        <v>2588000</v>
      </c>
      <c r="AO53" s="987" t="s">
        <v>1323</v>
      </c>
      <c r="AP53" s="988">
        <v>0</v>
      </c>
      <c r="AQ53" s="988">
        <v>0</v>
      </c>
      <c r="AR53" s="988">
        <v>0</v>
      </c>
      <c r="AS53" s="988">
        <v>0</v>
      </c>
      <c r="AT53" s="988">
        <v>0</v>
      </c>
      <c r="AU53" s="989"/>
      <c r="AV53" s="988">
        <v>2588000</v>
      </c>
      <c r="AW53" s="950">
        <v>0</v>
      </c>
      <c r="AZ53" s="953" t="s">
        <v>698</v>
      </c>
      <c r="BA53" s="954">
        <v>374000</v>
      </c>
      <c r="BB53" s="955">
        <v>640000</v>
      </c>
      <c r="BC53" s="954">
        <v>160000</v>
      </c>
      <c r="BD53" s="956">
        <v>80000</v>
      </c>
      <c r="BE53" s="956">
        <v>160000</v>
      </c>
      <c r="BF53" s="956">
        <v>160000</v>
      </c>
      <c r="BG53" s="956">
        <v>80000</v>
      </c>
      <c r="BH53" s="957">
        <v>1014000</v>
      </c>
    </row>
    <row r="54" spans="1:60" s="990" customFormat="1">
      <c r="A54" s="866" t="s">
        <v>1262</v>
      </c>
      <c r="B54" s="867" t="s">
        <v>1353</v>
      </c>
      <c r="C54" s="982">
        <v>4070040</v>
      </c>
      <c r="D54" s="983">
        <v>3406000</v>
      </c>
      <c r="E54" s="983">
        <v>664040</v>
      </c>
      <c r="F54" s="984"/>
      <c r="G54" s="985">
        <v>0</v>
      </c>
      <c r="H54" s="986">
        <v>694000</v>
      </c>
      <c r="I54" s="2441">
        <f t="shared" si="8"/>
        <v>160000</v>
      </c>
      <c r="J54" s="2441">
        <f>VLOOKUP(A54,SAP累計至20260831收入實際數!$A:$B,2,FALSE)</f>
        <v>160000</v>
      </c>
      <c r="K54" s="2441">
        <f t="shared" si="9"/>
        <v>0</v>
      </c>
      <c r="L54" s="2453">
        <f>VLOOKUP(A54,'202608收入成本表'!A:Y,22,FALSE)</f>
        <v>160000</v>
      </c>
      <c r="M54" s="2453">
        <f t="shared" si="10"/>
        <v>0</v>
      </c>
      <c r="N54" s="947">
        <v>0</v>
      </c>
      <c r="O54" s="947">
        <v>0</v>
      </c>
      <c r="P54" s="947">
        <v>0</v>
      </c>
      <c r="Q54" s="947">
        <v>0</v>
      </c>
      <c r="R54" s="947">
        <v>160000</v>
      </c>
      <c r="S54" s="947">
        <v>0</v>
      </c>
      <c r="T54" s="947">
        <v>0</v>
      </c>
      <c r="U54" s="947">
        <v>0</v>
      </c>
      <c r="V54" s="947">
        <v>0</v>
      </c>
      <c r="W54" s="947">
        <v>214000</v>
      </c>
      <c r="X54" s="947">
        <v>160000</v>
      </c>
      <c r="Y54" s="947">
        <v>160000</v>
      </c>
      <c r="Z54" s="986">
        <v>694000</v>
      </c>
      <c r="AA54" s="986">
        <v>2854000</v>
      </c>
      <c r="AB54" s="947">
        <v>160000</v>
      </c>
      <c r="AC54" s="947">
        <v>160000</v>
      </c>
      <c r="AD54" s="947">
        <v>160000</v>
      </c>
      <c r="AE54" s="947">
        <v>160000</v>
      </c>
      <c r="AF54" s="947">
        <v>240000</v>
      </c>
      <c r="AG54" s="947">
        <v>240000</v>
      </c>
      <c r="AH54" s="947">
        <v>320000</v>
      </c>
      <c r="AI54" s="947">
        <v>374000</v>
      </c>
      <c r="AJ54" s="947">
        <v>320000</v>
      </c>
      <c r="AK54" s="947">
        <v>320000</v>
      </c>
      <c r="AL54" s="947">
        <v>240000</v>
      </c>
      <c r="AM54" s="947">
        <v>160000</v>
      </c>
      <c r="AN54" s="986">
        <v>3548000</v>
      </c>
      <c r="AO54" s="987" t="s">
        <v>1323</v>
      </c>
      <c r="AP54" s="988">
        <v>522039.99999999971</v>
      </c>
      <c r="AQ54" s="988">
        <v>0</v>
      </c>
      <c r="AR54" s="988">
        <v>0</v>
      </c>
      <c r="AS54" s="988">
        <v>0</v>
      </c>
      <c r="AT54" s="988">
        <v>0</v>
      </c>
      <c r="AU54" s="989"/>
      <c r="AV54" s="988">
        <v>4070039.9999999995</v>
      </c>
      <c r="AW54" s="950">
        <v>0</v>
      </c>
      <c r="AZ54" s="953" t="s">
        <v>700</v>
      </c>
      <c r="BA54" s="954">
        <v>160000</v>
      </c>
      <c r="BB54" s="955">
        <v>534000</v>
      </c>
      <c r="BC54" s="954">
        <v>0</v>
      </c>
      <c r="BD54" s="956">
        <v>0</v>
      </c>
      <c r="BE54" s="956">
        <v>214000</v>
      </c>
      <c r="BF54" s="956">
        <v>160000</v>
      </c>
      <c r="BG54" s="956">
        <v>160000</v>
      </c>
      <c r="BH54" s="957">
        <v>694000</v>
      </c>
    </row>
    <row r="55" spans="1:60" s="990" customFormat="1">
      <c r="A55" s="866" t="s">
        <v>1263</v>
      </c>
      <c r="B55" s="867" t="s">
        <v>1172</v>
      </c>
      <c r="C55" s="982">
        <v>11482667</v>
      </c>
      <c r="D55" s="983">
        <v>8018707</v>
      </c>
      <c r="E55" s="983">
        <v>3463960</v>
      </c>
      <c r="F55" s="984"/>
      <c r="G55" s="985">
        <v>0</v>
      </c>
      <c r="H55" s="986">
        <v>1195000</v>
      </c>
      <c r="I55" s="2441">
        <f t="shared" si="8"/>
        <v>0</v>
      </c>
      <c r="J55" s="2441"/>
      <c r="K55" s="2441">
        <f t="shared" si="9"/>
        <v>0</v>
      </c>
      <c r="L55" s="2453">
        <f>VLOOKUP(A55,'202608收入成本表'!A:Y,22,FALSE)</f>
        <v>0</v>
      </c>
      <c r="M55" s="2453">
        <f t="shared" si="10"/>
        <v>0</v>
      </c>
      <c r="N55" s="947"/>
      <c r="O55" s="947">
        <v>0</v>
      </c>
      <c r="P55" s="947">
        <v>0</v>
      </c>
      <c r="Q55" s="947">
        <v>0</v>
      </c>
      <c r="R55" s="947">
        <v>0</v>
      </c>
      <c r="S55" s="947">
        <v>0</v>
      </c>
      <c r="T55" s="947">
        <v>0</v>
      </c>
      <c r="U55" s="947">
        <v>0</v>
      </c>
      <c r="V55" s="947">
        <v>525000</v>
      </c>
      <c r="W55" s="947">
        <v>320000</v>
      </c>
      <c r="X55" s="947">
        <v>175000</v>
      </c>
      <c r="Y55" s="947">
        <v>175000</v>
      </c>
      <c r="Z55" s="986">
        <v>1195000</v>
      </c>
      <c r="AA55" s="986">
        <v>3207500</v>
      </c>
      <c r="AB55" s="947">
        <v>175000</v>
      </c>
      <c r="AC55" s="947">
        <v>262500</v>
      </c>
      <c r="AD55" s="947">
        <v>262500</v>
      </c>
      <c r="AE55" s="947">
        <v>262500</v>
      </c>
      <c r="AF55" s="947">
        <v>262500</v>
      </c>
      <c r="AG55" s="947">
        <v>262500</v>
      </c>
      <c r="AH55" s="947">
        <v>262500</v>
      </c>
      <c r="AI55" s="947">
        <v>262500</v>
      </c>
      <c r="AJ55" s="947">
        <v>262500</v>
      </c>
      <c r="AK55" s="947">
        <v>407500</v>
      </c>
      <c r="AL55" s="947">
        <v>262500</v>
      </c>
      <c r="AM55" s="947">
        <v>262500</v>
      </c>
      <c r="AN55" s="986">
        <v>4402500</v>
      </c>
      <c r="AO55" s="987" t="s">
        <v>1323</v>
      </c>
      <c r="AP55" s="988">
        <v>3295000</v>
      </c>
      <c r="AQ55" s="988">
        <v>3295000</v>
      </c>
      <c r="AR55" s="988">
        <v>490166.99999999959</v>
      </c>
      <c r="AS55" s="988">
        <v>0</v>
      </c>
      <c r="AT55" s="988">
        <v>0</v>
      </c>
      <c r="AU55" s="989"/>
      <c r="AV55" s="988">
        <v>11482667</v>
      </c>
      <c r="AW55" s="950">
        <v>0</v>
      </c>
      <c r="AZ55" s="953" t="s">
        <v>702</v>
      </c>
      <c r="BA55" s="954">
        <v>0</v>
      </c>
      <c r="BB55" s="955">
        <v>1195000</v>
      </c>
      <c r="BC55" s="954">
        <v>0</v>
      </c>
      <c r="BD55" s="956">
        <v>525000</v>
      </c>
      <c r="BE55" s="956">
        <v>320000</v>
      </c>
      <c r="BF55" s="956">
        <v>175000</v>
      </c>
      <c r="BG55" s="956">
        <v>175000</v>
      </c>
      <c r="BH55" s="957">
        <v>1195000</v>
      </c>
    </row>
    <row r="56" spans="1:60" s="990" customFormat="1">
      <c r="A56" s="866" t="s">
        <v>1264</v>
      </c>
      <c r="B56" s="867" t="s">
        <v>1175</v>
      </c>
      <c r="C56" s="982">
        <v>1960000</v>
      </c>
      <c r="D56" s="983">
        <v>1402700</v>
      </c>
      <c r="E56" s="983">
        <v>557300</v>
      </c>
      <c r="F56" s="984"/>
      <c r="G56" s="985"/>
      <c r="H56" s="986">
        <v>370000</v>
      </c>
      <c r="I56" s="2441">
        <f t="shared" si="8"/>
        <v>0</v>
      </c>
      <c r="J56" s="2441"/>
      <c r="K56" s="2441">
        <f t="shared" si="9"/>
        <v>0</v>
      </c>
      <c r="L56" s="2453">
        <f>VLOOKUP(A56,'202608收入成本表'!A:Y,22,FALSE)</f>
        <v>0</v>
      </c>
      <c r="M56" s="2453">
        <f t="shared" si="10"/>
        <v>0</v>
      </c>
      <c r="N56" s="947"/>
      <c r="O56" s="947"/>
      <c r="P56" s="947"/>
      <c r="Q56" s="947"/>
      <c r="R56" s="947"/>
      <c r="S56" s="947">
        <v>0</v>
      </c>
      <c r="T56" s="947">
        <v>0</v>
      </c>
      <c r="U56" s="947">
        <v>0</v>
      </c>
      <c r="V56" s="947">
        <v>0</v>
      </c>
      <c r="W56" s="947">
        <v>200000</v>
      </c>
      <c r="X56" s="947">
        <v>85000</v>
      </c>
      <c r="Y56" s="947">
        <v>85000</v>
      </c>
      <c r="Z56" s="986">
        <v>370000</v>
      </c>
      <c r="AA56" s="986">
        <v>1050000</v>
      </c>
      <c r="AB56" s="947">
        <v>85000</v>
      </c>
      <c r="AC56" s="947">
        <v>85000</v>
      </c>
      <c r="AD56" s="947">
        <v>85000</v>
      </c>
      <c r="AE56" s="947">
        <v>85000</v>
      </c>
      <c r="AF56" s="947">
        <v>85000</v>
      </c>
      <c r="AG56" s="947">
        <v>85000</v>
      </c>
      <c r="AH56" s="947">
        <v>85000</v>
      </c>
      <c r="AI56" s="947">
        <v>85000</v>
      </c>
      <c r="AJ56" s="947">
        <v>115000</v>
      </c>
      <c r="AK56" s="947">
        <v>85000</v>
      </c>
      <c r="AL56" s="947">
        <v>85000</v>
      </c>
      <c r="AM56" s="947">
        <v>85000</v>
      </c>
      <c r="AN56" s="986">
        <v>1420000</v>
      </c>
      <c r="AO56" s="987" t="s">
        <v>1323</v>
      </c>
      <c r="AP56" s="988">
        <v>540000</v>
      </c>
      <c r="AQ56" s="988">
        <v>0</v>
      </c>
      <c r="AR56" s="988">
        <v>0</v>
      </c>
      <c r="AS56" s="988">
        <v>0</v>
      </c>
      <c r="AT56" s="988">
        <v>0</v>
      </c>
      <c r="AU56" s="989"/>
      <c r="AV56" s="988">
        <v>1960000</v>
      </c>
      <c r="AW56" s="950">
        <v>0</v>
      </c>
      <c r="AZ56" s="953" t="s">
        <v>704</v>
      </c>
      <c r="BA56" s="954">
        <v>0</v>
      </c>
      <c r="BB56" s="955">
        <v>370000</v>
      </c>
      <c r="BC56" s="954">
        <v>0</v>
      </c>
      <c r="BD56" s="956">
        <v>0</v>
      </c>
      <c r="BE56" s="956">
        <v>200000</v>
      </c>
      <c r="BF56" s="956">
        <v>85000</v>
      </c>
      <c r="BG56" s="956">
        <v>85000</v>
      </c>
      <c r="BH56" s="957">
        <v>370000</v>
      </c>
    </row>
    <row r="57" spans="1:60">
      <c r="A57" s="685" t="s">
        <v>705</v>
      </c>
      <c r="B57" s="1009" t="s">
        <v>1354</v>
      </c>
      <c r="C57" s="1011">
        <v>3375000</v>
      </c>
      <c r="D57" s="973">
        <v>3106133</v>
      </c>
      <c r="E57" s="973">
        <v>268867</v>
      </c>
      <c r="F57" s="1012">
        <v>1630000</v>
      </c>
      <c r="G57" s="944">
        <v>0</v>
      </c>
      <c r="H57" s="974">
        <v>480000</v>
      </c>
      <c r="I57" s="2441">
        <f t="shared" si="8"/>
        <v>1630000</v>
      </c>
      <c r="J57" s="2441">
        <f>VLOOKUP(A57,SAP累計至20260831收入實際數!$A:$B,2,FALSE)</f>
        <v>1630000</v>
      </c>
      <c r="K57" s="2441">
        <f t="shared" si="9"/>
        <v>0</v>
      </c>
      <c r="L57" s="2453">
        <f>VLOOKUP(A57,'202608收入成本表'!A:Y,22,FALSE)</f>
        <v>0</v>
      </c>
      <c r="M57" s="2453">
        <f t="shared" si="10"/>
        <v>1630000</v>
      </c>
      <c r="N57" s="946">
        <v>0</v>
      </c>
      <c r="O57" s="947">
        <v>0</v>
      </c>
      <c r="P57" s="947">
        <v>0</v>
      </c>
      <c r="Q57" s="947">
        <v>0</v>
      </c>
      <c r="R57" s="947">
        <v>0</v>
      </c>
      <c r="S57" s="947">
        <v>0</v>
      </c>
      <c r="T57" s="947">
        <v>0</v>
      </c>
      <c r="U57" s="947">
        <v>0</v>
      </c>
      <c r="V57" s="946">
        <v>480000</v>
      </c>
      <c r="W57" s="946">
        <v>0</v>
      </c>
      <c r="X57" s="946">
        <v>0</v>
      </c>
      <c r="Y57" s="946">
        <v>0</v>
      </c>
      <c r="Z57" s="974">
        <v>2110000</v>
      </c>
      <c r="AA57" s="974">
        <v>1265000</v>
      </c>
      <c r="AB57" s="946">
        <v>0</v>
      </c>
      <c r="AC57" s="946">
        <v>0</v>
      </c>
      <c r="AD57" s="946">
        <v>0</v>
      </c>
      <c r="AE57" s="946">
        <v>1265000</v>
      </c>
      <c r="AF57" s="946">
        <v>0</v>
      </c>
      <c r="AG57" s="946">
        <v>0</v>
      </c>
      <c r="AH57" s="946">
        <v>0</v>
      </c>
      <c r="AI57" s="946">
        <v>0</v>
      </c>
      <c r="AJ57" s="946">
        <v>0</v>
      </c>
      <c r="AK57" s="946">
        <v>0</v>
      </c>
      <c r="AL57" s="946">
        <v>0</v>
      </c>
      <c r="AM57" s="946">
        <v>0</v>
      </c>
      <c r="AN57" s="974">
        <v>3375000</v>
      </c>
      <c r="AO57" s="975" t="s">
        <v>1318</v>
      </c>
      <c r="AP57" s="960">
        <v>0</v>
      </c>
      <c r="AQ57" s="960">
        <v>0</v>
      </c>
      <c r="AR57" s="960">
        <v>0</v>
      </c>
      <c r="AS57" s="960">
        <v>0</v>
      </c>
      <c r="AT57" s="960">
        <v>0</v>
      </c>
      <c r="AU57" s="976"/>
      <c r="AV57" s="960">
        <v>3375000</v>
      </c>
      <c r="AW57" s="950">
        <v>0</v>
      </c>
      <c r="AZ57" s="953" t="s">
        <v>1179</v>
      </c>
      <c r="BA57" s="954">
        <v>0</v>
      </c>
      <c r="BB57" s="955">
        <v>480000</v>
      </c>
      <c r="BC57" s="954">
        <v>0</v>
      </c>
      <c r="BD57" s="956">
        <v>480000</v>
      </c>
      <c r="BE57" s="956">
        <v>0</v>
      </c>
      <c r="BF57" s="956">
        <v>0</v>
      </c>
      <c r="BG57" s="956">
        <v>0</v>
      </c>
      <c r="BH57" s="957">
        <v>480000</v>
      </c>
    </row>
    <row r="58" spans="1:60">
      <c r="A58" s="685" t="s">
        <v>707</v>
      </c>
      <c r="B58" s="1009" t="s">
        <v>1355</v>
      </c>
      <c r="C58" s="1011">
        <v>2015000</v>
      </c>
      <c r="D58" s="973">
        <v>2192825</v>
      </c>
      <c r="E58" s="973">
        <v>-177825</v>
      </c>
      <c r="F58" s="1012">
        <v>720000</v>
      </c>
      <c r="G58" s="944">
        <v>160000</v>
      </c>
      <c r="H58" s="974">
        <v>1120000</v>
      </c>
      <c r="I58" s="2441">
        <f t="shared" si="8"/>
        <v>880000</v>
      </c>
      <c r="J58" s="2441">
        <f>VLOOKUP(A58,SAP累計至20260831收入實際數!$A:$B,2,FALSE)</f>
        <v>880000</v>
      </c>
      <c r="K58" s="2441">
        <f t="shared" si="9"/>
        <v>0</v>
      </c>
      <c r="L58" s="2453">
        <f>VLOOKUP(A58,'202608收入成本表'!A:Y,22,FALSE)</f>
        <v>160000</v>
      </c>
      <c r="M58" s="2453">
        <f t="shared" si="10"/>
        <v>720000</v>
      </c>
      <c r="N58" s="946">
        <v>0</v>
      </c>
      <c r="O58" s="947">
        <v>0</v>
      </c>
      <c r="P58" s="947">
        <v>0</v>
      </c>
      <c r="Q58" s="947">
        <v>0</v>
      </c>
      <c r="R58" s="947">
        <v>160000</v>
      </c>
      <c r="S58" s="947">
        <v>0</v>
      </c>
      <c r="T58" s="947">
        <v>0</v>
      </c>
      <c r="U58" s="947">
        <v>0</v>
      </c>
      <c r="V58" s="946">
        <v>0</v>
      </c>
      <c r="W58" s="946">
        <v>0</v>
      </c>
      <c r="X58" s="946">
        <v>0</v>
      </c>
      <c r="Y58" s="946">
        <v>960000</v>
      </c>
      <c r="Z58" s="974">
        <v>1840000</v>
      </c>
      <c r="AA58" s="974">
        <v>175000</v>
      </c>
      <c r="AB58" s="946">
        <v>0</v>
      </c>
      <c r="AC58" s="946">
        <v>0</v>
      </c>
      <c r="AD58" s="946">
        <v>0</v>
      </c>
      <c r="AE58" s="946">
        <v>0</v>
      </c>
      <c r="AF58" s="946">
        <v>0</v>
      </c>
      <c r="AG58" s="946">
        <v>0</v>
      </c>
      <c r="AH58" s="946">
        <v>0</v>
      </c>
      <c r="AI58" s="946">
        <v>0</v>
      </c>
      <c r="AJ58" s="946">
        <v>0</v>
      </c>
      <c r="AK58" s="946">
        <v>175000</v>
      </c>
      <c r="AL58" s="946">
        <v>0</v>
      </c>
      <c r="AM58" s="946">
        <v>0</v>
      </c>
      <c r="AN58" s="974">
        <v>2015000</v>
      </c>
      <c r="AO58" s="975" t="s">
        <v>1318</v>
      </c>
      <c r="AP58" s="960">
        <v>0</v>
      </c>
      <c r="AQ58" s="960">
        <v>0</v>
      </c>
      <c r="AR58" s="960">
        <v>0</v>
      </c>
      <c r="AS58" s="960">
        <v>0</v>
      </c>
      <c r="AT58" s="960">
        <v>0</v>
      </c>
      <c r="AU58" s="976"/>
      <c r="AV58" s="960">
        <v>2015000</v>
      </c>
      <c r="AW58" s="950">
        <v>0</v>
      </c>
      <c r="AZ58" s="953" t="s">
        <v>1181</v>
      </c>
      <c r="BA58" s="954">
        <v>160000</v>
      </c>
      <c r="BB58" s="955">
        <v>960000</v>
      </c>
      <c r="BC58" s="954">
        <v>0</v>
      </c>
      <c r="BD58" s="956">
        <v>0</v>
      </c>
      <c r="BE58" s="956">
        <v>0</v>
      </c>
      <c r="BF58" s="956">
        <v>0</v>
      </c>
      <c r="BG58" s="956">
        <v>960000</v>
      </c>
      <c r="BH58" s="957">
        <v>1120000</v>
      </c>
    </row>
    <row r="59" spans="1:60" s="663" customFormat="1">
      <c r="A59" s="574" t="s">
        <v>1356</v>
      </c>
      <c r="B59" s="751" t="s">
        <v>1265</v>
      </c>
      <c r="C59" s="991">
        <v>0</v>
      </c>
      <c r="D59" s="973">
        <v>0</v>
      </c>
      <c r="E59" s="942">
        <v>0</v>
      </c>
      <c r="F59" s="943">
        <v>0</v>
      </c>
      <c r="G59" s="996">
        <v>5820000</v>
      </c>
      <c r="H59" s="945">
        <v>0</v>
      </c>
      <c r="I59" s="2441">
        <f t="shared" si="8"/>
        <v>0</v>
      </c>
      <c r="J59" s="2441"/>
      <c r="K59" s="2441">
        <f t="shared" si="9"/>
        <v>0</v>
      </c>
      <c r="L59" s="2453"/>
      <c r="M59" s="2453">
        <f t="shared" si="10"/>
        <v>0</v>
      </c>
      <c r="N59" s="946">
        <v>0</v>
      </c>
      <c r="O59" s="947">
        <v>0</v>
      </c>
      <c r="P59" s="947">
        <v>0</v>
      </c>
      <c r="Q59" s="947">
        <v>0</v>
      </c>
      <c r="R59" s="947">
        <v>0</v>
      </c>
      <c r="S59" s="947">
        <v>0</v>
      </c>
      <c r="T59" s="947">
        <v>0</v>
      </c>
      <c r="U59" s="947">
        <v>0</v>
      </c>
      <c r="V59" s="946">
        <v>0</v>
      </c>
      <c r="W59" s="946">
        <v>0</v>
      </c>
      <c r="X59" s="946">
        <v>0</v>
      </c>
      <c r="Y59" s="946">
        <v>0</v>
      </c>
      <c r="Z59" s="945">
        <v>0</v>
      </c>
      <c r="AA59" s="945">
        <v>0</v>
      </c>
      <c r="AB59" s="946">
        <v>0</v>
      </c>
      <c r="AC59" s="946">
        <v>0</v>
      </c>
      <c r="AD59" s="946">
        <v>0</v>
      </c>
      <c r="AE59" s="946">
        <v>0</v>
      </c>
      <c r="AF59" s="946">
        <v>0</v>
      </c>
      <c r="AG59" s="946">
        <v>0</v>
      </c>
      <c r="AH59" s="946">
        <v>0</v>
      </c>
      <c r="AI59" s="946">
        <v>0</v>
      </c>
      <c r="AJ59" s="946">
        <v>0</v>
      </c>
      <c r="AK59" s="946">
        <v>0</v>
      </c>
      <c r="AL59" s="946">
        <v>0</v>
      </c>
      <c r="AM59" s="946">
        <v>0</v>
      </c>
      <c r="AN59" s="945">
        <v>0</v>
      </c>
      <c r="AO59" s="959" t="s">
        <v>1308</v>
      </c>
      <c r="AP59" s="960">
        <v>0</v>
      </c>
      <c r="AQ59" s="960">
        <v>0</v>
      </c>
      <c r="AR59" s="960">
        <v>0</v>
      </c>
      <c r="AS59" s="960">
        <v>0</v>
      </c>
      <c r="AT59" s="960">
        <v>0</v>
      </c>
      <c r="AU59" s="951"/>
      <c r="AV59" s="960">
        <v>0</v>
      </c>
      <c r="AW59" s="950">
        <v>0</v>
      </c>
      <c r="AZ59" s="953" t="s">
        <v>1265</v>
      </c>
      <c r="BA59" s="954">
        <v>0</v>
      </c>
      <c r="BB59" s="955">
        <v>0</v>
      </c>
      <c r="BC59" s="954">
        <v>0</v>
      </c>
      <c r="BD59" s="956">
        <v>0</v>
      </c>
      <c r="BE59" s="956">
        <v>0</v>
      </c>
      <c r="BF59" s="956">
        <v>0</v>
      </c>
      <c r="BG59" s="956">
        <v>0</v>
      </c>
      <c r="BH59" s="957">
        <v>0</v>
      </c>
    </row>
    <row r="60" spans="1:60" s="663" customFormat="1" outlineLevel="1">
      <c r="A60" s="574" t="s">
        <v>712</v>
      </c>
      <c r="B60" s="751" t="s">
        <v>1265</v>
      </c>
      <c r="C60" s="991">
        <v>0</v>
      </c>
      <c r="D60" s="973">
        <v>0</v>
      </c>
      <c r="E60" s="942">
        <v>0</v>
      </c>
      <c r="F60" s="943">
        <v>0</v>
      </c>
      <c r="G60" s="944"/>
      <c r="H60" s="945">
        <v>0</v>
      </c>
      <c r="I60" s="2441">
        <f t="shared" si="8"/>
        <v>0</v>
      </c>
      <c r="J60" s="2441"/>
      <c r="K60" s="2441">
        <f t="shared" si="9"/>
        <v>0</v>
      </c>
      <c r="L60" s="2453"/>
      <c r="M60" s="2453">
        <f t="shared" si="10"/>
        <v>0</v>
      </c>
      <c r="N60" s="946">
        <v>0</v>
      </c>
      <c r="O60" s="947">
        <v>0</v>
      </c>
      <c r="P60" s="947">
        <v>0</v>
      </c>
      <c r="Q60" s="947">
        <v>0</v>
      </c>
      <c r="R60" s="947">
        <v>0</v>
      </c>
      <c r="S60" s="947">
        <v>0</v>
      </c>
      <c r="T60" s="947">
        <v>0</v>
      </c>
      <c r="U60" s="947">
        <v>0</v>
      </c>
      <c r="V60" s="946">
        <v>0</v>
      </c>
      <c r="W60" s="946">
        <v>0</v>
      </c>
      <c r="X60" s="946">
        <v>0</v>
      </c>
      <c r="Y60" s="946">
        <v>0</v>
      </c>
      <c r="Z60" s="945">
        <v>0</v>
      </c>
      <c r="AA60" s="945">
        <v>0</v>
      </c>
      <c r="AB60" s="948"/>
      <c r="AC60" s="948"/>
      <c r="AD60" s="948"/>
      <c r="AE60" s="948"/>
      <c r="AF60" s="948"/>
      <c r="AG60" s="948"/>
      <c r="AH60" s="948"/>
      <c r="AI60" s="948"/>
      <c r="AJ60" s="948"/>
      <c r="AK60" s="948"/>
      <c r="AL60" s="948"/>
      <c r="AM60" s="948"/>
      <c r="AN60" s="945">
        <v>0</v>
      </c>
      <c r="AO60" s="959" t="s">
        <v>1308</v>
      </c>
      <c r="AP60" s="960">
        <v>0</v>
      </c>
      <c r="AQ60" s="960">
        <v>0</v>
      </c>
      <c r="AR60" s="960">
        <v>0</v>
      </c>
      <c r="AS60" s="960">
        <v>0</v>
      </c>
      <c r="AT60" s="960">
        <v>0</v>
      </c>
      <c r="AU60" s="951"/>
      <c r="AV60" s="960">
        <v>0</v>
      </c>
      <c r="AW60" s="950">
        <v>0</v>
      </c>
      <c r="AZ60" s="953"/>
      <c r="BA60" s="1013"/>
      <c r="BB60" s="1014"/>
      <c r="BC60" s="954">
        <v>0</v>
      </c>
      <c r="BD60" s="956">
        <v>0</v>
      </c>
      <c r="BE60" s="956">
        <v>0</v>
      </c>
      <c r="BF60" s="956">
        <v>0</v>
      </c>
      <c r="BG60" s="956">
        <v>0</v>
      </c>
      <c r="BH60" s="957">
        <v>0</v>
      </c>
    </row>
    <row r="61" spans="1:60" s="663" customFormat="1" outlineLevel="1">
      <c r="A61" s="574" t="s">
        <v>713</v>
      </c>
      <c r="B61" s="751" t="s">
        <v>1266</v>
      </c>
      <c r="C61" s="991">
        <v>45715000</v>
      </c>
      <c r="D61" s="973">
        <v>33162551</v>
      </c>
      <c r="E61" s="942">
        <v>12552449</v>
      </c>
      <c r="F61" s="943">
        <v>0</v>
      </c>
      <c r="G61" s="944"/>
      <c r="H61" s="945">
        <v>0</v>
      </c>
      <c r="I61" s="2441">
        <f t="shared" si="8"/>
        <v>0</v>
      </c>
      <c r="J61" s="2441"/>
      <c r="K61" s="2441">
        <f t="shared" si="9"/>
        <v>0</v>
      </c>
      <c r="L61" s="2453"/>
      <c r="M61" s="2453">
        <f t="shared" si="10"/>
        <v>0</v>
      </c>
      <c r="N61" s="946">
        <v>0</v>
      </c>
      <c r="O61" s="947">
        <v>0</v>
      </c>
      <c r="P61" s="947">
        <v>0</v>
      </c>
      <c r="Q61" s="947">
        <v>0</v>
      </c>
      <c r="R61" s="947">
        <v>0</v>
      </c>
      <c r="S61" s="947">
        <v>0</v>
      </c>
      <c r="T61" s="947">
        <v>0</v>
      </c>
      <c r="U61" s="947">
        <v>0</v>
      </c>
      <c r="V61" s="946">
        <v>0</v>
      </c>
      <c r="W61" s="946">
        <v>0</v>
      </c>
      <c r="X61" s="946">
        <v>0</v>
      </c>
      <c r="Y61" s="946">
        <v>0</v>
      </c>
      <c r="Z61" s="945">
        <v>0</v>
      </c>
      <c r="AA61" s="945">
        <v>13562500</v>
      </c>
      <c r="AB61" s="948">
        <v>398500</v>
      </c>
      <c r="AC61" s="948">
        <v>175000</v>
      </c>
      <c r="AD61" s="948">
        <v>685000</v>
      </c>
      <c r="AE61" s="948">
        <v>875000</v>
      </c>
      <c r="AF61" s="948">
        <v>1137500</v>
      </c>
      <c r="AG61" s="948">
        <v>1191500</v>
      </c>
      <c r="AH61" s="948">
        <v>1400000</v>
      </c>
      <c r="AI61" s="948">
        <v>1400000</v>
      </c>
      <c r="AJ61" s="948">
        <v>1575000</v>
      </c>
      <c r="AK61" s="948">
        <v>1575000</v>
      </c>
      <c r="AL61" s="948">
        <v>1575000</v>
      </c>
      <c r="AM61" s="948">
        <v>1575000</v>
      </c>
      <c r="AN61" s="945">
        <v>13562500</v>
      </c>
      <c r="AO61" s="959" t="s">
        <v>1308</v>
      </c>
      <c r="AP61" s="950">
        <v>11066000</v>
      </c>
      <c r="AQ61" s="950">
        <v>12504000</v>
      </c>
      <c r="AR61" s="950">
        <v>5429000</v>
      </c>
      <c r="AS61" s="950">
        <v>3153500</v>
      </c>
      <c r="AT61" s="950">
        <v>0</v>
      </c>
      <c r="AU61" s="951"/>
      <c r="AV61" s="960">
        <v>45715000</v>
      </c>
      <c r="AW61" s="950">
        <v>0</v>
      </c>
      <c r="AX61" s="2334">
        <v>0.27458053155419448</v>
      </c>
      <c r="AZ61" s="953"/>
      <c r="BA61" s="1013"/>
      <c r="BB61" s="1014"/>
      <c r="BC61" s="954">
        <v>0</v>
      </c>
      <c r="BD61" s="956">
        <v>0</v>
      </c>
      <c r="BE61" s="956">
        <v>0</v>
      </c>
      <c r="BF61" s="956">
        <v>0</v>
      </c>
      <c r="BG61" s="956">
        <v>0</v>
      </c>
      <c r="BH61" s="957">
        <v>0</v>
      </c>
    </row>
    <row r="62" spans="1:60" outlineLevel="1">
      <c r="A62" s="574" t="s">
        <v>715</v>
      </c>
      <c r="B62" s="751" t="s">
        <v>1267</v>
      </c>
      <c r="C62" s="991">
        <v>37129000</v>
      </c>
      <c r="D62" s="973">
        <v>26962211</v>
      </c>
      <c r="E62" s="942">
        <v>10166789</v>
      </c>
      <c r="F62" s="943">
        <v>0</v>
      </c>
      <c r="G62" s="944"/>
      <c r="H62" s="945">
        <v>0</v>
      </c>
      <c r="I62" s="2441">
        <f t="shared" si="8"/>
        <v>0</v>
      </c>
      <c r="J62" s="2441"/>
      <c r="K62" s="2441">
        <f t="shared" si="9"/>
        <v>0</v>
      </c>
      <c r="L62" s="2453"/>
      <c r="M62" s="2453">
        <f t="shared" si="10"/>
        <v>0</v>
      </c>
      <c r="N62" s="946">
        <v>0</v>
      </c>
      <c r="O62" s="947">
        <v>0</v>
      </c>
      <c r="P62" s="947">
        <v>0</v>
      </c>
      <c r="Q62" s="947">
        <v>0</v>
      </c>
      <c r="R62" s="947">
        <v>0</v>
      </c>
      <c r="S62" s="947">
        <v>0</v>
      </c>
      <c r="T62" s="947">
        <v>0</v>
      </c>
      <c r="U62" s="947">
        <v>0</v>
      </c>
      <c r="V62" s="946">
        <v>0</v>
      </c>
      <c r="W62" s="946">
        <v>0</v>
      </c>
      <c r="X62" s="946">
        <v>0</v>
      </c>
      <c r="Y62" s="946">
        <v>0</v>
      </c>
      <c r="Z62" s="945">
        <v>0</v>
      </c>
      <c r="AA62" s="945">
        <v>0</v>
      </c>
      <c r="AB62" s="948">
        <v>0</v>
      </c>
      <c r="AC62" s="948">
        <v>0</v>
      </c>
      <c r="AD62" s="948">
        <v>0</v>
      </c>
      <c r="AE62" s="948">
        <v>0</v>
      </c>
      <c r="AF62" s="948">
        <v>0</v>
      </c>
      <c r="AG62" s="948">
        <v>0</v>
      </c>
      <c r="AH62" s="948">
        <v>0</v>
      </c>
      <c r="AI62" s="948">
        <v>0</v>
      </c>
      <c r="AJ62" s="948">
        <v>0</v>
      </c>
      <c r="AK62" s="948">
        <v>0</v>
      </c>
      <c r="AL62" s="948">
        <v>0</v>
      </c>
      <c r="AM62" s="948">
        <v>0</v>
      </c>
      <c r="AN62" s="945">
        <v>0</v>
      </c>
      <c r="AO62" s="959" t="s">
        <v>1308</v>
      </c>
      <c r="AP62" s="950">
        <v>12137000</v>
      </c>
      <c r="AQ62" s="950">
        <v>7654000</v>
      </c>
      <c r="AR62" s="950">
        <v>9564000</v>
      </c>
      <c r="AS62" s="950">
        <v>7674000</v>
      </c>
      <c r="AT62" s="950">
        <v>100000</v>
      </c>
      <c r="AU62" s="951"/>
      <c r="AV62" s="960">
        <v>37129000</v>
      </c>
      <c r="AW62" s="950">
        <v>0</v>
      </c>
      <c r="AX62" s="2334">
        <v>0.27382339949904388</v>
      </c>
      <c r="AZ62" s="953"/>
      <c r="BA62" s="1015"/>
      <c r="BB62" s="1016"/>
      <c r="BC62" s="954">
        <v>0</v>
      </c>
      <c r="BD62" s="956">
        <v>0</v>
      </c>
      <c r="BE62" s="956">
        <v>0</v>
      </c>
      <c r="BF62" s="956">
        <v>0</v>
      </c>
      <c r="BG62" s="956">
        <v>0</v>
      </c>
      <c r="BH62" s="957">
        <v>0</v>
      </c>
    </row>
    <row r="63" spans="1:60" outlineLevel="1">
      <c r="A63" s="574" t="s">
        <v>717</v>
      </c>
      <c r="B63" s="751" t="s">
        <v>1268</v>
      </c>
      <c r="C63" s="991">
        <v>37036000</v>
      </c>
      <c r="D63" s="973">
        <v>26836315</v>
      </c>
      <c r="E63" s="942">
        <v>10199685</v>
      </c>
      <c r="F63" s="943"/>
      <c r="G63" s="944"/>
      <c r="H63" s="945">
        <v>0</v>
      </c>
      <c r="I63" s="2441">
        <f>F63+SUM(N63:U63)</f>
        <v>0</v>
      </c>
      <c r="J63" s="2441"/>
      <c r="K63" s="2441">
        <f t="shared" si="9"/>
        <v>0</v>
      </c>
      <c r="L63" s="2453"/>
      <c r="M63" s="2453">
        <f t="shared" si="10"/>
        <v>0</v>
      </c>
      <c r="N63" s="946"/>
      <c r="O63" s="947"/>
      <c r="P63" s="947"/>
      <c r="Q63" s="947"/>
      <c r="R63" s="947"/>
      <c r="S63" s="947"/>
      <c r="T63" s="947"/>
      <c r="U63" s="947"/>
      <c r="V63" s="946"/>
      <c r="W63" s="946"/>
      <c r="X63" s="946"/>
      <c r="Y63" s="946"/>
      <c r="Z63" s="945">
        <v>0</v>
      </c>
      <c r="AA63" s="945">
        <v>0</v>
      </c>
      <c r="AB63" s="948"/>
      <c r="AC63" s="948"/>
      <c r="AD63" s="948"/>
      <c r="AE63" s="948"/>
      <c r="AF63" s="948"/>
      <c r="AG63" s="948"/>
      <c r="AH63" s="948"/>
      <c r="AI63" s="948"/>
      <c r="AJ63" s="948"/>
      <c r="AK63" s="948"/>
      <c r="AL63" s="948"/>
      <c r="AM63" s="948"/>
      <c r="AN63" s="945">
        <v>0</v>
      </c>
      <c r="AO63" s="959" t="s">
        <v>1308</v>
      </c>
      <c r="AP63" s="950">
        <v>0</v>
      </c>
      <c r="AQ63" s="950">
        <v>7734000</v>
      </c>
      <c r="AR63" s="950">
        <v>9814000</v>
      </c>
      <c r="AS63" s="950">
        <v>9774000</v>
      </c>
      <c r="AT63" s="950">
        <v>9714000</v>
      </c>
      <c r="AU63" s="951"/>
      <c r="AV63" s="960">
        <v>37036000</v>
      </c>
      <c r="AW63" s="950">
        <v>0</v>
      </c>
      <c r="AX63" s="2334">
        <v>0.27539920617777297</v>
      </c>
      <c r="AZ63" s="953"/>
      <c r="BA63" s="1015"/>
      <c r="BB63" s="1016"/>
      <c r="BC63" s="954"/>
      <c r="BD63" s="956"/>
      <c r="BE63" s="956"/>
      <c r="BF63" s="956"/>
      <c r="BG63" s="956"/>
      <c r="BH63" s="957"/>
    </row>
    <row r="64" spans="1:60" outlineLevel="1">
      <c r="A64" s="574" t="s">
        <v>719</v>
      </c>
      <c r="B64" s="751" t="s">
        <v>1269</v>
      </c>
      <c r="C64" s="991">
        <v>39667000</v>
      </c>
      <c r="D64" s="973">
        <v>29105591</v>
      </c>
      <c r="E64" s="942">
        <v>10561409</v>
      </c>
      <c r="F64" s="943"/>
      <c r="G64" s="944"/>
      <c r="H64" s="945">
        <v>0</v>
      </c>
      <c r="I64" s="2441">
        <f t="shared" si="8"/>
        <v>0</v>
      </c>
      <c r="J64" s="2441"/>
      <c r="K64" s="2441">
        <f t="shared" si="9"/>
        <v>0</v>
      </c>
      <c r="L64" s="2453"/>
      <c r="M64" s="2453">
        <f t="shared" si="10"/>
        <v>0</v>
      </c>
      <c r="N64" s="946"/>
      <c r="O64" s="947"/>
      <c r="P64" s="947"/>
      <c r="Q64" s="947"/>
      <c r="R64" s="947"/>
      <c r="S64" s="947"/>
      <c r="T64" s="947"/>
      <c r="U64" s="947"/>
      <c r="V64" s="946"/>
      <c r="W64" s="946"/>
      <c r="X64" s="946"/>
      <c r="Y64" s="946"/>
      <c r="Z64" s="945">
        <v>0</v>
      </c>
      <c r="AA64" s="945">
        <v>0</v>
      </c>
      <c r="AB64" s="948"/>
      <c r="AC64" s="948"/>
      <c r="AD64" s="948"/>
      <c r="AE64" s="948"/>
      <c r="AF64" s="948"/>
      <c r="AG64" s="948"/>
      <c r="AH64" s="948"/>
      <c r="AI64" s="948"/>
      <c r="AJ64" s="948"/>
      <c r="AK64" s="948"/>
      <c r="AL64" s="948"/>
      <c r="AM64" s="948"/>
      <c r="AN64" s="945">
        <v>0</v>
      </c>
      <c r="AO64" s="959" t="s">
        <v>1308</v>
      </c>
      <c r="AP64" s="950">
        <v>0</v>
      </c>
      <c r="AQ64" s="950">
        <v>0</v>
      </c>
      <c r="AR64" s="950">
        <v>11879000</v>
      </c>
      <c r="AS64" s="950">
        <v>10024000</v>
      </c>
      <c r="AT64" s="950">
        <v>17764000</v>
      </c>
      <c r="AU64" s="951"/>
      <c r="AV64" s="960">
        <v>39667000</v>
      </c>
      <c r="AW64" s="950">
        <v>0</v>
      </c>
      <c r="AX64" s="2334">
        <v>0.26625177099352104</v>
      </c>
      <c r="AZ64" s="953"/>
      <c r="BA64" s="1015"/>
      <c r="BB64" s="1016"/>
      <c r="BC64" s="954"/>
      <c r="BD64" s="956"/>
      <c r="BE64" s="956"/>
      <c r="BF64" s="956"/>
      <c r="BG64" s="956"/>
      <c r="BH64" s="957"/>
    </row>
    <row r="65" spans="1:60" outlineLevel="1">
      <c r="A65" s="574" t="s">
        <v>721</v>
      </c>
      <c r="B65" s="751" t="s">
        <v>1270</v>
      </c>
      <c r="C65" s="991">
        <v>42374000</v>
      </c>
      <c r="D65" s="973">
        <v>30695265</v>
      </c>
      <c r="E65" s="942">
        <v>11678735</v>
      </c>
      <c r="F65" s="943"/>
      <c r="G65" s="944"/>
      <c r="H65" s="945">
        <v>0</v>
      </c>
      <c r="I65" s="2441">
        <f t="shared" si="8"/>
        <v>0</v>
      </c>
      <c r="J65" s="2441"/>
      <c r="K65" s="2441">
        <f t="shared" si="9"/>
        <v>0</v>
      </c>
      <c r="L65" s="2453"/>
      <c r="M65" s="2453">
        <f t="shared" si="10"/>
        <v>0</v>
      </c>
      <c r="N65" s="946"/>
      <c r="O65" s="947"/>
      <c r="P65" s="947"/>
      <c r="Q65" s="947"/>
      <c r="R65" s="947"/>
      <c r="S65" s="947"/>
      <c r="T65" s="947"/>
      <c r="U65" s="947"/>
      <c r="V65" s="946"/>
      <c r="W65" s="946"/>
      <c r="X65" s="946"/>
      <c r="Y65" s="946"/>
      <c r="Z65" s="945">
        <v>0</v>
      </c>
      <c r="AA65" s="945">
        <v>0</v>
      </c>
      <c r="AB65" s="948"/>
      <c r="AC65" s="948"/>
      <c r="AD65" s="948"/>
      <c r="AE65" s="948"/>
      <c r="AF65" s="948"/>
      <c r="AG65" s="948"/>
      <c r="AH65" s="948"/>
      <c r="AI65" s="948"/>
      <c r="AJ65" s="948"/>
      <c r="AK65" s="948"/>
      <c r="AL65" s="948"/>
      <c r="AM65" s="948"/>
      <c r="AN65" s="945">
        <v>0</v>
      </c>
      <c r="AO65" s="959" t="s">
        <v>1308</v>
      </c>
      <c r="AP65" s="950">
        <v>0</v>
      </c>
      <c r="AQ65" s="950">
        <v>0</v>
      </c>
      <c r="AR65" s="950">
        <v>0</v>
      </c>
      <c r="AS65" s="950">
        <v>8160000</v>
      </c>
      <c r="AT65" s="950">
        <v>34214000</v>
      </c>
      <c r="AU65" s="951"/>
      <c r="AV65" s="960">
        <v>42374000</v>
      </c>
      <c r="AW65" s="950">
        <v>0</v>
      </c>
      <c r="AX65" s="2334">
        <v>0.27561086987303535</v>
      </c>
      <c r="AZ65" s="953"/>
      <c r="BA65" s="1015"/>
      <c r="BB65" s="1016"/>
      <c r="BC65" s="954"/>
      <c r="BD65" s="956"/>
      <c r="BE65" s="956"/>
      <c r="BF65" s="956"/>
      <c r="BG65" s="956"/>
      <c r="BH65" s="957"/>
    </row>
    <row r="66" spans="1:60" outlineLevel="1">
      <c r="A66" s="574"/>
      <c r="B66" s="751"/>
      <c r="C66" s="991"/>
      <c r="D66" s="942"/>
      <c r="E66" s="942">
        <v>0</v>
      </c>
      <c r="F66" s="943"/>
      <c r="G66" s="944"/>
      <c r="H66" s="945"/>
      <c r="I66" s="2441">
        <f t="shared" si="8"/>
        <v>0</v>
      </c>
      <c r="J66" s="2441"/>
      <c r="K66" s="2441">
        <f t="shared" si="9"/>
        <v>0</v>
      </c>
      <c r="L66" s="2453"/>
      <c r="M66" s="2453">
        <f t="shared" si="10"/>
        <v>0</v>
      </c>
      <c r="N66" s="946"/>
      <c r="O66" s="947"/>
      <c r="P66" s="947"/>
      <c r="Q66" s="947"/>
      <c r="R66" s="946"/>
      <c r="S66" s="946"/>
      <c r="T66" s="947"/>
      <c r="U66" s="947"/>
      <c r="V66" s="946"/>
      <c r="W66" s="946"/>
      <c r="X66" s="946"/>
      <c r="Y66" s="946"/>
      <c r="Z66" s="945"/>
      <c r="AA66" s="945"/>
      <c r="AB66" s="948"/>
      <c r="AC66" s="948"/>
      <c r="AD66" s="948"/>
      <c r="AE66" s="948"/>
      <c r="AF66" s="948"/>
      <c r="AG66" s="948"/>
      <c r="AH66" s="948"/>
      <c r="AI66" s="948"/>
      <c r="AJ66" s="948"/>
      <c r="AK66" s="948"/>
      <c r="AL66" s="948"/>
      <c r="AM66" s="948"/>
      <c r="AN66" s="945"/>
      <c r="AO66" s="959"/>
      <c r="AP66" s="950"/>
      <c r="AQ66" s="950"/>
      <c r="AR66" s="950"/>
      <c r="AS66" s="950"/>
      <c r="AT66" s="950"/>
      <c r="AU66" s="951"/>
      <c r="AV66" s="960"/>
      <c r="AW66" s="950">
        <v>0</v>
      </c>
      <c r="AZ66" s="953"/>
      <c r="BA66" s="1015"/>
      <c r="BB66" s="1016"/>
      <c r="BC66" s="954"/>
      <c r="BD66" s="956"/>
      <c r="BE66" s="956"/>
      <c r="BF66" s="956"/>
      <c r="BG66" s="956"/>
      <c r="BH66" s="957"/>
    </row>
    <row r="67" spans="1:60" s="912" customFormat="1" ht="16.2" thickBot="1">
      <c r="A67" s="1001" t="s">
        <v>1271</v>
      </c>
      <c r="B67" s="1002"/>
      <c r="C67" s="1003">
        <v>371542827</v>
      </c>
      <c r="D67" s="1003">
        <v>264822376</v>
      </c>
      <c r="E67" s="1003">
        <v>106720451</v>
      </c>
      <c r="F67" s="1017">
        <v>80448120</v>
      </c>
      <c r="G67" s="1017">
        <v>37180500</v>
      </c>
      <c r="H67" s="1017">
        <v>36275750</v>
      </c>
      <c r="I67" s="2450">
        <f>SUM(I36:I66)</f>
        <v>104079870</v>
      </c>
      <c r="J67" s="2450">
        <f t="shared" ref="J67:K67" si="11">SUM(J36:J66)</f>
        <v>104079870</v>
      </c>
      <c r="K67" s="2450">
        <f t="shared" si="11"/>
        <v>0</v>
      </c>
      <c r="L67" s="2455">
        <f t="shared" ref="L67" si="12">SUM(L36:L66)</f>
        <v>101729870</v>
      </c>
      <c r="M67" s="2455">
        <f t="shared" ref="M67" si="13">SUM(M36:M66)</f>
        <v>2350000</v>
      </c>
      <c r="N67" s="1018">
        <v>2796000</v>
      </c>
      <c r="O67" s="1018">
        <v>4280250</v>
      </c>
      <c r="P67" s="1018">
        <v>2100000</v>
      </c>
      <c r="Q67" s="1018">
        <v>2277500</v>
      </c>
      <c r="R67" s="1018">
        <v>2510000</v>
      </c>
      <c r="S67" s="1018">
        <v>3574750</v>
      </c>
      <c r="T67" s="1018">
        <v>3861250</v>
      </c>
      <c r="U67" s="1018">
        <v>2232000</v>
      </c>
      <c r="V67" s="1018">
        <v>3145000</v>
      </c>
      <c r="W67" s="1018">
        <v>2399000</v>
      </c>
      <c r="X67" s="1018">
        <v>3515000</v>
      </c>
      <c r="Y67" s="1018">
        <v>3585000</v>
      </c>
      <c r="Z67" s="1017">
        <v>116723870</v>
      </c>
      <c r="AA67" s="1017">
        <v>37882250</v>
      </c>
      <c r="AB67" s="1017">
        <v>2868000</v>
      </c>
      <c r="AC67" s="1017">
        <v>2003500</v>
      </c>
      <c r="AD67" s="1017">
        <v>3314750</v>
      </c>
      <c r="AE67" s="1017">
        <v>4339000</v>
      </c>
      <c r="AF67" s="1017">
        <v>2765000</v>
      </c>
      <c r="AG67" s="1017">
        <v>2579000</v>
      </c>
      <c r="AH67" s="1017">
        <v>3653500</v>
      </c>
      <c r="AI67" s="1017">
        <v>3139000</v>
      </c>
      <c r="AJ67" s="1017">
        <v>3077500</v>
      </c>
      <c r="AK67" s="1017">
        <v>3607500</v>
      </c>
      <c r="AL67" s="1017">
        <v>3287500</v>
      </c>
      <c r="AM67" s="1017">
        <v>3248000</v>
      </c>
      <c r="AN67" s="1017">
        <v>154606120</v>
      </c>
      <c r="AO67" s="1004"/>
      <c r="AP67" s="1003">
        <v>37955540</v>
      </c>
      <c r="AQ67" s="1003">
        <v>39058000</v>
      </c>
      <c r="AR67" s="1003">
        <v>39345667</v>
      </c>
      <c r="AS67" s="1003">
        <v>38785500</v>
      </c>
      <c r="AT67" s="1003">
        <v>61792000</v>
      </c>
      <c r="AU67" s="1005"/>
      <c r="AV67" s="1019">
        <v>371542827</v>
      </c>
      <c r="AW67" s="950">
        <v>0</v>
      </c>
      <c r="AZ67" s="1020"/>
      <c r="BA67" s="1006">
        <v>21399750</v>
      </c>
      <c r="BB67" s="1006">
        <v>14876000</v>
      </c>
      <c r="BC67" s="1006">
        <v>2232000</v>
      </c>
      <c r="BD67" s="1006">
        <v>3145000</v>
      </c>
      <c r="BE67" s="1006">
        <v>2399000</v>
      </c>
      <c r="BF67" s="1006">
        <v>3515000</v>
      </c>
      <c r="BG67" s="1006">
        <v>3585000</v>
      </c>
      <c r="BH67" s="1006">
        <v>36275750</v>
      </c>
    </row>
    <row r="68" spans="1:60" s="912" customFormat="1" ht="16.8" thickTop="1" thickBot="1">
      <c r="A68" s="1021" t="s">
        <v>1357</v>
      </c>
      <c r="B68" s="1022"/>
      <c r="C68" s="1023">
        <v>1023266720</v>
      </c>
      <c r="D68" s="1023">
        <v>711026176</v>
      </c>
      <c r="E68" s="1023">
        <v>312240544</v>
      </c>
      <c r="F68" s="1024">
        <v>143501081</v>
      </c>
      <c r="G68" s="1024">
        <v>67920500</v>
      </c>
      <c r="H68" s="1024">
        <v>60970250</v>
      </c>
      <c r="I68" s="2449">
        <f>I67+I35</f>
        <v>176164831</v>
      </c>
      <c r="J68" s="2449">
        <f t="shared" ref="J68:K68" si="14">J67+J35</f>
        <v>176164831</v>
      </c>
      <c r="K68" s="2449">
        <f t="shared" si="14"/>
        <v>0</v>
      </c>
      <c r="L68" s="2456">
        <f t="shared" ref="L68" si="15">L67+L35</f>
        <v>168593031</v>
      </c>
      <c r="M68" s="2457">
        <f t="shared" ref="M68" si="16">M67+M35</f>
        <v>7571800</v>
      </c>
      <c r="N68" s="1025">
        <v>3221000</v>
      </c>
      <c r="O68" s="1025">
        <v>4997750</v>
      </c>
      <c r="P68" s="1025">
        <v>3765000</v>
      </c>
      <c r="Q68" s="1025">
        <v>3850500</v>
      </c>
      <c r="R68" s="1025">
        <v>3905000</v>
      </c>
      <c r="S68" s="1025">
        <v>4222250</v>
      </c>
      <c r="T68" s="1025">
        <v>4729250</v>
      </c>
      <c r="U68" s="1025">
        <v>3973000</v>
      </c>
      <c r="V68" s="1025">
        <v>5480000</v>
      </c>
      <c r="W68" s="1025">
        <v>3782000</v>
      </c>
      <c r="X68" s="1025">
        <v>6480000</v>
      </c>
      <c r="Y68" s="1025">
        <v>12564500</v>
      </c>
      <c r="Z68" s="1024">
        <v>204471331</v>
      </c>
      <c r="AA68" s="1024">
        <v>76015532</v>
      </c>
      <c r="AB68" s="1024">
        <v>7394168</v>
      </c>
      <c r="AC68" s="1024">
        <v>5115950</v>
      </c>
      <c r="AD68" s="1024">
        <v>6995918</v>
      </c>
      <c r="AE68" s="1024">
        <v>5517168</v>
      </c>
      <c r="AF68" s="1024">
        <v>6099168</v>
      </c>
      <c r="AG68" s="1024">
        <v>3757168</v>
      </c>
      <c r="AH68" s="1024">
        <v>8010068</v>
      </c>
      <c r="AI68" s="1024">
        <v>4487168</v>
      </c>
      <c r="AJ68" s="1024">
        <v>4425668</v>
      </c>
      <c r="AK68" s="1024">
        <v>5743668</v>
      </c>
      <c r="AL68" s="1024">
        <v>5423668</v>
      </c>
      <c r="AM68" s="1024">
        <v>13045752</v>
      </c>
      <c r="AN68" s="1024">
        <v>280486863</v>
      </c>
      <c r="AO68" s="1026"/>
      <c r="AP68" s="1023">
        <v>75884390</v>
      </c>
      <c r="AQ68" s="1023">
        <v>77852850</v>
      </c>
      <c r="AR68" s="1023">
        <v>80153517</v>
      </c>
      <c r="AS68" s="1023">
        <v>83656350</v>
      </c>
      <c r="AT68" s="1023">
        <v>425232750</v>
      </c>
      <c r="AU68" s="1005"/>
      <c r="AV68" s="1027">
        <v>1023266720</v>
      </c>
      <c r="AW68" s="1023">
        <v>0</v>
      </c>
      <c r="AZ68" s="934"/>
      <c r="BA68" s="1028">
        <v>28690750</v>
      </c>
      <c r="BB68" s="1028">
        <v>32279500</v>
      </c>
      <c r="BC68" s="1028">
        <v>3973000</v>
      </c>
      <c r="BD68" s="1028">
        <v>5480000</v>
      </c>
      <c r="BE68" s="1028">
        <v>3782000</v>
      </c>
      <c r="BF68" s="1028">
        <v>6480000</v>
      </c>
      <c r="BG68" s="1028">
        <v>12564500</v>
      </c>
      <c r="BH68" s="1028">
        <v>60970250</v>
      </c>
    </row>
    <row r="69" spans="1:60" ht="16.2" thickTop="1">
      <c r="A69" s="663"/>
      <c r="B69" s="663"/>
      <c r="C69" s="663"/>
      <c r="D69" s="663"/>
      <c r="E69" s="663"/>
      <c r="F69" s="901"/>
      <c r="G69" s="956">
        <v>0</v>
      </c>
      <c r="M69" s="889"/>
      <c r="AU69" s="1029"/>
    </row>
    <row r="70" spans="1:60">
      <c r="A70" s="663"/>
      <c r="B70" s="663"/>
      <c r="C70" s="663"/>
      <c r="D70" s="663"/>
      <c r="E70" s="663"/>
      <c r="F70" s="901"/>
      <c r="I70" s="2458" t="s">
        <v>2509</v>
      </c>
      <c r="J70" s="1851"/>
      <c r="K70" s="1851"/>
      <c r="L70" s="1851"/>
      <c r="M70" s="1851"/>
      <c r="AU70" s="1029"/>
    </row>
    <row r="71" spans="1:60">
      <c r="A71" s="663"/>
      <c r="B71" s="663"/>
      <c r="C71" s="663"/>
      <c r="D71" s="663"/>
      <c r="E71" s="663"/>
      <c r="F71" s="901"/>
      <c r="I71" s="2458" t="s">
        <v>2510</v>
      </c>
      <c r="J71" s="1851"/>
      <c r="K71" s="1851"/>
      <c r="L71" s="1851"/>
      <c r="M71" s="1851"/>
      <c r="AU71" s="1029"/>
    </row>
    <row r="72" spans="1:60">
      <c r="A72" s="1030" t="s">
        <v>1358</v>
      </c>
      <c r="B72" s="1031"/>
      <c r="C72" s="1032"/>
      <c r="D72" s="1032"/>
      <c r="E72" s="1032"/>
      <c r="F72" s="1033"/>
      <c r="G72" s="1034"/>
      <c r="H72" s="1034"/>
      <c r="N72" s="1034"/>
      <c r="O72" s="1034"/>
      <c r="P72" s="1034"/>
      <c r="Q72" s="1034"/>
      <c r="R72" s="1034"/>
      <c r="S72" s="1034"/>
      <c r="T72" s="1034"/>
      <c r="U72" s="1034"/>
      <c r="V72" s="1034"/>
      <c r="W72" s="1034"/>
      <c r="X72" s="1034"/>
      <c r="Y72" s="1034"/>
      <c r="Z72" s="1034"/>
      <c r="AA72" s="1034"/>
      <c r="AB72" s="1034"/>
      <c r="AC72" s="1034"/>
      <c r="AD72" s="1034"/>
      <c r="AE72" s="1034"/>
      <c r="AF72" s="1034"/>
      <c r="AG72" s="1034"/>
      <c r="AH72" s="1034"/>
      <c r="AI72" s="1034"/>
      <c r="AJ72" s="1034"/>
      <c r="AK72" s="1034"/>
      <c r="AL72" s="1034"/>
      <c r="AM72" s="1034"/>
      <c r="AN72" s="1034"/>
    </row>
    <row r="73" spans="1:60">
      <c r="A73" s="1035"/>
      <c r="B73" s="1036"/>
      <c r="C73" s="1037"/>
      <c r="D73" s="1038"/>
      <c r="E73" s="1039"/>
      <c r="F73" s="1040"/>
    </row>
    <row r="74" spans="1:60" s="912" customFormat="1" ht="31.2">
      <c r="A74" s="2481" t="s">
        <v>1359</v>
      </c>
      <c r="B74" s="2483" t="s">
        <v>1360</v>
      </c>
      <c r="C74" s="2485" t="s">
        <v>1290</v>
      </c>
      <c r="D74" s="2485" t="s">
        <v>1291</v>
      </c>
      <c r="E74" s="2485" t="s">
        <v>1292</v>
      </c>
      <c r="F74" s="2486" t="s">
        <v>1293</v>
      </c>
      <c r="G74" s="903" t="s">
        <v>1238</v>
      </c>
      <c r="H74" s="904" t="s">
        <v>1239</v>
      </c>
      <c r="I74" s="2443"/>
      <c r="J74" s="2443"/>
      <c r="K74" s="2443"/>
      <c r="L74" s="2443"/>
      <c r="M74" s="2443"/>
      <c r="N74" s="905">
        <v>46023</v>
      </c>
      <c r="O74" s="905">
        <v>46054</v>
      </c>
      <c r="P74" s="905">
        <v>46082</v>
      </c>
      <c r="Q74" s="905">
        <v>46113</v>
      </c>
      <c r="R74" s="905">
        <v>46143</v>
      </c>
      <c r="S74" s="905">
        <v>46174</v>
      </c>
      <c r="T74" s="905">
        <v>46204</v>
      </c>
      <c r="U74" s="905">
        <v>46235</v>
      </c>
      <c r="V74" s="905">
        <v>46266</v>
      </c>
      <c r="W74" s="905">
        <v>46296</v>
      </c>
      <c r="X74" s="905">
        <v>46327</v>
      </c>
      <c r="Y74" s="905">
        <v>46357</v>
      </c>
      <c r="Z74" s="906" t="s">
        <v>1273</v>
      </c>
      <c r="AA74" s="904" t="s">
        <v>1294</v>
      </c>
      <c r="AB74" s="905">
        <v>46023</v>
      </c>
      <c r="AC74" s="905">
        <v>46054</v>
      </c>
      <c r="AD74" s="905">
        <v>46082</v>
      </c>
      <c r="AE74" s="905">
        <v>46113</v>
      </c>
      <c r="AF74" s="905">
        <v>46143</v>
      </c>
      <c r="AG74" s="905">
        <v>46174</v>
      </c>
      <c r="AH74" s="905">
        <v>46204</v>
      </c>
      <c r="AI74" s="905">
        <v>46235</v>
      </c>
      <c r="AJ74" s="905">
        <v>46266</v>
      </c>
      <c r="AK74" s="905">
        <v>46296</v>
      </c>
      <c r="AL74" s="905">
        <v>46327</v>
      </c>
      <c r="AM74" s="905">
        <v>46357</v>
      </c>
      <c r="AN74" s="907" t="s">
        <v>1295</v>
      </c>
      <c r="AO74" s="940"/>
      <c r="AP74" s="909">
        <v>47088</v>
      </c>
      <c r="AQ74" s="910">
        <v>47453</v>
      </c>
      <c r="AR74" s="910">
        <v>47818</v>
      </c>
      <c r="AS74" s="911">
        <v>48183</v>
      </c>
      <c r="AT74" s="911" t="s">
        <v>1297</v>
      </c>
      <c r="AV74" s="1041"/>
      <c r="AW74" s="1041"/>
    </row>
    <row r="75" spans="1:60" s="912" customFormat="1">
      <c r="A75" s="2482"/>
      <c r="B75" s="2484"/>
      <c r="C75" s="2480"/>
      <c r="D75" s="2480"/>
      <c r="E75" s="2480"/>
      <c r="F75" s="2487"/>
      <c r="G75" s="1042" t="s">
        <v>1300</v>
      </c>
      <c r="H75" s="926" t="s">
        <v>1300</v>
      </c>
      <c r="I75" s="2446"/>
      <c r="J75" s="2446"/>
      <c r="K75" s="2446"/>
      <c r="L75" s="2446"/>
      <c r="M75" s="2446"/>
      <c r="N75" s="924" t="s">
        <v>1301</v>
      </c>
      <c r="O75" s="924" t="s">
        <v>1301</v>
      </c>
      <c r="P75" s="924" t="s">
        <v>1301</v>
      </c>
      <c r="Q75" s="924" t="s">
        <v>1301</v>
      </c>
      <c r="R75" s="924" t="s">
        <v>1301</v>
      </c>
      <c r="S75" s="924" t="s">
        <v>1301</v>
      </c>
      <c r="T75" s="924" t="s">
        <v>1301</v>
      </c>
      <c r="U75" s="924" t="s">
        <v>1301</v>
      </c>
      <c r="V75" s="926" t="s">
        <v>1303</v>
      </c>
      <c r="W75" s="926" t="s">
        <v>1303</v>
      </c>
      <c r="X75" s="926" t="s">
        <v>1303</v>
      </c>
      <c r="Y75" s="926" t="s">
        <v>1303</v>
      </c>
      <c r="Z75" s="926" t="s">
        <v>1303</v>
      </c>
      <c r="AA75" s="926" t="s">
        <v>1300</v>
      </c>
      <c r="AB75" s="926" t="s">
        <v>1241</v>
      </c>
      <c r="AC75" s="926" t="s">
        <v>1241</v>
      </c>
      <c r="AD75" s="926" t="s">
        <v>1241</v>
      </c>
      <c r="AE75" s="926" t="s">
        <v>1241</v>
      </c>
      <c r="AF75" s="926" t="s">
        <v>1241</v>
      </c>
      <c r="AG75" s="926" t="s">
        <v>1241</v>
      </c>
      <c r="AH75" s="926" t="s">
        <v>1241</v>
      </c>
      <c r="AI75" s="926" t="s">
        <v>1241</v>
      </c>
      <c r="AJ75" s="926" t="s">
        <v>1241</v>
      </c>
      <c r="AK75" s="926" t="s">
        <v>1241</v>
      </c>
      <c r="AL75" s="926" t="s">
        <v>1241</v>
      </c>
      <c r="AM75" s="926" t="s">
        <v>1241</v>
      </c>
      <c r="AN75" s="926" t="s">
        <v>1303</v>
      </c>
      <c r="AO75" s="940"/>
      <c r="AP75" s="930" t="s">
        <v>1240</v>
      </c>
      <c r="AQ75" s="926" t="s">
        <v>1240</v>
      </c>
      <c r="AR75" s="926" t="s">
        <v>1240</v>
      </c>
      <c r="AS75" s="926" t="s">
        <v>1240</v>
      </c>
      <c r="AT75" s="926" t="s">
        <v>1240</v>
      </c>
      <c r="AV75" s="932" t="s">
        <v>1305</v>
      </c>
      <c r="AW75" s="933" t="s">
        <v>1306</v>
      </c>
    </row>
    <row r="76" spans="1:60">
      <c r="A76" s="1043" t="s">
        <v>1361</v>
      </c>
      <c r="B76" s="948" t="s">
        <v>1362</v>
      </c>
      <c r="C76" s="948">
        <v>978142170</v>
      </c>
      <c r="D76" s="948"/>
      <c r="E76" s="948">
        <v>495661697</v>
      </c>
      <c r="F76" s="1044">
        <v>127938313</v>
      </c>
      <c r="G76" s="944">
        <v>59184000</v>
      </c>
      <c r="H76" s="945">
        <v>50375400</v>
      </c>
      <c r="I76" s="948"/>
      <c r="J76" s="948"/>
      <c r="K76" s="948"/>
      <c r="L76" s="948"/>
      <c r="M76" s="948"/>
      <c r="N76" s="946">
        <v>2200000</v>
      </c>
      <c r="O76" s="948">
        <v>2765000</v>
      </c>
      <c r="P76" s="948">
        <v>3675000</v>
      </c>
      <c r="Q76" s="948">
        <v>2770500</v>
      </c>
      <c r="R76" s="948">
        <v>3585000</v>
      </c>
      <c r="S76" s="948">
        <v>2655000</v>
      </c>
      <c r="T76" s="948">
        <v>3058000</v>
      </c>
      <c r="U76" s="948">
        <v>3836000</v>
      </c>
      <c r="V76" s="948">
        <v>5355000</v>
      </c>
      <c r="W76" s="948">
        <v>3403000</v>
      </c>
      <c r="X76" s="948">
        <v>5130000</v>
      </c>
      <c r="Y76" s="948">
        <v>11942900</v>
      </c>
      <c r="Z76" s="945">
        <v>178313713</v>
      </c>
      <c r="AA76" s="945">
        <v>69182400</v>
      </c>
      <c r="AB76" s="948">
        <v>6454168</v>
      </c>
      <c r="AC76" s="948">
        <v>3091668</v>
      </c>
      <c r="AD76" s="948">
        <v>5668668</v>
      </c>
      <c r="AE76" s="948">
        <v>5117168</v>
      </c>
      <c r="AF76" s="948">
        <v>5779168</v>
      </c>
      <c r="AG76" s="948">
        <v>3703168</v>
      </c>
      <c r="AH76" s="948">
        <v>7469068</v>
      </c>
      <c r="AI76" s="948">
        <v>4433168</v>
      </c>
      <c r="AJ76" s="948">
        <v>4395668</v>
      </c>
      <c r="AK76" s="948">
        <v>5198668</v>
      </c>
      <c r="AL76" s="948">
        <v>4943668</v>
      </c>
      <c r="AM76" s="948">
        <v>12928152</v>
      </c>
      <c r="AN76" s="945">
        <v>247496113</v>
      </c>
      <c r="AP76" s="950">
        <v>72582540</v>
      </c>
      <c r="AQ76" s="950">
        <v>74271000</v>
      </c>
      <c r="AR76" s="950">
        <v>78586667</v>
      </c>
      <c r="AS76" s="950">
        <v>82210500</v>
      </c>
      <c r="AT76" s="950">
        <v>422995350</v>
      </c>
      <c r="AU76" s="958"/>
      <c r="AV76" s="960">
        <v>978142170</v>
      </c>
      <c r="AW76" s="950">
        <v>0</v>
      </c>
    </row>
    <row r="77" spans="1:60">
      <c r="A77" s="1043" t="s">
        <v>1363</v>
      </c>
      <c r="B77" s="948" t="s">
        <v>1364</v>
      </c>
      <c r="C77" s="948">
        <v>2090000</v>
      </c>
      <c r="D77" s="948"/>
      <c r="E77" s="948">
        <v>0</v>
      </c>
      <c r="F77" s="1044">
        <v>890000</v>
      </c>
      <c r="G77" s="944">
        <v>600000</v>
      </c>
      <c r="H77" s="945">
        <v>600000</v>
      </c>
      <c r="I77" s="948"/>
      <c r="J77" s="948"/>
      <c r="K77" s="948"/>
      <c r="L77" s="948"/>
      <c r="M77" s="948"/>
      <c r="N77" s="946">
        <v>0</v>
      </c>
      <c r="O77" s="948">
        <v>0</v>
      </c>
      <c r="P77" s="948">
        <v>0</v>
      </c>
      <c r="Q77" s="948">
        <v>600000</v>
      </c>
      <c r="R77" s="948">
        <v>0</v>
      </c>
      <c r="S77" s="948">
        <v>0</v>
      </c>
      <c r="T77" s="948">
        <v>0</v>
      </c>
      <c r="U77" s="948">
        <v>0</v>
      </c>
      <c r="V77" s="948">
        <v>0</v>
      </c>
      <c r="W77" s="948">
        <v>0</v>
      </c>
      <c r="X77" s="948">
        <v>0</v>
      </c>
      <c r="Y77" s="948">
        <v>0</v>
      </c>
      <c r="Z77" s="945">
        <v>1490000</v>
      </c>
      <c r="AA77" s="945">
        <v>600000</v>
      </c>
      <c r="AB77" s="948">
        <v>600000</v>
      </c>
      <c r="AC77" s="948">
        <v>0</v>
      </c>
      <c r="AD77" s="948">
        <v>0</v>
      </c>
      <c r="AE77" s="948">
        <v>0</v>
      </c>
      <c r="AF77" s="948">
        <v>0</v>
      </c>
      <c r="AG77" s="948">
        <v>0</v>
      </c>
      <c r="AH77" s="948">
        <v>0</v>
      </c>
      <c r="AI77" s="948">
        <v>0</v>
      </c>
      <c r="AJ77" s="948">
        <v>0</v>
      </c>
      <c r="AK77" s="948">
        <v>0</v>
      </c>
      <c r="AL77" s="948">
        <v>0</v>
      </c>
      <c r="AM77" s="948">
        <v>0</v>
      </c>
      <c r="AN77" s="945">
        <v>2090000</v>
      </c>
      <c r="AP77" s="950">
        <v>0</v>
      </c>
      <c r="AQ77" s="950">
        <v>0</v>
      </c>
      <c r="AR77" s="950">
        <v>0</v>
      </c>
      <c r="AS77" s="950">
        <v>0</v>
      </c>
      <c r="AT77" s="950">
        <v>0</v>
      </c>
      <c r="AU77" s="958"/>
      <c r="AV77" s="960">
        <v>2090000</v>
      </c>
      <c r="AW77" s="950">
        <v>0</v>
      </c>
    </row>
    <row r="78" spans="1:60">
      <c r="A78" s="1043" t="s">
        <v>1365</v>
      </c>
      <c r="B78" s="948" t="s">
        <v>1366</v>
      </c>
      <c r="C78" s="948">
        <v>21342000</v>
      </c>
      <c r="D78" s="948">
        <v>6743355</v>
      </c>
      <c r="E78" s="948">
        <v>5062145</v>
      </c>
      <c r="F78" s="1044">
        <v>7028250</v>
      </c>
      <c r="G78" s="944">
        <v>2234000</v>
      </c>
      <c r="H78" s="945">
        <v>2975100</v>
      </c>
      <c r="I78" s="948"/>
      <c r="J78" s="948"/>
      <c r="K78" s="948"/>
      <c r="L78" s="948"/>
      <c r="M78" s="948"/>
      <c r="N78" s="946">
        <v>46000</v>
      </c>
      <c r="O78" s="948">
        <v>322500</v>
      </c>
      <c r="P78" s="948">
        <v>90000</v>
      </c>
      <c r="Q78" s="948">
        <v>280000</v>
      </c>
      <c r="R78" s="948">
        <v>320000</v>
      </c>
      <c r="S78" s="948">
        <v>0</v>
      </c>
      <c r="T78" s="948">
        <v>104000</v>
      </c>
      <c r="U78" s="948">
        <v>137000</v>
      </c>
      <c r="V78" s="948">
        <v>125000</v>
      </c>
      <c r="W78" s="948">
        <v>379000</v>
      </c>
      <c r="X78" s="948">
        <v>550000</v>
      </c>
      <c r="Y78" s="948">
        <v>621600</v>
      </c>
      <c r="Z78" s="945">
        <v>10003350</v>
      </c>
      <c r="AA78" s="945">
        <v>2804850</v>
      </c>
      <c r="AB78" s="948">
        <v>340000</v>
      </c>
      <c r="AC78" s="948">
        <v>963250</v>
      </c>
      <c r="AD78" s="948">
        <v>160000</v>
      </c>
      <c r="AE78" s="948">
        <v>0</v>
      </c>
      <c r="AF78" s="948">
        <v>320000</v>
      </c>
      <c r="AG78" s="948">
        <v>54000</v>
      </c>
      <c r="AH78" s="948">
        <v>141000</v>
      </c>
      <c r="AI78" s="948">
        <v>54000</v>
      </c>
      <c r="AJ78" s="948">
        <v>30000</v>
      </c>
      <c r="AK78" s="948">
        <v>145000</v>
      </c>
      <c r="AL78" s="948">
        <v>480000</v>
      </c>
      <c r="AM78" s="948">
        <v>117600</v>
      </c>
      <c r="AN78" s="945">
        <v>12808200</v>
      </c>
      <c r="AP78" s="950">
        <v>1301850</v>
      </c>
      <c r="AQ78" s="950">
        <v>1981850</v>
      </c>
      <c r="AR78" s="950">
        <v>1566850</v>
      </c>
      <c r="AS78" s="950">
        <v>1445850</v>
      </c>
      <c r="AT78" s="950">
        <v>2237400</v>
      </c>
      <c r="AU78" s="958"/>
      <c r="AV78" s="960">
        <v>21342000</v>
      </c>
      <c r="AW78" s="950">
        <v>0</v>
      </c>
    </row>
    <row r="79" spans="1:60">
      <c r="A79" s="1043" t="s">
        <v>1367</v>
      </c>
      <c r="B79" s="948" t="s">
        <v>1368</v>
      </c>
      <c r="C79" s="948">
        <v>21692550</v>
      </c>
      <c r="D79" s="948">
        <v>18854500</v>
      </c>
      <c r="E79" s="948">
        <v>3594518</v>
      </c>
      <c r="F79" s="1044">
        <v>7644518</v>
      </c>
      <c r="G79" s="944">
        <v>5902500</v>
      </c>
      <c r="H79" s="945">
        <v>7019750</v>
      </c>
      <c r="I79" s="948"/>
      <c r="J79" s="948"/>
      <c r="K79" s="948"/>
      <c r="L79" s="948"/>
      <c r="M79" s="948"/>
      <c r="N79" s="946">
        <v>975000</v>
      </c>
      <c r="O79" s="948">
        <v>1910250</v>
      </c>
      <c r="P79" s="948">
        <v>0</v>
      </c>
      <c r="Q79" s="948">
        <v>200000</v>
      </c>
      <c r="R79" s="948">
        <v>0</v>
      </c>
      <c r="S79" s="948">
        <v>1567250</v>
      </c>
      <c r="T79" s="948">
        <v>1567250</v>
      </c>
      <c r="U79" s="948">
        <v>0</v>
      </c>
      <c r="V79" s="948">
        <v>0</v>
      </c>
      <c r="W79" s="948">
        <v>0</v>
      </c>
      <c r="X79" s="948">
        <v>800000</v>
      </c>
      <c r="Y79" s="948">
        <v>0</v>
      </c>
      <c r="Z79" s="945">
        <v>14664268</v>
      </c>
      <c r="AA79" s="945">
        <v>3428282</v>
      </c>
      <c r="AB79" s="948">
        <v>0</v>
      </c>
      <c r="AC79" s="948">
        <v>1061032</v>
      </c>
      <c r="AD79" s="948">
        <v>1167250</v>
      </c>
      <c r="AE79" s="948">
        <v>400000</v>
      </c>
      <c r="AF79" s="948">
        <v>0</v>
      </c>
      <c r="AG79" s="948">
        <v>0</v>
      </c>
      <c r="AH79" s="948">
        <v>400000</v>
      </c>
      <c r="AI79" s="948">
        <v>0</v>
      </c>
      <c r="AJ79" s="948">
        <v>0</v>
      </c>
      <c r="AK79" s="948">
        <v>400000</v>
      </c>
      <c r="AL79" s="948">
        <v>0</v>
      </c>
      <c r="AM79" s="948">
        <v>0</v>
      </c>
      <c r="AN79" s="945">
        <v>18092550</v>
      </c>
      <c r="AP79" s="950">
        <v>2000000</v>
      </c>
      <c r="AQ79" s="950">
        <v>1600000</v>
      </c>
      <c r="AR79" s="950">
        <v>0</v>
      </c>
      <c r="AS79" s="950">
        <v>0</v>
      </c>
      <c r="AT79" s="950">
        <v>0</v>
      </c>
      <c r="AU79" s="958"/>
      <c r="AV79" s="960">
        <v>21692550</v>
      </c>
      <c r="AW79" s="950">
        <v>0</v>
      </c>
    </row>
    <row r="80" spans="1:60">
      <c r="A80" s="1043" t="s">
        <v>1369</v>
      </c>
      <c r="B80" s="948" t="s">
        <v>1370</v>
      </c>
      <c r="C80" s="948">
        <v>0</v>
      </c>
      <c r="D80" s="948">
        <v>0</v>
      </c>
      <c r="E80" s="948">
        <v>0</v>
      </c>
      <c r="F80" s="1044">
        <v>0</v>
      </c>
      <c r="G80" s="944">
        <v>0</v>
      </c>
      <c r="H80" s="945">
        <v>0</v>
      </c>
      <c r="I80" s="948"/>
      <c r="J80" s="948"/>
      <c r="K80" s="948"/>
      <c r="L80" s="948"/>
      <c r="M80" s="948"/>
      <c r="N80" s="946">
        <v>0</v>
      </c>
      <c r="O80" s="948">
        <v>0</v>
      </c>
      <c r="P80" s="948">
        <v>0</v>
      </c>
      <c r="Q80" s="948">
        <v>0</v>
      </c>
      <c r="R80" s="948">
        <v>0</v>
      </c>
      <c r="S80" s="948">
        <v>0</v>
      </c>
      <c r="T80" s="948">
        <v>0</v>
      </c>
      <c r="U80" s="948">
        <v>0</v>
      </c>
      <c r="V80" s="948">
        <v>0</v>
      </c>
      <c r="W80" s="948">
        <v>0</v>
      </c>
      <c r="X80" s="948">
        <v>0</v>
      </c>
      <c r="Y80" s="948">
        <v>0</v>
      </c>
      <c r="Z80" s="945">
        <v>0</v>
      </c>
      <c r="AA80" s="945">
        <v>0</v>
      </c>
      <c r="AB80" s="948">
        <v>0</v>
      </c>
      <c r="AC80" s="948">
        <v>0</v>
      </c>
      <c r="AD80" s="948">
        <v>0</v>
      </c>
      <c r="AE80" s="948">
        <v>0</v>
      </c>
      <c r="AF80" s="948">
        <v>0</v>
      </c>
      <c r="AG80" s="948">
        <v>0</v>
      </c>
      <c r="AH80" s="948">
        <v>0</v>
      </c>
      <c r="AI80" s="948">
        <v>0</v>
      </c>
      <c r="AJ80" s="948">
        <v>0</v>
      </c>
      <c r="AK80" s="948">
        <v>0</v>
      </c>
      <c r="AL80" s="948">
        <v>0</v>
      </c>
      <c r="AM80" s="948">
        <v>0</v>
      </c>
      <c r="AN80" s="945">
        <v>0</v>
      </c>
      <c r="AP80" s="950">
        <v>0</v>
      </c>
      <c r="AQ80" s="950">
        <v>0</v>
      </c>
      <c r="AR80" s="950">
        <v>0</v>
      </c>
      <c r="AS80" s="950">
        <v>0</v>
      </c>
      <c r="AT80" s="950">
        <v>0</v>
      </c>
      <c r="AU80" s="958"/>
      <c r="AV80" s="960">
        <v>0</v>
      </c>
      <c r="AW80" s="950">
        <v>0</v>
      </c>
    </row>
    <row r="81" spans="1:49" s="912" customFormat="1" ht="16.2" thickBot="1">
      <c r="A81" s="1045"/>
      <c r="B81" s="1045" t="s">
        <v>1272</v>
      </c>
      <c r="C81" s="1046">
        <v>1023266720</v>
      </c>
      <c r="D81" s="1046">
        <v>25597855</v>
      </c>
      <c r="E81" s="1046">
        <v>504318360</v>
      </c>
      <c r="F81" s="1046">
        <v>143501081</v>
      </c>
      <c r="G81" s="1046">
        <v>67920500</v>
      </c>
      <c r="H81" s="1046">
        <v>60970250</v>
      </c>
      <c r="I81" s="2445"/>
      <c r="J81" s="2445"/>
      <c r="K81" s="2445"/>
      <c r="L81" s="2445"/>
      <c r="M81" s="2445"/>
      <c r="N81" s="1047">
        <v>3221000</v>
      </c>
      <c r="O81" s="1046">
        <v>4997750</v>
      </c>
      <c r="P81" s="1046">
        <v>3765000</v>
      </c>
      <c r="Q81" s="1046">
        <v>3850500</v>
      </c>
      <c r="R81" s="1046">
        <v>3905000</v>
      </c>
      <c r="S81" s="1046">
        <v>4222250</v>
      </c>
      <c r="T81" s="1046">
        <v>4729250</v>
      </c>
      <c r="U81" s="1046">
        <v>3973000</v>
      </c>
      <c r="V81" s="1046">
        <v>5480000</v>
      </c>
      <c r="W81" s="1046">
        <v>3782000</v>
      </c>
      <c r="X81" s="1046">
        <v>6480000</v>
      </c>
      <c r="Y81" s="1046">
        <v>12564500</v>
      </c>
      <c r="Z81" s="1046">
        <v>204471331</v>
      </c>
      <c r="AA81" s="1046">
        <v>76015532</v>
      </c>
      <c r="AB81" s="1046">
        <v>7394168</v>
      </c>
      <c r="AC81" s="1046">
        <v>5115950</v>
      </c>
      <c r="AD81" s="1046">
        <v>6995918</v>
      </c>
      <c r="AE81" s="1046">
        <v>5517168</v>
      </c>
      <c r="AF81" s="1046">
        <v>6099168</v>
      </c>
      <c r="AG81" s="1046">
        <v>3757168</v>
      </c>
      <c r="AH81" s="1046">
        <v>8010068</v>
      </c>
      <c r="AI81" s="1046">
        <v>4487168</v>
      </c>
      <c r="AJ81" s="1046">
        <v>4425668</v>
      </c>
      <c r="AK81" s="1046">
        <v>5743668</v>
      </c>
      <c r="AL81" s="1046">
        <v>5423668</v>
      </c>
      <c r="AM81" s="1046">
        <v>13045752</v>
      </c>
      <c r="AN81" s="1046">
        <v>280486863</v>
      </c>
      <c r="AO81" s="940"/>
      <c r="AP81" s="1048">
        <v>75884390</v>
      </c>
      <c r="AQ81" s="1048">
        <v>77852850</v>
      </c>
      <c r="AR81" s="1048">
        <v>80153517</v>
      </c>
      <c r="AS81" s="1048">
        <v>83656350</v>
      </c>
      <c r="AT81" s="1048">
        <v>425232750</v>
      </c>
      <c r="AV81" s="1049">
        <v>1023266720</v>
      </c>
      <c r="AW81" s="1048">
        <v>0</v>
      </c>
    </row>
    <row r="82" spans="1:49">
      <c r="A82" s="663"/>
      <c r="B82" s="1050" t="s">
        <v>1371</v>
      </c>
      <c r="C82" s="1051"/>
      <c r="D82" s="1052"/>
      <c r="E82" s="1052"/>
      <c r="F82" s="695">
        <v>0</v>
      </c>
      <c r="G82" s="1053">
        <v>0</v>
      </c>
      <c r="H82" s="1053">
        <v>0</v>
      </c>
      <c r="I82" s="2002"/>
      <c r="J82" s="2002"/>
      <c r="K82" s="2002"/>
      <c r="L82" s="2002"/>
      <c r="M82" s="2002"/>
      <c r="N82" s="695">
        <v>0</v>
      </c>
      <c r="O82" s="1053">
        <v>0</v>
      </c>
      <c r="P82" s="1053">
        <v>0</v>
      </c>
      <c r="Q82" s="1053">
        <v>0</v>
      </c>
      <c r="R82" s="1053">
        <v>0</v>
      </c>
      <c r="S82" s="1053">
        <v>0</v>
      </c>
      <c r="T82" s="1053">
        <v>0</v>
      </c>
      <c r="U82" s="1053">
        <v>0</v>
      </c>
      <c r="V82" s="1053">
        <v>0</v>
      </c>
      <c r="W82" s="1053">
        <v>0</v>
      </c>
      <c r="X82" s="1053">
        <v>0</v>
      </c>
      <c r="Y82" s="695">
        <v>0</v>
      </c>
      <c r="Z82" s="1053">
        <v>0</v>
      </c>
      <c r="AA82" s="1053">
        <v>0</v>
      </c>
      <c r="AB82" s="1053">
        <v>0</v>
      </c>
      <c r="AC82" s="1053">
        <v>0</v>
      </c>
      <c r="AD82" s="1053">
        <v>0</v>
      </c>
      <c r="AE82" s="1053">
        <v>0</v>
      </c>
      <c r="AF82" s="1053">
        <v>0</v>
      </c>
      <c r="AG82" s="1053">
        <v>0</v>
      </c>
      <c r="AH82" s="1053">
        <v>0</v>
      </c>
      <c r="AI82" s="1053">
        <v>0</v>
      </c>
      <c r="AJ82" s="1053">
        <v>0</v>
      </c>
      <c r="AK82" s="1053">
        <v>0</v>
      </c>
      <c r="AL82" s="1053">
        <v>0</v>
      </c>
      <c r="AM82" s="1053">
        <v>0</v>
      </c>
      <c r="AN82" s="1053">
        <v>0</v>
      </c>
      <c r="AP82" s="695">
        <v>0</v>
      </c>
      <c r="AQ82" s="1053">
        <v>0</v>
      </c>
      <c r="AR82" s="695">
        <v>0</v>
      </c>
      <c r="AS82" s="695">
        <v>0</v>
      </c>
      <c r="AT82" s="695">
        <v>0</v>
      </c>
      <c r="AV82" s="1054">
        <v>0</v>
      </c>
      <c r="AW82" s="1054">
        <v>0</v>
      </c>
    </row>
    <row r="83" spans="1:49">
      <c r="A83" s="663"/>
      <c r="B83" s="663"/>
      <c r="C83" s="663"/>
      <c r="D83" s="663"/>
      <c r="E83" s="663"/>
      <c r="F83" s="901"/>
    </row>
    <row r="84" spans="1:49">
      <c r="A84" s="534"/>
      <c r="B84" s="663"/>
      <c r="C84" s="663"/>
      <c r="D84" s="663"/>
      <c r="E84" s="663"/>
      <c r="F84" s="901"/>
    </row>
    <row r="85" spans="1:49">
      <c r="A85" s="901"/>
      <c r="B85" s="537"/>
      <c r="C85" s="663"/>
      <c r="D85" s="663"/>
      <c r="E85" s="663"/>
      <c r="F85" s="901"/>
    </row>
    <row r="86" spans="1:49">
      <c r="A86" s="1055"/>
      <c r="B86" s="1056"/>
      <c r="C86" s="1057"/>
      <c r="D86" s="901"/>
      <c r="E86" s="663"/>
      <c r="F86" s="1058"/>
    </row>
    <row r="87" spans="1:49">
      <c r="A87" s="1059"/>
      <c r="B87" s="1060"/>
      <c r="C87" s="1061"/>
      <c r="D87" s="1062"/>
      <c r="E87" s="1063"/>
      <c r="F87" s="1064"/>
      <c r="G87" s="1065"/>
      <c r="H87" s="1065"/>
      <c r="N87" s="1065"/>
      <c r="O87" s="1065"/>
      <c r="P87" s="1065"/>
      <c r="Q87" s="1065"/>
      <c r="R87" s="1065"/>
      <c r="S87" s="1065"/>
      <c r="T87" s="1065"/>
      <c r="U87" s="1065"/>
      <c r="V87" s="1065"/>
      <c r="W87" s="1065"/>
      <c r="X87" s="1065"/>
      <c r="Y87" s="1065"/>
      <c r="Z87" s="1065"/>
      <c r="AA87" s="1065"/>
      <c r="AB87" s="1065"/>
      <c r="AC87" s="1065"/>
      <c r="AD87" s="1065"/>
      <c r="AE87" s="1065"/>
      <c r="AF87" s="1065"/>
      <c r="AG87" s="1065"/>
      <c r="AH87" s="1065"/>
      <c r="AI87" s="1065"/>
      <c r="AJ87" s="1065"/>
      <c r="AK87" s="1065"/>
      <c r="AL87" s="1065"/>
      <c r="AM87" s="1065"/>
      <c r="AN87" s="1065"/>
      <c r="AO87" s="1066"/>
      <c r="AP87" s="1065"/>
      <c r="AQ87" s="1065"/>
      <c r="AR87" s="1065"/>
      <c r="AS87" s="1065"/>
      <c r="AT87" s="1065"/>
      <c r="AV87" s="1065"/>
      <c r="AW87" s="1065"/>
    </row>
    <row r="88" spans="1:49">
      <c r="A88" s="899"/>
      <c r="B88" s="534"/>
      <c r="C88" s="1058"/>
      <c r="D88" s="1058"/>
      <c r="E88" s="1067"/>
      <c r="F88" s="1058"/>
    </row>
    <row r="89" spans="1:49">
      <c r="A89" s="1030" t="s">
        <v>1372</v>
      </c>
      <c r="B89" s="1032"/>
      <c r="C89" s="663"/>
      <c r="D89" s="663"/>
      <c r="E89" s="663"/>
      <c r="F89" s="1068"/>
    </row>
    <row r="90" spans="1:49">
      <c r="A90" s="1069" t="s">
        <v>1373</v>
      </c>
      <c r="B90" s="1034"/>
      <c r="C90" s="663"/>
      <c r="D90" s="663"/>
      <c r="E90" s="663"/>
      <c r="F90" s="1070"/>
    </row>
    <row r="91" spans="1:49" s="901" customFormat="1">
      <c r="A91" s="2475" t="s">
        <v>1283</v>
      </c>
      <c r="B91" s="2476"/>
      <c r="C91" s="2476"/>
      <c r="D91" s="2476"/>
      <c r="E91" s="2476"/>
      <c r="F91" s="892"/>
      <c r="G91" s="2478" t="s">
        <v>1374</v>
      </c>
      <c r="H91" s="2477"/>
      <c r="I91" s="2477"/>
      <c r="J91" s="2477"/>
      <c r="K91" s="2477"/>
      <c r="L91" s="2477"/>
      <c r="M91" s="2477"/>
      <c r="N91" s="2477"/>
      <c r="O91" s="2477"/>
      <c r="P91" s="2477"/>
      <c r="Q91" s="2477"/>
      <c r="R91" s="2477"/>
      <c r="S91" s="2477"/>
      <c r="T91" s="2477"/>
      <c r="U91" s="2477"/>
      <c r="V91" s="2477"/>
      <c r="W91" s="2477"/>
      <c r="X91" s="2477"/>
      <c r="Y91" s="2477"/>
      <c r="Z91" s="2494"/>
      <c r="AA91" s="2478" t="s">
        <v>1374</v>
      </c>
      <c r="AB91" s="2477"/>
      <c r="AC91" s="2477"/>
      <c r="AD91" s="2477"/>
      <c r="AE91" s="2477"/>
      <c r="AF91" s="2477"/>
      <c r="AG91" s="2477"/>
      <c r="AH91" s="2477"/>
      <c r="AI91" s="2477"/>
      <c r="AJ91" s="2477"/>
      <c r="AK91" s="2477"/>
      <c r="AL91" s="2477"/>
      <c r="AM91" s="2477"/>
      <c r="AN91" s="2477"/>
      <c r="AO91" s="878"/>
      <c r="AP91" s="896"/>
      <c r="AQ91" s="897"/>
      <c r="AR91" s="897"/>
      <c r="AS91" s="898"/>
      <c r="AT91" s="898"/>
      <c r="AU91" s="899"/>
      <c r="AV91" s="900"/>
      <c r="AW91" s="897"/>
    </row>
    <row r="92" spans="1:49" s="912" customFormat="1" ht="31.2">
      <c r="A92" s="2495" t="s">
        <v>1288</v>
      </c>
      <c r="B92" s="2496" t="s">
        <v>1289</v>
      </c>
      <c r="C92" s="2492" t="s">
        <v>1290</v>
      </c>
      <c r="D92" s="2492" t="s">
        <v>1291</v>
      </c>
      <c r="E92" s="2493" t="s">
        <v>1292</v>
      </c>
      <c r="F92" s="2486" t="s">
        <v>1293</v>
      </c>
      <c r="G92" s="903" t="s">
        <v>1238</v>
      </c>
      <c r="H92" s="904" t="s">
        <v>1239</v>
      </c>
      <c r="I92" s="2443"/>
      <c r="J92" s="2443"/>
      <c r="K92" s="2443"/>
      <c r="L92" s="2443"/>
      <c r="M92" s="2443"/>
      <c r="N92" s="905">
        <v>46023</v>
      </c>
      <c r="O92" s="905">
        <v>46054</v>
      </c>
      <c r="P92" s="905">
        <v>46082</v>
      </c>
      <c r="Q92" s="905">
        <v>46113</v>
      </c>
      <c r="R92" s="905">
        <v>46143</v>
      </c>
      <c r="S92" s="905">
        <v>46174</v>
      </c>
      <c r="T92" s="905">
        <v>46204</v>
      </c>
      <c r="U92" s="905">
        <v>46235</v>
      </c>
      <c r="V92" s="905">
        <v>46266</v>
      </c>
      <c r="W92" s="905">
        <v>46296</v>
      </c>
      <c r="X92" s="905">
        <v>46327</v>
      </c>
      <c r="Y92" s="905">
        <v>46357</v>
      </c>
      <c r="Z92" s="906" t="s">
        <v>1273</v>
      </c>
      <c r="AA92" s="904" t="s">
        <v>1294</v>
      </c>
      <c r="AB92" s="905">
        <v>46023</v>
      </c>
      <c r="AC92" s="905">
        <v>46054</v>
      </c>
      <c r="AD92" s="905">
        <v>46082</v>
      </c>
      <c r="AE92" s="905">
        <v>46113</v>
      </c>
      <c r="AF92" s="905">
        <v>46143</v>
      </c>
      <c r="AG92" s="905">
        <v>46174</v>
      </c>
      <c r="AH92" s="905">
        <v>46204</v>
      </c>
      <c r="AI92" s="905">
        <v>46235</v>
      </c>
      <c r="AJ92" s="905">
        <v>46266</v>
      </c>
      <c r="AK92" s="905">
        <v>46296</v>
      </c>
      <c r="AL92" s="905">
        <v>46327</v>
      </c>
      <c r="AM92" s="905">
        <v>46357</v>
      </c>
      <c r="AN92" s="907" t="s">
        <v>1295</v>
      </c>
      <c r="AO92" s="940"/>
      <c r="AP92" s="909" t="e">
        <v>#NAME?</v>
      </c>
      <c r="AQ92" s="910" t="e">
        <v>#NAME?</v>
      </c>
      <c r="AR92" s="910" t="e">
        <v>#NAME?</v>
      </c>
      <c r="AS92" s="911" t="e">
        <v>#NAME?</v>
      </c>
      <c r="AT92" s="911" t="s">
        <v>1375</v>
      </c>
      <c r="AV92" s="913"/>
      <c r="AW92" s="913"/>
    </row>
    <row r="93" spans="1:49" s="912" customFormat="1">
      <c r="A93" s="2489"/>
      <c r="B93" s="2491"/>
      <c r="C93" s="2492"/>
      <c r="D93" s="2492"/>
      <c r="E93" s="2493"/>
      <c r="F93" s="2487"/>
      <c r="G93" s="922" t="s">
        <v>1300</v>
      </c>
      <c r="H93" s="923" t="s">
        <v>1300</v>
      </c>
      <c r="I93" s="2444"/>
      <c r="J93" s="2444"/>
      <c r="K93" s="2444"/>
      <c r="L93" s="2444"/>
      <c r="M93" s="2444"/>
      <c r="N93" s="924" t="s">
        <v>1301</v>
      </c>
      <c r="O93" s="924" t="s">
        <v>1301</v>
      </c>
      <c r="P93" s="924" t="s">
        <v>1301</v>
      </c>
      <c r="Q93" s="924" t="s">
        <v>1301</v>
      </c>
      <c r="R93" s="924" t="s">
        <v>1301</v>
      </c>
      <c r="S93" s="924" t="s">
        <v>1301</v>
      </c>
      <c r="T93" s="924" t="s">
        <v>1301</v>
      </c>
      <c r="U93" s="924" t="s">
        <v>1301</v>
      </c>
      <c r="V93" s="926" t="s">
        <v>1303</v>
      </c>
      <c r="W93" s="926" t="s">
        <v>1303</v>
      </c>
      <c r="X93" s="926" t="s">
        <v>1303</v>
      </c>
      <c r="Y93" s="926" t="s">
        <v>1303</v>
      </c>
      <c r="Z93" s="927" t="s">
        <v>1303</v>
      </c>
      <c r="AA93" s="926" t="s">
        <v>1300</v>
      </c>
      <c r="AB93" s="926" t="s">
        <v>1241</v>
      </c>
      <c r="AC93" s="926" t="s">
        <v>1241</v>
      </c>
      <c r="AD93" s="926" t="s">
        <v>1241</v>
      </c>
      <c r="AE93" s="926" t="s">
        <v>1241</v>
      </c>
      <c r="AF93" s="926" t="s">
        <v>1241</v>
      </c>
      <c r="AG93" s="926" t="s">
        <v>1241</v>
      </c>
      <c r="AH93" s="926" t="s">
        <v>1241</v>
      </c>
      <c r="AI93" s="926" t="s">
        <v>1241</v>
      </c>
      <c r="AJ93" s="926" t="s">
        <v>1241</v>
      </c>
      <c r="AK93" s="926" t="s">
        <v>1241</v>
      </c>
      <c r="AL93" s="926" t="s">
        <v>1241</v>
      </c>
      <c r="AM93" s="926" t="s">
        <v>1241</v>
      </c>
      <c r="AN93" s="927" t="s">
        <v>1303</v>
      </c>
      <c r="AO93" s="940"/>
      <c r="AP93" s="926" t="s">
        <v>1240</v>
      </c>
      <c r="AQ93" s="926" t="s">
        <v>1240</v>
      </c>
      <c r="AR93" s="926" t="s">
        <v>1240</v>
      </c>
      <c r="AS93" s="926" t="s">
        <v>1240</v>
      </c>
      <c r="AT93" s="926" t="s">
        <v>1240</v>
      </c>
      <c r="AV93" s="932" t="s">
        <v>1305</v>
      </c>
      <c r="AW93" s="933" t="s">
        <v>1306</v>
      </c>
    </row>
    <row r="94" spans="1:49">
      <c r="A94" s="948" t="s">
        <v>1361</v>
      </c>
      <c r="B94" s="948" t="s">
        <v>1376</v>
      </c>
      <c r="C94" s="1074">
        <v>640713343</v>
      </c>
      <c r="D94" s="948"/>
      <c r="E94" s="948">
        <v>408098493</v>
      </c>
      <c r="F94" s="1044">
        <v>59827193</v>
      </c>
      <c r="G94" s="1075">
        <v>29497000</v>
      </c>
      <c r="H94" s="945">
        <v>22980400</v>
      </c>
      <c r="I94" s="948"/>
      <c r="J94" s="948"/>
      <c r="K94" s="948"/>
      <c r="L94" s="948"/>
      <c r="M94" s="948"/>
      <c r="N94" s="1076">
        <v>425000</v>
      </c>
      <c r="O94" s="1074">
        <v>595000</v>
      </c>
      <c r="P94" s="1074">
        <v>1575000</v>
      </c>
      <c r="Q94" s="1074">
        <v>763000</v>
      </c>
      <c r="R94" s="1074">
        <v>1395000</v>
      </c>
      <c r="S94" s="1074">
        <v>647500</v>
      </c>
      <c r="T94" s="1074">
        <v>868000</v>
      </c>
      <c r="U94" s="1074">
        <v>1741000</v>
      </c>
      <c r="V94" s="1074">
        <v>2335000</v>
      </c>
      <c r="W94" s="1074">
        <v>1383000</v>
      </c>
      <c r="X94" s="1074">
        <v>2895000</v>
      </c>
      <c r="Y94" s="1074">
        <v>8357900</v>
      </c>
      <c r="Z94" s="948">
        <v>82807593</v>
      </c>
      <c r="AA94" s="945">
        <v>35571400</v>
      </c>
      <c r="AB94" s="1074">
        <v>3926168</v>
      </c>
      <c r="AC94" s="1074">
        <v>1268168</v>
      </c>
      <c r="AD94" s="1074">
        <v>3681168</v>
      </c>
      <c r="AE94" s="1074">
        <v>1178168</v>
      </c>
      <c r="AF94" s="1074">
        <v>3334168</v>
      </c>
      <c r="AG94" s="1074">
        <v>1178168</v>
      </c>
      <c r="AH94" s="1074">
        <v>4356568</v>
      </c>
      <c r="AI94" s="1074">
        <v>1348168</v>
      </c>
      <c r="AJ94" s="1074">
        <v>1348168</v>
      </c>
      <c r="AK94" s="1074">
        <v>2136168</v>
      </c>
      <c r="AL94" s="1074">
        <v>2136168</v>
      </c>
      <c r="AM94" s="1074">
        <v>9680152</v>
      </c>
      <c r="AN94" s="945">
        <v>118378993</v>
      </c>
      <c r="AP94" s="1077">
        <v>37568000</v>
      </c>
      <c r="AQ94" s="1077">
        <v>38084000</v>
      </c>
      <c r="AR94" s="1077">
        <v>40227000</v>
      </c>
      <c r="AS94" s="1077">
        <v>44510000</v>
      </c>
      <c r="AT94" s="1077">
        <v>361945350</v>
      </c>
      <c r="AU94" s="951"/>
      <c r="AV94" s="974">
        <v>640713343</v>
      </c>
      <c r="AW94" s="945">
        <v>0</v>
      </c>
    </row>
    <row r="95" spans="1:49">
      <c r="A95" s="948" t="s">
        <v>1377</v>
      </c>
      <c r="B95" s="948" t="s">
        <v>1378</v>
      </c>
      <c r="C95" s="1074">
        <v>2090000</v>
      </c>
      <c r="D95" s="948"/>
      <c r="E95" s="948"/>
      <c r="F95" s="1044">
        <v>890000</v>
      </c>
      <c r="G95" s="1075">
        <v>600000</v>
      </c>
      <c r="H95" s="945">
        <v>600000</v>
      </c>
      <c r="I95" s="948"/>
      <c r="J95" s="948"/>
      <c r="K95" s="948"/>
      <c r="L95" s="948"/>
      <c r="M95" s="948"/>
      <c r="N95" s="1076">
        <v>0</v>
      </c>
      <c r="O95" s="1074">
        <v>0</v>
      </c>
      <c r="P95" s="1074">
        <v>0</v>
      </c>
      <c r="Q95" s="1074">
        <v>600000</v>
      </c>
      <c r="R95" s="1074">
        <v>0</v>
      </c>
      <c r="S95" s="1074">
        <v>0</v>
      </c>
      <c r="T95" s="1074">
        <v>0</v>
      </c>
      <c r="U95" s="1074">
        <v>0</v>
      </c>
      <c r="V95" s="1074">
        <v>0</v>
      </c>
      <c r="W95" s="1074">
        <v>0</v>
      </c>
      <c r="X95" s="1074">
        <v>0</v>
      </c>
      <c r="Y95" s="1074">
        <v>0</v>
      </c>
      <c r="Z95" s="948">
        <v>1490000</v>
      </c>
      <c r="AA95" s="945">
        <v>600000</v>
      </c>
      <c r="AB95" s="1074">
        <v>600000</v>
      </c>
      <c r="AC95" s="1074">
        <v>0</v>
      </c>
      <c r="AD95" s="1074">
        <v>0</v>
      </c>
      <c r="AE95" s="1074">
        <v>0</v>
      </c>
      <c r="AF95" s="1074">
        <v>0</v>
      </c>
      <c r="AG95" s="1074">
        <v>0</v>
      </c>
      <c r="AH95" s="1074">
        <v>0</v>
      </c>
      <c r="AI95" s="1074">
        <v>0</v>
      </c>
      <c r="AJ95" s="1074">
        <v>0</v>
      </c>
      <c r="AK95" s="1074">
        <v>0</v>
      </c>
      <c r="AL95" s="1074">
        <v>0</v>
      </c>
      <c r="AM95" s="1074">
        <v>0</v>
      </c>
      <c r="AN95" s="945">
        <v>2090000</v>
      </c>
      <c r="AP95" s="1077">
        <v>0</v>
      </c>
      <c r="AQ95" s="1077">
        <v>0</v>
      </c>
      <c r="AR95" s="1077">
        <v>0</v>
      </c>
      <c r="AS95" s="1077">
        <v>0</v>
      </c>
      <c r="AT95" s="1077">
        <v>0</v>
      </c>
      <c r="AU95" s="951"/>
      <c r="AV95" s="974">
        <v>2090000</v>
      </c>
      <c r="AW95" s="945">
        <v>0</v>
      </c>
    </row>
    <row r="96" spans="1:49">
      <c r="A96" s="948" t="s">
        <v>1379</v>
      </c>
      <c r="B96" s="991" t="s">
        <v>1380</v>
      </c>
      <c r="C96" s="1074">
        <v>6620000</v>
      </c>
      <c r="D96" s="948"/>
      <c r="E96" s="948"/>
      <c r="F96" s="1044">
        <v>1096250</v>
      </c>
      <c r="G96" s="1075">
        <v>643000</v>
      </c>
      <c r="H96" s="945">
        <v>1114100</v>
      </c>
      <c r="I96" s="948"/>
      <c r="J96" s="948"/>
      <c r="K96" s="948"/>
      <c r="L96" s="948"/>
      <c r="M96" s="948"/>
      <c r="N96" s="1076">
        <v>0</v>
      </c>
      <c r="O96" s="1074">
        <v>122500</v>
      </c>
      <c r="P96" s="1074">
        <v>90000</v>
      </c>
      <c r="Q96" s="1074">
        <v>210000</v>
      </c>
      <c r="R96" s="1074">
        <v>0</v>
      </c>
      <c r="S96" s="1074">
        <v>0</v>
      </c>
      <c r="T96" s="1074">
        <v>0</v>
      </c>
      <c r="U96" s="1074">
        <v>0</v>
      </c>
      <c r="V96" s="1074">
        <v>0</v>
      </c>
      <c r="W96" s="1074">
        <v>0</v>
      </c>
      <c r="X96" s="1074">
        <v>70000</v>
      </c>
      <c r="Y96" s="1074">
        <v>621600</v>
      </c>
      <c r="Z96" s="948">
        <v>2210350</v>
      </c>
      <c r="AA96" s="945">
        <v>900850</v>
      </c>
      <c r="AB96" s="1074">
        <v>0</v>
      </c>
      <c r="AC96" s="1074">
        <v>783250</v>
      </c>
      <c r="AD96" s="1074">
        <v>0</v>
      </c>
      <c r="AE96" s="1074">
        <v>0</v>
      </c>
      <c r="AF96" s="1074">
        <v>0</v>
      </c>
      <c r="AG96" s="1074">
        <v>0</v>
      </c>
      <c r="AH96" s="1074">
        <v>0</v>
      </c>
      <c r="AI96" s="1074">
        <v>0</v>
      </c>
      <c r="AJ96" s="1074">
        <v>0</v>
      </c>
      <c r="AK96" s="1074">
        <v>0</v>
      </c>
      <c r="AL96" s="1074">
        <v>0</v>
      </c>
      <c r="AM96" s="1074">
        <v>117600</v>
      </c>
      <c r="AN96" s="945">
        <v>3111200</v>
      </c>
      <c r="AP96" s="1077">
        <v>360850</v>
      </c>
      <c r="AQ96" s="1077">
        <v>710850</v>
      </c>
      <c r="AR96" s="1077">
        <v>580850</v>
      </c>
      <c r="AS96" s="1077">
        <v>360850</v>
      </c>
      <c r="AT96" s="1077">
        <v>1495400</v>
      </c>
      <c r="AU96" s="951"/>
      <c r="AV96" s="974">
        <v>6620000</v>
      </c>
      <c r="AW96" s="945">
        <v>0</v>
      </c>
    </row>
    <row r="97" spans="1:49">
      <c r="A97" s="948" t="s">
        <v>1367</v>
      </c>
      <c r="B97" s="948" t="s">
        <v>1381</v>
      </c>
      <c r="C97" s="1074">
        <v>2300550</v>
      </c>
      <c r="D97" s="948"/>
      <c r="E97" s="948">
        <v>3394518</v>
      </c>
      <c r="F97" s="1044">
        <v>1239518</v>
      </c>
      <c r="G97" s="1075">
        <v>0</v>
      </c>
      <c r="H97" s="945">
        <v>0</v>
      </c>
      <c r="I97" s="948"/>
      <c r="J97" s="948"/>
      <c r="K97" s="948"/>
      <c r="L97" s="948"/>
      <c r="M97" s="948"/>
      <c r="N97" s="1076">
        <v>0</v>
      </c>
      <c r="O97" s="1074">
        <v>0</v>
      </c>
      <c r="P97" s="1074">
        <v>0</v>
      </c>
      <c r="Q97" s="1074">
        <v>0</v>
      </c>
      <c r="R97" s="1074">
        <v>0</v>
      </c>
      <c r="S97" s="1074">
        <v>0</v>
      </c>
      <c r="T97" s="1074">
        <v>0</v>
      </c>
      <c r="U97" s="1074">
        <v>0</v>
      </c>
      <c r="V97" s="1074">
        <v>0</v>
      </c>
      <c r="W97" s="1074">
        <v>0</v>
      </c>
      <c r="X97" s="1074">
        <v>0</v>
      </c>
      <c r="Y97" s="1074">
        <v>0</v>
      </c>
      <c r="Z97" s="948">
        <v>1239518</v>
      </c>
      <c r="AA97" s="945">
        <v>1061032</v>
      </c>
      <c r="AB97" s="1074">
        <v>0</v>
      </c>
      <c r="AC97" s="1074">
        <v>1061032</v>
      </c>
      <c r="AD97" s="1074">
        <v>0</v>
      </c>
      <c r="AE97" s="1074">
        <v>0</v>
      </c>
      <c r="AF97" s="1074">
        <v>0</v>
      </c>
      <c r="AG97" s="1074">
        <v>0</v>
      </c>
      <c r="AH97" s="1074">
        <v>0</v>
      </c>
      <c r="AI97" s="1074">
        <v>0</v>
      </c>
      <c r="AJ97" s="1074">
        <v>0</v>
      </c>
      <c r="AK97" s="1074">
        <v>0</v>
      </c>
      <c r="AL97" s="1074">
        <v>0</v>
      </c>
      <c r="AM97" s="1074">
        <v>0</v>
      </c>
      <c r="AN97" s="945">
        <v>2300550</v>
      </c>
      <c r="AP97" s="1077">
        <v>0</v>
      </c>
      <c r="AQ97" s="1077">
        <v>0</v>
      </c>
      <c r="AR97" s="1077">
        <v>0</v>
      </c>
      <c r="AS97" s="1077">
        <v>0</v>
      </c>
      <c r="AT97" s="1077">
        <v>0</v>
      </c>
      <c r="AU97" s="951"/>
      <c r="AV97" s="974">
        <v>2300550</v>
      </c>
      <c r="AW97" s="945">
        <v>0</v>
      </c>
    </row>
    <row r="98" spans="1:49">
      <c r="A98" s="948" t="s">
        <v>1382</v>
      </c>
      <c r="B98" s="948" t="s">
        <v>1383</v>
      </c>
      <c r="C98" s="948"/>
      <c r="D98" s="948"/>
      <c r="E98" s="948"/>
      <c r="F98" s="1044"/>
      <c r="G98" s="1075">
        <v>0</v>
      </c>
      <c r="H98" s="945">
        <v>0</v>
      </c>
      <c r="I98" s="948"/>
      <c r="J98" s="948"/>
      <c r="K98" s="948"/>
      <c r="L98" s="948"/>
      <c r="M98" s="948"/>
      <c r="N98" s="1076">
        <v>0</v>
      </c>
      <c r="O98" s="1074">
        <v>0</v>
      </c>
      <c r="P98" s="1074">
        <v>0</v>
      </c>
      <c r="Q98" s="1074">
        <v>0</v>
      </c>
      <c r="R98" s="1074">
        <v>0</v>
      </c>
      <c r="S98" s="1074">
        <v>0</v>
      </c>
      <c r="T98" s="1074">
        <v>0</v>
      </c>
      <c r="U98" s="1074">
        <v>0</v>
      </c>
      <c r="V98" s="1074">
        <v>0</v>
      </c>
      <c r="W98" s="1074">
        <v>0</v>
      </c>
      <c r="X98" s="1074">
        <v>0</v>
      </c>
      <c r="Y98" s="1074">
        <v>0</v>
      </c>
      <c r="Z98" s="948">
        <v>0</v>
      </c>
      <c r="AA98" s="945">
        <v>0</v>
      </c>
      <c r="AB98" s="1074">
        <v>0</v>
      </c>
      <c r="AC98" s="1074">
        <v>0</v>
      </c>
      <c r="AD98" s="1074">
        <v>0</v>
      </c>
      <c r="AE98" s="1074">
        <v>0</v>
      </c>
      <c r="AF98" s="1074">
        <v>0</v>
      </c>
      <c r="AG98" s="1074">
        <v>0</v>
      </c>
      <c r="AH98" s="1074">
        <v>0</v>
      </c>
      <c r="AI98" s="1074">
        <v>0</v>
      </c>
      <c r="AJ98" s="1074">
        <v>0</v>
      </c>
      <c r="AK98" s="1074">
        <v>0</v>
      </c>
      <c r="AL98" s="1074">
        <v>0</v>
      </c>
      <c r="AM98" s="1074">
        <v>0</v>
      </c>
      <c r="AN98" s="945">
        <v>0</v>
      </c>
      <c r="AP98" s="1077">
        <v>0</v>
      </c>
      <c r="AQ98" s="1077">
        <v>0</v>
      </c>
      <c r="AR98" s="1077">
        <v>0</v>
      </c>
      <c r="AS98" s="1077">
        <v>0</v>
      </c>
      <c r="AT98" s="1077">
        <v>0</v>
      </c>
      <c r="AU98" s="951"/>
      <c r="AV98" s="974">
        <v>0</v>
      </c>
      <c r="AW98" s="945">
        <v>0</v>
      </c>
    </row>
    <row r="99" spans="1:49">
      <c r="A99" s="948"/>
      <c r="B99" s="948"/>
      <c r="C99" s="948"/>
      <c r="D99" s="948"/>
      <c r="E99" s="948"/>
      <c r="F99" s="1044"/>
      <c r="G99" s="944"/>
      <c r="H99" s="945">
        <v>0</v>
      </c>
      <c r="I99" s="948"/>
      <c r="J99" s="948"/>
      <c r="K99" s="948"/>
      <c r="L99" s="948"/>
      <c r="M99" s="948"/>
      <c r="N99" s="946"/>
      <c r="O99" s="948"/>
      <c r="P99" s="948"/>
      <c r="Q99" s="948"/>
      <c r="R99" s="948"/>
      <c r="S99" s="948"/>
      <c r="T99" s="948"/>
      <c r="U99" s="948"/>
      <c r="V99" s="948"/>
      <c r="W99" s="948"/>
      <c r="X99" s="948"/>
      <c r="Y99" s="948"/>
      <c r="Z99" s="948">
        <v>0</v>
      </c>
      <c r="AA99" s="945">
        <v>0</v>
      </c>
      <c r="AB99" s="948"/>
      <c r="AC99" s="948"/>
      <c r="AD99" s="948"/>
      <c r="AE99" s="948"/>
      <c r="AF99" s="948"/>
      <c r="AG99" s="948"/>
      <c r="AH99" s="948"/>
      <c r="AI99" s="948"/>
      <c r="AJ99" s="948"/>
      <c r="AK99" s="948"/>
      <c r="AL99" s="948"/>
      <c r="AM99" s="948"/>
      <c r="AN99" s="945">
        <v>0</v>
      </c>
      <c r="AP99" s="1077">
        <v>0</v>
      </c>
      <c r="AQ99" s="1077">
        <v>0</v>
      </c>
      <c r="AR99" s="1077">
        <v>0</v>
      </c>
      <c r="AS99" s="1077">
        <v>0</v>
      </c>
      <c r="AT99" s="1077">
        <v>0</v>
      </c>
      <c r="AU99" s="951"/>
      <c r="AV99" s="974">
        <v>0</v>
      </c>
      <c r="AW99" s="945">
        <v>0</v>
      </c>
    </row>
    <row r="100" spans="1:49">
      <c r="A100" s="948"/>
      <c r="B100" s="948"/>
      <c r="C100" s="948"/>
      <c r="D100" s="948"/>
      <c r="E100" s="948"/>
      <c r="F100" s="1044"/>
      <c r="G100" s="944"/>
      <c r="H100" s="945">
        <v>0</v>
      </c>
      <c r="I100" s="948"/>
      <c r="J100" s="948"/>
      <c r="K100" s="948"/>
      <c r="L100" s="948"/>
      <c r="M100" s="948"/>
      <c r="N100" s="946"/>
      <c r="O100" s="948"/>
      <c r="P100" s="948"/>
      <c r="Q100" s="948"/>
      <c r="R100" s="948"/>
      <c r="S100" s="948"/>
      <c r="T100" s="948"/>
      <c r="U100" s="948"/>
      <c r="V100" s="948"/>
      <c r="W100" s="948"/>
      <c r="X100" s="948"/>
      <c r="Y100" s="948"/>
      <c r="Z100" s="948">
        <v>0</v>
      </c>
      <c r="AA100" s="945">
        <v>0</v>
      </c>
      <c r="AB100" s="948"/>
      <c r="AC100" s="948"/>
      <c r="AD100" s="948"/>
      <c r="AE100" s="948"/>
      <c r="AF100" s="948"/>
      <c r="AG100" s="948"/>
      <c r="AH100" s="948"/>
      <c r="AI100" s="948"/>
      <c r="AJ100" s="948"/>
      <c r="AK100" s="948"/>
      <c r="AL100" s="948"/>
      <c r="AM100" s="948"/>
      <c r="AN100" s="945">
        <v>0</v>
      </c>
      <c r="AP100" s="1077">
        <v>0</v>
      </c>
      <c r="AQ100" s="1077">
        <v>0</v>
      </c>
      <c r="AR100" s="1077">
        <v>0</v>
      </c>
      <c r="AS100" s="1077">
        <v>0</v>
      </c>
      <c r="AT100" s="1077">
        <v>0</v>
      </c>
      <c r="AU100" s="951"/>
      <c r="AV100" s="974">
        <v>0</v>
      </c>
      <c r="AW100" s="945">
        <v>0</v>
      </c>
    </row>
    <row r="101" spans="1:49">
      <c r="A101" s="948"/>
      <c r="B101" s="948"/>
      <c r="C101" s="948"/>
      <c r="D101" s="948"/>
      <c r="E101" s="948"/>
      <c r="F101" s="1044"/>
      <c r="G101" s="944"/>
      <c r="H101" s="945">
        <v>0</v>
      </c>
      <c r="I101" s="948"/>
      <c r="J101" s="948"/>
      <c r="K101" s="948"/>
      <c r="L101" s="948"/>
      <c r="M101" s="948"/>
      <c r="N101" s="946"/>
      <c r="O101" s="948"/>
      <c r="P101" s="948"/>
      <c r="Q101" s="948"/>
      <c r="R101" s="948"/>
      <c r="S101" s="948"/>
      <c r="T101" s="948"/>
      <c r="U101" s="948"/>
      <c r="V101" s="948"/>
      <c r="W101" s="948"/>
      <c r="X101" s="948"/>
      <c r="Y101" s="948"/>
      <c r="Z101" s="948">
        <v>0</v>
      </c>
      <c r="AA101" s="945">
        <v>0</v>
      </c>
      <c r="AB101" s="948"/>
      <c r="AC101" s="948"/>
      <c r="AD101" s="948"/>
      <c r="AE101" s="948"/>
      <c r="AF101" s="948"/>
      <c r="AG101" s="948"/>
      <c r="AH101" s="948"/>
      <c r="AI101" s="948"/>
      <c r="AJ101" s="948"/>
      <c r="AK101" s="948"/>
      <c r="AL101" s="948"/>
      <c r="AM101" s="948"/>
      <c r="AN101" s="945">
        <v>0</v>
      </c>
      <c r="AP101" s="1077">
        <v>0</v>
      </c>
      <c r="AQ101" s="1077">
        <v>0</v>
      </c>
      <c r="AR101" s="1077">
        <v>0</v>
      </c>
      <c r="AS101" s="1077">
        <v>0</v>
      </c>
      <c r="AT101" s="1077">
        <v>0</v>
      </c>
      <c r="AU101" s="951"/>
      <c r="AV101" s="974">
        <v>0</v>
      </c>
      <c r="AW101" s="945">
        <v>0</v>
      </c>
    </row>
    <row r="102" spans="1:49">
      <c r="A102" s="948"/>
      <c r="B102" s="948"/>
      <c r="C102" s="948"/>
      <c r="D102" s="948"/>
      <c r="E102" s="948"/>
      <c r="F102" s="1044"/>
      <c r="G102" s="944"/>
      <c r="H102" s="945">
        <v>0</v>
      </c>
      <c r="I102" s="948"/>
      <c r="J102" s="948"/>
      <c r="K102" s="948"/>
      <c r="L102" s="948"/>
      <c r="M102" s="948"/>
      <c r="N102" s="946"/>
      <c r="O102" s="948"/>
      <c r="P102" s="948"/>
      <c r="Q102" s="948"/>
      <c r="R102" s="948"/>
      <c r="S102" s="948"/>
      <c r="T102" s="948"/>
      <c r="U102" s="948"/>
      <c r="V102" s="948"/>
      <c r="W102" s="948"/>
      <c r="X102" s="948"/>
      <c r="Y102" s="948"/>
      <c r="Z102" s="948">
        <v>0</v>
      </c>
      <c r="AA102" s="945">
        <v>0</v>
      </c>
      <c r="AB102" s="948"/>
      <c r="AC102" s="948"/>
      <c r="AD102" s="948"/>
      <c r="AE102" s="948"/>
      <c r="AF102" s="948"/>
      <c r="AG102" s="948"/>
      <c r="AH102" s="948"/>
      <c r="AI102" s="948"/>
      <c r="AJ102" s="948"/>
      <c r="AK102" s="948"/>
      <c r="AL102" s="948"/>
      <c r="AM102" s="948"/>
      <c r="AN102" s="945">
        <v>0</v>
      </c>
      <c r="AP102" s="945"/>
      <c r="AQ102" s="945"/>
      <c r="AR102" s="945"/>
      <c r="AS102" s="945"/>
      <c r="AT102" s="945"/>
      <c r="AU102" s="951"/>
      <c r="AV102" s="974">
        <v>0</v>
      </c>
      <c r="AW102" s="945">
        <v>0</v>
      </c>
    </row>
    <row r="103" spans="1:49">
      <c r="A103" s="948"/>
      <c r="B103" s="948"/>
      <c r="C103" s="948"/>
      <c r="D103" s="948"/>
      <c r="E103" s="948"/>
      <c r="F103" s="1044"/>
      <c r="G103" s="944"/>
      <c r="H103" s="945">
        <v>0</v>
      </c>
      <c r="I103" s="948"/>
      <c r="J103" s="948"/>
      <c r="K103" s="948"/>
      <c r="L103" s="948"/>
      <c r="M103" s="948"/>
      <c r="N103" s="946"/>
      <c r="O103" s="948"/>
      <c r="P103" s="948"/>
      <c r="Q103" s="948"/>
      <c r="R103" s="948"/>
      <c r="S103" s="948"/>
      <c r="T103" s="948"/>
      <c r="U103" s="948"/>
      <c r="V103" s="948"/>
      <c r="W103" s="948"/>
      <c r="X103" s="948"/>
      <c r="Y103" s="948"/>
      <c r="Z103" s="948">
        <v>0</v>
      </c>
      <c r="AA103" s="945">
        <v>0</v>
      </c>
      <c r="AB103" s="948"/>
      <c r="AC103" s="948"/>
      <c r="AD103" s="948"/>
      <c r="AE103" s="948"/>
      <c r="AF103" s="948"/>
      <c r="AG103" s="948"/>
      <c r="AH103" s="948"/>
      <c r="AI103" s="948"/>
      <c r="AJ103" s="948"/>
      <c r="AK103" s="948"/>
      <c r="AL103" s="948"/>
      <c r="AM103" s="948"/>
      <c r="AN103" s="945">
        <v>0</v>
      </c>
      <c r="AP103" s="945"/>
      <c r="AQ103" s="945"/>
      <c r="AR103" s="945"/>
      <c r="AS103" s="945"/>
      <c r="AT103" s="945"/>
      <c r="AU103" s="951"/>
      <c r="AV103" s="974">
        <v>0</v>
      </c>
      <c r="AW103" s="945">
        <v>0</v>
      </c>
    </row>
    <row r="104" spans="1:49" s="912" customFormat="1">
      <c r="A104" s="1046"/>
      <c r="B104" s="1046" t="s">
        <v>1272</v>
      </c>
      <c r="C104" s="1046">
        <v>651723893</v>
      </c>
      <c r="D104" s="1046">
        <v>0</v>
      </c>
      <c r="E104" s="1046">
        <v>411493011</v>
      </c>
      <c r="F104" s="1046">
        <v>63052961</v>
      </c>
      <c r="G104" s="1046">
        <v>30740000</v>
      </c>
      <c r="H104" s="1046">
        <v>24694500</v>
      </c>
      <c r="I104" s="2445"/>
      <c r="J104" s="2445"/>
      <c r="K104" s="2445"/>
      <c r="L104" s="2445"/>
      <c r="M104" s="2445"/>
      <c r="N104" s="1047">
        <v>425000</v>
      </c>
      <c r="O104" s="1046">
        <v>717500</v>
      </c>
      <c r="P104" s="1046">
        <v>1665000</v>
      </c>
      <c r="Q104" s="1046">
        <v>1573000</v>
      </c>
      <c r="R104" s="1046">
        <v>1395000</v>
      </c>
      <c r="S104" s="1046">
        <v>647500</v>
      </c>
      <c r="T104" s="1046">
        <v>868000</v>
      </c>
      <c r="U104" s="1046">
        <v>1741000</v>
      </c>
      <c r="V104" s="1046">
        <v>2335000</v>
      </c>
      <c r="W104" s="1046">
        <v>1383000</v>
      </c>
      <c r="X104" s="1046">
        <v>2965000</v>
      </c>
      <c r="Y104" s="1046">
        <v>8979500</v>
      </c>
      <c r="Z104" s="1046">
        <v>87747461</v>
      </c>
      <c r="AA104" s="1046">
        <v>38133282</v>
      </c>
      <c r="AB104" s="1046">
        <v>4526168</v>
      </c>
      <c r="AC104" s="1046">
        <v>3112450</v>
      </c>
      <c r="AD104" s="1046">
        <v>3681168</v>
      </c>
      <c r="AE104" s="1046">
        <v>1178168</v>
      </c>
      <c r="AF104" s="1046">
        <v>3334168</v>
      </c>
      <c r="AG104" s="1046">
        <v>1178168</v>
      </c>
      <c r="AH104" s="1046">
        <v>4356568</v>
      </c>
      <c r="AI104" s="1046">
        <v>1348168</v>
      </c>
      <c r="AJ104" s="1046">
        <v>1348168</v>
      </c>
      <c r="AK104" s="1046">
        <v>2136168</v>
      </c>
      <c r="AL104" s="1046">
        <v>2136168</v>
      </c>
      <c r="AM104" s="1046">
        <v>9797752</v>
      </c>
      <c r="AN104" s="1046">
        <v>125880743</v>
      </c>
      <c r="AO104" s="940"/>
      <c r="AP104" s="1046">
        <v>37928850</v>
      </c>
      <c r="AQ104" s="1046">
        <v>38794850</v>
      </c>
      <c r="AR104" s="1046">
        <v>40807850</v>
      </c>
      <c r="AS104" s="1046">
        <v>44870850</v>
      </c>
      <c r="AT104" s="1046">
        <v>363440750</v>
      </c>
      <c r="AU104" s="1005"/>
      <c r="AV104" s="1047">
        <v>651723893</v>
      </c>
      <c r="AW104" s="1046">
        <v>0</v>
      </c>
    </row>
    <row r="105" spans="1:49">
      <c r="A105" s="537"/>
      <c r="B105" s="1050" t="s">
        <v>1371</v>
      </c>
      <c r="C105" s="537">
        <v>0</v>
      </c>
      <c r="D105" s="663"/>
      <c r="E105" s="663"/>
      <c r="F105" s="1029">
        <v>0</v>
      </c>
      <c r="G105" s="1029">
        <v>0</v>
      </c>
      <c r="H105" s="1029">
        <v>0</v>
      </c>
      <c r="I105" s="1029"/>
      <c r="J105" s="1029"/>
      <c r="K105" s="1029"/>
      <c r="L105" s="1029"/>
      <c r="M105" s="1029"/>
      <c r="N105" s="1029">
        <v>0</v>
      </c>
      <c r="O105" s="1029">
        <v>0</v>
      </c>
      <c r="P105" s="1029">
        <v>0</v>
      </c>
      <c r="Q105" s="1029">
        <v>0</v>
      </c>
      <c r="R105" s="1029">
        <v>0</v>
      </c>
      <c r="S105" s="1029">
        <v>0</v>
      </c>
      <c r="T105" s="1029">
        <v>0</v>
      </c>
      <c r="U105" s="1029">
        <v>0</v>
      </c>
      <c r="V105" s="1029">
        <v>0</v>
      </c>
      <c r="W105" s="1029">
        <v>0</v>
      </c>
      <c r="X105" s="1029">
        <v>0</v>
      </c>
      <c r="Y105" s="1029">
        <v>0</v>
      </c>
      <c r="Z105" s="1029">
        <v>0</v>
      </c>
      <c r="AA105" s="1029">
        <v>0</v>
      </c>
      <c r="AB105" s="1029">
        <v>0</v>
      </c>
      <c r="AC105" s="1029">
        <v>0</v>
      </c>
      <c r="AD105" s="1029">
        <v>0</v>
      </c>
      <c r="AE105" s="1029">
        <v>0</v>
      </c>
      <c r="AF105" s="1029">
        <v>0</v>
      </c>
      <c r="AG105" s="1029">
        <v>0</v>
      </c>
      <c r="AH105" s="1029">
        <v>0</v>
      </c>
      <c r="AI105" s="1029">
        <v>0</v>
      </c>
      <c r="AJ105" s="1029">
        <v>0</v>
      </c>
      <c r="AK105" s="1029">
        <v>0</v>
      </c>
      <c r="AL105" s="1029">
        <v>0</v>
      </c>
      <c r="AM105" s="1029">
        <v>0</v>
      </c>
      <c r="AN105" s="1029">
        <v>0</v>
      </c>
      <c r="AP105" s="1029">
        <v>0</v>
      </c>
      <c r="AQ105" s="1029">
        <v>0</v>
      </c>
      <c r="AR105" s="1029">
        <v>0</v>
      </c>
      <c r="AS105" s="1029"/>
      <c r="AT105" s="1029">
        <v>0</v>
      </c>
    </row>
    <row r="106" spans="1:49">
      <c r="A106" s="537"/>
      <c r="B106" s="537"/>
      <c r="C106" s="663"/>
      <c r="D106" s="663"/>
      <c r="E106" s="663"/>
      <c r="F106" s="901"/>
    </row>
    <row r="107" spans="1:49">
      <c r="A107" s="537"/>
      <c r="B107" s="537"/>
      <c r="C107" s="663"/>
      <c r="D107" s="663"/>
      <c r="E107" s="663"/>
      <c r="F107" s="1058"/>
    </row>
    <row r="108" spans="1:49">
      <c r="A108" s="537"/>
      <c r="B108" s="537"/>
      <c r="C108" s="663"/>
      <c r="D108" s="663"/>
      <c r="E108" s="663"/>
      <c r="F108" s="1058"/>
    </row>
    <row r="109" spans="1:49">
      <c r="A109" s="537"/>
      <c r="B109" s="537"/>
      <c r="C109" s="663"/>
      <c r="D109" s="663"/>
      <c r="E109" s="663"/>
      <c r="F109" s="1068"/>
    </row>
    <row r="110" spans="1:49">
      <c r="A110" s="1030" t="s">
        <v>1384</v>
      </c>
      <c r="B110" s="1031"/>
      <c r="C110" s="663"/>
      <c r="D110" s="663"/>
      <c r="E110" s="663"/>
      <c r="F110" s="1040"/>
    </row>
    <row r="111" spans="1:49">
      <c r="A111" s="1069" t="s">
        <v>1373</v>
      </c>
      <c r="B111" s="1034"/>
      <c r="C111" s="663"/>
      <c r="D111" s="663"/>
      <c r="E111" s="663"/>
      <c r="F111" s="1040"/>
    </row>
    <row r="112" spans="1:49">
      <c r="A112" s="1078"/>
      <c r="B112" s="1056"/>
      <c r="C112" s="1057"/>
      <c r="D112" s="901"/>
      <c r="E112" s="663"/>
      <c r="F112" s="1040"/>
      <c r="AP112" s="1079"/>
      <c r="AQ112" s="1079"/>
      <c r="AR112" s="1079"/>
      <c r="AS112" s="1079"/>
      <c r="AT112" s="1079"/>
      <c r="AV112" s="1079"/>
      <c r="AW112" s="1079"/>
    </row>
    <row r="113" spans="1:49" ht="31.2">
      <c r="A113" s="2495" t="s">
        <v>1288</v>
      </c>
      <c r="B113" s="2496" t="s">
        <v>1289</v>
      </c>
      <c r="C113" s="2492" t="s">
        <v>1290</v>
      </c>
      <c r="D113" s="2492" t="s">
        <v>1291</v>
      </c>
      <c r="E113" s="2493" t="s">
        <v>1292</v>
      </c>
      <c r="F113" s="2486" t="s">
        <v>1293</v>
      </c>
      <c r="G113" s="903" t="s">
        <v>1238</v>
      </c>
      <c r="H113" s="904" t="s">
        <v>1239</v>
      </c>
      <c r="I113" s="2443"/>
      <c r="J113" s="2443"/>
      <c r="K113" s="2443"/>
      <c r="L113" s="2443"/>
      <c r="M113" s="2443"/>
      <c r="N113" s="905">
        <v>46023</v>
      </c>
      <c r="O113" s="905">
        <v>46054</v>
      </c>
      <c r="P113" s="905">
        <v>46082</v>
      </c>
      <c r="Q113" s="905">
        <v>46113</v>
      </c>
      <c r="R113" s="905">
        <v>46143</v>
      </c>
      <c r="S113" s="905">
        <v>46174</v>
      </c>
      <c r="T113" s="905">
        <v>46204</v>
      </c>
      <c r="U113" s="905">
        <v>46235</v>
      </c>
      <c r="V113" s="905">
        <v>46266</v>
      </c>
      <c r="W113" s="905">
        <v>46296</v>
      </c>
      <c r="X113" s="905">
        <v>46327</v>
      </c>
      <c r="Y113" s="905">
        <v>46357</v>
      </c>
      <c r="Z113" s="906" t="s">
        <v>1273</v>
      </c>
      <c r="AA113" s="904" t="s">
        <v>1294</v>
      </c>
      <c r="AB113" s="905">
        <v>46023</v>
      </c>
      <c r="AC113" s="905">
        <v>46054</v>
      </c>
      <c r="AD113" s="905">
        <v>46082</v>
      </c>
      <c r="AE113" s="905">
        <v>46113</v>
      </c>
      <c r="AF113" s="905">
        <v>46143</v>
      </c>
      <c r="AG113" s="905">
        <v>46174</v>
      </c>
      <c r="AH113" s="905">
        <v>46204</v>
      </c>
      <c r="AI113" s="905">
        <v>46235</v>
      </c>
      <c r="AJ113" s="905">
        <v>46266</v>
      </c>
      <c r="AK113" s="905">
        <v>46296</v>
      </c>
      <c r="AL113" s="905">
        <v>46327</v>
      </c>
      <c r="AM113" s="905">
        <v>46357</v>
      </c>
      <c r="AN113" s="907" t="s">
        <v>1295</v>
      </c>
      <c r="AP113" s="909">
        <v>47088</v>
      </c>
      <c r="AQ113" s="910">
        <v>47453</v>
      </c>
      <c r="AR113" s="910">
        <v>47818</v>
      </c>
      <c r="AS113" s="911">
        <v>48183</v>
      </c>
      <c r="AT113" s="911" t="s">
        <v>1297</v>
      </c>
      <c r="AV113" s="1080"/>
      <c r="AW113" s="1080"/>
    </row>
    <row r="114" spans="1:49">
      <c r="A114" s="2489"/>
      <c r="B114" s="2491"/>
      <c r="C114" s="2492"/>
      <c r="D114" s="2492"/>
      <c r="E114" s="2493"/>
      <c r="F114" s="2487"/>
      <c r="G114" s="922" t="s">
        <v>1300</v>
      </c>
      <c r="H114" s="923" t="s">
        <v>1300</v>
      </c>
      <c r="I114" s="2444"/>
      <c r="J114" s="2444"/>
      <c r="K114" s="2444"/>
      <c r="L114" s="2444"/>
      <c r="M114" s="2444"/>
      <c r="N114" s="1081" t="s">
        <v>1385</v>
      </c>
      <c r="O114" s="1081" t="s">
        <v>1385</v>
      </c>
      <c r="P114" s="1082" t="s">
        <v>1386</v>
      </c>
      <c r="Q114" s="1082" t="s">
        <v>1386</v>
      </c>
      <c r="R114" s="1082" t="s">
        <v>1386</v>
      </c>
      <c r="S114" s="1082" t="s">
        <v>1386</v>
      </c>
      <c r="T114" s="1082" t="s">
        <v>1386</v>
      </c>
      <c r="U114" s="1082" t="s">
        <v>1386</v>
      </c>
      <c r="V114" s="1081" t="s">
        <v>1387</v>
      </c>
      <c r="W114" s="1081" t="s">
        <v>1387</v>
      </c>
      <c r="X114" s="1081" t="s">
        <v>1387</v>
      </c>
      <c r="Y114" s="1081" t="s">
        <v>1387</v>
      </c>
      <c r="Z114" s="1083" t="s">
        <v>1388</v>
      </c>
      <c r="AA114" s="926" t="s">
        <v>1300</v>
      </c>
      <c r="AB114" s="1084" t="s">
        <v>1241</v>
      </c>
      <c r="AC114" s="1084" t="s">
        <v>1241</v>
      </c>
      <c r="AD114" s="1084" t="s">
        <v>1241</v>
      </c>
      <c r="AE114" s="1084" t="s">
        <v>1241</v>
      </c>
      <c r="AF114" s="1084" t="s">
        <v>1241</v>
      </c>
      <c r="AG114" s="1084" t="s">
        <v>1241</v>
      </c>
      <c r="AH114" s="1084" t="s">
        <v>1241</v>
      </c>
      <c r="AI114" s="1084" t="s">
        <v>1241</v>
      </c>
      <c r="AJ114" s="1084" t="s">
        <v>1241</v>
      </c>
      <c r="AK114" s="1084" t="s">
        <v>1241</v>
      </c>
      <c r="AL114" s="1084" t="s">
        <v>1241</v>
      </c>
      <c r="AM114" s="1084" t="s">
        <v>1241</v>
      </c>
      <c r="AN114" s="927" t="s">
        <v>1303</v>
      </c>
      <c r="AP114" s="1084" t="s">
        <v>1240</v>
      </c>
      <c r="AQ114" s="1084" t="s">
        <v>1240</v>
      </c>
      <c r="AR114" s="1084" t="s">
        <v>1240</v>
      </c>
      <c r="AS114" s="1084" t="s">
        <v>1240</v>
      </c>
      <c r="AT114" s="1084" t="s">
        <v>1240</v>
      </c>
      <c r="AV114" s="932" t="s">
        <v>1305</v>
      </c>
      <c r="AW114" s="1085" t="s">
        <v>1306</v>
      </c>
    </row>
    <row r="115" spans="1:49">
      <c r="A115" s="991" t="s">
        <v>1361</v>
      </c>
      <c r="B115" s="991" t="s">
        <v>1362</v>
      </c>
      <c r="C115" s="991">
        <v>337428827</v>
      </c>
      <c r="D115" s="991">
        <v>187567158</v>
      </c>
      <c r="E115" s="991">
        <v>129040913.54285717</v>
      </c>
      <c r="F115" s="1086">
        <v>68111120</v>
      </c>
      <c r="G115" s="1087">
        <v>29687000</v>
      </c>
      <c r="H115" s="950">
        <v>27395000</v>
      </c>
      <c r="I115" s="958"/>
      <c r="J115" s="958"/>
      <c r="K115" s="958"/>
      <c r="L115" s="958"/>
      <c r="M115" s="958"/>
      <c r="N115" s="946">
        <v>1775000</v>
      </c>
      <c r="O115" s="946">
        <v>2170000</v>
      </c>
      <c r="P115" s="947">
        <v>2100000</v>
      </c>
      <c r="Q115" s="946">
        <v>2007500</v>
      </c>
      <c r="R115" s="946">
        <v>2190000</v>
      </c>
      <c r="S115" s="946">
        <v>2007500</v>
      </c>
      <c r="T115" s="946">
        <v>2190000</v>
      </c>
      <c r="U115" s="946">
        <v>2095000</v>
      </c>
      <c r="V115" s="946">
        <v>3020000</v>
      </c>
      <c r="W115" s="946">
        <v>2020000</v>
      </c>
      <c r="X115" s="946">
        <v>2235000</v>
      </c>
      <c r="Y115" s="946">
        <v>3585000</v>
      </c>
      <c r="Z115" s="946">
        <v>95506120</v>
      </c>
      <c r="AA115" s="945">
        <v>33611000</v>
      </c>
      <c r="AB115" s="948">
        <v>2528000</v>
      </c>
      <c r="AC115" s="948">
        <v>1823500</v>
      </c>
      <c r="AD115" s="948">
        <v>1987500</v>
      </c>
      <c r="AE115" s="948">
        <v>3939000</v>
      </c>
      <c r="AF115" s="948">
        <v>2445000</v>
      </c>
      <c r="AG115" s="948">
        <v>2525000</v>
      </c>
      <c r="AH115" s="948">
        <v>3112500</v>
      </c>
      <c r="AI115" s="948">
        <v>3085000</v>
      </c>
      <c r="AJ115" s="948">
        <v>3047500</v>
      </c>
      <c r="AK115" s="948">
        <v>3062500</v>
      </c>
      <c r="AL115" s="948">
        <v>2807500</v>
      </c>
      <c r="AM115" s="948">
        <v>3248000</v>
      </c>
      <c r="AN115" s="945">
        <v>129117120</v>
      </c>
      <c r="AP115" s="945">
        <v>35014540</v>
      </c>
      <c r="AQ115" s="945">
        <v>36187000</v>
      </c>
      <c r="AR115" s="945">
        <v>38359667</v>
      </c>
      <c r="AS115" s="945">
        <v>37700500</v>
      </c>
      <c r="AT115" s="945">
        <v>61050000</v>
      </c>
      <c r="AU115" s="951"/>
      <c r="AV115" s="974">
        <v>337428827</v>
      </c>
      <c r="AW115" s="945">
        <v>0</v>
      </c>
    </row>
    <row r="116" spans="1:49">
      <c r="A116" s="991" t="s">
        <v>1379</v>
      </c>
      <c r="B116" s="991" t="s">
        <v>1389</v>
      </c>
      <c r="C116" s="991">
        <v>14722000</v>
      </c>
      <c r="D116" s="991">
        <v>7430958</v>
      </c>
      <c r="E116" s="991">
        <v>5871319</v>
      </c>
      <c r="F116" s="1086">
        <v>5932000</v>
      </c>
      <c r="G116" s="1087">
        <v>1591000</v>
      </c>
      <c r="H116" s="950">
        <v>1861000</v>
      </c>
      <c r="I116" s="958"/>
      <c r="J116" s="958"/>
      <c r="K116" s="958"/>
      <c r="L116" s="958"/>
      <c r="M116" s="958"/>
      <c r="N116" s="946">
        <v>46000</v>
      </c>
      <c r="O116" s="946">
        <v>200000</v>
      </c>
      <c r="P116" s="947">
        <v>0</v>
      </c>
      <c r="Q116" s="946">
        <v>70000</v>
      </c>
      <c r="R116" s="946">
        <v>320000</v>
      </c>
      <c r="S116" s="946">
        <v>0</v>
      </c>
      <c r="T116" s="946">
        <v>104000</v>
      </c>
      <c r="U116" s="946">
        <v>137000</v>
      </c>
      <c r="V116" s="946">
        <v>125000</v>
      </c>
      <c r="W116" s="946">
        <v>379000</v>
      </c>
      <c r="X116" s="946">
        <v>480000</v>
      </c>
      <c r="Y116" s="946">
        <v>0</v>
      </c>
      <c r="Z116" s="946">
        <v>7793000</v>
      </c>
      <c r="AA116" s="945">
        <v>1904000</v>
      </c>
      <c r="AB116" s="948">
        <v>340000</v>
      </c>
      <c r="AC116" s="948">
        <v>180000</v>
      </c>
      <c r="AD116" s="948">
        <v>160000</v>
      </c>
      <c r="AE116" s="948">
        <v>0</v>
      </c>
      <c r="AF116" s="948">
        <v>320000</v>
      </c>
      <c r="AG116" s="948">
        <v>54000</v>
      </c>
      <c r="AH116" s="948">
        <v>141000</v>
      </c>
      <c r="AI116" s="948">
        <v>54000</v>
      </c>
      <c r="AJ116" s="948">
        <v>30000</v>
      </c>
      <c r="AK116" s="948">
        <v>145000</v>
      </c>
      <c r="AL116" s="948">
        <v>480000</v>
      </c>
      <c r="AM116" s="948">
        <v>0</v>
      </c>
      <c r="AN116" s="945">
        <v>9697000</v>
      </c>
      <c r="AP116" s="945">
        <v>941000</v>
      </c>
      <c r="AQ116" s="945">
        <v>1271000</v>
      </c>
      <c r="AR116" s="945">
        <v>986000</v>
      </c>
      <c r="AS116" s="945">
        <v>1085000</v>
      </c>
      <c r="AT116" s="945">
        <v>742000</v>
      </c>
      <c r="AU116" s="951"/>
      <c r="AV116" s="974">
        <v>14722000</v>
      </c>
      <c r="AW116" s="945">
        <v>0</v>
      </c>
    </row>
    <row r="117" spans="1:49">
      <c r="A117" s="991" t="s">
        <v>1390</v>
      </c>
      <c r="B117" s="991" t="s">
        <v>1391</v>
      </c>
      <c r="C117" s="991">
        <v>2280000</v>
      </c>
      <c r="D117" s="991">
        <v>2280000</v>
      </c>
      <c r="E117" s="991">
        <v>0</v>
      </c>
      <c r="F117" s="1086">
        <v>2280000</v>
      </c>
      <c r="G117" s="1087">
        <v>0</v>
      </c>
      <c r="H117" s="950">
        <v>0</v>
      </c>
      <c r="I117" s="958"/>
      <c r="J117" s="958"/>
      <c r="K117" s="958"/>
      <c r="L117" s="958"/>
      <c r="M117" s="958"/>
      <c r="N117" s="946" t="s">
        <v>1275</v>
      </c>
      <c r="O117" s="946" t="s">
        <v>1275</v>
      </c>
      <c r="P117" s="947" t="s">
        <v>1275</v>
      </c>
      <c r="Q117" s="946" t="s">
        <v>1275</v>
      </c>
      <c r="R117" s="946" t="s">
        <v>1275</v>
      </c>
      <c r="S117" s="946" t="s">
        <v>1275</v>
      </c>
      <c r="T117" s="946" t="s">
        <v>1275</v>
      </c>
      <c r="U117" s="946" t="s">
        <v>1275</v>
      </c>
      <c r="V117" s="946" t="s">
        <v>1275</v>
      </c>
      <c r="W117" s="946" t="s">
        <v>1275</v>
      </c>
      <c r="X117" s="946" t="s">
        <v>1275</v>
      </c>
      <c r="Y117" s="946" t="s">
        <v>1275</v>
      </c>
      <c r="Z117" s="946">
        <v>2280000</v>
      </c>
      <c r="AA117" s="945">
        <v>0</v>
      </c>
      <c r="AB117" s="948" t="s">
        <v>1275</v>
      </c>
      <c r="AC117" s="948" t="s">
        <v>1275</v>
      </c>
      <c r="AD117" s="948" t="s">
        <v>1275</v>
      </c>
      <c r="AE117" s="948" t="s">
        <v>1275</v>
      </c>
      <c r="AF117" s="948" t="s">
        <v>1275</v>
      </c>
      <c r="AG117" s="948" t="s">
        <v>1275</v>
      </c>
      <c r="AH117" s="948" t="s">
        <v>1275</v>
      </c>
      <c r="AI117" s="948" t="s">
        <v>1275</v>
      </c>
      <c r="AJ117" s="948" t="s">
        <v>1275</v>
      </c>
      <c r="AK117" s="948" t="s">
        <v>1275</v>
      </c>
      <c r="AL117" s="948" t="s">
        <v>1275</v>
      </c>
      <c r="AM117" s="948" t="s">
        <v>1275</v>
      </c>
      <c r="AN117" s="945">
        <v>2280000</v>
      </c>
      <c r="AP117" s="945">
        <v>0</v>
      </c>
      <c r="AQ117" s="945">
        <v>0</v>
      </c>
      <c r="AR117" s="945">
        <v>0</v>
      </c>
      <c r="AS117" s="945">
        <v>0</v>
      </c>
      <c r="AT117" s="945">
        <v>0</v>
      </c>
      <c r="AU117" s="951"/>
      <c r="AV117" s="974">
        <v>2280000</v>
      </c>
      <c r="AW117" s="945">
        <v>0</v>
      </c>
    </row>
    <row r="118" spans="1:49">
      <c r="A118" s="991" t="s">
        <v>1390</v>
      </c>
      <c r="B118" s="991" t="s">
        <v>1392</v>
      </c>
      <c r="C118" s="991">
        <v>3900000</v>
      </c>
      <c r="D118" s="991">
        <v>3700000</v>
      </c>
      <c r="E118" s="991">
        <v>200000</v>
      </c>
      <c r="F118" s="1086">
        <v>2925000</v>
      </c>
      <c r="G118" s="1087">
        <v>780000</v>
      </c>
      <c r="H118" s="950">
        <v>975000</v>
      </c>
      <c r="I118" s="958"/>
      <c r="J118" s="958"/>
      <c r="K118" s="958"/>
      <c r="L118" s="958"/>
      <c r="M118" s="958"/>
      <c r="N118" s="946">
        <v>975000</v>
      </c>
      <c r="O118" s="946">
        <v>0</v>
      </c>
      <c r="P118" s="947">
        <v>0</v>
      </c>
      <c r="Q118" s="946">
        <v>0</v>
      </c>
      <c r="R118" s="946">
        <v>0</v>
      </c>
      <c r="S118" s="946">
        <v>0</v>
      </c>
      <c r="T118" s="946">
        <v>0</v>
      </c>
      <c r="U118" s="946">
        <v>0</v>
      </c>
      <c r="V118" s="946">
        <v>0</v>
      </c>
      <c r="W118" s="946">
        <v>0</v>
      </c>
      <c r="X118" s="946">
        <v>0</v>
      </c>
      <c r="Y118" s="946">
        <v>0</v>
      </c>
      <c r="Z118" s="946">
        <v>3900000</v>
      </c>
      <c r="AA118" s="945">
        <v>0</v>
      </c>
      <c r="AB118" s="948">
        <v>0</v>
      </c>
      <c r="AC118" s="948">
        <v>0</v>
      </c>
      <c r="AD118" s="948">
        <v>0</v>
      </c>
      <c r="AE118" s="948">
        <v>0</v>
      </c>
      <c r="AF118" s="948">
        <v>0</v>
      </c>
      <c r="AG118" s="948">
        <v>0</v>
      </c>
      <c r="AH118" s="948">
        <v>0</v>
      </c>
      <c r="AI118" s="948">
        <v>0</v>
      </c>
      <c r="AJ118" s="948">
        <v>0</v>
      </c>
      <c r="AK118" s="948">
        <v>0</v>
      </c>
      <c r="AL118" s="948">
        <v>0</v>
      </c>
      <c r="AM118" s="948">
        <v>0</v>
      </c>
      <c r="AN118" s="945">
        <v>3900000</v>
      </c>
      <c r="AP118" s="945">
        <v>0</v>
      </c>
      <c r="AQ118" s="945">
        <v>0</v>
      </c>
      <c r="AR118" s="945">
        <v>0</v>
      </c>
      <c r="AS118" s="945">
        <v>0</v>
      </c>
      <c r="AT118" s="945">
        <v>0</v>
      </c>
      <c r="AU118" s="951"/>
      <c r="AV118" s="974">
        <v>3900000</v>
      </c>
      <c r="AW118" s="945">
        <v>0</v>
      </c>
    </row>
    <row r="119" spans="1:49">
      <c r="A119" s="991" t="s">
        <v>1390</v>
      </c>
      <c r="B119" s="991" t="s">
        <v>1393</v>
      </c>
      <c r="C119" s="991">
        <v>13212000</v>
      </c>
      <c r="D119" s="991">
        <v>12395000</v>
      </c>
      <c r="E119" s="991">
        <v>817000</v>
      </c>
      <c r="F119" s="1086">
        <v>1200000</v>
      </c>
      <c r="G119" s="1087">
        <v>5122500</v>
      </c>
      <c r="H119" s="950">
        <v>6044750</v>
      </c>
      <c r="I119" s="958"/>
      <c r="J119" s="958"/>
      <c r="K119" s="958"/>
      <c r="L119" s="958"/>
      <c r="M119" s="958"/>
      <c r="N119" s="946">
        <v>0</v>
      </c>
      <c r="O119" s="946">
        <v>1910250</v>
      </c>
      <c r="P119" s="947">
        <v>0</v>
      </c>
      <c r="Q119" s="946">
        <v>200000</v>
      </c>
      <c r="R119" s="946">
        <v>0</v>
      </c>
      <c r="S119" s="946">
        <v>1567250</v>
      </c>
      <c r="T119" s="946">
        <v>1567250</v>
      </c>
      <c r="U119" s="946">
        <v>0</v>
      </c>
      <c r="V119" s="946">
        <v>0</v>
      </c>
      <c r="W119" s="946">
        <v>0</v>
      </c>
      <c r="X119" s="946">
        <v>800000</v>
      </c>
      <c r="Y119" s="946">
        <v>0</v>
      </c>
      <c r="Z119" s="946">
        <v>7244750</v>
      </c>
      <c r="AA119" s="945">
        <v>2367250</v>
      </c>
      <c r="AB119" s="948">
        <v>0</v>
      </c>
      <c r="AC119" s="948">
        <v>0</v>
      </c>
      <c r="AD119" s="948">
        <v>1167250</v>
      </c>
      <c r="AE119" s="948">
        <v>400000</v>
      </c>
      <c r="AF119" s="948">
        <v>0</v>
      </c>
      <c r="AG119" s="948">
        <v>0</v>
      </c>
      <c r="AH119" s="948">
        <v>400000</v>
      </c>
      <c r="AI119" s="948">
        <v>0</v>
      </c>
      <c r="AJ119" s="948">
        <v>0</v>
      </c>
      <c r="AK119" s="948">
        <v>400000</v>
      </c>
      <c r="AL119" s="948">
        <v>0</v>
      </c>
      <c r="AM119" s="948">
        <v>0</v>
      </c>
      <c r="AN119" s="945">
        <v>9612000</v>
      </c>
      <c r="AP119" s="945">
        <v>2000000</v>
      </c>
      <c r="AQ119" s="945">
        <v>1600000</v>
      </c>
      <c r="AR119" s="945">
        <v>0</v>
      </c>
      <c r="AS119" s="945">
        <v>0</v>
      </c>
      <c r="AT119" s="945">
        <v>0</v>
      </c>
      <c r="AU119" s="951"/>
      <c r="AV119" s="974">
        <v>13212000</v>
      </c>
      <c r="AW119" s="945">
        <v>0</v>
      </c>
    </row>
    <row r="120" spans="1:49">
      <c r="A120" s="991" t="s">
        <v>1394</v>
      </c>
      <c r="B120" s="991" t="s">
        <v>1395</v>
      </c>
      <c r="C120" s="991"/>
      <c r="D120" s="991"/>
      <c r="E120" s="991">
        <v>0</v>
      </c>
      <c r="F120" s="1086"/>
      <c r="G120" s="1087">
        <v>0</v>
      </c>
      <c r="H120" s="950">
        <v>0</v>
      </c>
      <c r="I120" s="958"/>
      <c r="J120" s="958"/>
      <c r="K120" s="958"/>
      <c r="L120" s="958"/>
      <c r="M120" s="958"/>
      <c r="N120" s="946"/>
      <c r="O120" s="946"/>
      <c r="P120" s="947"/>
      <c r="Q120" s="946"/>
      <c r="R120" s="946"/>
      <c r="S120" s="946"/>
      <c r="T120" s="946"/>
      <c r="U120" s="946"/>
      <c r="V120" s="946"/>
      <c r="W120" s="946"/>
      <c r="X120" s="946"/>
      <c r="Y120" s="946"/>
      <c r="Z120" s="946">
        <v>0</v>
      </c>
      <c r="AA120" s="945">
        <v>0</v>
      </c>
      <c r="AB120" s="948"/>
      <c r="AC120" s="948"/>
      <c r="AD120" s="948"/>
      <c r="AE120" s="948"/>
      <c r="AF120" s="948"/>
      <c r="AG120" s="948"/>
      <c r="AH120" s="948"/>
      <c r="AI120" s="948"/>
      <c r="AJ120" s="948"/>
      <c r="AK120" s="948"/>
      <c r="AL120" s="948"/>
      <c r="AM120" s="948"/>
      <c r="AN120" s="945">
        <v>0</v>
      </c>
      <c r="AP120" s="945"/>
      <c r="AQ120" s="945"/>
      <c r="AR120" s="945"/>
      <c r="AS120" s="945"/>
      <c r="AT120" s="945"/>
      <c r="AU120" s="951"/>
      <c r="AV120" s="974">
        <v>0</v>
      </c>
      <c r="AW120" s="945">
        <v>0</v>
      </c>
    </row>
    <row r="121" spans="1:49">
      <c r="A121" s="948"/>
      <c r="B121" s="948"/>
      <c r="C121" s="948"/>
      <c r="D121" s="948"/>
      <c r="E121" s="948"/>
      <c r="F121" s="1044"/>
      <c r="G121" s="1087"/>
      <c r="H121" s="945">
        <v>0</v>
      </c>
      <c r="I121" s="948"/>
      <c r="J121" s="948"/>
      <c r="K121" s="948"/>
      <c r="L121" s="948"/>
      <c r="M121" s="948"/>
      <c r="N121" s="946"/>
      <c r="O121" s="946"/>
      <c r="P121" s="947"/>
      <c r="Q121" s="946"/>
      <c r="R121" s="946"/>
      <c r="S121" s="946"/>
      <c r="T121" s="946"/>
      <c r="U121" s="946"/>
      <c r="V121" s="946"/>
      <c r="W121" s="946"/>
      <c r="X121" s="946"/>
      <c r="Y121" s="946"/>
      <c r="Z121" s="946">
        <v>0</v>
      </c>
      <c r="AA121" s="945">
        <v>0</v>
      </c>
      <c r="AB121" s="948"/>
      <c r="AC121" s="948"/>
      <c r="AD121" s="948"/>
      <c r="AE121" s="948"/>
      <c r="AF121" s="948"/>
      <c r="AG121" s="948"/>
      <c r="AH121" s="948"/>
      <c r="AI121" s="948"/>
      <c r="AJ121" s="948"/>
      <c r="AK121" s="948"/>
      <c r="AL121" s="948"/>
      <c r="AM121" s="948"/>
      <c r="AN121" s="945">
        <v>0</v>
      </c>
      <c r="AP121" s="945"/>
      <c r="AQ121" s="945"/>
      <c r="AR121" s="945"/>
      <c r="AS121" s="945"/>
      <c r="AT121" s="945"/>
      <c r="AU121" s="951"/>
      <c r="AV121" s="974">
        <v>0</v>
      </c>
      <c r="AW121" s="945">
        <v>0</v>
      </c>
    </row>
    <row r="122" spans="1:49">
      <c r="A122" s="948"/>
      <c r="B122" s="948"/>
      <c r="C122" s="948"/>
      <c r="D122" s="948"/>
      <c r="E122" s="948"/>
      <c r="F122" s="1044"/>
      <c r="G122" s="944"/>
      <c r="H122" s="945">
        <v>0</v>
      </c>
      <c r="I122" s="948"/>
      <c r="J122" s="948"/>
      <c r="K122" s="948"/>
      <c r="L122" s="948"/>
      <c r="M122" s="948"/>
      <c r="N122" s="946"/>
      <c r="O122" s="946"/>
      <c r="P122" s="947"/>
      <c r="Q122" s="946"/>
      <c r="R122" s="946"/>
      <c r="S122" s="946"/>
      <c r="T122" s="946"/>
      <c r="U122" s="946"/>
      <c r="V122" s="946"/>
      <c r="W122" s="946"/>
      <c r="X122" s="946"/>
      <c r="Y122" s="946"/>
      <c r="Z122" s="946">
        <v>0</v>
      </c>
      <c r="AA122" s="945">
        <v>0</v>
      </c>
      <c r="AB122" s="948"/>
      <c r="AC122" s="948"/>
      <c r="AD122" s="948"/>
      <c r="AE122" s="948"/>
      <c r="AF122" s="948"/>
      <c r="AG122" s="948"/>
      <c r="AH122" s="948"/>
      <c r="AI122" s="948"/>
      <c r="AJ122" s="948"/>
      <c r="AK122" s="948"/>
      <c r="AL122" s="948"/>
      <c r="AM122" s="948"/>
      <c r="AN122" s="945">
        <v>0</v>
      </c>
      <c r="AP122" s="945"/>
      <c r="AQ122" s="945"/>
      <c r="AR122" s="945"/>
      <c r="AS122" s="945"/>
      <c r="AT122" s="945"/>
      <c r="AU122" s="951"/>
      <c r="AV122" s="974">
        <v>0</v>
      </c>
      <c r="AW122" s="945">
        <v>0</v>
      </c>
    </row>
    <row r="123" spans="1:49">
      <c r="A123" s="948"/>
      <c r="B123" s="948"/>
      <c r="C123" s="948"/>
      <c r="D123" s="948"/>
      <c r="E123" s="948"/>
      <c r="F123" s="1044"/>
      <c r="G123" s="944"/>
      <c r="H123" s="945">
        <v>0</v>
      </c>
      <c r="I123" s="948"/>
      <c r="J123" s="948"/>
      <c r="K123" s="948"/>
      <c r="L123" s="948"/>
      <c r="M123" s="948"/>
      <c r="N123" s="946"/>
      <c r="O123" s="946"/>
      <c r="P123" s="947"/>
      <c r="Q123" s="946"/>
      <c r="R123" s="946"/>
      <c r="S123" s="946"/>
      <c r="T123" s="946"/>
      <c r="U123" s="946"/>
      <c r="V123" s="946"/>
      <c r="W123" s="946"/>
      <c r="X123" s="946"/>
      <c r="Y123" s="946"/>
      <c r="Z123" s="946">
        <v>0</v>
      </c>
      <c r="AA123" s="945">
        <v>0</v>
      </c>
      <c r="AB123" s="948"/>
      <c r="AC123" s="948"/>
      <c r="AD123" s="948"/>
      <c r="AE123" s="948"/>
      <c r="AF123" s="948"/>
      <c r="AG123" s="948"/>
      <c r="AH123" s="948"/>
      <c r="AI123" s="948"/>
      <c r="AJ123" s="948"/>
      <c r="AK123" s="948"/>
      <c r="AL123" s="948"/>
      <c r="AM123" s="948"/>
      <c r="AN123" s="945">
        <v>0</v>
      </c>
      <c r="AP123" s="945"/>
      <c r="AQ123" s="945"/>
      <c r="AR123" s="945"/>
      <c r="AS123" s="945"/>
      <c r="AT123" s="945"/>
      <c r="AU123" s="951"/>
      <c r="AV123" s="974">
        <v>0</v>
      </c>
      <c r="AW123" s="945">
        <v>0</v>
      </c>
    </row>
    <row r="124" spans="1:49">
      <c r="A124" s="948"/>
      <c r="B124" s="948"/>
      <c r="C124" s="948"/>
      <c r="D124" s="948"/>
      <c r="E124" s="948"/>
      <c r="F124" s="1044"/>
      <c r="G124" s="944"/>
      <c r="H124" s="945">
        <v>0</v>
      </c>
      <c r="I124" s="948"/>
      <c r="J124" s="948"/>
      <c r="K124" s="948"/>
      <c r="L124" s="948"/>
      <c r="M124" s="948"/>
      <c r="N124" s="946"/>
      <c r="O124" s="946"/>
      <c r="P124" s="947"/>
      <c r="Q124" s="946"/>
      <c r="R124" s="946"/>
      <c r="S124" s="946"/>
      <c r="T124" s="946"/>
      <c r="U124" s="946"/>
      <c r="V124" s="946"/>
      <c r="W124" s="946"/>
      <c r="X124" s="946"/>
      <c r="Y124" s="946"/>
      <c r="Z124" s="946">
        <v>0</v>
      </c>
      <c r="AA124" s="945">
        <v>0</v>
      </c>
      <c r="AB124" s="948"/>
      <c r="AC124" s="948"/>
      <c r="AD124" s="948"/>
      <c r="AE124" s="948"/>
      <c r="AF124" s="948"/>
      <c r="AG124" s="948"/>
      <c r="AH124" s="948"/>
      <c r="AI124" s="948"/>
      <c r="AJ124" s="948"/>
      <c r="AK124" s="948"/>
      <c r="AL124" s="948"/>
      <c r="AM124" s="948"/>
      <c r="AN124" s="945">
        <v>0</v>
      </c>
      <c r="AP124" s="945"/>
      <c r="AQ124" s="945"/>
      <c r="AR124" s="945"/>
      <c r="AS124" s="945"/>
      <c r="AT124" s="945"/>
      <c r="AU124" s="951"/>
      <c r="AV124" s="974">
        <v>0</v>
      </c>
      <c r="AW124" s="945">
        <v>0</v>
      </c>
    </row>
    <row r="125" spans="1:49">
      <c r="A125" s="948"/>
      <c r="B125" s="948"/>
      <c r="C125" s="948"/>
      <c r="D125" s="948"/>
      <c r="E125" s="948"/>
      <c r="F125" s="1044"/>
      <c r="G125" s="944"/>
      <c r="H125" s="945">
        <v>0</v>
      </c>
      <c r="I125" s="948"/>
      <c r="J125" s="948"/>
      <c r="K125" s="948"/>
      <c r="L125" s="948"/>
      <c r="M125" s="948"/>
      <c r="N125" s="946"/>
      <c r="O125" s="948"/>
      <c r="P125" s="947"/>
      <c r="Q125" s="948"/>
      <c r="R125" s="948"/>
      <c r="S125" s="948"/>
      <c r="T125" s="948"/>
      <c r="U125" s="948"/>
      <c r="V125" s="948"/>
      <c r="W125" s="948"/>
      <c r="X125" s="948"/>
      <c r="Y125" s="948"/>
      <c r="Z125" s="948">
        <v>0</v>
      </c>
      <c r="AA125" s="945">
        <v>0</v>
      </c>
      <c r="AB125" s="948"/>
      <c r="AC125" s="948"/>
      <c r="AD125" s="948"/>
      <c r="AE125" s="948"/>
      <c r="AF125" s="948"/>
      <c r="AG125" s="948"/>
      <c r="AH125" s="948"/>
      <c r="AI125" s="948"/>
      <c r="AJ125" s="948"/>
      <c r="AK125" s="948"/>
      <c r="AL125" s="948"/>
      <c r="AM125" s="948"/>
      <c r="AN125" s="945">
        <v>0</v>
      </c>
      <c r="AP125" s="945"/>
      <c r="AQ125" s="945"/>
      <c r="AR125" s="945"/>
      <c r="AS125" s="945"/>
      <c r="AT125" s="945"/>
      <c r="AU125" s="951"/>
      <c r="AV125" s="974">
        <v>0</v>
      </c>
      <c r="AW125" s="945">
        <v>0</v>
      </c>
    </row>
    <row r="126" spans="1:49" s="912" customFormat="1">
      <c r="A126" s="1046"/>
      <c r="B126" s="1046" t="s">
        <v>1272</v>
      </c>
      <c r="C126" s="1046">
        <v>371542827</v>
      </c>
      <c r="D126" s="1046">
        <v>213373116</v>
      </c>
      <c r="E126" s="1046">
        <v>135929232.54285717</v>
      </c>
      <c r="F126" s="1046">
        <v>80448120</v>
      </c>
      <c r="G126" s="1046">
        <v>37180500</v>
      </c>
      <c r="H126" s="1046">
        <v>36275750</v>
      </c>
      <c r="I126" s="2445"/>
      <c r="J126" s="2445"/>
      <c r="K126" s="2445"/>
      <c r="L126" s="2445"/>
      <c r="M126" s="2445"/>
      <c r="N126" s="1047">
        <v>2796000</v>
      </c>
      <c r="O126" s="1046">
        <v>4280250</v>
      </c>
      <c r="P126" s="1046">
        <v>2100000</v>
      </c>
      <c r="Q126" s="1046">
        <v>2277500</v>
      </c>
      <c r="R126" s="1046">
        <v>2510000</v>
      </c>
      <c r="S126" s="1046">
        <v>3574750</v>
      </c>
      <c r="T126" s="1046">
        <v>3861250</v>
      </c>
      <c r="U126" s="1046">
        <v>2232000</v>
      </c>
      <c r="V126" s="1046">
        <v>3145000</v>
      </c>
      <c r="W126" s="1046">
        <v>2399000</v>
      </c>
      <c r="X126" s="1046">
        <v>3515000</v>
      </c>
      <c r="Y126" s="1046">
        <v>3585000</v>
      </c>
      <c r="Z126" s="1046">
        <v>116723870</v>
      </c>
      <c r="AA126" s="1046">
        <v>37882250</v>
      </c>
      <c r="AB126" s="1046">
        <v>2868000</v>
      </c>
      <c r="AC126" s="1046">
        <v>2003500</v>
      </c>
      <c r="AD126" s="1046">
        <v>3314750</v>
      </c>
      <c r="AE126" s="1046">
        <v>4339000</v>
      </c>
      <c r="AF126" s="1046">
        <v>2765000</v>
      </c>
      <c r="AG126" s="1046">
        <v>2579000</v>
      </c>
      <c r="AH126" s="1046">
        <v>3653500</v>
      </c>
      <c r="AI126" s="1046">
        <v>3139000</v>
      </c>
      <c r="AJ126" s="1046">
        <v>3077500</v>
      </c>
      <c r="AK126" s="1046">
        <v>3607500</v>
      </c>
      <c r="AL126" s="1046">
        <v>3287500</v>
      </c>
      <c r="AM126" s="1046">
        <v>3248000</v>
      </c>
      <c r="AN126" s="1046">
        <v>154606120</v>
      </c>
      <c r="AO126" s="940"/>
      <c r="AP126" s="1046">
        <v>37955540</v>
      </c>
      <c r="AQ126" s="1046">
        <v>39058000</v>
      </c>
      <c r="AR126" s="1046">
        <v>39345667</v>
      </c>
      <c r="AS126" s="1046">
        <v>38785500</v>
      </c>
      <c r="AT126" s="1046">
        <v>61792000</v>
      </c>
      <c r="AU126" s="1005"/>
      <c r="AV126" s="1047">
        <v>371542827</v>
      </c>
      <c r="AW126" s="1046">
        <v>0</v>
      </c>
    </row>
    <row r="127" spans="1:49">
      <c r="A127" s="958"/>
      <c r="B127" s="958" t="s">
        <v>1371</v>
      </c>
      <c r="C127" s="958"/>
      <c r="D127" s="958"/>
      <c r="E127" s="958"/>
      <c r="F127" s="958">
        <v>0</v>
      </c>
      <c r="G127" s="958">
        <v>0</v>
      </c>
      <c r="H127" s="958">
        <v>0</v>
      </c>
      <c r="I127" s="958"/>
      <c r="J127" s="958"/>
      <c r="K127" s="958"/>
      <c r="L127" s="958"/>
      <c r="M127" s="958"/>
      <c r="N127" s="1088">
        <v>0</v>
      </c>
      <c r="O127" s="958">
        <v>0</v>
      </c>
      <c r="P127" s="958">
        <v>0</v>
      </c>
      <c r="Q127" s="958">
        <v>0</v>
      </c>
      <c r="R127" s="958">
        <v>0</v>
      </c>
      <c r="S127" s="958">
        <v>0</v>
      </c>
      <c r="T127" s="958">
        <v>0</v>
      </c>
      <c r="U127" s="958">
        <v>0</v>
      </c>
      <c r="V127" s="958">
        <v>0</v>
      </c>
      <c r="W127" s="958">
        <v>0</v>
      </c>
      <c r="X127" s="958">
        <v>0</v>
      </c>
      <c r="Y127" s="958">
        <v>0</v>
      </c>
      <c r="Z127" s="958">
        <v>0</v>
      </c>
      <c r="AA127" s="958">
        <v>0</v>
      </c>
      <c r="AB127" s="958">
        <v>0</v>
      </c>
      <c r="AC127" s="958">
        <v>0</v>
      </c>
      <c r="AD127" s="958">
        <v>0</v>
      </c>
      <c r="AE127" s="958">
        <v>0</v>
      </c>
      <c r="AF127" s="958">
        <v>0</v>
      </c>
      <c r="AG127" s="958">
        <v>0</v>
      </c>
      <c r="AH127" s="958">
        <v>0</v>
      </c>
      <c r="AI127" s="958">
        <v>0</v>
      </c>
      <c r="AJ127" s="958">
        <v>0</v>
      </c>
      <c r="AK127" s="958">
        <v>0</v>
      </c>
      <c r="AL127" s="958">
        <v>0</v>
      </c>
      <c r="AM127" s="958">
        <v>0</v>
      </c>
      <c r="AN127" s="958">
        <v>0</v>
      </c>
      <c r="AP127" s="958">
        <v>0</v>
      </c>
      <c r="AQ127" s="958">
        <v>0</v>
      </c>
      <c r="AR127" s="958">
        <v>0</v>
      </c>
      <c r="AS127" s="958"/>
      <c r="AT127" s="958">
        <v>0</v>
      </c>
      <c r="AU127" s="958"/>
      <c r="AV127" s="1088"/>
      <c r="AW127" s="958"/>
    </row>
    <row r="128" spans="1:49">
      <c r="A128" s="958"/>
      <c r="B128" s="958"/>
      <c r="C128" s="958"/>
      <c r="D128" s="958"/>
      <c r="E128" s="958"/>
      <c r="F128" s="958"/>
      <c r="G128" s="958"/>
      <c r="H128" s="958"/>
      <c r="I128" s="958"/>
      <c r="J128" s="958"/>
      <c r="K128" s="958"/>
      <c r="L128" s="958"/>
      <c r="M128" s="958"/>
      <c r="N128" s="1088"/>
      <c r="O128" s="958"/>
      <c r="P128" s="958"/>
      <c r="Q128" s="958"/>
      <c r="R128" s="958"/>
      <c r="S128" s="958"/>
      <c r="T128" s="958"/>
      <c r="U128" s="958"/>
      <c r="V128" s="958"/>
      <c r="W128" s="958"/>
      <c r="X128" s="958"/>
      <c r="Y128" s="958"/>
      <c r="Z128" s="958"/>
      <c r="AA128" s="958"/>
      <c r="AB128" s="958"/>
      <c r="AC128" s="958"/>
      <c r="AD128" s="958"/>
      <c r="AE128" s="958"/>
      <c r="AF128" s="958"/>
      <c r="AG128" s="958"/>
      <c r="AH128" s="958"/>
      <c r="AI128" s="958"/>
      <c r="AJ128" s="958"/>
      <c r="AK128" s="958"/>
      <c r="AL128" s="958"/>
      <c r="AM128" s="958"/>
      <c r="AN128" s="958"/>
      <c r="AP128" s="958"/>
      <c r="AQ128" s="958"/>
      <c r="AR128" s="958"/>
      <c r="AS128" s="958"/>
      <c r="AT128" s="958"/>
      <c r="AU128" s="958"/>
      <c r="AV128" s="1088"/>
      <c r="AW128" s="958"/>
    </row>
    <row r="129" spans="1:57">
      <c r="A129" s="958"/>
      <c r="B129" s="958"/>
      <c r="C129" s="958"/>
      <c r="D129" s="958"/>
      <c r="E129" s="958"/>
      <c r="F129" s="958"/>
      <c r="G129" s="958"/>
      <c r="H129" s="958"/>
      <c r="I129" s="958"/>
      <c r="J129" s="958"/>
      <c r="K129" s="958"/>
      <c r="L129" s="958"/>
      <c r="M129" s="958"/>
      <c r="N129" s="1088"/>
      <c r="O129" s="958"/>
      <c r="P129" s="958"/>
      <c r="Q129" s="958"/>
      <c r="R129" s="958"/>
      <c r="S129" s="958"/>
      <c r="T129" s="958"/>
      <c r="U129" s="958"/>
      <c r="V129" s="958"/>
      <c r="W129" s="958"/>
      <c r="X129" s="958"/>
      <c r="Y129" s="958"/>
      <c r="Z129" s="958"/>
      <c r="AA129" s="958"/>
      <c r="AB129" s="958"/>
      <c r="AC129" s="958"/>
      <c r="AD129" s="958"/>
      <c r="AE129" s="958"/>
      <c r="AF129" s="958"/>
      <c r="AG129" s="958"/>
      <c r="AH129" s="958"/>
      <c r="AI129" s="958"/>
      <c r="AJ129" s="958"/>
      <c r="AK129" s="958"/>
      <c r="AL129" s="958"/>
      <c r="AM129" s="958"/>
      <c r="AN129" s="958"/>
      <c r="AP129" s="958"/>
      <c r="AQ129" s="958"/>
      <c r="AR129" s="958"/>
      <c r="AS129" s="958"/>
      <c r="AT129" s="958"/>
      <c r="AU129" s="958"/>
      <c r="AV129" s="1088"/>
      <c r="AW129" s="958"/>
    </row>
    <row r="130" spans="1:57">
      <c r="A130" s="958"/>
      <c r="B130" s="958"/>
      <c r="C130" s="958"/>
      <c r="D130" s="958"/>
      <c r="E130" s="958"/>
      <c r="F130" s="958"/>
      <c r="G130" s="958"/>
      <c r="H130" s="958"/>
      <c r="I130" s="958"/>
      <c r="J130" s="958"/>
      <c r="K130" s="958"/>
      <c r="L130" s="958"/>
      <c r="M130" s="958"/>
      <c r="N130" s="1088"/>
      <c r="O130" s="958"/>
      <c r="P130" s="958"/>
      <c r="Q130" s="958"/>
      <c r="R130" s="958"/>
      <c r="S130" s="958"/>
      <c r="T130" s="958"/>
      <c r="U130" s="958"/>
      <c r="V130" s="958"/>
      <c r="W130" s="958"/>
      <c r="X130" s="958"/>
      <c r="Y130" s="958"/>
      <c r="Z130" s="958"/>
      <c r="AA130" s="958"/>
      <c r="AB130" s="958"/>
      <c r="AC130" s="958"/>
      <c r="AD130" s="958"/>
      <c r="AE130" s="958"/>
      <c r="AF130" s="958"/>
      <c r="AG130" s="958"/>
      <c r="AH130" s="958"/>
      <c r="AI130" s="958"/>
      <c r="AJ130" s="958"/>
      <c r="AK130" s="958"/>
      <c r="AL130" s="958"/>
      <c r="AM130" s="958"/>
      <c r="AN130" s="958"/>
      <c r="AP130" s="958"/>
      <c r="AQ130" s="958"/>
      <c r="AR130" s="958"/>
      <c r="AS130" s="958"/>
      <c r="AT130" s="958"/>
      <c r="AU130" s="958"/>
      <c r="AV130" s="1088"/>
      <c r="AW130" s="958"/>
    </row>
    <row r="131" spans="1:57">
      <c r="A131" s="958"/>
      <c r="B131" s="958"/>
      <c r="C131" s="958"/>
      <c r="D131" s="958"/>
      <c r="E131" s="958"/>
      <c r="F131" s="958"/>
      <c r="G131" s="958"/>
      <c r="H131" s="958"/>
      <c r="I131" s="958"/>
      <c r="J131" s="958"/>
      <c r="K131" s="958"/>
      <c r="L131" s="958"/>
      <c r="M131" s="958"/>
      <c r="N131" s="1088"/>
      <c r="O131" s="958"/>
      <c r="P131" s="958"/>
      <c r="Q131" s="958"/>
      <c r="R131" s="958"/>
      <c r="S131" s="958"/>
      <c r="T131" s="958"/>
      <c r="U131" s="958"/>
      <c r="V131" s="958"/>
      <c r="W131" s="958"/>
      <c r="X131" s="958"/>
      <c r="Y131" s="958"/>
      <c r="Z131" s="958"/>
      <c r="AA131" s="958"/>
      <c r="AB131" s="958"/>
      <c r="AC131" s="958"/>
      <c r="AD131" s="958"/>
      <c r="AE131" s="958"/>
      <c r="AF131" s="958"/>
      <c r="AG131" s="958"/>
      <c r="AH131" s="958"/>
      <c r="AI131" s="958"/>
      <c r="AJ131" s="958"/>
      <c r="AK131" s="958"/>
      <c r="AL131" s="958"/>
      <c r="AM131" s="958"/>
      <c r="AN131" s="958"/>
      <c r="AP131" s="958"/>
      <c r="AQ131" s="958"/>
      <c r="AR131" s="958"/>
      <c r="AS131" s="958"/>
      <c r="AT131" s="958"/>
      <c r="AU131" s="958"/>
      <c r="AV131" s="1088"/>
      <c r="AW131" s="958"/>
    </row>
    <row r="132" spans="1:57">
      <c r="A132" s="958"/>
      <c r="B132" s="958"/>
      <c r="C132" s="958"/>
      <c r="D132" s="958"/>
      <c r="E132" s="958"/>
      <c r="F132" s="958"/>
      <c r="G132" s="958"/>
      <c r="H132" s="958"/>
      <c r="I132" s="958"/>
      <c r="J132" s="958"/>
      <c r="K132" s="958"/>
      <c r="L132" s="958"/>
      <c r="M132" s="958"/>
      <c r="N132" s="1088"/>
      <c r="O132" s="958"/>
      <c r="P132" s="958"/>
      <c r="Q132" s="958"/>
      <c r="R132" s="958"/>
      <c r="S132" s="958"/>
      <c r="T132" s="958"/>
      <c r="U132" s="958"/>
      <c r="V132" s="958"/>
      <c r="W132" s="958"/>
      <c r="X132" s="958"/>
      <c r="Y132" s="958"/>
      <c r="Z132" s="958"/>
      <c r="AA132" s="958"/>
      <c r="AB132" s="958"/>
      <c r="AC132" s="958"/>
      <c r="AD132" s="958"/>
      <c r="AE132" s="958"/>
      <c r="AF132" s="958"/>
      <c r="AG132" s="958"/>
      <c r="AH132" s="958"/>
      <c r="AI132" s="958"/>
      <c r="AJ132" s="958"/>
      <c r="AK132" s="958"/>
      <c r="AL132" s="958"/>
      <c r="AM132" s="958"/>
      <c r="AN132" s="958"/>
      <c r="AP132" s="958"/>
      <c r="AQ132" s="958"/>
      <c r="AR132" s="958"/>
      <c r="AS132" s="958"/>
      <c r="AT132" s="958"/>
      <c r="AU132" s="958"/>
      <c r="AV132" s="1088"/>
      <c r="AW132" s="958"/>
    </row>
    <row r="133" spans="1:57">
      <c r="A133" s="1089" t="s">
        <v>1396</v>
      </c>
      <c r="B133" s="537"/>
      <c r="C133" s="663"/>
      <c r="D133" s="663"/>
      <c r="E133" s="663"/>
      <c r="F133" s="663"/>
    </row>
    <row r="134" spans="1:57" s="1090" customFormat="1">
      <c r="I134" s="872"/>
      <c r="J134" s="872"/>
      <c r="K134" s="872"/>
      <c r="L134" s="872"/>
      <c r="M134" s="872"/>
      <c r="AO134" s="1091"/>
      <c r="BC134" s="872"/>
      <c r="BD134" s="872"/>
      <c r="BE134" s="872"/>
    </row>
    <row r="135" spans="1:57">
      <c r="A135" s="958"/>
      <c r="B135" s="958"/>
      <c r="C135" s="958"/>
      <c r="D135" s="958"/>
      <c r="E135" s="958"/>
      <c r="F135" s="958"/>
      <c r="G135" s="958"/>
      <c r="H135" s="958"/>
      <c r="I135" s="958"/>
      <c r="J135" s="958"/>
      <c r="K135" s="958"/>
      <c r="L135" s="958"/>
      <c r="M135" s="958"/>
      <c r="N135" s="1088"/>
      <c r="O135" s="958"/>
      <c r="P135" s="958"/>
      <c r="Q135" s="958"/>
      <c r="R135" s="958"/>
      <c r="S135" s="958"/>
      <c r="T135" s="958"/>
      <c r="U135" s="958"/>
      <c r="V135" s="958"/>
      <c r="W135" s="958"/>
      <c r="X135" s="958"/>
      <c r="Y135" s="958"/>
      <c r="Z135" s="958"/>
      <c r="AA135" s="958"/>
      <c r="AB135" s="958"/>
      <c r="AC135" s="958"/>
      <c r="AD135" s="958"/>
      <c r="AE135" s="958"/>
      <c r="AF135" s="958"/>
      <c r="AG135" s="958"/>
      <c r="AH135" s="958"/>
      <c r="AI135" s="958"/>
      <c r="AJ135" s="958"/>
      <c r="AK135" s="958"/>
      <c r="AL135" s="958"/>
      <c r="AM135" s="958"/>
      <c r="AN135" s="958"/>
      <c r="AP135" s="958"/>
      <c r="AQ135" s="958"/>
      <c r="AR135" s="958"/>
      <c r="AS135" s="958"/>
      <c r="AT135" s="958"/>
      <c r="AU135" s="958"/>
      <c r="AV135" s="1088"/>
      <c r="AW135" s="958"/>
    </row>
    <row r="136" spans="1:57" s="912" customFormat="1">
      <c r="A136" s="1092" t="s">
        <v>1397</v>
      </c>
      <c r="B136" s="1093" t="s">
        <v>1398</v>
      </c>
      <c r="C136" s="534"/>
      <c r="D136" s="901"/>
      <c r="E136" s="901"/>
      <c r="F136" s="1058"/>
      <c r="O136" s="1094"/>
      <c r="P136" s="1094"/>
      <c r="Q136" s="1094"/>
      <c r="R136" s="1094"/>
      <c r="S136" s="1094"/>
      <c r="T136" s="1094"/>
      <c r="U136" s="1094"/>
      <c r="V136" s="1094"/>
      <c r="W136" s="1094"/>
      <c r="X136" s="1094"/>
      <c r="Y136" s="1094"/>
      <c r="Z136" s="1095"/>
      <c r="AA136" s="1095"/>
      <c r="AB136" s="1095"/>
      <c r="AC136" s="1095"/>
      <c r="AD136" s="1095"/>
      <c r="AE136" s="1095"/>
      <c r="AF136" s="1095"/>
      <c r="AG136" s="1095"/>
      <c r="AH136" s="1095"/>
      <c r="AI136" s="1095"/>
      <c r="AJ136" s="1095"/>
      <c r="AK136" s="1095"/>
      <c r="AL136" s="1095"/>
      <c r="AM136" s="1095"/>
      <c r="AN136" s="1095"/>
      <c r="AO136" s="1095"/>
      <c r="AP136" s="1095"/>
      <c r="AQ136" s="1095"/>
      <c r="AR136" s="1095"/>
      <c r="AS136" s="1095"/>
      <c r="AT136" s="1095"/>
      <c r="AU136" s="1095"/>
      <c r="AV136" s="1095"/>
      <c r="AW136" s="1095"/>
    </row>
    <row r="137" spans="1:57" s="901" customFormat="1">
      <c r="B137" s="1096" t="s">
        <v>1283</v>
      </c>
      <c r="C137" s="1097"/>
      <c r="D137" s="1097"/>
      <c r="E137" s="1097"/>
      <c r="F137" s="1097"/>
      <c r="G137" s="892"/>
      <c r="H137" s="2478" t="s">
        <v>1374</v>
      </c>
      <c r="I137" s="2477"/>
      <c r="J137" s="2477"/>
      <c r="K137" s="2477"/>
      <c r="L137" s="2477"/>
      <c r="M137" s="2477"/>
      <c r="N137" s="2477"/>
      <c r="O137" s="2477"/>
      <c r="P137" s="2477"/>
      <c r="Q137" s="2477"/>
      <c r="R137" s="2477"/>
      <c r="S137" s="2477"/>
      <c r="T137" s="2477"/>
      <c r="U137" s="2477"/>
      <c r="V137" s="2477"/>
      <c r="W137" s="2477"/>
      <c r="X137" s="2477"/>
      <c r="Y137" s="2477"/>
      <c r="Z137" s="2477"/>
      <c r="AA137" s="2494"/>
      <c r="AB137" s="2478" t="s">
        <v>1399</v>
      </c>
      <c r="AC137" s="2477"/>
      <c r="AD137" s="2477"/>
      <c r="AE137" s="2477"/>
      <c r="AF137" s="2477"/>
      <c r="AG137" s="2477"/>
      <c r="AH137" s="2477"/>
      <c r="AI137" s="2477"/>
      <c r="AJ137" s="2477"/>
      <c r="AK137" s="2477"/>
      <c r="AL137" s="2477"/>
      <c r="AM137" s="2477"/>
      <c r="AN137" s="2477"/>
      <c r="AO137" s="894"/>
      <c r="AP137" s="549"/>
      <c r="AQ137" s="896"/>
      <c r="AR137" s="897"/>
      <c r="AS137" s="897"/>
      <c r="AT137" s="898"/>
      <c r="AU137" s="898"/>
      <c r="AV137" s="1098"/>
      <c r="AW137" s="897"/>
      <c r="AX137" s="897"/>
    </row>
    <row r="138" spans="1:57" ht="31.2">
      <c r="B138" s="1072" t="s">
        <v>1288</v>
      </c>
      <c r="C138" s="1073" t="s">
        <v>1289</v>
      </c>
      <c r="D138" s="904" t="s">
        <v>1290</v>
      </c>
      <c r="E138" s="904" t="s">
        <v>1400</v>
      </c>
      <c r="F138" s="904" t="s">
        <v>1292</v>
      </c>
      <c r="G138" s="904" t="s">
        <v>1238</v>
      </c>
      <c r="H138" s="904" t="s">
        <v>1239</v>
      </c>
      <c r="I138" s="2443"/>
      <c r="J138" s="2443"/>
      <c r="K138" s="2443"/>
      <c r="L138" s="2443"/>
      <c r="M138" s="2443"/>
      <c r="N138" s="905">
        <v>46023</v>
      </c>
      <c r="O138" s="905">
        <v>46054</v>
      </c>
      <c r="P138" s="905">
        <v>46082</v>
      </c>
      <c r="Q138" s="905">
        <v>46113</v>
      </c>
      <c r="R138" s="905">
        <v>46143</v>
      </c>
      <c r="S138" s="905">
        <v>46174</v>
      </c>
      <c r="T138" s="905">
        <v>46204</v>
      </c>
      <c r="U138" s="905">
        <v>46235</v>
      </c>
      <c r="V138" s="905">
        <v>46266</v>
      </c>
      <c r="W138" s="905">
        <v>46296</v>
      </c>
      <c r="X138" s="905">
        <v>46327</v>
      </c>
      <c r="Y138" s="905">
        <v>46357</v>
      </c>
      <c r="Z138" s="906" t="s">
        <v>1273</v>
      </c>
      <c r="AA138" s="906" t="e">
        <v>#NAME?</v>
      </c>
      <c r="AB138" s="904" t="s">
        <v>1294</v>
      </c>
      <c r="AC138" s="905">
        <v>46023</v>
      </c>
      <c r="AD138" s="905">
        <v>46054</v>
      </c>
      <c r="AE138" s="905">
        <v>46082</v>
      </c>
      <c r="AF138" s="905">
        <v>46113</v>
      </c>
      <c r="AG138" s="905">
        <v>46143</v>
      </c>
      <c r="AH138" s="905">
        <v>46174</v>
      </c>
      <c r="AI138" s="905">
        <v>46204</v>
      </c>
      <c r="AJ138" s="905">
        <v>46235</v>
      </c>
      <c r="AK138" s="905">
        <v>46266</v>
      </c>
      <c r="AL138" s="905">
        <v>46296</v>
      </c>
      <c r="AM138" s="905">
        <v>46327</v>
      </c>
      <c r="AN138" s="905">
        <v>46357</v>
      </c>
      <c r="AO138" s="907" t="s">
        <v>1295</v>
      </c>
      <c r="AP138" s="1099" t="s">
        <v>1296</v>
      </c>
      <c r="AQ138" s="909">
        <v>47088</v>
      </c>
      <c r="AR138" s="910">
        <v>47453</v>
      </c>
      <c r="AS138" s="910">
        <v>47818</v>
      </c>
      <c r="AT138" s="911">
        <v>48183</v>
      </c>
      <c r="AU138" s="911" t="s">
        <v>1297</v>
      </c>
      <c r="AW138" s="1080"/>
      <c r="AX138" s="1080"/>
    </row>
    <row r="139" spans="1:57">
      <c r="B139" s="920"/>
      <c r="C139" s="921"/>
      <c r="D139" s="902"/>
      <c r="E139" s="902"/>
      <c r="F139" s="902"/>
      <c r="G139" s="902"/>
      <c r="H139" s="922" t="s">
        <v>1300</v>
      </c>
      <c r="I139" s="2447"/>
      <c r="J139" s="2447"/>
      <c r="K139" s="2447"/>
      <c r="L139" s="2447"/>
      <c r="M139" s="2447"/>
      <c r="N139" s="923" t="s">
        <v>1300</v>
      </c>
      <c r="O139" s="1100" t="s">
        <v>1385</v>
      </c>
      <c r="P139" s="1100" t="s">
        <v>1385</v>
      </c>
      <c r="Q139" s="1100" t="s">
        <v>1385</v>
      </c>
      <c r="R139" s="1100" t="s">
        <v>1385</v>
      </c>
      <c r="S139" s="924" t="s">
        <v>1301</v>
      </c>
      <c r="T139" s="924" t="s">
        <v>1301</v>
      </c>
      <c r="U139" s="924" t="s">
        <v>1301</v>
      </c>
      <c r="V139" s="924" t="s">
        <v>1301</v>
      </c>
      <c r="W139" s="1084" t="s">
        <v>1401</v>
      </c>
      <c r="X139" s="1084" t="s">
        <v>1401</v>
      </c>
      <c r="Y139" s="1084" t="s">
        <v>1401</v>
      </c>
      <c r="Z139" s="1084" t="s">
        <v>1401</v>
      </c>
      <c r="AA139" s="927" t="s">
        <v>1303</v>
      </c>
      <c r="AB139" s="926" t="s">
        <v>1300</v>
      </c>
      <c r="AC139" s="1084" t="s">
        <v>1241</v>
      </c>
      <c r="AD139" s="1084" t="s">
        <v>1241</v>
      </c>
      <c r="AE139" s="1084" t="s">
        <v>1241</v>
      </c>
      <c r="AF139" s="1084" t="s">
        <v>1241</v>
      </c>
      <c r="AG139" s="1084" t="s">
        <v>1241</v>
      </c>
      <c r="AH139" s="1084" t="s">
        <v>1241</v>
      </c>
      <c r="AI139" s="1084" t="s">
        <v>1241</v>
      </c>
      <c r="AJ139" s="1084" t="s">
        <v>1241</v>
      </c>
      <c r="AK139" s="1084" t="s">
        <v>1241</v>
      </c>
      <c r="AL139" s="1084" t="s">
        <v>1241</v>
      </c>
      <c r="AM139" s="1084" t="s">
        <v>1241</v>
      </c>
      <c r="AN139" s="1084" t="s">
        <v>1241</v>
      </c>
      <c r="AO139" s="927" t="s">
        <v>1303</v>
      </c>
      <c r="AP139" s="1101" t="s">
        <v>1304</v>
      </c>
      <c r="AQ139" s="1084" t="s">
        <v>1240</v>
      </c>
      <c r="AR139" s="1084" t="s">
        <v>1240</v>
      </c>
      <c r="AS139" s="1084" t="s">
        <v>1240</v>
      </c>
      <c r="AT139" s="1084" t="s">
        <v>1240</v>
      </c>
      <c r="AU139" s="1084" t="s">
        <v>1240</v>
      </c>
      <c r="AW139" s="930" t="s">
        <v>1402</v>
      </c>
      <c r="AX139" s="1085" t="s">
        <v>1306</v>
      </c>
    </row>
    <row r="140" spans="1:57">
      <c r="A140" s="872" t="s">
        <v>1397</v>
      </c>
      <c r="B140" s="574" t="s">
        <v>620</v>
      </c>
      <c r="C140" s="574" t="s">
        <v>621</v>
      </c>
      <c r="D140" s="991">
        <v>1632393</v>
      </c>
      <c r="E140" s="942"/>
      <c r="F140" s="942"/>
      <c r="G140" s="950">
        <v>1547393</v>
      </c>
      <c r="H140" s="944">
        <v>85000</v>
      </c>
      <c r="I140" s="948"/>
      <c r="J140" s="948"/>
      <c r="K140" s="948"/>
      <c r="L140" s="948"/>
      <c r="M140" s="948"/>
      <c r="N140" s="974">
        <v>85000</v>
      </c>
      <c r="O140" s="947">
        <v>0</v>
      </c>
      <c r="P140" s="947">
        <v>0</v>
      </c>
      <c r="Q140" s="947">
        <v>0</v>
      </c>
      <c r="R140" s="947">
        <v>0</v>
      </c>
      <c r="S140" s="947">
        <v>0</v>
      </c>
      <c r="T140" s="947">
        <v>0</v>
      </c>
      <c r="U140" s="947">
        <v>0</v>
      </c>
      <c r="V140" s="947">
        <v>0</v>
      </c>
      <c r="W140" s="946">
        <v>0</v>
      </c>
      <c r="X140" s="946">
        <v>0</v>
      </c>
      <c r="Y140" s="946">
        <v>0</v>
      </c>
      <c r="Z140" s="946">
        <v>85000</v>
      </c>
      <c r="AA140" s="945">
        <v>1632393</v>
      </c>
      <c r="AB140" s="945">
        <v>0</v>
      </c>
      <c r="AC140" s="948">
        <v>0</v>
      </c>
      <c r="AD140" s="948">
        <v>0</v>
      </c>
      <c r="AE140" s="948">
        <v>0</v>
      </c>
      <c r="AF140" s="948">
        <v>0</v>
      </c>
      <c r="AG140" s="948">
        <v>0</v>
      </c>
      <c r="AH140" s="948">
        <v>0</v>
      </c>
      <c r="AI140" s="948">
        <v>0</v>
      </c>
      <c r="AJ140" s="948">
        <v>0</v>
      </c>
      <c r="AK140" s="948">
        <v>0</v>
      </c>
      <c r="AL140" s="948">
        <v>0</v>
      </c>
      <c r="AM140" s="948">
        <v>0</v>
      </c>
      <c r="AN140" s="948">
        <v>0</v>
      </c>
      <c r="AO140" s="945">
        <v>1632393</v>
      </c>
      <c r="AP140" s="959" t="s">
        <v>1308</v>
      </c>
      <c r="AQ140" s="945">
        <v>0</v>
      </c>
      <c r="AR140" s="945">
        <v>0</v>
      </c>
      <c r="AS140" s="945">
        <v>0</v>
      </c>
      <c r="AT140" s="945">
        <v>0</v>
      </c>
      <c r="AU140" s="945">
        <v>0</v>
      </c>
      <c r="AV140" s="976"/>
      <c r="AW140" s="1102">
        <v>1632393</v>
      </c>
      <c r="AX140" s="950">
        <v>0</v>
      </c>
      <c r="AY140" s="956"/>
      <c r="AZ140" s="956"/>
      <c r="BA140" s="956"/>
    </row>
    <row r="141" spans="1:57">
      <c r="A141" s="872" t="s">
        <v>1397</v>
      </c>
      <c r="B141" s="574" t="s">
        <v>622</v>
      </c>
      <c r="C141" s="751" t="s">
        <v>623</v>
      </c>
      <c r="D141" s="991">
        <v>24105000</v>
      </c>
      <c r="E141" s="942"/>
      <c r="F141" s="942"/>
      <c r="G141" s="950">
        <v>15993000</v>
      </c>
      <c r="H141" s="944">
        <v>795000</v>
      </c>
      <c r="I141" s="948"/>
      <c r="J141" s="948"/>
      <c r="K141" s="948"/>
      <c r="L141" s="948"/>
      <c r="M141" s="948"/>
      <c r="N141" s="974">
        <v>795000</v>
      </c>
      <c r="O141" s="947"/>
      <c r="P141" s="947"/>
      <c r="Q141" s="947"/>
      <c r="R141" s="947"/>
      <c r="S141" s="947"/>
      <c r="T141" s="947"/>
      <c r="U141" s="947"/>
      <c r="V141" s="947"/>
      <c r="W141" s="946"/>
      <c r="X141" s="946"/>
      <c r="Y141" s="946">
        <v>270000</v>
      </c>
      <c r="Z141" s="946">
        <v>525000</v>
      </c>
      <c r="AA141" s="945">
        <v>16788000</v>
      </c>
      <c r="AB141" s="945">
        <v>345000</v>
      </c>
      <c r="AC141" s="948">
        <v>0</v>
      </c>
      <c r="AD141" s="948">
        <v>0</v>
      </c>
      <c r="AE141" s="948">
        <v>0</v>
      </c>
      <c r="AF141" s="948">
        <v>0</v>
      </c>
      <c r="AG141" s="948">
        <v>0</v>
      </c>
      <c r="AH141" s="948">
        <v>0</v>
      </c>
      <c r="AI141" s="948">
        <v>0</v>
      </c>
      <c r="AJ141" s="948">
        <v>0</v>
      </c>
      <c r="AK141" s="948">
        <v>0</v>
      </c>
      <c r="AL141" s="948">
        <v>0</v>
      </c>
      <c r="AM141" s="948">
        <v>0</v>
      </c>
      <c r="AN141" s="948">
        <v>345000</v>
      </c>
      <c r="AO141" s="945">
        <v>17133000</v>
      </c>
      <c r="AP141" s="959" t="s">
        <v>1308</v>
      </c>
      <c r="AQ141" s="945">
        <v>700000</v>
      </c>
      <c r="AR141" s="945">
        <v>6272000</v>
      </c>
      <c r="AS141" s="945">
        <v>0</v>
      </c>
      <c r="AT141" s="945">
        <v>0</v>
      </c>
      <c r="AU141" s="945">
        <v>0</v>
      </c>
      <c r="AV141" s="976"/>
      <c r="AW141" s="950">
        <v>24105000</v>
      </c>
      <c r="AX141" s="950">
        <v>0</v>
      </c>
      <c r="AY141" s="956"/>
      <c r="AZ141" s="956"/>
      <c r="BA141" s="956"/>
    </row>
    <row r="142" spans="1:57">
      <c r="A142" s="872" t="s">
        <v>1397</v>
      </c>
      <c r="B142" s="574" t="s">
        <v>624</v>
      </c>
      <c r="C142" s="751" t="s">
        <v>1309</v>
      </c>
      <c r="D142" s="991">
        <v>7130000</v>
      </c>
      <c r="E142" s="942"/>
      <c r="F142" s="942"/>
      <c r="G142" s="950">
        <v>4782000</v>
      </c>
      <c r="H142" s="944">
        <v>1050000</v>
      </c>
      <c r="I142" s="948"/>
      <c r="J142" s="948"/>
      <c r="K142" s="948"/>
      <c r="L142" s="948"/>
      <c r="M142" s="948"/>
      <c r="N142" s="974">
        <v>1050000</v>
      </c>
      <c r="O142" s="947">
        <v>75000</v>
      </c>
      <c r="P142" s="947">
        <v>75000</v>
      </c>
      <c r="Q142" s="947">
        <v>75000</v>
      </c>
      <c r="R142" s="947">
        <v>75000</v>
      </c>
      <c r="S142" s="947">
        <v>75000</v>
      </c>
      <c r="T142" s="947">
        <v>75000</v>
      </c>
      <c r="U142" s="947">
        <v>75000</v>
      </c>
      <c r="V142" s="947">
        <v>75000</v>
      </c>
      <c r="W142" s="946">
        <v>75000</v>
      </c>
      <c r="X142" s="946">
        <v>75000</v>
      </c>
      <c r="Y142" s="946">
        <v>150000</v>
      </c>
      <c r="Z142" s="946">
        <v>150000</v>
      </c>
      <c r="AA142" s="945">
        <v>5832000</v>
      </c>
      <c r="AB142" s="945">
        <v>900000</v>
      </c>
      <c r="AC142" s="948">
        <v>75000</v>
      </c>
      <c r="AD142" s="948">
        <v>75000</v>
      </c>
      <c r="AE142" s="948">
        <v>75000</v>
      </c>
      <c r="AF142" s="948">
        <v>75000</v>
      </c>
      <c r="AG142" s="948">
        <v>75000</v>
      </c>
      <c r="AH142" s="948">
        <v>75000</v>
      </c>
      <c r="AI142" s="948">
        <v>75000</v>
      </c>
      <c r="AJ142" s="948">
        <v>75000</v>
      </c>
      <c r="AK142" s="948">
        <v>75000</v>
      </c>
      <c r="AL142" s="948">
        <v>75000</v>
      </c>
      <c r="AM142" s="948">
        <v>75000</v>
      </c>
      <c r="AN142" s="948">
        <v>75000</v>
      </c>
      <c r="AO142" s="945">
        <v>6732000</v>
      </c>
      <c r="AP142" s="959" t="s">
        <v>1308</v>
      </c>
      <c r="AQ142" s="945">
        <v>398000</v>
      </c>
      <c r="AR142" s="945">
        <v>0</v>
      </c>
      <c r="AS142" s="945">
        <v>0</v>
      </c>
      <c r="AT142" s="945">
        <v>0</v>
      </c>
      <c r="AU142" s="945">
        <v>0</v>
      </c>
      <c r="AV142" s="976"/>
      <c r="AW142" s="950">
        <v>7130000</v>
      </c>
      <c r="AX142" s="950">
        <v>0</v>
      </c>
      <c r="AY142" s="956"/>
      <c r="AZ142" s="956"/>
      <c r="BA142" s="956"/>
    </row>
    <row r="143" spans="1:57">
      <c r="A143" s="872" t="s">
        <v>1397</v>
      </c>
      <c r="B143" s="574" t="s">
        <v>626</v>
      </c>
      <c r="C143" s="751" t="s">
        <v>1310</v>
      </c>
      <c r="D143" s="991">
        <v>1950000</v>
      </c>
      <c r="E143" s="942"/>
      <c r="F143" s="942"/>
      <c r="G143" s="950">
        <v>1950000</v>
      </c>
      <c r="H143" s="944">
        <v>0</v>
      </c>
      <c r="I143" s="948"/>
      <c r="J143" s="948"/>
      <c r="K143" s="948"/>
      <c r="L143" s="948"/>
      <c r="M143" s="948"/>
      <c r="N143" s="974">
        <v>0</v>
      </c>
      <c r="O143" s="947"/>
      <c r="P143" s="947">
        <v>0</v>
      </c>
      <c r="Q143" s="947">
        <v>0</v>
      </c>
      <c r="R143" s="947">
        <v>0</v>
      </c>
      <c r="S143" s="947">
        <v>0</v>
      </c>
      <c r="T143" s="947">
        <v>0</v>
      </c>
      <c r="U143" s="947">
        <v>0</v>
      </c>
      <c r="V143" s="947">
        <v>0</v>
      </c>
      <c r="W143" s="946">
        <v>0</v>
      </c>
      <c r="X143" s="946">
        <v>0</v>
      </c>
      <c r="Y143" s="946">
        <v>0</v>
      </c>
      <c r="Z143" s="946">
        <v>0</v>
      </c>
      <c r="AA143" s="945">
        <v>1950000</v>
      </c>
      <c r="AB143" s="945">
        <v>0</v>
      </c>
      <c r="AC143" s="948"/>
      <c r="AD143" s="948"/>
      <c r="AE143" s="948"/>
      <c r="AF143" s="948"/>
      <c r="AG143" s="948"/>
      <c r="AH143" s="948"/>
      <c r="AI143" s="948"/>
      <c r="AJ143" s="948"/>
      <c r="AK143" s="948"/>
      <c r="AL143" s="948"/>
      <c r="AM143" s="948"/>
      <c r="AN143" s="948"/>
      <c r="AO143" s="945">
        <v>1950000</v>
      </c>
      <c r="AP143" s="959" t="s">
        <v>1308</v>
      </c>
      <c r="AQ143" s="945">
        <v>0</v>
      </c>
      <c r="AR143" s="945">
        <v>0</v>
      </c>
      <c r="AS143" s="945">
        <v>0</v>
      </c>
      <c r="AT143" s="945">
        <v>0</v>
      </c>
      <c r="AU143" s="945">
        <v>0</v>
      </c>
      <c r="AV143" s="976"/>
      <c r="AW143" s="950">
        <v>1950000</v>
      </c>
      <c r="AX143" s="950">
        <v>0</v>
      </c>
      <c r="AY143" s="956"/>
      <c r="AZ143" s="956"/>
      <c r="BA143" s="956"/>
    </row>
    <row r="144" spans="1:57">
      <c r="A144" s="872" t="s">
        <v>1397</v>
      </c>
      <c r="B144" s="574" t="s">
        <v>628</v>
      </c>
      <c r="C144" s="751" t="s">
        <v>1311</v>
      </c>
      <c r="D144" s="991">
        <v>17110000</v>
      </c>
      <c r="E144" s="942"/>
      <c r="F144" s="942"/>
      <c r="G144" s="950">
        <v>10110000</v>
      </c>
      <c r="H144" s="944">
        <v>1482000</v>
      </c>
      <c r="I144" s="948"/>
      <c r="J144" s="948"/>
      <c r="K144" s="948"/>
      <c r="L144" s="948"/>
      <c r="M144" s="948"/>
      <c r="N144" s="974">
        <v>1284000</v>
      </c>
      <c r="O144" s="947">
        <v>30000</v>
      </c>
      <c r="P144" s="947">
        <v>30000</v>
      </c>
      <c r="Q144" s="947">
        <v>240000</v>
      </c>
      <c r="R144" s="947">
        <v>198000</v>
      </c>
      <c r="S144" s="947">
        <v>30000</v>
      </c>
      <c r="T144" s="947">
        <v>30000</v>
      </c>
      <c r="U144" s="947">
        <v>303000</v>
      </c>
      <c r="V144" s="947">
        <v>30000</v>
      </c>
      <c r="W144" s="946">
        <v>30000</v>
      </c>
      <c r="X144" s="946">
        <v>303000</v>
      </c>
      <c r="Y144" s="946">
        <v>30000</v>
      </c>
      <c r="Z144" s="946">
        <v>30000</v>
      </c>
      <c r="AA144" s="945">
        <v>11394000</v>
      </c>
      <c r="AB144" s="945">
        <v>423000</v>
      </c>
      <c r="AC144" s="948">
        <v>93000</v>
      </c>
      <c r="AD144" s="948">
        <v>30000</v>
      </c>
      <c r="AE144" s="948">
        <v>30000</v>
      </c>
      <c r="AF144" s="948">
        <v>30000</v>
      </c>
      <c r="AG144" s="948">
        <v>30000</v>
      </c>
      <c r="AH144" s="948">
        <v>30000</v>
      </c>
      <c r="AI144" s="948">
        <v>30000</v>
      </c>
      <c r="AJ144" s="948">
        <v>30000</v>
      </c>
      <c r="AK144" s="948">
        <v>30000</v>
      </c>
      <c r="AL144" s="948">
        <v>30000</v>
      </c>
      <c r="AM144" s="948">
        <v>30000</v>
      </c>
      <c r="AN144" s="948">
        <v>30000</v>
      </c>
      <c r="AO144" s="945">
        <v>11817000</v>
      </c>
      <c r="AP144" s="959" t="s">
        <v>1308</v>
      </c>
      <c r="AQ144" s="945">
        <v>420000</v>
      </c>
      <c r="AR144" s="945">
        <v>444000</v>
      </c>
      <c r="AS144" s="945">
        <v>468000</v>
      </c>
      <c r="AT144" s="945">
        <v>3961000</v>
      </c>
      <c r="AU144" s="945">
        <v>0</v>
      </c>
      <c r="AV144" s="976"/>
      <c r="AW144" s="950">
        <v>17110000</v>
      </c>
      <c r="AX144" s="950">
        <v>0</v>
      </c>
      <c r="AY144" s="956"/>
      <c r="AZ144" s="956"/>
      <c r="BA144" s="956"/>
    </row>
    <row r="145" spans="1:53">
      <c r="A145" s="872" t="s">
        <v>1397</v>
      </c>
      <c r="B145" s="574" t="s">
        <v>631</v>
      </c>
      <c r="C145" s="751" t="s">
        <v>1312</v>
      </c>
      <c r="D145" s="991">
        <v>4380000</v>
      </c>
      <c r="E145" s="942"/>
      <c r="F145" s="942"/>
      <c r="G145" s="950">
        <v>3615000</v>
      </c>
      <c r="H145" s="944">
        <v>765000</v>
      </c>
      <c r="I145" s="948"/>
      <c r="J145" s="948"/>
      <c r="K145" s="948"/>
      <c r="L145" s="948"/>
      <c r="M145" s="948"/>
      <c r="N145" s="974">
        <v>765000</v>
      </c>
      <c r="O145" s="947"/>
      <c r="P145" s="947">
        <v>0</v>
      </c>
      <c r="Q145" s="947">
        <v>0</v>
      </c>
      <c r="R145" s="947">
        <v>0</v>
      </c>
      <c r="S145" s="947">
        <v>0</v>
      </c>
      <c r="T145" s="947">
        <v>0</v>
      </c>
      <c r="U145" s="947">
        <v>0</v>
      </c>
      <c r="V145" s="947">
        <v>0</v>
      </c>
      <c r="W145" s="946">
        <v>0</v>
      </c>
      <c r="X145" s="946">
        <v>0</v>
      </c>
      <c r="Y145" s="946">
        <v>0</v>
      </c>
      <c r="Z145" s="946">
        <v>765000</v>
      </c>
      <c r="AA145" s="945">
        <v>4380000</v>
      </c>
      <c r="AB145" s="945">
        <v>0</v>
      </c>
      <c r="AC145" s="948">
        <v>0</v>
      </c>
      <c r="AD145" s="948">
        <v>0</v>
      </c>
      <c r="AE145" s="948">
        <v>0</v>
      </c>
      <c r="AF145" s="948">
        <v>0</v>
      </c>
      <c r="AG145" s="948">
        <v>0</v>
      </c>
      <c r="AH145" s="948">
        <v>0</v>
      </c>
      <c r="AI145" s="948">
        <v>0</v>
      </c>
      <c r="AJ145" s="948">
        <v>0</v>
      </c>
      <c r="AK145" s="948">
        <v>0</v>
      </c>
      <c r="AL145" s="948">
        <v>0</v>
      </c>
      <c r="AM145" s="948">
        <v>0</v>
      </c>
      <c r="AN145" s="948">
        <v>0</v>
      </c>
      <c r="AO145" s="945">
        <v>4380000</v>
      </c>
      <c r="AP145" s="959" t="s">
        <v>1308</v>
      </c>
      <c r="AQ145" s="945">
        <v>0</v>
      </c>
      <c r="AR145" s="945">
        <v>0</v>
      </c>
      <c r="AS145" s="945">
        <v>0</v>
      </c>
      <c r="AT145" s="945">
        <v>0</v>
      </c>
      <c r="AU145" s="945">
        <v>0</v>
      </c>
      <c r="AV145" s="976"/>
      <c r="AW145" s="950">
        <v>4380000</v>
      </c>
      <c r="AX145" s="950">
        <v>0</v>
      </c>
      <c r="AY145" s="956"/>
      <c r="AZ145" s="956"/>
      <c r="BA145" s="956"/>
    </row>
    <row r="146" spans="1:53" s="971" customFormat="1">
      <c r="A146" s="971" t="s">
        <v>1397</v>
      </c>
      <c r="B146" s="962" t="s">
        <v>633</v>
      </c>
      <c r="C146" s="963" t="s">
        <v>1313</v>
      </c>
      <c r="D146" s="993">
        <v>3525000</v>
      </c>
      <c r="E146" s="965"/>
      <c r="F146" s="965"/>
      <c r="G146" s="969">
        <v>0</v>
      </c>
      <c r="H146" s="980">
        <v>1617000</v>
      </c>
      <c r="I146" s="967"/>
      <c r="J146" s="967"/>
      <c r="K146" s="967"/>
      <c r="L146" s="967"/>
      <c r="M146" s="967"/>
      <c r="N146" s="974">
        <v>867500</v>
      </c>
      <c r="O146" s="967"/>
      <c r="P146" s="947">
        <v>0</v>
      </c>
      <c r="Q146" s="947">
        <v>0</v>
      </c>
      <c r="R146" s="947">
        <v>0</v>
      </c>
      <c r="S146" s="947">
        <v>0</v>
      </c>
      <c r="T146" s="947">
        <v>0</v>
      </c>
      <c r="U146" s="947">
        <v>0</v>
      </c>
      <c r="V146" s="947">
        <v>0</v>
      </c>
      <c r="W146" s="946">
        <v>0</v>
      </c>
      <c r="X146" s="946">
        <v>0</v>
      </c>
      <c r="Y146" s="946">
        <v>0</v>
      </c>
      <c r="Z146" s="946">
        <v>867500</v>
      </c>
      <c r="AA146" s="966">
        <v>867500</v>
      </c>
      <c r="AB146" s="966">
        <v>1388000</v>
      </c>
      <c r="AC146" s="967">
        <v>347000</v>
      </c>
      <c r="AD146" s="967"/>
      <c r="AE146" s="967">
        <v>347000</v>
      </c>
      <c r="AF146" s="967"/>
      <c r="AG146" s="967"/>
      <c r="AH146" s="967"/>
      <c r="AI146" s="967"/>
      <c r="AJ146" s="967"/>
      <c r="AK146" s="967"/>
      <c r="AL146" s="967"/>
      <c r="AM146" s="967"/>
      <c r="AN146" s="967">
        <v>694000</v>
      </c>
      <c r="AO146" s="966">
        <v>2255500</v>
      </c>
      <c r="AP146" s="968" t="s">
        <v>1314</v>
      </c>
      <c r="AQ146" s="966">
        <v>822500</v>
      </c>
      <c r="AR146" s="966">
        <v>447000</v>
      </c>
      <c r="AS146" s="966">
        <v>0</v>
      </c>
      <c r="AT146" s="966">
        <v>0</v>
      </c>
      <c r="AU146" s="966">
        <v>0</v>
      </c>
      <c r="AV146" s="976"/>
      <c r="AW146" s="969">
        <v>3525000</v>
      </c>
      <c r="AX146" s="969">
        <v>0</v>
      </c>
      <c r="AY146" s="1103"/>
      <c r="AZ146" s="1103"/>
      <c r="BA146" s="1103"/>
    </row>
    <row r="147" spans="1:53">
      <c r="A147" s="872" t="s">
        <v>1397</v>
      </c>
      <c r="B147" s="574" t="s">
        <v>634</v>
      </c>
      <c r="C147" s="751" t="s">
        <v>1315</v>
      </c>
      <c r="D147" s="991">
        <v>7800000</v>
      </c>
      <c r="E147" s="942"/>
      <c r="F147" s="942"/>
      <c r="G147" s="950">
        <v>4185000</v>
      </c>
      <c r="H147" s="944">
        <v>1440000</v>
      </c>
      <c r="I147" s="948"/>
      <c r="J147" s="948"/>
      <c r="K147" s="948"/>
      <c r="L147" s="948"/>
      <c r="M147" s="948"/>
      <c r="N147" s="974">
        <v>1440000</v>
      </c>
      <c r="O147" s="947">
        <v>160000</v>
      </c>
      <c r="P147" s="947">
        <v>160000</v>
      </c>
      <c r="Q147" s="947">
        <v>160000</v>
      </c>
      <c r="R147" s="947">
        <v>160000</v>
      </c>
      <c r="S147" s="947">
        <v>160000</v>
      </c>
      <c r="T147" s="947">
        <v>160000</v>
      </c>
      <c r="U147" s="947">
        <v>160000</v>
      </c>
      <c r="V147" s="947">
        <v>160000</v>
      </c>
      <c r="W147" s="946"/>
      <c r="X147" s="946"/>
      <c r="Y147" s="946">
        <v>80000</v>
      </c>
      <c r="Z147" s="946">
        <v>80000</v>
      </c>
      <c r="AA147" s="945">
        <v>5625000</v>
      </c>
      <c r="AB147" s="945">
        <v>2175000</v>
      </c>
      <c r="AC147" s="948">
        <v>160000</v>
      </c>
      <c r="AD147" s="948">
        <v>160000</v>
      </c>
      <c r="AE147" s="948">
        <v>160000</v>
      </c>
      <c r="AF147" s="948">
        <v>160000</v>
      </c>
      <c r="AG147" s="948">
        <v>160000</v>
      </c>
      <c r="AH147" s="948">
        <v>160000</v>
      </c>
      <c r="AI147" s="948">
        <v>160000</v>
      </c>
      <c r="AJ147" s="948">
        <v>160000</v>
      </c>
      <c r="AK147" s="948">
        <v>160000</v>
      </c>
      <c r="AL147" s="948">
        <v>160000</v>
      </c>
      <c r="AM147" s="948">
        <v>160000</v>
      </c>
      <c r="AN147" s="948">
        <v>415000</v>
      </c>
      <c r="AO147" s="945">
        <v>7800000</v>
      </c>
      <c r="AP147" s="959" t="s">
        <v>1308</v>
      </c>
      <c r="AQ147" s="945">
        <v>0</v>
      </c>
      <c r="AR147" s="945">
        <v>0</v>
      </c>
      <c r="AS147" s="945">
        <v>0</v>
      </c>
      <c r="AT147" s="945">
        <v>0</v>
      </c>
      <c r="AU147" s="945">
        <v>0</v>
      </c>
      <c r="AV147" s="976"/>
      <c r="AW147" s="950">
        <v>7800000</v>
      </c>
      <c r="AX147" s="950">
        <v>0</v>
      </c>
      <c r="AY147" s="956"/>
      <c r="AZ147" s="956"/>
      <c r="BA147" s="956"/>
    </row>
    <row r="148" spans="1:53">
      <c r="A148" s="872" t="s">
        <v>1397</v>
      </c>
      <c r="B148" s="574" t="s">
        <v>636</v>
      </c>
      <c r="C148" s="751" t="s">
        <v>1316</v>
      </c>
      <c r="D148" s="991">
        <v>38973400</v>
      </c>
      <c r="E148" s="942"/>
      <c r="F148" s="942"/>
      <c r="G148" s="950">
        <v>5498000</v>
      </c>
      <c r="H148" s="944">
        <v>6300000</v>
      </c>
      <c r="I148" s="948"/>
      <c r="J148" s="948"/>
      <c r="K148" s="948"/>
      <c r="L148" s="948"/>
      <c r="M148" s="948"/>
      <c r="N148" s="974">
        <v>2595000</v>
      </c>
      <c r="O148" s="947">
        <v>0</v>
      </c>
      <c r="P148" s="947">
        <v>170000</v>
      </c>
      <c r="Q148" s="947">
        <v>0</v>
      </c>
      <c r="R148" s="947">
        <v>170000</v>
      </c>
      <c r="S148" s="947">
        <v>170000</v>
      </c>
      <c r="T148" s="947">
        <v>170000</v>
      </c>
      <c r="U148" s="947">
        <v>170000</v>
      </c>
      <c r="V148" s="947">
        <v>0</v>
      </c>
      <c r="W148" s="946">
        <v>170000</v>
      </c>
      <c r="X148" s="946">
        <v>525000</v>
      </c>
      <c r="Y148" s="946">
        <v>525000</v>
      </c>
      <c r="Z148" s="946">
        <v>525000</v>
      </c>
      <c r="AA148" s="945">
        <v>8093000</v>
      </c>
      <c r="AB148" s="945">
        <v>5180000</v>
      </c>
      <c r="AC148" s="948">
        <v>431668</v>
      </c>
      <c r="AD148" s="948">
        <v>431668</v>
      </c>
      <c r="AE148" s="948">
        <v>431668</v>
      </c>
      <c r="AF148" s="948">
        <v>431668</v>
      </c>
      <c r="AG148" s="948">
        <v>431668</v>
      </c>
      <c r="AH148" s="948">
        <v>431668</v>
      </c>
      <c r="AI148" s="948">
        <v>431668</v>
      </c>
      <c r="AJ148" s="948">
        <v>431668</v>
      </c>
      <c r="AK148" s="948">
        <v>431668</v>
      </c>
      <c r="AL148" s="948">
        <v>431668</v>
      </c>
      <c r="AM148" s="948">
        <v>431668</v>
      </c>
      <c r="AN148" s="948">
        <v>431652</v>
      </c>
      <c r="AO148" s="945">
        <v>13273000</v>
      </c>
      <c r="AP148" s="959" t="s">
        <v>1308</v>
      </c>
      <c r="AQ148" s="945">
        <v>3500000</v>
      </c>
      <c r="AR148" s="945">
        <v>1850000</v>
      </c>
      <c r="AS148" s="945">
        <v>1950000</v>
      </c>
      <c r="AT148" s="945">
        <v>2050000</v>
      </c>
      <c r="AU148" s="945">
        <v>16350400</v>
      </c>
      <c r="AV148" s="976"/>
      <c r="AW148" s="950">
        <v>38973400</v>
      </c>
      <c r="AX148" s="950">
        <v>0</v>
      </c>
      <c r="AY148" s="956"/>
      <c r="AZ148" s="956"/>
      <c r="BA148" s="956"/>
    </row>
    <row r="149" spans="1:53" s="990" customFormat="1">
      <c r="A149" s="872" t="s">
        <v>1397</v>
      </c>
      <c r="B149" s="630" t="s">
        <v>638</v>
      </c>
      <c r="C149" s="867" t="s">
        <v>1403</v>
      </c>
      <c r="D149" s="1104">
        <v>47002750</v>
      </c>
      <c r="E149" s="983"/>
      <c r="F149" s="983"/>
      <c r="G149" s="988">
        <v>1445000</v>
      </c>
      <c r="H149" s="985">
        <v>7701000</v>
      </c>
      <c r="I149" s="947"/>
      <c r="J149" s="947"/>
      <c r="K149" s="947"/>
      <c r="L149" s="947"/>
      <c r="M149" s="947"/>
      <c r="N149" s="974">
        <v>3552500</v>
      </c>
      <c r="O149" s="947">
        <v>160000</v>
      </c>
      <c r="P149" s="947">
        <v>160000</v>
      </c>
      <c r="Q149" s="947">
        <v>160000</v>
      </c>
      <c r="R149" s="947">
        <v>160000</v>
      </c>
      <c r="S149" s="947">
        <v>160000</v>
      </c>
      <c r="T149" s="947">
        <v>160000</v>
      </c>
      <c r="U149" s="947">
        <v>160000</v>
      </c>
      <c r="V149" s="947">
        <v>160000</v>
      </c>
      <c r="W149" s="946">
        <v>160000</v>
      </c>
      <c r="X149" s="946">
        <v>160000</v>
      </c>
      <c r="Y149" s="946">
        <v>1840000</v>
      </c>
      <c r="Z149" s="946">
        <v>112500</v>
      </c>
      <c r="AA149" s="986">
        <v>4997500</v>
      </c>
      <c r="AB149" s="986">
        <v>6210000</v>
      </c>
      <c r="AC149" s="947">
        <v>1740000</v>
      </c>
      <c r="AD149" s="947">
        <v>150000</v>
      </c>
      <c r="AE149" s="947">
        <v>900000</v>
      </c>
      <c r="AF149" s="947">
        <v>60000</v>
      </c>
      <c r="AG149" s="947">
        <v>900000</v>
      </c>
      <c r="AH149" s="947">
        <v>60000</v>
      </c>
      <c r="AI149" s="947">
        <v>900000</v>
      </c>
      <c r="AJ149" s="947">
        <v>230000</v>
      </c>
      <c r="AK149" s="947">
        <v>230000</v>
      </c>
      <c r="AL149" s="947">
        <v>60000</v>
      </c>
      <c r="AM149" s="947">
        <v>60000</v>
      </c>
      <c r="AN149" s="947">
        <v>920000</v>
      </c>
      <c r="AO149" s="986">
        <v>11207500</v>
      </c>
      <c r="AP149" s="987" t="s">
        <v>1323</v>
      </c>
      <c r="AQ149" s="986">
        <v>4550000</v>
      </c>
      <c r="AR149" s="986">
        <v>4033000</v>
      </c>
      <c r="AS149" s="986">
        <v>3334500</v>
      </c>
      <c r="AT149" s="986">
        <v>3054500</v>
      </c>
      <c r="AU149" s="986">
        <v>20823250</v>
      </c>
      <c r="AV149" s="976"/>
      <c r="AW149" s="950">
        <v>47002750</v>
      </c>
      <c r="AX149" s="950">
        <v>0</v>
      </c>
      <c r="AY149" s="1105"/>
      <c r="AZ149" s="1105"/>
      <c r="BA149" s="1105"/>
    </row>
    <row r="150" spans="1:53" s="971" customFormat="1">
      <c r="A150" s="971" t="s">
        <v>1397</v>
      </c>
      <c r="B150" s="599" t="s">
        <v>640</v>
      </c>
      <c r="C150" s="1010" t="s">
        <v>1404</v>
      </c>
      <c r="D150" s="993">
        <v>5000000</v>
      </c>
      <c r="E150" s="965"/>
      <c r="F150" s="965"/>
      <c r="G150" s="969">
        <v>3200000</v>
      </c>
      <c r="H150" s="980">
        <v>1800000</v>
      </c>
      <c r="I150" s="967"/>
      <c r="J150" s="967"/>
      <c r="K150" s="967"/>
      <c r="L150" s="967"/>
      <c r="M150" s="967"/>
      <c r="N150" s="974">
        <v>990000</v>
      </c>
      <c r="O150" s="967"/>
      <c r="P150" s="947"/>
      <c r="Q150" s="947"/>
      <c r="R150" s="947"/>
      <c r="S150" s="947">
        <v>800000</v>
      </c>
      <c r="T150" s="947"/>
      <c r="U150" s="947"/>
      <c r="V150" s="947"/>
      <c r="W150" s="946"/>
      <c r="X150" s="946">
        <v>190000</v>
      </c>
      <c r="Y150" s="946"/>
      <c r="Z150" s="946"/>
      <c r="AA150" s="966">
        <v>4190000</v>
      </c>
      <c r="AB150" s="966">
        <v>810000</v>
      </c>
      <c r="AC150" s="967"/>
      <c r="AD150" s="967"/>
      <c r="AE150" s="967"/>
      <c r="AF150" s="967"/>
      <c r="AG150" s="967"/>
      <c r="AH150" s="967"/>
      <c r="AI150" s="967"/>
      <c r="AJ150" s="967"/>
      <c r="AK150" s="967"/>
      <c r="AL150" s="967"/>
      <c r="AM150" s="967"/>
      <c r="AN150" s="967">
        <v>810000</v>
      </c>
      <c r="AO150" s="966">
        <v>5000000</v>
      </c>
      <c r="AP150" s="968" t="s">
        <v>1314</v>
      </c>
      <c r="AQ150" s="966">
        <v>0</v>
      </c>
      <c r="AR150" s="966">
        <v>0</v>
      </c>
      <c r="AS150" s="966">
        <v>0</v>
      </c>
      <c r="AT150" s="966">
        <v>0</v>
      </c>
      <c r="AU150" s="966">
        <v>0</v>
      </c>
      <c r="AV150" s="976"/>
      <c r="AW150" s="969">
        <v>5000000</v>
      </c>
      <c r="AX150" s="969">
        <v>0</v>
      </c>
      <c r="AY150" s="1103"/>
      <c r="AZ150" s="1103"/>
      <c r="BA150" s="1103"/>
    </row>
    <row r="151" spans="1:53" s="990" customFormat="1">
      <c r="A151" s="990" t="s">
        <v>1397</v>
      </c>
      <c r="B151" s="630" t="s">
        <v>1073</v>
      </c>
      <c r="C151" s="630" t="s">
        <v>1405</v>
      </c>
      <c r="D151" s="1104">
        <v>10224000</v>
      </c>
      <c r="E151" s="983"/>
      <c r="F151" s="983"/>
      <c r="G151" s="988">
        <v>2280000</v>
      </c>
      <c r="H151" s="985">
        <v>1022400</v>
      </c>
      <c r="I151" s="947"/>
      <c r="J151" s="947"/>
      <c r="K151" s="947"/>
      <c r="L151" s="947"/>
      <c r="M151" s="947"/>
      <c r="N151" s="974">
        <v>1022400</v>
      </c>
      <c r="O151" s="947"/>
      <c r="P151" s="947"/>
      <c r="Q151" s="947"/>
      <c r="R151" s="947"/>
      <c r="S151" s="947"/>
      <c r="T151" s="947"/>
      <c r="U151" s="947"/>
      <c r="V151" s="947"/>
      <c r="W151" s="946"/>
      <c r="X151" s="946"/>
      <c r="Y151" s="946"/>
      <c r="Z151" s="946">
        <v>1022400</v>
      </c>
      <c r="AA151" s="986">
        <v>3302400</v>
      </c>
      <c r="AB151" s="986">
        <v>1022400</v>
      </c>
      <c r="AC151" s="947"/>
      <c r="AD151" s="947"/>
      <c r="AE151" s="947"/>
      <c r="AF151" s="947"/>
      <c r="AG151" s="947"/>
      <c r="AH151" s="947"/>
      <c r="AI151" s="947">
        <v>1022400</v>
      </c>
      <c r="AJ151" s="947"/>
      <c r="AK151" s="947"/>
      <c r="AL151" s="947"/>
      <c r="AM151" s="947"/>
      <c r="AN151" s="947"/>
      <c r="AO151" s="986">
        <v>4324800</v>
      </c>
      <c r="AP151" s="987" t="s">
        <v>1323</v>
      </c>
      <c r="AQ151" s="986">
        <v>927500</v>
      </c>
      <c r="AR151" s="986">
        <v>980500</v>
      </c>
      <c r="AS151" s="986">
        <v>1033500</v>
      </c>
      <c r="AT151" s="986">
        <v>1086500</v>
      </c>
      <c r="AU151" s="986">
        <v>1871200</v>
      </c>
      <c r="AV151" s="976"/>
      <c r="AW151" s="950">
        <v>10224000</v>
      </c>
      <c r="AX151" s="950">
        <v>0</v>
      </c>
      <c r="AY151" s="1105"/>
      <c r="AZ151" s="1105"/>
      <c r="BA151" s="1105"/>
    </row>
    <row r="152" spans="1:53" s="971" customFormat="1">
      <c r="A152" s="971" t="s">
        <v>1397</v>
      </c>
      <c r="B152" s="599" t="s">
        <v>642</v>
      </c>
      <c r="C152" s="599" t="s">
        <v>1322</v>
      </c>
      <c r="D152" s="993">
        <v>9400000</v>
      </c>
      <c r="E152" s="965"/>
      <c r="F152" s="965"/>
      <c r="G152" s="969">
        <v>0</v>
      </c>
      <c r="H152" s="980"/>
      <c r="I152" s="967"/>
      <c r="J152" s="967"/>
      <c r="K152" s="967"/>
      <c r="L152" s="967"/>
      <c r="M152" s="967"/>
      <c r="N152" s="974">
        <v>2914000</v>
      </c>
      <c r="O152" s="967"/>
      <c r="P152" s="947"/>
      <c r="Q152" s="947">
        <v>940000</v>
      </c>
      <c r="R152" s="947"/>
      <c r="S152" s="947"/>
      <c r="T152" s="947"/>
      <c r="U152" s="947"/>
      <c r="V152" s="947">
        <v>1316000</v>
      </c>
      <c r="W152" s="946"/>
      <c r="X152" s="946"/>
      <c r="Y152" s="946"/>
      <c r="Z152" s="946">
        <v>658000</v>
      </c>
      <c r="AA152" s="986">
        <v>2914000</v>
      </c>
      <c r="AB152" s="986">
        <v>6486000</v>
      </c>
      <c r="AC152" s="967">
        <v>658000</v>
      </c>
      <c r="AD152" s="967"/>
      <c r="AE152" s="967">
        <v>1316000</v>
      </c>
      <c r="AF152" s="967"/>
      <c r="AG152" s="967">
        <v>1316000</v>
      </c>
      <c r="AH152" s="967"/>
      <c r="AI152" s="967">
        <v>1316000</v>
      </c>
      <c r="AJ152" s="967"/>
      <c r="AK152" s="967"/>
      <c r="AL152" s="967"/>
      <c r="AM152" s="967"/>
      <c r="AN152" s="967">
        <v>1880000</v>
      </c>
      <c r="AO152" s="986">
        <v>9400000</v>
      </c>
      <c r="AP152" s="968" t="s">
        <v>1314</v>
      </c>
      <c r="AQ152" s="966">
        <v>0</v>
      </c>
      <c r="AR152" s="966">
        <v>0</v>
      </c>
      <c r="AS152" s="966">
        <v>0</v>
      </c>
      <c r="AT152" s="966">
        <v>0</v>
      </c>
      <c r="AU152" s="966">
        <v>0</v>
      </c>
      <c r="AV152" s="976"/>
      <c r="AW152" s="950">
        <v>9400000</v>
      </c>
      <c r="AX152" s="950">
        <v>0</v>
      </c>
      <c r="AY152" s="1103"/>
      <c r="AZ152" s="1103"/>
      <c r="BA152" s="1103"/>
    </row>
    <row r="153" spans="1:53" s="971" customFormat="1">
      <c r="A153" s="971" t="s">
        <v>1397</v>
      </c>
      <c r="B153" s="599" t="s">
        <v>643</v>
      </c>
      <c r="C153" s="599" t="s">
        <v>1247</v>
      </c>
      <c r="D153" s="993">
        <v>1330000</v>
      </c>
      <c r="E153" s="965"/>
      <c r="F153" s="965"/>
      <c r="G153" s="969"/>
      <c r="H153" s="980"/>
      <c r="I153" s="967"/>
      <c r="J153" s="967"/>
      <c r="K153" s="967"/>
      <c r="L153" s="967"/>
      <c r="M153" s="967"/>
      <c r="N153" s="974">
        <v>1330000</v>
      </c>
      <c r="O153" s="967"/>
      <c r="P153" s="947"/>
      <c r="Q153" s="947"/>
      <c r="R153" s="947"/>
      <c r="S153" s="947"/>
      <c r="T153" s="947"/>
      <c r="U153" s="947"/>
      <c r="V153" s="947"/>
      <c r="W153" s="946">
        <v>1200000</v>
      </c>
      <c r="X153" s="946">
        <v>130000</v>
      </c>
      <c r="Y153" s="946"/>
      <c r="Z153" s="946"/>
      <c r="AA153" s="986">
        <v>1330000</v>
      </c>
      <c r="AB153" s="986">
        <v>0</v>
      </c>
      <c r="AC153" s="967"/>
      <c r="AD153" s="967"/>
      <c r="AE153" s="967"/>
      <c r="AF153" s="967"/>
      <c r="AG153" s="967"/>
      <c r="AH153" s="967"/>
      <c r="AI153" s="967"/>
      <c r="AJ153" s="967"/>
      <c r="AK153" s="967"/>
      <c r="AL153" s="967"/>
      <c r="AM153" s="967"/>
      <c r="AN153" s="967"/>
      <c r="AO153" s="986">
        <v>1330000</v>
      </c>
      <c r="AP153" s="968" t="s">
        <v>1314</v>
      </c>
      <c r="AQ153" s="966">
        <v>0</v>
      </c>
      <c r="AR153" s="966">
        <v>0</v>
      </c>
      <c r="AS153" s="966">
        <v>0</v>
      </c>
      <c r="AT153" s="966">
        <v>0</v>
      </c>
      <c r="AU153" s="966">
        <v>0</v>
      </c>
      <c r="AV153" s="976"/>
      <c r="AW153" s="950">
        <v>1330000</v>
      </c>
      <c r="AX153" s="950">
        <v>0</v>
      </c>
      <c r="AY153" s="1103"/>
      <c r="AZ153" s="1103"/>
      <c r="BA153" s="1103"/>
    </row>
    <row r="154" spans="1:53" s="971" customFormat="1">
      <c r="A154" s="971" t="s">
        <v>1397</v>
      </c>
      <c r="B154" s="599" t="s">
        <v>644</v>
      </c>
      <c r="C154" s="599" t="s">
        <v>1248</v>
      </c>
      <c r="D154" s="993">
        <v>14496000</v>
      </c>
      <c r="E154" s="965"/>
      <c r="F154" s="965"/>
      <c r="G154" s="969"/>
      <c r="H154" s="980"/>
      <c r="I154" s="967"/>
      <c r="J154" s="967"/>
      <c r="K154" s="967"/>
      <c r="L154" s="967"/>
      <c r="M154" s="967"/>
      <c r="N154" s="974">
        <v>2250000</v>
      </c>
      <c r="O154" s="967"/>
      <c r="P154" s="947"/>
      <c r="Q154" s="947"/>
      <c r="R154" s="947"/>
      <c r="S154" s="947"/>
      <c r="T154" s="947"/>
      <c r="U154" s="947"/>
      <c r="V154" s="947"/>
      <c r="W154" s="946"/>
      <c r="X154" s="946"/>
      <c r="Y154" s="946"/>
      <c r="Z154" s="946">
        <v>2250000</v>
      </c>
      <c r="AA154" s="986">
        <v>2250000</v>
      </c>
      <c r="AB154" s="986">
        <v>1500000</v>
      </c>
      <c r="AC154" s="967"/>
      <c r="AD154" s="967"/>
      <c r="AE154" s="967"/>
      <c r="AF154" s="967"/>
      <c r="AG154" s="967"/>
      <c r="AH154" s="967"/>
      <c r="AI154" s="967"/>
      <c r="AJ154" s="967"/>
      <c r="AK154" s="967"/>
      <c r="AL154" s="967"/>
      <c r="AM154" s="967"/>
      <c r="AN154" s="967">
        <v>1500000</v>
      </c>
      <c r="AO154" s="986">
        <v>3750000</v>
      </c>
      <c r="AP154" s="968" t="s">
        <v>1314</v>
      </c>
      <c r="AQ154" s="966">
        <v>1330000</v>
      </c>
      <c r="AR154" s="966">
        <v>1406000</v>
      </c>
      <c r="AS154" s="966">
        <v>1482000</v>
      </c>
      <c r="AT154" s="966">
        <v>1558000</v>
      </c>
      <c r="AU154" s="966">
        <v>4970000</v>
      </c>
      <c r="AV154" s="976"/>
      <c r="AW154" s="950">
        <v>14496000</v>
      </c>
      <c r="AX154" s="950">
        <v>0</v>
      </c>
      <c r="AY154" s="1103"/>
      <c r="AZ154" s="1103"/>
      <c r="BA154" s="1103"/>
    </row>
    <row r="155" spans="1:53" s="971" customFormat="1">
      <c r="A155" s="990" t="s">
        <v>1397</v>
      </c>
      <c r="B155" s="630" t="s">
        <v>1084</v>
      </c>
      <c r="C155" s="867" t="s">
        <v>1085</v>
      </c>
      <c r="D155" s="993">
        <v>14840000</v>
      </c>
      <c r="E155" s="965"/>
      <c r="F155" s="965"/>
      <c r="G155" s="969"/>
      <c r="H155" s="980"/>
      <c r="I155" s="967"/>
      <c r="J155" s="967"/>
      <c r="K155" s="967"/>
      <c r="L155" s="967"/>
      <c r="M155" s="967"/>
      <c r="N155" s="974">
        <v>0</v>
      </c>
      <c r="O155" s="967"/>
      <c r="P155" s="947"/>
      <c r="Q155" s="947"/>
      <c r="R155" s="947"/>
      <c r="S155" s="947"/>
      <c r="T155" s="947"/>
      <c r="U155" s="947"/>
      <c r="V155" s="947"/>
      <c r="W155" s="946"/>
      <c r="X155" s="946"/>
      <c r="Y155" s="946"/>
      <c r="Z155" s="946"/>
      <c r="AA155" s="986">
        <v>0</v>
      </c>
      <c r="AB155" s="986">
        <v>4704000</v>
      </c>
      <c r="AC155" s="967">
        <v>392000</v>
      </c>
      <c r="AD155" s="967">
        <v>392000</v>
      </c>
      <c r="AE155" s="967">
        <v>392000</v>
      </c>
      <c r="AF155" s="967">
        <v>392000</v>
      </c>
      <c r="AG155" s="967">
        <v>392000</v>
      </c>
      <c r="AH155" s="967">
        <v>392000</v>
      </c>
      <c r="AI155" s="967">
        <v>392000</v>
      </c>
      <c r="AJ155" s="967">
        <v>392000</v>
      </c>
      <c r="AK155" s="967">
        <v>392000</v>
      </c>
      <c r="AL155" s="967">
        <v>392000</v>
      </c>
      <c r="AM155" s="967">
        <v>392000</v>
      </c>
      <c r="AN155" s="967">
        <v>392000</v>
      </c>
      <c r="AO155" s="986">
        <v>4704000</v>
      </c>
      <c r="AP155" s="987" t="s">
        <v>1323</v>
      </c>
      <c r="AQ155" s="966">
        <v>4200000</v>
      </c>
      <c r="AR155" s="966">
        <v>2220000</v>
      </c>
      <c r="AS155" s="966">
        <v>3061500</v>
      </c>
      <c r="AT155" s="966">
        <v>0</v>
      </c>
      <c r="AU155" s="966">
        <v>654500</v>
      </c>
      <c r="AV155" s="976"/>
      <c r="AW155" s="950">
        <v>14840000</v>
      </c>
      <c r="AX155" s="950">
        <v>0</v>
      </c>
      <c r="AY155" s="1103"/>
      <c r="AZ155" s="1103"/>
      <c r="BA155" s="1103"/>
    </row>
    <row r="156" spans="1:53">
      <c r="A156" s="872" t="s">
        <v>1397</v>
      </c>
      <c r="B156" s="1106" t="s">
        <v>647</v>
      </c>
      <c r="C156" s="751" t="s">
        <v>1324</v>
      </c>
      <c r="D156" s="991">
        <v>5915700</v>
      </c>
      <c r="E156" s="942"/>
      <c r="F156" s="942"/>
      <c r="G156" s="950">
        <v>1016700</v>
      </c>
      <c r="H156" s="944">
        <v>1050000</v>
      </c>
      <c r="I156" s="948"/>
      <c r="J156" s="948"/>
      <c r="K156" s="948"/>
      <c r="L156" s="948"/>
      <c r="M156" s="948"/>
      <c r="N156" s="974">
        <v>787500</v>
      </c>
      <c r="O156" s="947"/>
      <c r="P156" s="947"/>
      <c r="Q156" s="947"/>
      <c r="R156" s="947"/>
      <c r="S156" s="946"/>
      <c r="T156" s="946"/>
      <c r="U156" s="947"/>
      <c r="V156" s="947"/>
      <c r="W156" s="946">
        <v>700000</v>
      </c>
      <c r="X156" s="946"/>
      <c r="Y156" s="946"/>
      <c r="Z156" s="946">
        <v>87500</v>
      </c>
      <c r="AA156" s="945">
        <v>1804200</v>
      </c>
      <c r="AB156" s="945">
        <v>354000</v>
      </c>
      <c r="AC156" s="948">
        <v>29500</v>
      </c>
      <c r="AD156" s="948">
        <v>29500</v>
      </c>
      <c r="AE156" s="948">
        <v>29500</v>
      </c>
      <c r="AF156" s="948">
        <v>29500</v>
      </c>
      <c r="AG156" s="948">
        <v>29500</v>
      </c>
      <c r="AH156" s="948">
        <v>29500</v>
      </c>
      <c r="AI156" s="948">
        <v>29500</v>
      </c>
      <c r="AJ156" s="948">
        <v>29500</v>
      </c>
      <c r="AK156" s="948">
        <v>29500</v>
      </c>
      <c r="AL156" s="948">
        <v>29500</v>
      </c>
      <c r="AM156" s="948">
        <v>29500</v>
      </c>
      <c r="AN156" s="948">
        <v>29500</v>
      </c>
      <c r="AO156" s="945">
        <v>2158200</v>
      </c>
      <c r="AP156" s="959" t="s">
        <v>1308</v>
      </c>
      <c r="AQ156" s="945">
        <v>1050000</v>
      </c>
      <c r="AR156" s="945">
        <v>1110000</v>
      </c>
      <c r="AS156" s="945">
        <v>1597500</v>
      </c>
      <c r="AT156" s="945">
        <v>0</v>
      </c>
      <c r="AU156" s="945">
        <v>0</v>
      </c>
      <c r="AV156" s="976"/>
      <c r="AW156" s="950">
        <v>5915700</v>
      </c>
      <c r="AX156" s="950">
        <v>0</v>
      </c>
    </row>
    <row r="157" spans="1:53" s="971" customFormat="1">
      <c r="A157" s="971" t="s">
        <v>1397</v>
      </c>
      <c r="B157" s="599" t="s">
        <v>649</v>
      </c>
      <c r="C157" s="1010" t="s">
        <v>1406</v>
      </c>
      <c r="D157" s="993">
        <v>267500</v>
      </c>
      <c r="E157" s="965"/>
      <c r="F157" s="965"/>
      <c r="G157" s="969">
        <v>215000</v>
      </c>
      <c r="H157" s="980"/>
      <c r="I157" s="967"/>
      <c r="J157" s="967"/>
      <c r="K157" s="967"/>
      <c r="L157" s="967"/>
      <c r="M157" s="967"/>
      <c r="N157" s="974">
        <v>52500</v>
      </c>
      <c r="O157" s="947"/>
      <c r="P157" s="947"/>
      <c r="Q157" s="947"/>
      <c r="R157" s="947"/>
      <c r="S157" s="947"/>
      <c r="T157" s="947">
        <v>52500</v>
      </c>
      <c r="U157" s="947"/>
      <c r="V157" s="947"/>
      <c r="W157" s="946"/>
      <c r="X157" s="946"/>
      <c r="Y157" s="946"/>
      <c r="Z157" s="946"/>
      <c r="AA157" s="966">
        <v>267500</v>
      </c>
      <c r="AB157" s="966">
        <v>0</v>
      </c>
      <c r="AC157" s="967"/>
      <c r="AD157" s="967"/>
      <c r="AE157" s="967"/>
      <c r="AF157" s="967"/>
      <c r="AG157" s="967"/>
      <c r="AH157" s="967"/>
      <c r="AI157" s="967"/>
      <c r="AJ157" s="967"/>
      <c r="AK157" s="967"/>
      <c r="AL157" s="967"/>
      <c r="AM157" s="967"/>
      <c r="AN157" s="967"/>
      <c r="AO157" s="966">
        <v>267500</v>
      </c>
      <c r="AP157" s="968" t="s">
        <v>1314</v>
      </c>
      <c r="AQ157" s="966">
        <v>0</v>
      </c>
      <c r="AR157" s="966">
        <v>0</v>
      </c>
      <c r="AS157" s="966">
        <v>0</v>
      </c>
      <c r="AT157" s="966">
        <v>0</v>
      </c>
      <c r="AU157" s="966">
        <v>0</v>
      </c>
      <c r="AV157" s="976"/>
      <c r="AW157" s="950">
        <v>267500</v>
      </c>
      <c r="AX157" s="950">
        <v>0</v>
      </c>
    </row>
    <row r="158" spans="1:53">
      <c r="A158" s="872" t="s">
        <v>1397</v>
      </c>
      <c r="B158" s="574" t="s">
        <v>651</v>
      </c>
      <c r="C158" s="751" t="s">
        <v>1326</v>
      </c>
      <c r="D158" s="991">
        <v>7631600</v>
      </c>
      <c r="E158" s="942"/>
      <c r="F158" s="942"/>
      <c r="G158" s="950">
        <v>3990100</v>
      </c>
      <c r="H158" s="944">
        <v>1200000</v>
      </c>
      <c r="I158" s="948"/>
      <c r="J158" s="948"/>
      <c r="K158" s="948"/>
      <c r="L158" s="948"/>
      <c r="M158" s="948"/>
      <c r="N158" s="974">
        <v>1200000</v>
      </c>
      <c r="O158" s="947"/>
      <c r="P158" s="947"/>
      <c r="Q158" s="947"/>
      <c r="R158" s="947"/>
      <c r="S158" s="947"/>
      <c r="T158" s="947"/>
      <c r="U158" s="947"/>
      <c r="V158" s="947"/>
      <c r="W158" s="946"/>
      <c r="X158" s="946"/>
      <c r="Y158" s="946"/>
      <c r="Z158" s="946">
        <v>1200000</v>
      </c>
      <c r="AA158" s="945">
        <v>5190100</v>
      </c>
      <c r="AB158" s="945">
        <v>1200000</v>
      </c>
      <c r="AC158" s="948"/>
      <c r="AD158" s="948"/>
      <c r="AE158" s="948"/>
      <c r="AF158" s="948"/>
      <c r="AG158" s="948"/>
      <c r="AH158" s="948"/>
      <c r="AI158" s="948"/>
      <c r="AJ158" s="948"/>
      <c r="AK158" s="948"/>
      <c r="AL158" s="948"/>
      <c r="AM158" s="948"/>
      <c r="AN158" s="948">
        <v>1200000</v>
      </c>
      <c r="AO158" s="945">
        <v>6390100</v>
      </c>
      <c r="AP158" s="959" t="s">
        <v>1308</v>
      </c>
      <c r="AQ158" s="945">
        <v>420000</v>
      </c>
      <c r="AR158" s="945">
        <v>821500</v>
      </c>
      <c r="AS158" s="945">
        <v>0</v>
      </c>
      <c r="AT158" s="945">
        <v>0</v>
      </c>
      <c r="AU158" s="945">
        <v>0</v>
      </c>
      <c r="AV158" s="976"/>
      <c r="AW158" s="950">
        <v>7631600</v>
      </c>
      <c r="AX158" s="950">
        <v>0</v>
      </c>
    </row>
    <row r="159" spans="1:53">
      <c r="A159" s="872" t="s">
        <v>1397</v>
      </c>
      <c r="B159" s="574" t="s">
        <v>1251</v>
      </c>
      <c r="C159" s="751" t="s">
        <v>1327</v>
      </c>
      <c r="D159" s="991">
        <v>0</v>
      </c>
      <c r="E159" s="942"/>
      <c r="F159" s="942"/>
      <c r="G159" s="950">
        <v>0</v>
      </c>
      <c r="H159" s="944">
        <v>0</v>
      </c>
      <c r="I159" s="948"/>
      <c r="J159" s="948"/>
      <c r="K159" s="948"/>
      <c r="L159" s="948"/>
      <c r="M159" s="948"/>
      <c r="N159" s="974">
        <v>0</v>
      </c>
      <c r="O159" s="947"/>
      <c r="P159" s="947"/>
      <c r="Q159" s="947"/>
      <c r="R159" s="947"/>
      <c r="S159" s="947"/>
      <c r="T159" s="947"/>
      <c r="U159" s="947"/>
      <c r="V159" s="947"/>
      <c r="W159" s="946"/>
      <c r="X159" s="946"/>
      <c r="Y159" s="946"/>
      <c r="Z159" s="946"/>
      <c r="AA159" s="945">
        <v>0</v>
      </c>
      <c r="AB159" s="945">
        <v>0</v>
      </c>
      <c r="AC159" s="948"/>
      <c r="AD159" s="948"/>
      <c r="AE159" s="948"/>
      <c r="AF159" s="948"/>
      <c r="AG159" s="948"/>
      <c r="AH159" s="948"/>
      <c r="AI159" s="948"/>
      <c r="AJ159" s="948"/>
      <c r="AK159" s="948"/>
      <c r="AL159" s="948"/>
      <c r="AM159" s="948"/>
      <c r="AN159" s="948"/>
      <c r="AO159" s="945">
        <v>0</v>
      </c>
      <c r="AP159" s="959" t="s">
        <v>1308</v>
      </c>
      <c r="AQ159" s="945">
        <v>0</v>
      </c>
      <c r="AR159" s="945">
        <v>0</v>
      </c>
      <c r="AS159" s="945">
        <v>0</v>
      </c>
      <c r="AT159" s="945">
        <v>0</v>
      </c>
      <c r="AU159" s="945">
        <v>0</v>
      </c>
      <c r="AV159" s="976"/>
      <c r="AW159" s="950">
        <v>0</v>
      </c>
      <c r="AX159" s="950">
        <v>0</v>
      </c>
    </row>
    <row r="160" spans="1:53">
      <c r="A160" s="872" t="s">
        <v>1397</v>
      </c>
      <c r="B160" s="574" t="s">
        <v>656</v>
      </c>
      <c r="C160" s="751" t="s">
        <v>1328</v>
      </c>
      <c r="D160" s="991">
        <v>0</v>
      </c>
      <c r="E160" s="942"/>
      <c r="F160" s="942"/>
      <c r="G160" s="950">
        <v>0</v>
      </c>
      <c r="H160" s="944"/>
      <c r="I160" s="948"/>
      <c r="J160" s="948"/>
      <c r="K160" s="948"/>
      <c r="L160" s="948"/>
      <c r="M160" s="948"/>
      <c r="N160" s="1107">
        <v>0</v>
      </c>
      <c r="O160" s="947"/>
      <c r="P160" s="947"/>
      <c r="Q160" s="947"/>
      <c r="R160" s="947"/>
      <c r="S160" s="947"/>
      <c r="T160" s="947"/>
      <c r="U160" s="947"/>
      <c r="V160" s="947"/>
      <c r="W160" s="946"/>
      <c r="X160" s="946"/>
      <c r="Y160" s="946"/>
      <c r="Z160" s="946">
        <v>0</v>
      </c>
      <c r="AA160" s="945">
        <v>0</v>
      </c>
      <c r="AB160" s="945">
        <v>0</v>
      </c>
      <c r="AC160" s="948"/>
      <c r="AD160" s="948"/>
      <c r="AE160" s="948"/>
      <c r="AF160" s="948"/>
      <c r="AG160" s="948"/>
      <c r="AH160" s="948"/>
      <c r="AI160" s="948"/>
      <c r="AJ160" s="948"/>
      <c r="AK160" s="948"/>
      <c r="AL160" s="948"/>
      <c r="AM160" s="948"/>
      <c r="AN160" s="948"/>
      <c r="AO160" s="945">
        <v>0</v>
      </c>
      <c r="AP160" s="959" t="s">
        <v>1308</v>
      </c>
      <c r="AQ160" s="945"/>
      <c r="AR160" s="945"/>
      <c r="AS160" s="945"/>
      <c r="AT160" s="945"/>
      <c r="AU160" s="945"/>
      <c r="AV160" s="976"/>
      <c r="AW160" s="950">
        <v>0</v>
      </c>
      <c r="AX160" s="950">
        <v>0</v>
      </c>
    </row>
    <row r="161" spans="1:53">
      <c r="A161" s="872" t="s">
        <v>1397</v>
      </c>
      <c r="B161" s="574" t="s">
        <v>657</v>
      </c>
      <c r="C161" s="751" t="s">
        <v>1329</v>
      </c>
      <c r="D161" s="991">
        <v>109000000</v>
      </c>
      <c r="E161" s="942"/>
      <c r="F161" s="942"/>
      <c r="G161" s="950">
        <v>0</v>
      </c>
      <c r="H161" s="944">
        <v>3189600</v>
      </c>
      <c r="I161" s="948"/>
      <c r="J161" s="948"/>
      <c r="K161" s="948"/>
      <c r="L161" s="948"/>
      <c r="M161" s="948"/>
      <c r="N161" s="1107">
        <v>0</v>
      </c>
      <c r="O161" s="947"/>
      <c r="P161" s="947"/>
      <c r="Q161" s="947"/>
      <c r="R161" s="947"/>
      <c r="S161" s="947"/>
      <c r="T161" s="947"/>
      <c r="U161" s="947"/>
      <c r="V161" s="947"/>
      <c r="W161" s="946"/>
      <c r="X161" s="946"/>
      <c r="Y161" s="946"/>
      <c r="Z161" s="946">
        <v>0</v>
      </c>
      <c r="AA161" s="945">
        <v>0</v>
      </c>
      <c r="AB161" s="945">
        <v>2874000</v>
      </c>
      <c r="AC161" s="948"/>
      <c r="AD161" s="948"/>
      <c r="AE161" s="948"/>
      <c r="AF161" s="948"/>
      <c r="AG161" s="948"/>
      <c r="AH161" s="948"/>
      <c r="AI161" s="948"/>
      <c r="AJ161" s="948"/>
      <c r="AK161" s="948"/>
      <c r="AL161" s="948">
        <v>958000</v>
      </c>
      <c r="AM161" s="948">
        <v>958000</v>
      </c>
      <c r="AN161" s="948">
        <v>958000</v>
      </c>
      <c r="AO161" s="945">
        <v>2874000</v>
      </c>
      <c r="AP161" s="959" t="s">
        <v>1308</v>
      </c>
      <c r="AQ161" s="945">
        <v>12250000</v>
      </c>
      <c r="AR161" s="945">
        <v>7400000</v>
      </c>
      <c r="AS161" s="945">
        <v>7800000</v>
      </c>
      <c r="AT161" s="945">
        <v>8200000</v>
      </c>
      <c r="AU161" s="945">
        <v>70476000</v>
      </c>
      <c r="AV161" s="976"/>
      <c r="AW161" s="950">
        <v>109000000</v>
      </c>
      <c r="AX161" s="950">
        <v>0</v>
      </c>
    </row>
    <row r="162" spans="1:53">
      <c r="A162" s="872" t="s">
        <v>1397</v>
      </c>
      <c r="B162" s="574" t="s">
        <v>659</v>
      </c>
      <c r="C162" s="751" t="s">
        <v>1330</v>
      </c>
      <c r="D162" s="991">
        <v>76500000</v>
      </c>
      <c r="E162" s="942"/>
      <c r="F162" s="942"/>
      <c r="G162" s="950">
        <v>0</v>
      </c>
      <c r="H162" s="944">
        <v>0</v>
      </c>
      <c r="I162" s="948"/>
      <c r="J162" s="948"/>
      <c r="K162" s="948"/>
      <c r="L162" s="948"/>
      <c r="M162" s="948"/>
      <c r="N162" s="1107">
        <v>0</v>
      </c>
      <c r="O162" s="947"/>
      <c r="P162" s="947">
        <v>0</v>
      </c>
      <c r="Q162" s="947">
        <v>0</v>
      </c>
      <c r="R162" s="947">
        <v>0</v>
      </c>
      <c r="S162" s="947">
        <v>0</v>
      </c>
      <c r="T162" s="947">
        <v>0</v>
      </c>
      <c r="U162" s="947">
        <v>0</v>
      </c>
      <c r="V162" s="947">
        <v>0</v>
      </c>
      <c r="W162" s="946">
        <v>0</v>
      </c>
      <c r="X162" s="946">
        <v>0</v>
      </c>
      <c r="Y162" s="946">
        <v>0</v>
      </c>
      <c r="Z162" s="946">
        <v>0</v>
      </c>
      <c r="AA162" s="945">
        <v>0</v>
      </c>
      <c r="AB162" s="945">
        <v>0</v>
      </c>
      <c r="AC162" s="948"/>
      <c r="AD162" s="948"/>
      <c r="AE162" s="948"/>
      <c r="AF162" s="948"/>
      <c r="AG162" s="948"/>
      <c r="AH162" s="948"/>
      <c r="AI162" s="948"/>
      <c r="AJ162" s="948"/>
      <c r="AK162" s="948"/>
      <c r="AL162" s="948"/>
      <c r="AM162" s="948"/>
      <c r="AN162" s="948"/>
      <c r="AO162" s="945">
        <v>0</v>
      </c>
      <c r="AP162" s="959" t="s">
        <v>1308</v>
      </c>
      <c r="AQ162" s="945">
        <v>7000000</v>
      </c>
      <c r="AR162" s="945">
        <v>3700000</v>
      </c>
      <c r="AS162" s="945">
        <v>3900000</v>
      </c>
      <c r="AT162" s="945">
        <v>4100000</v>
      </c>
      <c r="AU162" s="945">
        <v>57800000</v>
      </c>
      <c r="AV162" s="976"/>
      <c r="AW162" s="950">
        <v>76500000</v>
      </c>
      <c r="AX162" s="950">
        <v>0</v>
      </c>
    </row>
    <row r="163" spans="1:53">
      <c r="A163" s="872" t="s">
        <v>1397</v>
      </c>
      <c r="B163" s="574" t="s">
        <v>661</v>
      </c>
      <c r="C163" s="751" t="s">
        <v>1331</v>
      </c>
      <c r="D163" s="991">
        <v>77000000</v>
      </c>
      <c r="E163" s="942"/>
      <c r="F163" s="942"/>
      <c r="G163" s="950">
        <v>0</v>
      </c>
      <c r="H163" s="944">
        <v>0</v>
      </c>
      <c r="I163" s="948"/>
      <c r="J163" s="948"/>
      <c r="K163" s="948"/>
      <c r="L163" s="948"/>
      <c r="M163" s="948"/>
      <c r="N163" s="1107">
        <v>0</v>
      </c>
      <c r="O163" s="947"/>
      <c r="P163" s="947">
        <v>0</v>
      </c>
      <c r="Q163" s="947">
        <v>0</v>
      </c>
      <c r="R163" s="947">
        <v>0</v>
      </c>
      <c r="S163" s="947">
        <v>0</v>
      </c>
      <c r="T163" s="947">
        <v>0</v>
      </c>
      <c r="U163" s="947">
        <v>0</v>
      </c>
      <c r="V163" s="947">
        <v>0</v>
      </c>
      <c r="W163" s="946">
        <v>0</v>
      </c>
      <c r="X163" s="946">
        <v>0</v>
      </c>
      <c r="Y163" s="946">
        <v>0</v>
      </c>
      <c r="Z163" s="946">
        <v>0</v>
      </c>
      <c r="AA163" s="945">
        <v>0</v>
      </c>
      <c r="AB163" s="945">
        <v>0</v>
      </c>
      <c r="AC163" s="948"/>
      <c r="AD163" s="948"/>
      <c r="AE163" s="948"/>
      <c r="AF163" s="948"/>
      <c r="AG163" s="948"/>
      <c r="AH163" s="948"/>
      <c r="AI163" s="948"/>
      <c r="AJ163" s="948"/>
      <c r="AK163" s="948"/>
      <c r="AL163" s="948"/>
      <c r="AM163" s="948"/>
      <c r="AN163" s="948"/>
      <c r="AO163" s="945">
        <v>0</v>
      </c>
      <c r="AP163" s="959" t="s">
        <v>1308</v>
      </c>
      <c r="AQ163" s="945">
        <v>0</v>
      </c>
      <c r="AR163" s="945">
        <v>7400000</v>
      </c>
      <c r="AS163" s="945">
        <v>7800000</v>
      </c>
      <c r="AT163" s="945">
        <v>4100000</v>
      </c>
      <c r="AU163" s="945">
        <v>57700000</v>
      </c>
      <c r="AV163" s="976"/>
      <c r="AW163" s="950">
        <v>77000000</v>
      </c>
      <c r="AX163" s="950">
        <v>0</v>
      </c>
    </row>
    <row r="164" spans="1:53">
      <c r="A164" s="872" t="s">
        <v>1397</v>
      </c>
      <c r="B164" s="574" t="s">
        <v>663</v>
      </c>
      <c r="C164" s="751" t="s">
        <v>1332</v>
      </c>
      <c r="D164" s="991">
        <v>77500000</v>
      </c>
      <c r="E164" s="942"/>
      <c r="F164" s="942"/>
      <c r="G164" s="950"/>
      <c r="H164" s="944"/>
      <c r="I164" s="948"/>
      <c r="J164" s="948"/>
      <c r="K164" s="948"/>
      <c r="L164" s="948"/>
      <c r="M164" s="948"/>
      <c r="N164" s="1107"/>
      <c r="O164" s="947"/>
      <c r="P164" s="947">
        <v>0</v>
      </c>
      <c r="Q164" s="947">
        <v>0</v>
      </c>
      <c r="R164" s="947">
        <v>0</v>
      </c>
      <c r="S164" s="947">
        <v>0</v>
      </c>
      <c r="T164" s="947">
        <v>0</v>
      </c>
      <c r="U164" s="947">
        <v>0</v>
      </c>
      <c r="V164" s="947">
        <v>0</v>
      </c>
      <c r="W164" s="946">
        <v>0</v>
      </c>
      <c r="X164" s="946">
        <v>0</v>
      </c>
      <c r="Y164" s="946">
        <v>0</v>
      </c>
      <c r="Z164" s="946">
        <v>0</v>
      </c>
      <c r="AA164" s="945"/>
      <c r="AB164" s="945"/>
      <c r="AC164" s="948"/>
      <c r="AD164" s="948"/>
      <c r="AE164" s="948"/>
      <c r="AF164" s="948"/>
      <c r="AG164" s="948"/>
      <c r="AH164" s="948"/>
      <c r="AI164" s="948"/>
      <c r="AJ164" s="948"/>
      <c r="AK164" s="948"/>
      <c r="AL164" s="948"/>
      <c r="AM164" s="948"/>
      <c r="AN164" s="948"/>
      <c r="AO164" s="945">
        <v>0</v>
      </c>
      <c r="AP164" s="959"/>
      <c r="AQ164" s="945">
        <v>0</v>
      </c>
      <c r="AR164" s="945">
        <v>0</v>
      </c>
      <c r="AS164" s="945">
        <v>7800000</v>
      </c>
      <c r="AT164" s="945">
        <v>8200000</v>
      </c>
      <c r="AU164" s="945">
        <v>61500000</v>
      </c>
      <c r="AV164" s="976"/>
      <c r="AW164" s="950">
        <v>77500000</v>
      </c>
      <c r="AX164" s="950">
        <v>0</v>
      </c>
    </row>
    <row r="165" spans="1:53">
      <c r="A165" s="872" t="s">
        <v>1397</v>
      </c>
      <c r="B165" s="574" t="s">
        <v>665</v>
      </c>
      <c r="C165" s="751" t="s">
        <v>1333</v>
      </c>
      <c r="D165" s="991">
        <v>78000000</v>
      </c>
      <c r="E165" s="942"/>
      <c r="F165" s="942"/>
      <c r="G165" s="950"/>
      <c r="H165" s="944"/>
      <c r="I165" s="948"/>
      <c r="J165" s="948"/>
      <c r="K165" s="948"/>
      <c r="L165" s="948"/>
      <c r="M165" s="948"/>
      <c r="N165" s="974">
        <v>0</v>
      </c>
      <c r="O165" s="947"/>
      <c r="P165" s="947">
        <v>0</v>
      </c>
      <c r="Q165" s="947">
        <v>0</v>
      </c>
      <c r="R165" s="947">
        <v>0</v>
      </c>
      <c r="S165" s="947">
        <v>0</v>
      </c>
      <c r="T165" s="947">
        <v>0</v>
      </c>
      <c r="U165" s="947">
        <v>0</v>
      </c>
      <c r="V165" s="947">
        <v>0</v>
      </c>
      <c r="W165" s="946">
        <v>0</v>
      </c>
      <c r="X165" s="946">
        <v>0</v>
      </c>
      <c r="Y165" s="946">
        <v>0</v>
      </c>
      <c r="Z165" s="946">
        <v>0</v>
      </c>
      <c r="AA165" s="945">
        <v>0</v>
      </c>
      <c r="AB165" s="945">
        <v>0</v>
      </c>
      <c r="AC165" s="948"/>
      <c r="AD165" s="948"/>
      <c r="AE165" s="948"/>
      <c r="AF165" s="948"/>
      <c r="AG165" s="948"/>
      <c r="AH165" s="948"/>
      <c r="AI165" s="948"/>
      <c r="AJ165" s="948"/>
      <c r="AK165" s="948"/>
      <c r="AL165" s="948"/>
      <c r="AM165" s="948"/>
      <c r="AN165" s="948"/>
      <c r="AO165" s="945">
        <v>0</v>
      </c>
      <c r="AP165" s="959"/>
      <c r="AQ165" s="945">
        <v>0</v>
      </c>
      <c r="AR165" s="945">
        <v>0</v>
      </c>
      <c r="AS165" s="945">
        <v>0</v>
      </c>
      <c r="AT165" s="945">
        <v>8200000</v>
      </c>
      <c r="AU165" s="945">
        <v>69800000</v>
      </c>
      <c r="AV165" s="976"/>
      <c r="AW165" s="950">
        <v>78000000</v>
      </c>
      <c r="AX165" s="950">
        <v>0</v>
      </c>
    </row>
    <row r="166" spans="1:53">
      <c r="B166" s="1108"/>
      <c r="C166" s="1108" t="s">
        <v>1252</v>
      </c>
      <c r="D166" s="1109">
        <v>640713343</v>
      </c>
      <c r="E166" s="1109">
        <v>0</v>
      </c>
      <c r="F166" s="1109">
        <v>0</v>
      </c>
      <c r="G166" s="1109">
        <v>59827193</v>
      </c>
      <c r="H166" s="1110">
        <v>29497000</v>
      </c>
      <c r="I166" s="948"/>
      <c r="J166" s="948"/>
      <c r="K166" s="948"/>
      <c r="L166" s="948"/>
      <c r="M166" s="948"/>
      <c r="N166" s="1111">
        <v>22980400</v>
      </c>
      <c r="O166" s="1112">
        <v>425000</v>
      </c>
      <c r="P166" s="1113">
        <v>595000</v>
      </c>
      <c r="Q166" s="1113">
        <v>1575000</v>
      </c>
      <c r="R166" s="1113">
        <v>763000</v>
      </c>
      <c r="S166" s="1113">
        <v>1395000</v>
      </c>
      <c r="T166" s="1113">
        <v>647500</v>
      </c>
      <c r="U166" s="1113">
        <v>868000</v>
      </c>
      <c r="V166" s="1113">
        <v>1741000</v>
      </c>
      <c r="W166" s="1110">
        <v>2335000</v>
      </c>
      <c r="X166" s="1110">
        <v>1383000</v>
      </c>
      <c r="Y166" s="1110">
        <v>2895000</v>
      </c>
      <c r="Z166" s="1110">
        <v>8357900</v>
      </c>
      <c r="AA166" s="1110">
        <v>82807593</v>
      </c>
      <c r="AB166" s="1110">
        <v>35571400</v>
      </c>
      <c r="AC166" s="1110">
        <v>3926168</v>
      </c>
      <c r="AD166" s="1110">
        <v>1268168</v>
      </c>
      <c r="AE166" s="1110">
        <v>3681168</v>
      </c>
      <c r="AF166" s="1110">
        <v>1178168</v>
      </c>
      <c r="AG166" s="1110">
        <v>3334168</v>
      </c>
      <c r="AH166" s="1110">
        <v>1178168</v>
      </c>
      <c r="AI166" s="1110">
        <v>4356568</v>
      </c>
      <c r="AJ166" s="1110">
        <v>1348168</v>
      </c>
      <c r="AK166" s="1110">
        <v>1348168</v>
      </c>
      <c r="AL166" s="1110">
        <v>2136168</v>
      </c>
      <c r="AM166" s="1110">
        <v>2136168</v>
      </c>
      <c r="AN166" s="1110">
        <v>9680152</v>
      </c>
      <c r="AO166" s="1110">
        <v>118378993</v>
      </c>
      <c r="AP166" s="1114"/>
      <c r="AQ166" s="1109">
        <v>37568000</v>
      </c>
      <c r="AR166" s="1109">
        <v>38084000</v>
      </c>
      <c r="AS166" s="1109">
        <v>40227000</v>
      </c>
      <c r="AT166" s="1109">
        <v>44510000</v>
      </c>
      <c r="AU166" s="1109">
        <v>361945350</v>
      </c>
      <c r="AV166" s="976"/>
      <c r="AW166" s="950">
        <v>640713343</v>
      </c>
      <c r="AX166" s="950">
        <v>0</v>
      </c>
    </row>
    <row r="167" spans="1:53">
      <c r="A167" s="958"/>
      <c r="B167" s="958"/>
      <c r="C167" s="958"/>
      <c r="D167" s="958"/>
      <c r="E167" s="958"/>
      <c r="F167" s="958"/>
      <c r="G167" s="958"/>
      <c r="H167" s="958"/>
      <c r="I167" s="958"/>
      <c r="J167" s="958"/>
      <c r="K167" s="958"/>
      <c r="L167" s="958"/>
      <c r="M167" s="958"/>
      <c r="N167" s="1088"/>
      <c r="O167" s="958"/>
      <c r="P167" s="958"/>
      <c r="Q167" s="958"/>
      <c r="R167" s="958"/>
      <c r="S167" s="958"/>
      <c r="T167" s="958"/>
      <c r="U167" s="958"/>
      <c r="V167" s="958"/>
      <c r="W167" s="958"/>
      <c r="X167" s="958"/>
      <c r="Y167" s="958"/>
      <c r="Z167" s="958"/>
      <c r="AA167" s="958"/>
      <c r="AB167" s="958"/>
      <c r="AC167" s="958"/>
      <c r="AD167" s="958"/>
      <c r="AE167" s="958"/>
      <c r="AF167" s="958"/>
      <c r="AG167" s="958"/>
      <c r="AH167" s="958"/>
      <c r="AI167" s="958"/>
      <c r="AJ167" s="958"/>
      <c r="AK167" s="958"/>
      <c r="AL167" s="958"/>
      <c r="AM167" s="958"/>
      <c r="AN167" s="958"/>
      <c r="AP167" s="958"/>
      <c r="AQ167" s="958"/>
      <c r="AR167" s="958"/>
      <c r="AS167" s="958"/>
      <c r="AT167" s="958"/>
      <c r="AU167" s="958"/>
      <c r="AV167" s="1088"/>
      <c r="AW167" s="958"/>
    </row>
    <row r="168" spans="1:53">
      <c r="A168" s="958"/>
      <c r="B168" s="958"/>
      <c r="C168" s="958"/>
      <c r="D168" s="958"/>
      <c r="E168" s="958"/>
      <c r="F168" s="958"/>
      <c r="G168" s="958"/>
      <c r="H168" s="958"/>
      <c r="I168" s="958"/>
      <c r="J168" s="958"/>
      <c r="K168" s="958"/>
      <c r="L168" s="958"/>
      <c r="M168" s="958"/>
      <c r="N168" s="1088"/>
      <c r="O168" s="958"/>
      <c r="P168" s="958"/>
      <c r="Q168" s="958"/>
      <c r="R168" s="958"/>
      <c r="S168" s="958"/>
      <c r="T168" s="958"/>
      <c r="U168" s="958"/>
      <c r="V168" s="958"/>
      <c r="W168" s="958"/>
      <c r="X168" s="958"/>
      <c r="Y168" s="958"/>
      <c r="Z168" s="958"/>
      <c r="AA168" s="958"/>
      <c r="AB168" s="958"/>
      <c r="AC168" s="958"/>
      <c r="AD168" s="958"/>
      <c r="AE168" s="958"/>
      <c r="AF168" s="958"/>
      <c r="AG168" s="958"/>
      <c r="AH168" s="958"/>
      <c r="AI168" s="958"/>
      <c r="AJ168" s="958"/>
      <c r="AK168" s="958"/>
      <c r="AL168" s="958"/>
      <c r="AM168" s="958"/>
      <c r="AN168" s="958"/>
      <c r="AP168" s="958"/>
      <c r="AQ168" s="958"/>
      <c r="AR168" s="958"/>
      <c r="AS168" s="958"/>
      <c r="AT168" s="958"/>
      <c r="AU168" s="958"/>
      <c r="AV168" s="1088"/>
      <c r="AW168" s="958"/>
    </row>
    <row r="169" spans="1:53">
      <c r="A169" s="958"/>
      <c r="B169" s="958"/>
      <c r="C169" s="958"/>
      <c r="D169" s="958"/>
      <c r="E169" s="958"/>
      <c r="F169" s="958"/>
      <c r="G169" s="958"/>
      <c r="H169" s="958"/>
      <c r="I169" s="958"/>
      <c r="J169" s="958"/>
      <c r="K169" s="958"/>
      <c r="L169" s="958"/>
      <c r="M169" s="958"/>
      <c r="N169" s="1088"/>
      <c r="O169" s="958"/>
      <c r="P169" s="958"/>
      <c r="Q169" s="958"/>
      <c r="R169" s="958"/>
      <c r="S169" s="958"/>
      <c r="T169" s="958"/>
      <c r="U169" s="958"/>
      <c r="V169" s="958"/>
      <c r="W169" s="958"/>
      <c r="X169" s="958"/>
      <c r="Y169" s="958"/>
      <c r="Z169" s="958"/>
      <c r="AA169" s="958"/>
      <c r="AB169" s="958"/>
      <c r="AC169" s="958"/>
      <c r="AD169" s="958"/>
      <c r="AE169" s="958"/>
      <c r="AF169" s="958"/>
      <c r="AG169" s="958"/>
      <c r="AH169" s="958"/>
      <c r="AI169" s="958"/>
      <c r="AJ169" s="958"/>
      <c r="AK169" s="958"/>
      <c r="AL169" s="958"/>
      <c r="AM169" s="958"/>
      <c r="AN169" s="958"/>
      <c r="AP169" s="958"/>
      <c r="AQ169" s="958"/>
      <c r="AR169" s="958"/>
      <c r="AS169" s="958"/>
      <c r="AT169" s="958"/>
      <c r="AU169" s="958"/>
      <c r="AV169" s="1088"/>
      <c r="AW169" s="958"/>
    </row>
    <row r="170" spans="1:53" s="912" customFormat="1">
      <c r="A170" s="1092" t="s">
        <v>1363</v>
      </c>
      <c r="B170" s="1093" t="s">
        <v>1407</v>
      </c>
      <c r="D170" s="534"/>
      <c r="E170" s="901"/>
      <c r="F170" s="901"/>
      <c r="G170" s="1058"/>
      <c r="P170" s="1094"/>
      <c r="Q170" s="1094"/>
      <c r="R170" s="1094"/>
      <c r="S170" s="1094"/>
      <c r="T170" s="1094"/>
      <c r="U170" s="1094"/>
      <c r="V170" s="1094"/>
      <c r="W170" s="1094"/>
      <c r="X170" s="1094"/>
      <c r="Y170" s="1094"/>
      <c r="Z170" s="1094"/>
      <c r="AA170" s="1095"/>
      <c r="AB170" s="1095"/>
      <c r="AC170" s="1095"/>
      <c r="AD170" s="1095"/>
      <c r="AE170" s="1095"/>
      <c r="AF170" s="1095"/>
      <c r="AG170" s="1095"/>
      <c r="AH170" s="1095"/>
      <c r="AI170" s="1095"/>
      <c r="AJ170" s="1095"/>
      <c r="AK170" s="1095"/>
      <c r="AL170" s="1095"/>
      <c r="AM170" s="1095"/>
      <c r="AN170" s="1095"/>
      <c r="AO170" s="1095"/>
      <c r="AP170" s="1095"/>
      <c r="AQ170" s="1095"/>
      <c r="AR170" s="1095"/>
      <c r="AS170" s="1095"/>
      <c r="AT170" s="1095"/>
      <c r="AU170" s="1095"/>
      <c r="AV170" s="1095"/>
      <c r="AW170" s="1095"/>
      <c r="AX170" s="1095"/>
    </row>
    <row r="171" spans="1:53" s="901" customFormat="1">
      <c r="B171" s="1096" t="s">
        <v>1283</v>
      </c>
      <c r="C171" s="1097"/>
      <c r="D171" s="1097"/>
      <c r="E171" s="1097"/>
      <c r="F171" s="1097"/>
      <c r="G171" s="892"/>
      <c r="H171" s="2478" t="s">
        <v>1374</v>
      </c>
      <c r="I171" s="2477"/>
      <c r="J171" s="2477"/>
      <c r="K171" s="2477"/>
      <c r="L171" s="2477"/>
      <c r="M171" s="2477"/>
      <c r="N171" s="2477"/>
      <c r="O171" s="2477"/>
      <c r="P171" s="2477"/>
      <c r="Q171" s="2477"/>
      <c r="R171" s="2477"/>
      <c r="S171" s="2477"/>
      <c r="T171" s="2477"/>
      <c r="U171" s="2477"/>
      <c r="V171" s="2477"/>
      <c r="W171" s="2477"/>
      <c r="X171" s="2477"/>
      <c r="Y171" s="2477"/>
      <c r="Z171" s="2477"/>
      <c r="AA171" s="2494"/>
      <c r="AB171" s="2478" t="s">
        <v>1399</v>
      </c>
      <c r="AC171" s="2477"/>
      <c r="AD171" s="2477"/>
      <c r="AE171" s="2477"/>
      <c r="AF171" s="2477"/>
      <c r="AG171" s="2477"/>
      <c r="AH171" s="2477"/>
      <c r="AI171" s="2477"/>
      <c r="AJ171" s="2477"/>
      <c r="AK171" s="2477"/>
      <c r="AL171" s="2477"/>
      <c r="AM171" s="2477"/>
      <c r="AN171" s="2477"/>
      <c r="AO171" s="1071"/>
      <c r="AP171" s="549"/>
      <c r="AQ171" s="896"/>
      <c r="AR171" s="897"/>
      <c r="AS171" s="897"/>
      <c r="AT171" s="898"/>
      <c r="AU171" s="898"/>
      <c r="AV171" s="1098"/>
      <c r="AW171" s="897"/>
      <c r="AX171" s="897"/>
    </row>
    <row r="172" spans="1:53" ht="31.2">
      <c r="B172" s="1072" t="s">
        <v>1288</v>
      </c>
      <c r="C172" s="1073" t="s">
        <v>1289</v>
      </c>
      <c r="D172" s="904" t="s">
        <v>1290</v>
      </c>
      <c r="E172" s="904" t="s">
        <v>1400</v>
      </c>
      <c r="F172" s="904" t="s">
        <v>1292</v>
      </c>
      <c r="G172" s="2486" t="s">
        <v>1293</v>
      </c>
      <c r="H172" s="903" t="s">
        <v>1238</v>
      </c>
      <c r="I172" s="2443"/>
      <c r="J172" s="2443"/>
      <c r="K172" s="2443"/>
      <c r="L172" s="2443"/>
      <c r="M172" s="2443"/>
      <c r="N172" s="904" t="s">
        <v>1239</v>
      </c>
      <c r="O172" s="905">
        <v>46023</v>
      </c>
      <c r="P172" s="905">
        <v>46054</v>
      </c>
      <c r="Q172" s="905">
        <v>46082</v>
      </c>
      <c r="R172" s="905">
        <v>46113</v>
      </c>
      <c r="S172" s="905">
        <v>46143</v>
      </c>
      <c r="T172" s="905">
        <v>46174</v>
      </c>
      <c r="U172" s="905">
        <v>46204</v>
      </c>
      <c r="V172" s="905">
        <v>46235</v>
      </c>
      <c r="W172" s="905">
        <v>46266</v>
      </c>
      <c r="X172" s="905">
        <v>46296</v>
      </c>
      <c r="Y172" s="905">
        <v>46327</v>
      </c>
      <c r="Z172" s="905">
        <v>46357</v>
      </c>
      <c r="AA172" s="906" t="e">
        <v>#NAME?</v>
      </c>
      <c r="AB172" s="904" t="s">
        <v>1294</v>
      </c>
      <c r="AC172" s="905">
        <v>46023</v>
      </c>
      <c r="AD172" s="905">
        <v>46054</v>
      </c>
      <c r="AE172" s="905">
        <v>46082</v>
      </c>
      <c r="AF172" s="905">
        <v>46113</v>
      </c>
      <c r="AG172" s="905">
        <v>46143</v>
      </c>
      <c r="AH172" s="905">
        <v>46174</v>
      </c>
      <c r="AI172" s="905">
        <v>46204</v>
      </c>
      <c r="AJ172" s="905">
        <v>46235</v>
      </c>
      <c r="AK172" s="905">
        <v>46266</v>
      </c>
      <c r="AL172" s="905">
        <v>46296</v>
      </c>
      <c r="AM172" s="905">
        <v>46327</v>
      </c>
      <c r="AN172" s="905">
        <v>46357</v>
      </c>
      <c r="AO172" s="907" t="s">
        <v>1295</v>
      </c>
      <c r="AP172" s="1099" t="s">
        <v>1296</v>
      </c>
      <c r="AQ172" s="909">
        <v>47088</v>
      </c>
      <c r="AR172" s="910">
        <v>47453</v>
      </c>
      <c r="AS172" s="910">
        <v>47818</v>
      </c>
      <c r="AT172" s="911">
        <v>48183</v>
      </c>
      <c r="AU172" s="911" t="s">
        <v>1297</v>
      </c>
      <c r="AW172" s="1080"/>
      <c r="AX172" s="1080"/>
    </row>
    <row r="173" spans="1:53">
      <c r="B173" s="920"/>
      <c r="C173" s="921"/>
      <c r="D173" s="902"/>
      <c r="E173" s="902"/>
      <c r="F173" s="902"/>
      <c r="G173" s="2487"/>
      <c r="H173" s="922" t="s">
        <v>1300</v>
      </c>
      <c r="I173" s="2447"/>
      <c r="J173" s="2447"/>
      <c r="K173" s="2447"/>
      <c r="L173" s="2447"/>
      <c r="M173" s="2447"/>
      <c r="N173" s="923" t="s">
        <v>1300</v>
      </c>
      <c r="O173" s="1100" t="s">
        <v>1385</v>
      </c>
      <c r="P173" s="1100" t="s">
        <v>1385</v>
      </c>
      <c r="Q173" s="1100" t="s">
        <v>1385</v>
      </c>
      <c r="R173" s="1100" t="s">
        <v>1385</v>
      </c>
      <c r="S173" s="1100" t="s">
        <v>1385</v>
      </c>
      <c r="T173" s="1100" t="s">
        <v>1385</v>
      </c>
      <c r="U173" s="1100" t="s">
        <v>1385</v>
      </c>
      <c r="V173" s="1100" t="s">
        <v>1385</v>
      </c>
      <c r="W173" s="1084" t="s">
        <v>1401</v>
      </c>
      <c r="X173" s="1084" t="s">
        <v>1401</v>
      </c>
      <c r="Y173" s="1084" t="s">
        <v>1401</v>
      </c>
      <c r="Z173" s="1084" t="s">
        <v>1401</v>
      </c>
      <c r="AA173" s="927" t="s">
        <v>1303</v>
      </c>
      <c r="AB173" s="926" t="s">
        <v>1300</v>
      </c>
      <c r="AC173" s="1084" t="s">
        <v>1241</v>
      </c>
      <c r="AD173" s="1084" t="s">
        <v>1241</v>
      </c>
      <c r="AE173" s="1084" t="s">
        <v>1241</v>
      </c>
      <c r="AF173" s="1084" t="s">
        <v>1241</v>
      </c>
      <c r="AG173" s="1084" t="s">
        <v>1241</v>
      </c>
      <c r="AH173" s="1084" t="s">
        <v>1241</v>
      </c>
      <c r="AI173" s="1084" t="s">
        <v>1241</v>
      </c>
      <c r="AJ173" s="1084" t="s">
        <v>1241</v>
      </c>
      <c r="AK173" s="1084" t="s">
        <v>1241</v>
      </c>
      <c r="AL173" s="1084" t="s">
        <v>1241</v>
      </c>
      <c r="AM173" s="1084" t="s">
        <v>1241</v>
      </c>
      <c r="AN173" s="1084" t="s">
        <v>1241</v>
      </c>
      <c r="AO173" s="927" t="s">
        <v>1303</v>
      </c>
      <c r="AP173" s="1101" t="s">
        <v>1304</v>
      </c>
      <c r="AQ173" s="1084" t="s">
        <v>1240</v>
      </c>
      <c r="AR173" s="1084" t="s">
        <v>1240</v>
      </c>
      <c r="AS173" s="1084" t="s">
        <v>1240</v>
      </c>
      <c r="AT173" s="1084" t="s">
        <v>1240</v>
      </c>
      <c r="AU173" s="1084" t="s">
        <v>1240</v>
      </c>
      <c r="AW173" s="930" t="s">
        <v>1402</v>
      </c>
      <c r="AX173" s="1085" t="s">
        <v>1306</v>
      </c>
    </row>
    <row r="174" spans="1:53">
      <c r="A174" s="872" t="s">
        <v>1363</v>
      </c>
      <c r="B174" s="574" t="s">
        <v>636</v>
      </c>
      <c r="C174" s="751" t="s">
        <v>1316</v>
      </c>
      <c r="D174" s="991">
        <v>140000</v>
      </c>
      <c r="E174" s="942"/>
      <c r="F174" s="942"/>
      <c r="G174" s="1086">
        <v>140000</v>
      </c>
      <c r="H174" s="944">
        <v>0</v>
      </c>
      <c r="I174" s="948"/>
      <c r="J174" s="948"/>
      <c r="K174" s="948"/>
      <c r="L174" s="948"/>
      <c r="M174" s="948"/>
      <c r="N174" s="974">
        <v>0</v>
      </c>
      <c r="O174" s="1104"/>
      <c r="P174" s="1104"/>
      <c r="Q174" s="1104"/>
      <c r="R174" s="1115"/>
      <c r="S174" s="948"/>
      <c r="T174" s="948"/>
      <c r="U174" s="948"/>
      <c r="V174" s="948"/>
      <c r="W174" s="948"/>
      <c r="X174" s="948"/>
      <c r="Y174" s="948"/>
      <c r="Z174" s="948"/>
      <c r="AA174" s="945">
        <v>140000</v>
      </c>
      <c r="AB174" s="945">
        <v>0</v>
      </c>
      <c r="AC174" s="948">
        <v>0</v>
      </c>
      <c r="AD174" s="948"/>
      <c r="AE174" s="948"/>
      <c r="AF174" s="948"/>
      <c r="AG174" s="948"/>
      <c r="AH174" s="948"/>
      <c r="AI174" s="948"/>
      <c r="AJ174" s="948"/>
      <c r="AK174" s="948"/>
      <c r="AL174" s="948"/>
      <c r="AM174" s="948"/>
      <c r="AN174" s="948"/>
      <c r="AO174" s="945">
        <v>140000</v>
      </c>
      <c r="AP174" s="959" t="s">
        <v>1308</v>
      </c>
      <c r="AQ174" s="950">
        <v>0</v>
      </c>
      <c r="AR174" s="950">
        <v>0</v>
      </c>
      <c r="AS174" s="950">
        <v>0</v>
      </c>
      <c r="AT174" s="950">
        <v>0</v>
      </c>
      <c r="AU174" s="950">
        <v>0</v>
      </c>
      <c r="AV174" s="976"/>
      <c r="AW174" s="950">
        <v>140000</v>
      </c>
      <c r="AX174" s="950">
        <v>0</v>
      </c>
      <c r="AY174" s="956"/>
      <c r="AZ174" s="956"/>
      <c r="BA174" s="956"/>
    </row>
    <row r="175" spans="1:53">
      <c r="A175" s="872" t="s">
        <v>1363</v>
      </c>
      <c r="B175" s="574" t="s">
        <v>624</v>
      </c>
      <c r="C175" s="751" t="s">
        <v>1309</v>
      </c>
      <c r="D175" s="991">
        <v>1950000</v>
      </c>
      <c r="E175" s="942"/>
      <c r="F175" s="942"/>
      <c r="G175" s="1086">
        <v>750000</v>
      </c>
      <c r="H175" s="944">
        <v>600000</v>
      </c>
      <c r="I175" s="948"/>
      <c r="J175" s="948"/>
      <c r="K175" s="948"/>
      <c r="L175" s="948"/>
      <c r="M175" s="948"/>
      <c r="N175" s="974">
        <v>600000</v>
      </c>
      <c r="O175" s="1104"/>
      <c r="P175" s="1104"/>
      <c r="Q175" s="1011"/>
      <c r="R175" s="1115">
        <v>600000</v>
      </c>
      <c r="S175" s="948"/>
      <c r="T175" s="948"/>
      <c r="U175" s="948"/>
      <c r="V175" s="948"/>
      <c r="W175" s="948"/>
      <c r="X175" s="948"/>
      <c r="Y175" s="948"/>
      <c r="Z175" s="948"/>
      <c r="AA175" s="945">
        <v>1350000</v>
      </c>
      <c r="AB175" s="945">
        <v>600000</v>
      </c>
      <c r="AC175" s="948">
        <v>600000</v>
      </c>
      <c r="AD175" s="948"/>
      <c r="AE175" s="948"/>
      <c r="AF175" s="948"/>
      <c r="AG175" s="948"/>
      <c r="AH175" s="948"/>
      <c r="AI175" s="948"/>
      <c r="AJ175" s="948"/>
      <c r="AK175" s="948"/>
      <c r="AL175" s="948"/>
      <c r="AM175" s="948"/>
      <c r="AN175" s="948"/>
      <c r="AO175" s="945">
        <v>1950000</v>
      </c>
      <c r="AP175" s="959" t="s">
        <v>1308</v>
      </c>
      <c r="AQ175" s="950">
        <v>0</v>
      </c>
      <c r="AR175" s="950"/>
      <c r="AS175" s="950"/>
      <c r="AT175" s="950"/>
      <c r="AU175" s="950"/>
      <c r="AV175" s="976"/>
      <c r="AW175" s="950">
        <v>1950000</v>
      </c>
      <c r="AX175" s="950">
        <v>0</v>
      </c>
      <c r="AY175" s="956"/>
      <c r="AZ175" s="956"/>
      <c r="BA175" s="956"/>
    </row>
    <row r="176" spans="1:53">
      <c r="B176" s="1108"/>
      <c r="C176" s="1108" t="s">
        <v>1252</v>
      </c>
      <c r="D176" s="1109">
        <v>2090000</v>
      </c>
      <c r="E176" s="1109">
        <v>0</v>
      </c>
      <c r="F176" s="1109">
        <v>0</v>
      </c>
      <c r="G176" s="1109">
        <v>890000</v>
      </c>
      <c r="H176" s="1109">
        <v>600000</v>
      </c>
      <c r="I176" s="991"/>
      <c r="J176" s="991"/>
      <c r="K176" s="991"/>
      <c r="L176" s="991"/>
      <c r="M176" s="991"/>
      <c r="N176" s="1116">
        <v>600000</v>
      </c>
      <c r="O176" s="1109">
        <v>0</v>
      </c>
      <c r="P176" s="1109">
        <v>0</v>
      </c>
      <c r="Q176" s="1109">
        <v>0</v>
      </c>
      <c r="R176" s="1117">
        <v>600000</v>
      </c>
      <c r="S176" s="1109">
        <v>0</v>
      </c>
      <c r="T176" s="1109">
        <v>0</v>
      </c>
      <c r="U176" s="1109">
        <v>0</v>
      </c>
      <c r="V176" s="1109">
        <v>0</v>
      </c>
      <c r="W176" s="1109">
        <v>0</v>
      </c>
      <c r="X176" s="1109">
        <v>0</v>
      </c>
      <c r="Y176" s="1109">
        <v>0</v>
      </c>
      <c r="Z176" s="1109">
        <v>0</v>
      </c>
      <c r="AA176" s="1109">
        <v>1490000</v>
      </c>
      <c r="AB176" s="1109">
        <v>600000</v>
      </c>
      <c r="AC176" s="1109">
        <v>600000</v>
      </c>
      <c r="AD176" s="1109">
        <v>0</v>
      </c>
      <c r="AE176" s="1109">
        <v>0</v>
      </c>
      <c r="AF176" s="1109">
        <v>0</v>
      </c>
      <c r="AG176" s="1109">
        <v>0</v>
      </c>
      <c r="AH176" s="1109">
        <v>0</v>
      </c>
      <c r="AI176" s="1109">
        <v>0</v>
      </c>
      <c r="AJ176" s="1109">
        <v>0</v>
      </c>
      <c r="AK176" s="1109">
        <v>0</v>
      </c>
      <c r="AL176" s="1109">
        <v>0</v>
      </c>
      <c r="AM176" s="1109">
        <v>0</v>
      </c>
      <c r="AN176" s="1109">
        <v>0</v>
      </c>
      <c r="AO176" s="1109">
        <v>2090000</v>
      </c>
      <c r="AP176" s="1109">
        <v>0</v>
      </c>
      <c r="AQ176" s="1109">
        <v>0</v>
      </c>
      <c r="AR176" s="1109">
        <v>0</v>
      </c>
      <c r="AS176" s="1109">
        <v>0</v>
      </c>
      <c r="AT176" s="1109">
        <v>0</v>
      </c>
      <c r="AU176" s="1109">
        <v>0</v>
      </c>
      <c r="AV176" s="976"/>
      <c r="AW176" s="950">
        <v>2090000</v>
      </c>
      <c r="AX176" s="950">
        <v>0</v>
      </c>
    </row>
    <row r="177" spans="1:53">
      <c r="B177" s="537"/>
      <c r="C177" s="537"/>
      <c r="D177" s="537"/>
      <c r="E177" s="663"/>
      <c r="F177" s="663"/>
      <c r="G177" s="1058"/>
      <c r="P177" s="956"/>
      <c r="Q177" s="956"/>
      <c r="R177" s="956"/>
      <c r="S177" s="956"/>
      <c r="T177" s="956"/>
      <c r="U177" s="956"/>
      <c r="V177" s="956"/>
      <c r="W177" s="956"/>
      <c r="X177" s="956"/>
      <c r="Y177" s="956"/>
      <c r="Z177" s="956"/>
      <c r="AA177" s="1029"/>
      <c r="AB177" s="1029"/>
      <c r="AC177" s="1029"/>
      <c r="AD177" s="1029"/>
      <c r="AE177" s="1029"/>
      <c r="AF177" s="1029"/>
      <c r="AG177" s="1029"/>
      <c r="AH177" s="1029"/>
      <c r="AI177" s="1029"/>
      <c r="AJ177" s="1029"/>
      <c r="AK177" s="1029"/>
      <c r="AL177" s="1029"/>
      <c r="AM177" s="1029"/>
      <c r="AN177" s="1029"/>
      <c r="AO177" s="1029"/>
      <c r="AP177" s="1029"/>
      <c r="AQ177" s="1029"/>
      <c r="AR177" s="1029"/>
      <c r="AS177" s="1029"/>
      <c r="AT177" s="1029"/>
      <c r="AU177" s="1029"/>
      <c r="AV177" s="1029"/>
      <c r="AW177" s="1029"/>
      <c r="AX177" s="1029"/>
    </row>
    <row r="178" spans="1:53">
      <c r="B178" s="537"/>
      <c r="C178" s="537"/>
      <c r="D178" s="537"/>
      <c r="E178" s="663"/>
      <c r="F178" s="663"/>
      <c r="G178" s="1058"/>
      <c r="P178" s="956"/>
      <c r="Q178" s="956"/>
      <c r="R178" s="956"/>
      <c r="S178" s="956"/>
      <c r="T178" s="956"/>
      <c r="U178" s="956"/>
      <c r="V178" s="956"/>
      <c r="W178" s="956"/>
      <c r="X178" s="956"/>
      <c r="Y178" s="956"/>
      <c r="Z178" s="956"/>
      <c r="AA178" s="1029"/>
      <c r="AB178" s="1029"/>
      <c r="AC178" s="1029"/>
      <c r="AD178" s="1029"/>
      <c r="AE178" s="1029"/>
      <c r="AF178" s="1029"/>
      <c r="AG178" s="1029"/>
      <c r="AH178" s="1029"/>
      <c r="AI178" s="1029"/>
      <c r="AJ178" s="1029"/>
      <c r="AK178" s="1029"/>
      <c r="AL178" s="1029"/>
      <c r="AM178" s="1029"/>
      <c r="AN178" s="1029"/>
      <c r="AO178" s="1029"/>
      <c r="AP178" s="1029"/>
      <c r="AQ178" s="1029"/>
      <c r="AR178" s="1029"/>
      <c r="AS178" s="1029"/>
      <c r="AT178" s="1029"/>
      <c r="AU178" s="1029"/>
      <c r="AV178" s="1029"/>
      <c r="AW178" s="1029"/>
      <c r="AX178" s="1029"/>
    </row>
    <row r="179" spans="1:53" s="912" customFormat="1">
      <c r="A179" s="1092" t="s">
        <v>1379</v>
      </c>
      <c r="B179" s="1093" t="s">
        <v>1408</v>
      </c>
      <c r="C179" s="534"/>
      <c r="D179" s="534"/>
      <c r="E179" s="901"/>
      <c r="F179" s="901"/>
      <c r="G179" s="1058"/>
      <c r="P179" s="1094"/>
      <c r="Q179" s="1094"/>
      <c r="R179" s="1094"/>
      <c r="S179" s="1094"/>
      <c r="T179" s="1094"/>
      <c r="U179" s="1094"/>
      <c r="V179" s="1094"/>
      <c r="W179" s="1094"/>
      <c r="X179" s="1094"/>
      <c r="Y179" s="1094"/>
      <c r="Z179" s="1094"/>
      <c r="AA179" s="1095"/>
      <c r="AB179" s="1095"/>
      <c r="AC179" s="1095"/>
      <c r="AD179" s="1095"/>
      <c r="AE179" s="1095"/>
      <c r="AF179" s="1095"/>
      <c r="AG179" s="1095"/>
      <c r="AH179" s="1095"/>
      <c r="AI179" s="1095"/>
      <c r="AJ179" s="1095"/>
      <c r="AK179" s="1095"/>
      <c r="AL179" s="1095"/>
      <c r="AM179" s="1095"/>
      <c r="AN179" s="1095"/>
      <c r="AO179" s="1095"/>
      <c r="AP179" s="1095"/>
      <c r="AQ179" s="1095"/>
      <c r="AR179" s="1095"/>
      <c r="AS179" s="1095"/>
      <c r="AT179" s="1095"/>
      <c r="AU179" s="1095"/>
      <c r="AV179" s="1095"/>
      <c r="AW179" s="1095"/>
      <c r="AX179" s="1095"/>
    </row>
    <row r="180" spans="1:53" s="901" customFormat="1">
      <c r="B180" s="1096" t="s">
        <v>1283</v>
      </c>
      <c r="C180" s="1097"/>
      <c r="D180" s="1097"/>
      <c r="E180" s="1097"/>
      <c r="F180" s="1097"/>
      <c r="G180" s="892"/>
      <c r="H180" s="2478" t="s">
        <v>1374</v>
      </c>
      <c r="I180" s="2477"/>
      <c r="J180" s="2477"/>
      <c r="K180" s="2477"/>
      <c r="L180" s="2477"/>
      <c r="M180" s="2477"/>
      <c r="N180" s="2477"/>
      <c r="O180" s="2477"/>
      <c r="P180" s="2477"/>
      <c r="Q180" s="2477"/>
      <c r="R180" s="2477"/>
      <c r="S180" s="2477"/>
      <c r="T180" s="2477"/>
      <c r="U180" s="2477"/>
      <c r="V180" s="2477"/>
      <c r="W180" s="2477"/>
      <c r="X180" s="2477"/>
      <c r="Y180" s="2477"/>
      <c r="Z180" s="2477"/>
      <c r="AA180" s="2494"/>
      <c r="AB180" s="2478" t="s">
        <v>1399</v>
      </c>
      <c r="AC180" s="2477"/>
      <c r="AD180" s="2477"/>
      <c r="AE180" s="2477"/>
      <c r="AF180" s="2477"/>
      <c r="AG180" s="2477"/>
      <c r="AH180" s="2477"/>
      <c r="AI180" s="2477"/>
      <c r="AJ180" s="2477"/>
      <c r="AK180" s="2477"/>
      <c r="AL180" s="2477"/>
      <c r="AM180" s="2477"/>
      <c r="AN180" s="2477"/>
      <c r="AO180" s="1071"/>
      <c r="AP180" s="549"/>
      <c r="AQ180" s="896"/>
      <c r="AR180" s="897"/>
      <c r="AS180" s="897"/>
      <c r="AT180" s="898"/>
      <c r="AU180" s="898"/>
      <c r="AV180" s="1098"/>
      <c r="AW180" s="897"/>
      <c r="AX180" s="897"/>
    </row>
    <row r="181" spans="1:53" ht="31.2">
      <c r="B181" s="1072" t="s">
        <v>1288</v>
      </c>
      <c r="C181" s="1073" t="s">
        <v>1289</v>
      </c>
      <c r="D181" s="904" t="s">
        <v>1290</v>
      </c>
      <c r="E181" s="904" t="s">
        <v>1400</v>
      </c>
      <c r="F181" s="904" t="s">
        <v>1292</v>
      </c>
      <c r="G181" s="2486" t="s">
        <v>1293</v>
      </c>
      <c r="H181" s="903" t="s">
        <v>1238</v>
      </c>
      <c r="I181" s="2443"/>
      <c r="J181" s="2443"/>
      <c r="K181" s="2443"/>
      <c r="L181" s="2443"/>
      <c r="M181" s="2443"/>
      <c r="N181" s="904" t="s">
        <v>1239</v>
      </c>
      <c r="O181" s="905">
        <v>46023</v>
      </c>
      <c r="P181" s="905">
        <v>46054</v>
      </c>
      <c r="Q181" s="905">
        <v>46082</v>
      </c>
      <c r="R181" s="905">
        <v>46113</v>
      </c>
      <c r="S181" s="905">
        <v>46143</v>
      </c>
      <c r="T181" s="905">
        <v>46174</v>
      </c>
      <c r="U181" s="905">
        <v>46204</v>
      </c>
      <c r="V181" s="905">
        <v>46235</v>
      </c>
      <c r="W181" s="905">
        <v>46266</v>
      </c>
      <c r="X181" s="905">
        <v>46296</v>
      </c>
      <c r="Y181" s="905">
        <v>46327</v>
      </c>
      <c r="Z181" s="905">
        <v>46357</v>
      </c>
      <c r="AA181" s="906" t="e">
        <v>#NAME?</v>
      </c>
      <c r="AB181" s="904" t="s">
        <v>1294</v>
      </c>
      <c r="AC181" s="905">
        <v>46023</v>
      </c>
      <c r="AD181" s="905">
        <v>46054</v>
      </c>
      <c r="AE181" s="905">
        <v>46082</v>
      </c>
      <c r="AF181" s="905">
        <v>46113</v>
      </c>
      <c r="AG181" s="905">
        <v>46143</v>
      </c>
      <c r="AH181" s="905">
        <v>46174</v>
      </c>
      <c r="AI181" s="905">
        <v>46204</v>
      </c>
      <c r="AJ181" s="905">
        <v>46235</v>
      </c>
      <c r="AK181" s="905">
        <v>46266</v>
      </c>
      <c r="AL181" s="905">
        <v>46296</v>
      </c>
      <c r="AM181" s="905">
        <v>46327</v>
      </c>
      <c r="AN181" s="905">
        <v>46357</v>
      </c>
      <c r="AO181" s="907" t="s">
        <v>1295</v>
      </c>
      <c r="AP181" s="1099" t="s">
        <v>1296</v>
      </c>
      <c r="AQ181" s="909">
        <v>47088</v>
      </c>
      <c r="AR181" s="910">
        <v>47453</v>
      </c>
      <c r="AS181" s="910">
        <v>47818</v>
      </c>
      <c r="AT181" s="911">
        <v>48183</v>
      </c>
      <c r="AU181" s="911" t="s">
        <v>1297</v>
      </c>
      <c r="AW181" s="1080"/>
      <c r="AX181" s="1080"/>
    </row>
    <row r="182" spans="1:53">
      <c r="B182" s="920"/>
      <c r="C182" s="921"/>
      <c r="D182" s="902"/>
      <c r="E182" s="902"/>
      <c r="F182" s="902"/>
      <c r="G182" s="2487"/>
      <c r="H182" s="922" t="s">
        <v>1300</v>
      </c>
      <c r="I182" s="2447"/>
      <c r="J182" s="2447"/>
      <c r="K182" s="2447"/>
      <c r="L182" s="2447"/>
      <c r="M182" s="2447"/>
      <c r="N182" s="923" t="s">
        <v>1300</v>
      </c>
      <c r="O182" s="1100" t="s">
        <v>1385</v>
      </c>
      <c r="P182" s="1100" t="s">
        <v>1385</v>
      </c>
      <c r="Q182" s="1100" t="s">
        <v>1385</v>
      </c>
      <c r="R182" s="1100" t="s">
        <v>1385</v>
      </c>
      <c r="S182" s="1100" t="s">
        <v>1385</v>
      </c>
      <c r="T182" s="1100" t="s">
        <v>1385</v>
      </c>
      <c r="U182" s="1100" t="s">
        <v>1385</v>
      </c>
      <c r="V182" s="1100" t="s">
        <v>1385</v>
      </c>
      <c r="W182" s="1084" t="s">
        <v>1401</v>
      </c>
      <c r="X182" s="1084" t="s">
        <v>1401</v>
      </c>
      <c r="Y182" s="1084" t="s">
        <v>1401</v>
      </c>
      <c r="Z182" s="1084" t="s">
        <v>1401</v>
      </c>
      <c r="AA182" s="927" t="s">
        <v>1303</v>
      </c>
      <c r="AB182" s="926" t="s">
        <v>1300</v>
      </c>
      <c r="AC182" s="1084" t="s">
        <v>1241</v>
      </c>
      <c r="AD182" s="1084" t="s">
        <v>1241</v>
      </c>
      <c r="AE182" s="1084" t="s">
        <v>1241</v>
      </c>
      <c r="AF182" s="1084" t="s">
        <v>1241</v>
      </c>
      <c r="AG182" s="1084" t="s">
        <v>1241</v>
      </c>
      <c r="AH182" s="1084" t="s">
        <v>1241</v>
      </c>
      <c r="AI182" s="1084" t="s">
        <v>1241</v>
      </c>
      <c r="AJ182" s="1084" t="s">
        <v>1241</v>
      </c>
      <c r="AK182" s="1084" t="s">
        <v>1241</v>
      </c>
      <c r="AL182" s="1084" t="s">
        <v>1241</v>
      </c>
      <c r="AM182" s="1084" t="s">
        <v>1241</v>
      </c>
      <c r="AN182" s="1084" t="s">
        <v>1241</v>
      </c>
      <c r="AO182" s="927" t="s">
        <v>1303</v>
      </c>
      <c r="AP182" s="1101" t="s">
        <v>1304</v>
      </c>
      <c r="AQ182" s="1084" t="s">
        <v>1240</v>
      </c>
      <c r="AR182" s="1084" t="s">
        <v>1240</v>
      </c>
      <c r="AS182" s="1084" t="s">
        <v>1240</v>
      </c>
      <c r="AT182" s="1084" t="s">
        <v>1240</v>
      </c>
      <c r="AU182" s="1084" t="s">
        <v>1240</v>
      </c>
      <c r="AW182" s="930" t="s">
        <v>1402</v>
      </c>
      <c r="AX182" s="1085" t="s">
        <v>1306</v>
      </c>
    </row>
    <row r="183" spans="1:53">
      <c r="A183" s="872" t="s">
        <v>1379</v>
      </c>
      <c r="B183" s="574" t="s">
        <v>622</v>
      </c>
      <c r="C183" s="751" t="s">
        <v>1409</v>
      </c>
      <c r="D183" s="991">
        <v>675000</v>
      </c>
      <c r="E183" s="942"/>
      <c r="F183" s="942"/>
      <c r="G183" s="1086">
        <v>435000</v>
      </c>
      <c r="H183" s="944">
        <v>0</v>
      </c>
      <c r="I183" s="948"/>
      <c r="J183" s="948"/>
      <c r="K183" s="948"/>
      <c r="L183" s="948"/>
      <c r="M183" s="948"/>
      <c r="N183" s="974">
        <v>0</v>
      </c>
      <c r="O183" s="1104"/>
      <c r="P183" s="1104"/>
      <c r="Q183" s="1104"/>
      <c r="R183" s="947"/>
      <c r="S183" s="947"/>
      <c r="T183" s="947"/>
      <c r="U183" s="947"/>
      <c r="V183" s="947"/>
      <c r="W183" s="947"/>
      <c r="X183" s="947"/>
      <c r="Y183" s="948"/>
      <c r="Z183" s="948"/>
      <c r="AA183" s="945">
        <v>435000</v>
      </c>
      <c r="AB183" s="945">
        <v>240000</v>
      </c>
      <c r="AC183" s="948"/>
      <c r="AD183" s="948">
        <v>240000</v>
      </c>
      <c r="AE183" s="948"/>
      <c r="AF183" s="948"/>
      <c r="AG183" s="948"/>
      <c r="AH183" s="948"/>
      <c r="AI183" s="948"/>
      <c r="AJ183" s="948"/>
      <c r="AK183" s="948"/>
      <c r="AL183" s="948"/>
      <c r="AM183" s="948"/>
      <c r="AN183" s="991"/>
      <c r="AO183" s="945">
        <v>675000</v>
      </c>
      <c r="AP183" s="959" t="s">
        <v>1308</v>
      </c>
      <c r="AQ183" s="950"/>
      <c r="AR183" s="950"/>
      <c r="AS183" s="950"/>
      <c r="AT183" s="950"/>
      <c r="AU183" s="950"/>
      <c r="AV183" s="976"/>
      <c r="AW183" s="950">
        <v>675000</v>
      </c>
      <c r="AX183" s="950">
        <v>0</v>
      </c>
      <c r="AY183" s="956"/>
      <c r="AZ183" s="956"/>
      <c r="BA183" s="956"/>
    </row>
    <row r="184" spans="1:53">
      <c r="A184" s="872" t="s">
        <v>1379</v>
      </c>
      <c r="B184" s="574" t="s">
        <v>628</v>
      </c>
      <c r="C184" s="751" t="s">
        <v>1410</v>
      </c>
      <c r="D184" s="991">
        <v>890000</v>
      </c>
      <c r="E184" s="942"/>
      <c r="F184" s="942"/>
      <c r="G184" s="1086">
        <v>240000</v>
      </c>
      <c r="H184" s="944">
        <v>300000</v>
      </c>
      <c r="I184" s="948"/>
      <c r="J184" s="948"/>
      <c r="K184" s="948"/>
      <c r="L184" s="948"/>
      <c r="M184" s="948"/>
      <c r="N184" s="974">
        <v>300000</v>
      </c>
      <c r="O184" s="1104"/>
      <c r="P184" s="1104"/>
      <c r="Q184" s="1104">
        <v>90000</v>
      </c>
      <c r="R184" s="947">
        <v>210000</v>
      </c>
      <c r="S184" s="947"/>
      <c r="T184" s="947"/>
      <c r="U184" s="947"/>
      <c r="V184" s="947"/>
      <c r="W184" s="947"/>
      <c r="X184" s="947"/>
      <c r="Y184" s="948"/>
      <c r="Z184" s="948"/>
      <c r="AA184" s="945">
        <v>540000</v>
      </c>
      <c r="AB184" s="945">
        <v>0</v>
      </c>
      <c r="AC184" s="948"/>
      <c r="AD184" s="948"/>
      <c r="AE184" s="948"/>
      <c r="AF184" s="948"/>
      <c r="AG184" s="948"/>
      <c r="AH184" s="948"/>
      <c r="AI184" s="948"/>
      <c r="AJ184" s="948"/>
      <c r="AK184" s="948"/>
      <c r="AL184" s="948"/>
      <c r="AM184" s="948"/>
      <c r="AN184" s="991"/>
      <c r="AO184" s="945">
        <v>540000</v>
      </c>
      <c r="AP184" s="949" t="s">
        <v>1308</v>
      </c>
      <c r="AQ184" s="950"/>
      <c r="AR184" s="950">
        <v>350000</v>
      </c>
      <c r="AS184" s="950"/>
      <c r="AT184" s="950"/>
      <c r="AU184" s="950"/>
      <c r="AV184" s="976"/>
      <c r="AW184" s="950">
        <v>890000</v>
      </c>
      <c r="AX184" s="950">
        <v>0</v>
      </c>
      <c r="AY184" s="956"/>
      <c r="AZ184" s="956"/>
      <c r="BA184" s="956"/>
    </row>
    <row r="185" spans="1:53">
      <c r="A185" s="872" t="s">
        <v>1379</v>
      </c>
      <c r="B185" s="574" t="s">
        <v>636</v>
      </c>
      <c r="C185" s="751" t="s">
        <v>1411</v>
      </c>
      <c r="D185" s="991">
        <v>900000</v>
      </c>
      <c r="E185" s="942"/>
      <c r="F185" s="942"/>
      <c r="G185" s="1086">
        <v>380000</v>
      </c>
      <c r="H185" s="944">
        <v>0</v>
      </c>
      <c r="I185" s="948"/>
      <c r="J185" s="948"/>
      <c r="K185" s="948"/>
      <c r="L185" s="948"/>
      <c r="M185" s="948"/>
      <c r="N185" s="974">
        <v>0</v>
      </c>
      <c r="O185" s="1104"/>
      <c r="P185" s="1104"/>
      <c r="Q185" s="1104"/>
      <c r="R185" s="947"/>
      <c r="S185" s="947"/>
      <c r="T185" s="947"/>
      <c r="U185" s="947"/>
      <c r="V185" s="947"/>
      <c r="W185" s="947"/>
      <c r="X185" s="947"/>
      <c r="Y185" s="948"/>
      <c r="Z185" s="948"/>
      <c r="AA185" s="945">
        <v>380000</v>
      </c>
      <c r="AB185" s="945">
        <v>300000</v>
      </c>
      <c r="AC185" s="948"/>
      <c r="AD185" s="948">
        <v>300000</v>
      </c>
      <c r="AE185" s="948"/>
      <c r="AF185" s="948"/>
      <c r="AG185" s="948"/>
      <c r="AH185" s="948"/>
      <c r="AI185" s="948"/>
      <c r="AJ185" s="948"/>
      <c r="AK185" s="948"/>
      <c r="AL185" s="948"/>
      <c r="AM185" s="948"/>
      <c r="AN185" s="991"/>
      <c r="AO185" s="945">
        <v>680000</v>
      </c>
      <c r="AP185" s="959" t="s">
        <v>1308</v>
      </c>
      <c r="AQ185" s="950"/>
      <c r="AR185" s="950"/>
      <c r="AS185" s="950">
        <v>220000</v>
      </c>
      <c r="AT185" s="950"/>
      <c r="AU185" s="950"/>
      <c r="AV185" s="976"/>
      <c r="AW185" s="950">
        <v>900000</v>
      </c>
      <c r="AX185" s="950">
        <v>0</v>
      </c>
      <c r="AY185" s="956"/>
      <c r="AZ185" s="956"/>
      <c r="BA185" s="956"/>
    </row>
    <row r="186" spans="1:53">
      <c r="A186" s="872" t="s">
        <v>1379</v>
      </c>
      <c r="B186" s="574" t="s">
        <v>638</v>
      </c>
      <c r="C186" s="751" t="s">
        <v>1412</v>
      </c>
      <c r="D186" s="991">
        <v>2475000</v>
      </c>
      <c r="E186" s="942"/>
      <c r="F186" s="942"/>
      <c r="G186" s="1086">
        <v>41250</v>
      </c>
      <c r="H186" s="944">
        <v>175000</v>
      </c>
      <c r="I186" s="948"/>
      <c r="J186" s="948"/>
      <c r="K186" s="948"/>
      <c r="L186" s="948"/>
      <c r="M186" s="948"/>
      <c r="N186" s="974">
        <v>192500</v>
      </c>
      <c r="O186" s="1104"/>
      <c r="P186" s="1104">
        <v>122500</v>
      </c>
      <c r="Q186" s="1104"/>
      <c r="R186" s="947"/>
      <c r="S186" s="947"/>
      <c r="T186" s="947"/>
      <c r="U186" s="947"/>
      <c r="V186" s="947"/>
      <c r="W186" s="947"/>
      <c r="X186" s="947"/>
      <c r="Y186" s="948">
        <v>70000</v>
      </c>
      <c r="Z186" s="948"/>
      <c r="AA186" s="945">
        <v>233750</v>
      </c>
      <c r="AB186" s="945">
        <v>243250</v>
      </c>
      <c r="AC186" s="948"/>
      <c r="AD186" s="948">
        <v>243250</v>
      </c>
      <c r="AE186" s="948"/>
      <c r="AF186" s="948"/>
      <c r="AG186" s="948"/>
      <c r="AH186" s="948"/>
      <c r="AI186" s="948"/>
      <c r="AJ186" s="948"/>
      <c r="AK186" s="948"/>
      <c r="AL186" s="948"/>
      <c r="AM186" s="948"/>
      <c r="AN186" s="991"/>
      <c r="AO186" s="945">
        <v>477000</v>
      </c>
      <c r="AP186" s="949" t="s">
        <v>1308</v>
      </c>
      <c r="AQ186" s="950">
        <v>243250</v>
      </c>
      <c r="AR186" s="950">
        <v>243250</v>
      </c>
      <c r="AS186" s="950">
        <v>243250</v>
      </c>
      <c r="AT186" s="950">
        <v>243250</v>
      </c>
      <c r="AU186" s="950">
        <v>1025000</v>
      </c>
      <c r="AV186" s="976"/>
      <c r="AW186" s="950">
        <v>2475000</v>
      </c>
      <c r="AX186" s="950">
        <v>0</v>
      </c>
      <c r="AY186" s="956"/>
      <c r="AZ186" s="956"/>
      <c r="BA186" s="956"/>
    </row>
    <row r="187" spans="1:53">
      <c r="A187" s="872" t="s">
        <v>1379</v>
      </c>
      <c r="B187" s="630" t="s">
        <v>641</v>
      </c>
      <c r="C187" s="630" t="s">
        <v>1413</v>
      </c>
      <c r="D187" s="991">
        <v>1176000</v>
      </c>
      <c r="E187" s="942"/>
      <c r="F187" s="942"/>
      <c r="G187" s="1086">
        <v>0</v>
      </c>
      <c r="H187" s="944">
        <v>117600</v>
      </c>
      <c r="I187" s="948"/>
      <c r="J187" s="948"/>
      <c r="K187" s="948"/>
      <c r="L187" s="948"/>
      <c r="M187" s="948"/>
      <c r="N187" s="974">
        <v>117600</v>
      </c>
      <c r="O187" s="1104"/>
      <c r="P187" s="1104"/>
      <c r="Q187" s="1104"/>
      <c r="R187" s="947"/>
      <c r="S187" s="947"/>
      <c r="T187" s="947"/>
      <c r="U187" s="947"/>
      <c r="V187" s="947"/>
      <c r="W187" s="947"/>
      <c r="X187" s="947"/>
      <c r="Y187" s="948"/>
      <c r="Z187" s="948">
        <v>117600</v>
      </c>
      <c r="AA187" s="945">
        <v>117600</v>
      </c>
      <c r="AB187" s="945">
        <v>117600</v>
      </c>
      <c r="AC187" s="948"/>
      <c r="AD187" s="948"/>
      <c r="AE187" s="948"/>
      <c r="AF187" s="948"/>
      <c r="AG187" s="948"/>
      <c r="AH187" s="948"/>
      <c r="AI187" s="948"/>
      <c r="AJ187" s="948"/>
      <c r="AK187" s="948"/>
      <c r="AL187" s="948"/>
      <c r="AM187" s="948"/>
      <c r="AN187" s="991">
        <v>117600</v>
      </c>
      <c r="AO187" s="945">
        <v>235200</v>
      </c>
      <c r="AP187" s="959" t="s">
        <v>1308</v>
      </c>
      <c r="AQ187" s="950">
        <v>117600</v>
      </c>
      <c r="AR187" s="950">
        <v>117600</v>
      </c>
      <c r="AS187" s="950">
        <v>117600</v>
      </c>
      <c r="AT187" s="950">
        <v>117600</v>
      </c>
      <c r="AU187" s="950">
        <v>470400</v>
      </c>
      <c r="AV187" s="976"/>
      <c r="AW187" s="950">
        <v>1176000</v>
      </c>
      <c r="AX187" s="950">
        <v>0</v>
      </c>
      <c r="AY187" s="956"/>
      <c r="AZ187" s="956"/>
      <c r="BA187" s="956"/>
    </row>
    <row r="188" spans="1:53">
      <c r="A188" s="872" t="s">
        <v>1379</v>
      </c>
      <c r="B188" s="599" t="s">
        <v>644</v>
      </c>
      <c r="C188" s="599" t="s">
        <v>1248</v>
      </c>
      <c r="D188" s="991">
        <v>504000</v>
      </c>
      <c r="E188" s="942"/>
      <c r="F188" s="942"/>
      <c r="G188" s="1086"/>
      <c r="H188" s="944">
        <v>50400</v>
      </c>
      <c r="I188" s="948"/>
      <c r="J188" s="948"/>
      <c r="K188" s="948"/>
      <c r="L188" s="948"/>
      <c r="M188" s="948"/>
      <c r="N188" s="974">
        <v>504000</v>
      </c>
      <c r="O188" s="1104"/>
      <c r="P188" s="1104"/>
      <c r="Q188" s="1104"/>
      <c r="R188" s="948"/>
      <c r="S188" s="948"/>
      <c r="T188" s="948"/>
      <c r="U188" s="947"/>
      <c r="V188" s="947"/>
      <c r="W188" s="947"/>
      <c r="X188" s="948"/>
      <c r="Y188" s="948"/>
      <c r="Z188" s="948">
        <v>504000</v>
      </c>
      <c r="AA188" s="945">
        <v>504000</v>
      </c>
      <c r="AB188" s="945">
        <v>0</v>
      </c>
      <c r="AC188" s="948"/>
      <c r="AD188" s="948"/>
      <c r="AE188" s="948"/>
      <c r="AF188" s="948"/>
      <c r="AG188" s="948"/>
      <c r="AH188" s="948"/>
      <c r="AI188" s="948"/>
      <c r="AJ188" s="948"/>
      <c r="AK188" s="948"/>
      <c r="AL188" s="948"/>
      <c r="AM188" s="948"/>
      <c r="AN188" s="991">
        <v>0</v>
      </c>
      <c r="AO188" s="945">
        <v>504000</v>
      </c>
      <c r="AP188" s="968" t="s">
        <v>1314</v>
      </c>
      <c r="AQ188" s="950"/>
      <c r="AR188" s="950"/>
      <c r="AS188" s="950"/>
      <c r="AT188" s="950"/>
      <c r="AU188" s="950"/>
      <c r="AV188" s="976"/>
      <c r="AW188" s="950">
        <v>504000</v>
      </c>
      <c r="AX188" s="950">
        <v>0</v>
      </c>
      <c r="AY188" s="956"/>
      <c r="AZ188" s="956"/>
      <c r="BA188" s="956"/>
    </row>
    <row r="189" spans="1:53">
      <c r="A189" s="872" t="s">
        <v>1379</v>
      </c>
      <c r="B189" s="630"/>
      <c r="C189" s="630"/>
      <c r="D189" s="991">
        <v>0</v>
      </c>
      <c r="E189" s="942"/>
      <c r="F189" s="942"/>
      <c r="G189" s="1086"/>
      <c r="H189" s="944"/>
      <c r="I189" s="948"/>
      <c r="J189" s="948"/>
      <c r="K189" s="948"/>
      <c r="L189" s="948"/>
      <c r="M189" s="948"/>
      <c r="N189" s="974">
        <v>0</v>
      </c>
      <c r="O189" s="1104"/>
      <c r="P189" s="1104"/>
      <c r="Q189" s="1104"/>
      <c r="R189" s="948"/>
      <c r="S189" s="948"/>
      <c r="T189" s="948"/>
      <c r="U189" s="947"/>
      <c r="V189" s="947"/>
      <c r="W189" s="947"/>
      <c r="X189" s="948"/>
      <c r="Y189" s="948"/>
      <c r="Z189" s="948"/>
      <c r="AA189" s="945">
        <v>0</v>
      </c>
      <c r="AB189" s="945">
        <v>0</v>
      </c>
      <c r="AC189" s="948"/>
      <c r="AD189" s="948"/>
      <c r="AE189" s="948"/>
      <c r="AF189" s="948"/>
      <c r="AG189" s="948"/>
      <c r="AH189" s="948"/>
      <c r="AI189" s="948"/>
      <c r="AJ189" s="948"/>
      <c r="AK189" s="948"/>
      <c r="AL189" s="948"/>
      <c r="AM189" s="948"/>
      <c r="AN189" s="991"/>
      <c r="AO189" s="945">
        <v>0</v>
      </c>
      <c r="AP189" s="959" t="s">
        <v>1308</v>
      </c>
      <c r="AQ189" s="950"/>
      <c r="AR189" s="950"/>
      <c r="AS189" s="950"/>
      <c r="AT189" s="950"/>
      <c r="AU189" s="950"/>
      <c r="AV189" s="976"/>
      <c r="AW189" s="950">
        <v>0</v>
      </c>
      <c r="AX189" s="950">
        <v>0</v>
      </c>
      <c r="AY189" s="956"/>
      <c r="AZ189" s="956"/>
      <c r="BA189" s="956"/>
    </row>
    <row r="190" spans="1:53">
      <c r="B190" s="1108"/>
      <c r="C190" s="1108" t="s">
        <v>1252</v>
      </c>
      <c r="D190" s="1110">
        <v>6620000</v>
      </c>
      <c r="E190" s="1110">
        <v>0</v>
      </c>
      <c r="F190" s="1110">
        <v>0</v>
      </c>
      <c r="G190" s="1110">
        <v>1096250</v>
      </c>
      <c r="H190" s="1110">
        <v>643000</v>
      </c>
      <c r="I190" s="948"/>
      <c r="J190" s="948"/>
      <c r="K190" s="948"/>
      <c r="L190" s="948"/>
      <c r="M190" s="948"/>
      <c r="N190" s="1111">
        <v>1114100</v>
      </c>
      <c r="O190" s="1110">
        <v>0</v>
      </c>
      <c r="P190" s="1110">
        <v>122500</v>
      </c>
      <c r="Q190" s="1110">
        <v>90000</v>
      </c>
      <c r="R190" s="1110">
        <v>210000</v>
      </c>
      <c r="S190" s="1110">
        <v>0</v>
      </c>
      <c r="T190" s="1110">
        <v>0</v>
      </c>
      <c r="U190" s="1110">
        <v>0</v>
      </c>
      <c r="V190" s="1110">
        <v>0</v>
      </c>
      <c r="W190" s="1110">
        <v>0</v>
      </c>
      <c r="X190" s="1110">
        <v>0</v>
      </c>
      <c r="Y190" s="1110">
        <v>70000</v>
      </c>
      <c r="Z190" s="1110">
        <v>621600</v>
      </c>
      <c r="AA190" s="1110">
        <v>2210350</v>
      </c>
      <c r="AB190" s="1110">
        <v>900850</v>
      </c>
      <c r="AC190" s="1110">
        <v>0</v>
      </c>
      <c r="AD190" s="1110">
        <v>783250</v>
      </c>
      <c r="AE190" s="1110">
        <v>0</v>
      </c>
      <c r="AF190" s="1110">
        <v>0</v>
      </c>
      <c r="AG190" s="1110">
        <v>0</v>
      </c>
      <c r="AH190" s="1110">
        <v>0</v>
      </c>
      <c r="AI190" s="1110">
        <v>0</v>
      </c>
      <c r="AJ190" s="1110">
        <v>0</v>
      </c>
      <c r="AK190" s="1110">
        <v>0</v>
      </c>
      <c r="AL190" s="1110">
        <v>0</v>
      </c>
      <c r="AM190" s="1110">
        <v>0</v>
      </c>
      <c r="AN190" s="1110">
        <v>117600</v>
      </c>
      <c r="AO190" s="1110">
        <v>3111200</v>
      </c>
      <c r="AP190" s="1110">
        <v>0</v>
      </c>
      <c r="AQ190" s="1110">
        <v>360850</v>
      </c>
      <c r="AR190" s="1110">
        <v>710850</v>
      </c>
      <c r="AS190" s="1110">
        <v>580850</v>
      </c>
      <c r="AT190" s="1110">
        <v>360850</v>
      </c>
      <c r="AU190" s="1110">
        <v>1495400</v>
      </c>
      <c r="AV190" s="976"/>
      <c r="AW190" s="1110">
        <v>6620000</v>
      </c>
      <c r="AX190" s="1110">
        <v>0</v>
      </c>
    </row>
    <row r="191" spans="1:53">
      <c r="B191" s="537"/>
      <c r="C191" s="537"/>
      <c r="D191" s="537"/>
      <c r="E191" s="663"/>
      <c r="F191" s="663"/>
      <c r="G191" s="1058"/>
      <c r="P191" s="956"/>
      <c r="Q191" s="956"/>
      <c r="R191" s="956"/>
      <c r="S191" s="956"/>
      <c r="T191" s="956"/>
      <c r="U191" s="956"/>
      <c r="V191" s="956"/>
      <c r="W191" s="956"/>
      <c r="X191" s="956"/>
      <c r="Y191" s="956"/>
      <c r="Z191" s="956"/>
      <c r="AA191" s="1029"/>
      <c r="AB191" s="1029"/>
      <c r="AC191" s="1029"/>
      <c r="AD191" s="1029"/>
      <c r="AE191" s="1029"/>
      <c r="AF191" s="1029"/>
      <c r="AG191" s="1029"/>
      <c r="AH191" s="1029"/>
      <c r="AI191" s="1029"/>
      <c r="AJ191" s="1029"/>
      <c r="AK191" s="1029"/>
      <c r="AL191" s="1029"/>
      <c r="AM191" s="1029"/>
      <c r="AN191" s="1029"/>
      <c r="AO191" s="1029"/>
      <c r="AP191" s="1029"/>
      <c r="AQ191" s="1029"/>
      <c r="AR191" s="1029"/>
      <c r="AS191" s="1029"/>
      <c r="AT191" s="1029"/>
      <c r="AU191" s="1029"/>
      <c r="AV191" s="1029"/>
      <c r="AW191" s="1029"/>
      <c r="AX191" s="1029"/>
    </row>
    <row r="192" spans="1:53">
      <c r="B192" s="537"/>
      <c r="C192" s="537"/>
      <c r="D192" s="537"/>
      <c r="E192" s="663"/>
      <c r="F192" s="663"/>
      <c r="G192" s="1058"/>
      <c r="P192" s="956"/>
      <c r="Q192" s="956"/>
      <c r="R192" s="956"/>
      <c r="S192" s="956"/>
      <c r="T192" s="956"/>
      <c r="U192" s="956"/>
      <c r="V192" s="956"/>
      <c r="W192" s="956"/>
      <c r="X192" s="956"/>
      <c r="Y192" s="956"/>
      <c r="Z192" s="956"/>
      <c r="AA192" s="1029"/>
      <c r="AB192" s="1029"/>
      <c r="AC192" s="1029"/>
      <c r="AD192" s="1029"/>
      <c r="AE192" s="1029"/>
      <c r="AF192" s="1029"/>
      <c r="AG192" s="1029"/>
      <c r="AH192" s="1029"/>
      <c r="AI192" s="1029"/>
      <c r="AJ192" s="1029"/>
      <c r="AK192" s="1029"/>
      <c r="AL192" s="1029"/>
      <c r="AM192" s="1029"/>
      <c r="AN192" s="1029"/>
      <c r="AO192" s="1029"/>
      <c r="AP192" s="1029"/>
      <c r="AQ192" s="1029"/>
      <c r="AR192" s="1029"/>
      <c r="AS192" s="1029"/>
      <c r="AT192" s="1029"/>
      <c r="AU192" s="1029"/>
      <c r="AV192" s="1029"/>
      <c r="AW192" s="1029"/>
      <c r="AX192" s="1029"/>
    </row>
    <row r="193" spans="1:53">
      <c r="B193" s="537"/>
      <c r="C193" s="537"/>
      <c r="D193" s="537"/>
      <c r="E193" s="663"/>
      <c r="F193" s="663"/>
      <c r="G193" s="1058"/>
      <c r="P193" s="956"/>
      <c r="Q193" s="956"/>
      <c r="R193" s="956"/>
      <c r="S193" s="956"/>
      <c r="T193" s="956"/>
      <c r="U193" s="956"/>
      <c r="V193" s="956"/>
      <c r="W193" s="956"/>
      <c r="X193" s="956"/>
      <c r="Y193" s="956"/>
      <c r="Z193" s="956"/>
      <c r="AA193" s="1029"/>
      <c r="AB193" s="1029"/>
      <c r="AC193" s="1029"/>
      <c r="AD193" s="1029"/>
      <c r="AE193" s="1029"/>
      <c r="AF193" s="1029"/>
      <c r="AG193" s="1029"/>
      <c r="AH193" s="1029"/>
      <c r="AI193" s="1029"/>
      <c r="AJ193" s="1029"/>
      <c r="AK193" s="1029"/>
      <c r="AL193" s="1029"/>
      <c r="AM193" s="1029"/>
      <c r="AN193" s="1029"/>
      <c r="AO193" s="1029"/>
      <c r="AP193" s="1029"/>
      <c r="AQ193" s="1029"/>
      <c r="AR193" s="1029"/>
      <c r="AS193" s="1029"/>
      <c r="AT193" s="1029"/>
      <c r="AU193" s="1029"/>
      <c r="AV193" s="1029"/>
      <c r="AW193" s="1029"/>
      <c r="AX193" s="1029"/>
    </row>
    <row r="194" spans="1:53" s="912" customFormat="1">
      <c r="A194" s="1092" t="s">
        <v>1390</v>
      </c>
      <c r="B194" s="1093" t="s">
        <v>1414</v>
      </c>
      <c r="D194" s="534"/>
      <c r="E194" s="901"/>
      <c r="F194" s="901"/>
      <c r="G194" s="1058"/>
      <c r="P194" s="1094"/>
      <c r="Q194" s="1094"/>
      <c r="R194" s="1094"/>
      <c r="S194" s="1094"/>
      <c r="T194" s="1094"/>
      <c r="U194" s="1094"/>
      <c r="V194" s="1094"/>
      <c r="W194" s="1094"/>
      <c r="X194" s="1094"/>
      <c r="Y194" s="1094"/>
      <c r="Z194" s="1094"/>
      <c r="AA194" s="1095"/>
      <c r="AB194" s="1095"/>
      <c r="AC194" s="1095"/>
      <c r="AD194" s="1095"/>
      <c r="AE194" s="1095"/>
      <c r="AF194" s="1095"/>
      <c r="AG194" s="1095"/>
      <c r="AH194" s="1095"/>
      <c r="AI194" s="1095"/>
      <c r="AJ194" s="1095"/>
      <c r="AK194" s="1095"/>
      <c r="AL194" s="1095"/>
      <c r="AM194" s="1095"/>
      <c r="AN194" s="1095"/>
      <c r="AO194" s="1095"/>
      <c r="AP194" s="1095"/>
      <c r="AQ194" s="1095"/>
      <c r="AR194" s="1095"/>
      <c r="AS194" s="1095"/>
      <c r="AT194" s="1095"/>
      <c r="AU194" s="1095"/>
      <c r="AV194" s="1095"/>
      <c r="AW194" s="1095"/>
      <c r="AX194" s="1095"/>
    </row>
    <row r="195" spans="1:53" s="901" customFormat="1">
      <c r="B195" s="1096" t="s">
        <v>1283</v>
      </c>
      <c r="C195" s="1097"/>
      <c r="D195" s="1097"/>
      <c r="E195" s="1097"/>
      <c r="F195" s="1097"/>
      <c r="G195" s="892"/>
      <c r="H195" s="2478" t="s">
        <v>1374</v>
      </c>
      <c r="I195" s="2477"/>
      <c r="J195" s="2477"/>
      <c r="K195" s="2477"/>
      <c r="L195" s="2477"/>
      <c r="M195" s="2477"/>
      <c r="N195" s="2477"/>
      <c r="O195" s="2477"/>
      <c r="P195" s="2477"/>
      <c r="Q195" s="2477"/>
      <c r="R195" s="2477"/>
      <c r="S195" s="2477"/>
      <c r="T195" s="2477"/>
      <c r="U195" s="2477"/>
      <c r="V195" s="2477"/>
      <c r="W195" s="2477"/>
      <c r="X195" s="2477"/>
      <c r="Y195" s="2477"/>
      <c r="Z195" s="2477"/>
      <c r="AA195" s="2494"/>
      <c r="AB195" s="2478" t="s">
        <v>1399</v>
      </c>
      <c r="AC195" s="2477"/>
      <c r="AD195" s="2477"/>
      <c r="AE195" s="2477"/>
      <c r="AF195" s="2477"/>
      <c r="AG195" s="2477"/>
      <c r="AH195" s="2477"/>
      <c r="AI195" s="2477"/>
      <c r="AJ195" s="2477"/>
      <c r="AK195" s="2477"/>
      <c r="AL195" s="2477"/>
      <c r="AM195" s="2477"/>
      <c r="AN195" s="2477"/>
      <c r="AO195" s="1071"/>
      <c r="AP195" s="549"/>
      <c r="AQ195" s="896"/>
      <c r="AR195" s="897"/>
      <c r="AS195" s="897"/>
      <c r="AT195" s="897"/>
      <c r="AU195" s="898"/>
      <c r="AV195" s="1098"/>
      <c r="AW195" s="897"/>
      <c r="AX195" s="897"/>
    </row>
    <row r="196" spans="1:53" ht="31.2">
      <c r="B196" s="1072" t="s">
        <v>1288</v>
      </c>
      <c r="C196" s="1073" t="s">
        <v>1289</v>
      </c>
      <c r="D196" s="904" t="s">
        <v>1290</v>
      </c>
      <c r="E196" s="904" t="s">
        <v>1400</v>
      </c>
      <c r="F196" s="904" t="s">
        <v>1292</v>
      </c>
      <c r="G196" s="2486" t="s">
        <v>1293</v>
      </c>
      <c r="H196" s="903" t="s">
        <v>1238</v>
      </c>
      <c r="I196" s="2443"/>
      <c r="J196" s="2443"/>
      <c r="K196" s="2443"/>
      <c r="L196" s="2443"/>
      <c r="M196" s="2443"/>
      <c r="N196" s="904" t="s">
        <v>1239</v>
      </c>
      <c r="O196" s="905">
        <v>46023</v>
      </c>
      <c r="P196" s="905">
        <v>46054</v>
      </c>
      <c r="Q196" s="905">
        <v>46082</v>
      </c>
      <c r="R196" s="905">
        <v>46113</v>
      </c>
      <c r="S196" s="905">
        <v>46143</v>
      </c>
      <c r="T196" s="905">
        <v>46174</v>
      </c>
      <c r="U196" s="905">
        <v>46204</v>
      </c>
      <c r="V196" s="905">
        <v>46235</v>
      </c>
      <c r="W196" s="905">
        <v>46266</v>
      </c>
      <c r="X196" s="905">
        <v>46296</v>
      </c>
      <c r="Y196" s="905">
        <v>46327</v>
      </c>
      <c r="Z196" s="905">
        <v>46357</v>
      </c>
      <c r="AA196" s="906" t="e">
        <v>#NAME?</v>
      </c>
      <c r="AB196" s="904" t="s">
        <v>1294</v>
      </c>
      <c r="AC196" s="905">
        <v>46023</v>
      </c>
      <c r="AD196" s="905">
        <v>46054</v>
      </c>
      <c r="AE196" s="905">
        <v>46082</v>
      </c>
      <c r="AF196" s="905">
        <v>46113</v>
      </c>
      <c r="AG196" s="905">
        <v>46143</v>
      </c>
      <c r="AH196" s="905">
        <v>46174</v>
      </c>
      <c r="AI196" s="905">
        <v>46204</v>
      </c>
      <c r="AJ196" s="905">
        <v>46235</v>
      </c>
      <c r="AK196" s="905">
        <v>46266</v>
      </c>
      <c r="AL196" s="905">
        <v>46296</v>
      </c>
      <c r="AM196" s="905">
        <v>46327</v>
      </c>
      <c r="AN196" s="905">
        <v>46357</v>
      </c>
      <c r="AO196" s="907" t="s">
        <v>1295</v>
      </c>
      <c r="AP196" s="1099" t="s">
        <v>1296</v>
      </c>
      <c r="AQ196" s="909">
        <v>47088</v>
      </c>
      <c r="AR196" s="910">
        <v>47453</v>
      </c>
      <c r="AS196" s="910">
        <v>47818</v>
      </c>
      <c r="AT196" s="911">
        <v>48183</v>
      </c>
      <c r="AU196" s="911" t="s">
        <v>1297</v>
      </c>
      <c r="AW196" s="1080"/>
      <c r="AX196" s="1080"/>
    </row>
    <row r="197" spans="1:53">
      <c r="B197" s="920"/>
      <c r="C197" s="921"/>
      <c r="D197" s="902"/>
      <c r="E197" s="902"/>
      <c r="F197" s="902"/>
      <c r="G197" s="2487"/>
      <c r="H197" s="922" t="s">
        <v>1300</v>
      </c>
      <c r="I197" s="2447"/>
      <c r="J197" s="2447"/>
      <c r="K197" s="2447"/>
      <c r="L197" s="2447"/>
      <c r="M197" s="2447"/>
      <c r="N197" s="923" t="s">
        <v>1300</v>
      </c>
      <c r="O197" s="1100" t="s">
        <v>1385</v>
      </c>
      <c r="P197" s="1100" t="s">
        <v>1385</v>
      </c>
      <c r="Q197" s="1100" t="s">
        <v>1385</v>
      </c>
      <c r="R197" s="1100" t="s">
        <v>1385</v>
      </c>
      <c r="S197" s="1100" t="s">
        <v>1385</v>
      </c>
      <c r="T197" s="1100" t="s">
        <v>1385</v>
      </c>
      <c r="U197" s="1100" t="s">
        <v>1385</v>
      </c>
      <c r="V197" s="1100" t="s">
        <v>1385</v>
      </c>
      <c r="W197" s="1084" t="s">
        <v>1401</v>
      </c>
      <c r="X197" s="1084" t="s">
        <v>1401</v>
      </c>
      <c r="Y197" s="1084" t="s">
        <v>1401</v>
      </c>
      <c r="Z197" s="1084" t="s">
        <v>1401</v>
      </c>
      <c r="AA197" s="927" t="s">
        <v>1303</v>
      </c>
      <c r="AB197" s="926" t="s">
        <v>1300</v>
      </c>
      <c r="AC197" s="1084" t="s">
        <v>1241</v>
      </c>
      <c r="AD197" s="1084" t="s">
        <v>1241</v>
      </c>
      <c r="AE197" s="1084" t="s">
        <v>1241</v>
      </c>
      <c r="AF197" s="1084" t="s">
        <v>1241</v>
      </c>
      <c r="AG197" s="1084" t="s">
        <v>1241</v>
      </c>
      <c r="AH197" s="1084" t="s">
        <v>1241</v>
      </c>
      <c r="AI197" s="1084" t="s">
        <v>1241</v>
      </c>
      <c r="AJ197" s="1084" t="s">
        <v>1241</v>
      </c>
      <c r="AK197" s="1084" t="s">
        <v>1241</v>
      </c>
      <c r="AL197" s="1084" t="s">
        <v>1241</v>
      </c>
      <c r="AM197" s="1084" t="s">
        <v>1241</v>
      </c>
      <c r="AN197" s="1084" t="s">
        <v>1241</v>
      </c>
      <c r="AO197" s="927" t="s">
        <v>1303</v>
      </c>
      <c r="AP197" s="1101" t="s">
        <v>1304</v>
      </c>
      <c r="AQ197" s="1084" t="s">
        <v>1240</v>
      </c>
      <c r="AR197" s="1084" t="s">
        <v>1240</v>
      </c>
      <c r="AS197" s="1084" t="s">
        <v>1240</v>
      </c>
      <c r="AT197" s="1084" t="s">
        <v>1240</v>
      </c>
      <c r="AU197" s="1084" t="s">
        <v>1240</v>
      </c>
      <c r="AW197" s="930" t="s">
        <v>1402</v>
      </c>
      <c r="AX197" s="1085" t="s">
        <v>1306</v>
      </c>
    </row>
    <row r="198" spans="1:53">
      <c r="A198" s="872" t="s">
        <v>1390</v>
      </c>
      <c r="B198" s="574" t="s">
        <v>622</v>
      </c>
      <c r="C198" s="751" t="s">
        <v>1415</v>
      </c>
      <c r="D198" s="991"/>
      <c r="E198" s="942"/>
      <c r="F198" s="942"/>
      <c r="G198" s="1086"/>
      <c r="H198" s="1118">
        <v>0</v>
      </c>
      <c r="I198" s="991"/>
      <c r="J198" s="991"/>
      <c r="K198" s="991"/>
      <c r="L198" s="991"/>
      <c r="M198" s="991"/>
      <c r="N198" s="960">
        <v>0</v>
      </c>
      <c r="O198" s="948"/>
      <c r="P198" s="947"/>
      <c r="Q198" s="948"/>
      <c r="R198" s="948"/>
      <c r="S198" s="948"/>
      <c r="T198" s="947"/>
      <c r="U198" s="947"/>
      <c r="V198" s="947"/>
      <c r="W198" s="947"/>
      <c r="X198" s="947"/>
      <c r="Y198" s="948"/>
      <c r="Z198" s="948"/>
      <c r="AA198" s="950">
        <v>0</v>
      </c>
      <c r="AB198" s="950">
        <v>0</v>
      </c>
      <c r="AC198" s="991"/>
      <c r="AD198" s="991"/>
      <c r="AE198" s="991"/>
      <c r="AF198" s="991"/>
      <c r="AG198" s="991"/>
      <c r="AH198" s="991"/>
      <c r="AI198" s="991"/>
      <c r="AJ198" s="991"/>
      <c r="AK198" s="991"/>
      <c r="AL198" s="991"/>
      <c r="AM198" s="991"/>
      <c r="AN198" s="991"/>
      <c r="AO198" s="950">
        <v>0</v>
      </c>
      <c r="AP198" s="949" t="s">
        <v>1308</v>
      </c>
      <c r="AQ198" s="950"/>
      <c r="AR198" s="950"/>
      <c r="AS198" s="950"/>
      <c r="AT198" s="950"/>
      <c r="AU198" s="950"/>
      <c r="AV198" s="1119"/>
      <c r="AW198" s="950">
        <v>0</v>
      </c>
      <c r="AX198" s="950">
        <v>0</v>
      </c>
      <c r="AY198" s="956"/>
      <c r="AZ198" s="956"/>
      <c r="BA198" s="956"/>
    </row>
    <row r="199" spans="1:53">
      <c r="A199" s="872" t="s">
        <v>1390</v>
      </c>
      <c r="B199" s="574" t="s">
        <v>624</v>
      </c>
      <c r="C199" s="751" t="s">
        <v>1416</v>
      </c>
      <c r="D199" s="941">
        <v>2300550</v>
      </c>
      <c r="E199" s="942"/>
      <c r="F199" s="942"/>
      <c r="G199" s="1086">
        <v>1239518</v>
      </c>
      <c r="H199" s="1118">
        <v>0</v>
      </c>
      <c r="I199" s="991"/>
      <c r="J199" s="991"/>
      <c r="K199" s="991"/>
      <c r="L199" s="991"/>
      <c r="M199" s="991"/>
      <c r="N199" s="960">
        <v>0</v>
      </c>
      <c r="O199" s="948"/>
      <c r="P199" s="947"/>
      <c r="Q199" s="948"/>
      <c r="R199" s="948"/>
      <c r="S199" s="948"/>
      <c r="T199" s="947"/>
      <c r="U199" s="947"/>
      <c r="V199" s="947"/>
      <c r="W199" s="947"/>
      <c r="X199" s="947"/>
      <c r="Y199" s="948"/>
      <c r="Z199" s="948"/>
      <c r="AA199" s="950">
        <v>1239518</v>
      </c>
      <c r="AB199" s="950">
        <v>1061032</v>
      </c>
      <c r="AC199" s="991"/>
      <c r="AD199" s="991">
        <v>1061032</v>
      </c>
      <c r="AE199" s="991"/>
      <c r="AF199" s="991"/>
      <c r="AG199" s="991"/>
      <c r="AH199" s="991"/>
      <c r="AI199" s="991"/>
      <c r="AJ199" s="991"/>
      <c r="AK199" s="991"/>
      <c r="AL199" s="991"/>
      <c r="AM199" s="991"/>
      <c r="AN199" s="991"/>
      <c r="AO199" s="950">
        <v>2300550</v>
      </c>
      <c r="AP199" s="949" t="s">
        <v>1308</v>
      </c>
      <c r="AQ199" s="950"/>
      <c r="AR199" s="950"/>
      <c r="AS199" s="950"/>
      <c r="AT199" s="950"/>
      <c r="AU199" s="950"/>
      <c r="AV199" s="1119"/>
      <c r="AW199" s="950">
        <v>2300550</v>
      </c>
      <c r="AX199" s="950">
        <v>0</v>
      </c>
      <c r="AY199" s="956"/>
      <c r="AZ199" s="956"/>
      <c r="BA199" s="956"/>
    </row>
    <row r="200" spans="1:53">
      <c r="A200" s="872" t="s">
        <v>1390</v>
      </c>
      <c r="B200" s="574" t="s">
        <v>628</v>
      </c>
      <c r="C200" s="751" t="s">
        <v>1417</v>
      </c>
      <c r="D200" s="991"/>
      <c r="E200" s="942"/>
      <c r="F200" s="942"/>
      <c r="G200" s="1086"/>
      <c r="H200" s="1118">
        <v>0</v>
      </c>
      <c r="I200" s="991"/>
      <c r="J200" s="991"/>
      <c r="K200" s="991"/>
      <c r="L200" s="991"/>
      <c r="M200" s="991"/>
      <c r="N200" s="960">
        <v>0</v>
      </c>
      <c r="O200" s="948"/>
      <c r="P200" s="947"/>
      <c r="Q200" s="948"/>
      <c r="R200" s="948"/>
      <c r="S200" s="948"/>
      <c r="T200" s="947"/>
      <c r="U200" s="947"/>
      <c r="V200" s="947"/>
      <c r="W200" s="947"/>
      <c r="X200" s="947"/>
      <c r="Y200" s="948"/>
      <c r="Z200" s="948"/>
      <c r="AA200" s="950">
        <v>0</v>
      </c>
      <c r="AB200" s="950">
        <v>0</v>
      </c>
      <c r="AC200" s="991"/>
      <c r="AD200" s="991"/>
      <c r="AE200" s="991"/>
      <c r="AF200" s="991"/>
      <c r="AG200" s="991"/>
      <c r="AH200" s="991"/>
      <c r="AI200" s="991"/>
      <c r="AJ200" s="991"/>
      <c r="AK200" s="991"/>
      <c r="AL200" s="991"/>
      <c r="AM200" s="991"/>
      <c r="AN200" s="991"/>
      <c r="AO200" s="950">
        <v>0</v>
      </c>
      <c r="AP200" s="949" t="s">
        <v>1308</v>
      </c>
      <c r="AQ200" s="950"/>
      <c r="AR200" s="950"/>
      <c r="AS200" s="950"/>
      <c r="AT200" s="950"/>
      <c r="AU200" s="950"/>
      <c r="AV200" s="1119"/>
      <c r="AW200" s="950">
        <v>0</v>
      </c>
      <c r="AX200" s="950">
        <v>0</v>
      </c>
      <c r="AY200" s="956"/>
      <c r="AZ200" s="956"/>
      <c r="BA200" s="956"/>
    </row>
    <row r="201" spans="1:53">
      <c r="A201" s="872" t="s">
        <v>1390</v>
      </c>
      <c r="B201" s="574" t="s">
        <v>636</v>
      </c>
      <c r="C201" s="751" t="s">
        <v>1418</v>
      </c>
      <c r="D201" s="991"/>
      <c r="E201" s="942"/>
      <c r="F201" s="942"/>
      <c r="G201" s="1086"/>
      <c r="H201" s="1118">
        <v>0</v>
      </c>
      <c r="I201" s="991"/>
      <c r="J201" s="991"/>
      <c r="K201" s="991"/>
      <c r="L201" s="991"/>
      <c r="M201" s="991"/>
      <c r="N201" s="960">
        <v>0</v>
      </c>
      <c r="O201" s="948"/>
      <c r="P201" s="947"/>
      <c r="Q201" s="948"/>
      <c r="R201" s="948"/>
      <c r="S201" s="948"/>
      <c r="T201" s="947"/>
      <c r="U201" s="947"/>
      <c r="V201" s="947"/>
      <c r="W201" s="947"/>
      <c r="X201" s="947"/>
      <c r="Y201" s="948"/>
      <c r="Z201" s="948"/>
      <c r="AA201" s="950">
        <v>0</v>
      </c>
      <c r="AB201" s="950">
        <v>0</v>
      </c>
      <c r="AC201" s="991"/>
      <c r="AD201" s="991"/>
      <c r="AE201" s="991"/>
      <c r="AF201" s="991"/>
      <c r="AG201" s="991"/>
      <c r="AH201" s="991"/>
      <c r="AI201" s="991"/>
      <c r="AJ201" s="991"/>
      <c r="AK201" s="991"/>
      <c r="AL201" s="991"/>
      <c r="AM201" s="991"/>
      <c r="AN201" s="991"/>
      <c r="AO201" s="950">
        <v>0</v>
      </c>
      <c r="AP201" s="949" t="s">
        <v>1308</v>
      </c>
      <c r="AQ201" s="950"/>
      <c r="AR201" s="950"/>
      <c r="AS201" s="950"/>
      <c r="AT201" s="950"/>
      <c r="AU201" s="950"/>
      <c r="AV201" s="1119"/>
      <c r="AW201" s="950">
        <v>0</v>
      </c>
      <c r="AX201" s="950">
        <v>0</v>
      </c>
      <c r="AY201" s="956"/>
      <c r="AZ201" s="956"/>
      <c r="BA201" s="956"/>
    </row>
    <row r="202" spans="1:53">
      <c r="A202" s="872" t="s">
        <v>1390</v>
      </c>
      <c r="B202" s="574" t="s">
        <v>1065</v>
      </c>
      <c r="C202" s="751" t="s">
        <v>1419</v>
      </c>
      <c r="D202" s="991"/>
      <c r="E202" s="942"/>
      <c r="F202" s="942"/>
      <c r="G202" s="1086">
        <v>0</v>
      </c>
      <c r="H202" s="1118">
        <v>0</v>
      </c>
      <c r="I202" s="991"/>
      <c r="J202" s="991"/>
      <c r="K202" s="991"/>
      <c r="L202" s="991"/>
      <c r="M202" s="991"/>
      <c r="N202" s="960">
        <v>0</v>
      </c>
      <c r="O202" s="948"/>
      <c r="P202" s="947"/>
      <c r="Q202" s="948"/>
      <c r="R202" s="948"/>
      <c r="S202" s="948"/>
      <c r="T202" s="947"/>
      <c r="U202" s="947"/>
      <c r="V202" s="947"/>
      <c r="W202" s="947"/>
      <c r="X202" s="947"/>
      <c r="Y202" s="948"/>
      <c r="Z202" s="948"/>
      <c r="AA202" s="950">
        <v>0</v>
      </c>
      <c r="AB202" s="950">
        <v>0</v>
      </c>
      <c r="AC202" s="991"/>
      <c r="AD202" s="991"/>
      <c r="AE202" s="991"/>
      <c r="AF202" s="991"/>
      <c r="AG202" s="991"/>
      <c r="AH202" s="991"/>
      <c r="AI202" s="991"/>
      <c r="AJ202" s="991"/>
      <c r="AK202" s="991"/>
      <c r="AL202" s="991"/>
      <c r="AM202" s="991"/>
      <c r="AN202" s="991"/>
      <c r="AO202" s="950">
        <v>0</v>
      </c>
      <c r="AP202" s="949" t="s">
        <v>1308</v>
      </c>
      <c r="AQ202" s="950"/>
      <c r="AR202" s="950"/>
      <c r="AS202" s="950"/>
      <c r="AT202" s="950"/>
      <c r="AU202" s="950"/>
      <c r="AV202" s="1119"/>
      <c r="AW202" s="950">
        <v>0</v>
      </c>
      <c r="AX202" s="950">
        <v>0</v>
      </c>
      <c r="AY202" s="956"/>
      <c r="AZ202" s="956"/>
      <c r="BA202" s="956"/>
    </row>
    <row r="203" spans="1:53">
      <c r="B203" s="630"/>
      <c r="C203" s="630"/>
      <c r="D203" s="991"/>
      <c r="E203" s="942"/>
      <c r="F203" s="942"/>
      <c r="G203" s="1086"/>
      <c r="H203" s="1118"/>
      <c r="I203" s="991"/>
      <c r="J203" s="991"/>
      <c r="K203" s="991"/>
      <c r="L203" s="991"/>
      <c r="M203" s="991"/>
      <c r="N203" s="960">
        <v>0</v>
      </c>
      <c r="O203" s="948"/>
      <c r="P203" s="947"/>
      <c r="Q203" s="948"/>
      <c r="R203" s="948"/>
      <c r="S203" s="948"/>
      <c r="T203" s="948"/>
      <c r="U203" s="947"/>
      <c r="V203" s="948"/>
      <c r="W203" s="947"/>
      <c r="X203" s="948"/>
      <c r="Y203" s="948"/>
      <c r="Z203" s="948"/>
      <c r="AA203" s="950">
        <v>0</v>
      </c>
      <c r="AB203" s="950">
        <v>0</v>
      </c>
      <c r="AC203" s="991"/>
      <c r="AD203" s="991"/>
      <c r="AE203" s="991"/>
      <c r="AF203" s="991"/>
      <c r="AG203" s="991"/>
      <c r="AH203" s="991"/>
      <c r="AI203" s="991"/>
      <c r="AJ203" s="991"/>
      <c r="AK203" s="991"/>
      <c r="AL203" s="991"/>
      <c r="AM203" s="991"/>
      <c r="AN203" s="991"/>
      <c r="AO203" s="950">
        <v>0</v>
      </c>
      <c r="AP203" s="987" t="s">
        <v>1323</v>
      </c>
      <c r="AQ203" s="950"/>
      <c r="AR203" s="950"/>
      <c r="AS203" s="950"/>
      <c r="AT203" s="950"/>
      <c r="AU203" s="950"/>
      <c r="AV203" s="1119"/>
      <c r="AW203" s="950">
        <v>0</v>
      </c>
      <c r="AX203" s="950">
        <v>0</v>
      </c>
      <c r="AY203" s="956"/>
      <c r="AZ203" s="956"/>
      <c r="BA203" s="956"/>
    </row>
    <row r="204" spans="1:53">
      <c r="B204" s="1120"/>
      <c r="C204" s="751"/>
      <c r="D204" s="991"/>
      <c r="E204" s="942"/>
      <c r="F204" s="942"/>
      <c r="G204" s="1086"/>
      <c r="H204" s="1118"/>
      <c r="I204" s="991"/>
      <c r="J204" s="991"/>
      <c r="K204" s="991"/>
      <c r="L204" s="991"/>
      <c r="M204" s="991"/>
      <c r="N204" s="960">
        <v>0</v>
      </c>
      <c r="O204" s="948"/>
      <c r="P204" s="947"/>
      <c r="Q204" s="948"/>
      <c r="R204" s="948"/>
      <c r="S204" s="948"/>
      <c r="T204" s="948"/>
      <c r="U204" s="948"/>
      <c r="V204" s="948"/>
      <c r="W204" s="948"/>
      <c r="X204" s="948"/>
      <c r="Y204" s="948"/>
      <c r="Z204" s="948"/>
      <c r="AA204" s="950">
        <v>0</v>
      </c>
      <c r="AB204" s="950">
        <v>0</v>
      </c>
      <c r="AC204" s="991"/>
      <c r="AD204" s="991"/>
      <c r="AE204" s="991"/>
      <c r="AF204" s="991"/>
      <c r="AG204" s="991"/>
      <c r="AH204" s="991"/>
      <c r="AI204" s="991"/>
      <c r="AJ204" s="991"/>
      <c r="AK204" s="991"/>
      <c r="AL204" s="991"/>
      <c r="AM204" s="991"/>
      <c r="AN204" s="991"/>
      <c r="AO204" s="950">
        <v>0</v>
      </c>
      <c r="AP204" s="949" t="s">
        <v>1308</v>
      </c>
      <c r="AQ204" s="950"/>
      <c r="AR204" s="950"/>
      <c r="AS204" s="950"/>
      <c r="AT204" s="950"/>
      <c r="AU204" s="950"/>
      <c r="AV204" s="1119"/>
      <c r="AW204" s="950">
        <v>0</v>
      </c>
      <c r="AX204" s="950">
        <v>0</v>
      </c>
      <c r="AY204" s="956"/>
      <c r="AZ204" s="956"/>
      <c r="BA204" s="956"/>
    </row>
    <row r="205" spans="1:53">
      <c r="B205" s="1108"/>
      <c r="C205" s="1108" t="s">
        <v>1252</v>
      </c>
      <c r="D205" s="1109">
        <v>2300550</v>
      </c>
      <c r="E205" s="1109">
        <v>0</v>
      </c>
      <c r="F205" s="1109">
        <v>0</v>
      </c>
      <c r="G205" s="1109">
        <v>1239518</v>
      </c>
      <c r="H205" s="1109">
        <v>0</v>
      </c>
      <c r="I205" s="991"/>
      <c r="J205" s="991"/>
      <c r="K205" s="991"/>
      <c r="L205" s="991"/>
      <c r="M205" s="991"/>
      <c r="N205" s="1116">
        <v>0</v>
      </c>
      <c r="O205" s="1109">
        <v>0</v>
      </c>
      <c r="P205" s="1109">
        <v>0</v>
      </c>
      <c r="Q205" s="1109">
        <v>0</v>
      </c>
      <c r="R205" s="1109">
        <v>0</v>
      </c>
      <c r="S205" s="1109">
        <v>0</v>
      </c>
      <c r="T205" s="1109">
        <v>0</v>
      </c>
      <c r="U205" s="1109">
        <v>0</v>
      </c>
      <c r="V205" s="1109">
        <v>0</v>
      </c>
      <c r="W205" s="1109">
        <v>0</v>
      </c>
      <c r="X205" s="1109">
        <v>0</v>
      </c>
      <c r="Y205" s="1109">
        <v>0</v>
      </c>
      <c r="Z205" s="1109">
        <v>0</v>
      </c>
      <c r="AA205" s="1109">
        <v>1239518</v>
      </c>
      <c r="AB205" s="1109">
        <v>1061032</v>
      </c>
      <c r="AC205" s="1109">
        <v>0</v>
      </c>
      <c r="AD205" s="1109">
        <v>1061032</v>
      </c>
      <c r="AE205" s="1109">
        <v>0</v>
      </c>
      <c r="AF205" s="1109">
        <v>0</v>
      </c>
      <c r="AG205" s="1109">
        <v>0</v>
      </c>
      <c r="AH205" s="1109">
        <v>0</v>
      </c>
      <c r="AI205" s="1109">
        <v>0</v>
      </c>
      <c r="AJ205" s="1109">
        <v>0</v>
      </c>
      <c r="AK205" s="1109">
        <v>0</v>
      </c>
      <c r="AL205" s="1109">
        <v>0</v>
      </c>
      <c r="AM205" s="1109">
        <v>0</v>
      </c>
      <c r="AN205" s="1109">
        <v>0</v>
      </c>
      <c r="AO205" s="1109">
        <v>2300550</v>
      </c>
      <c r="AP205" s="1109"/>
      <c r="AQ205" s="1109">
        <v>0</v>
      </c>
      <c r="AR205" s="1109">
        <v>0</v>
      </c>
      <c r="AS205" s="1109">
        <v>0</v>
      </c>
      <c r="AT205" s="1109">
        <v>0</v>
      </c>
      <c r="AU205" s="1109">
        <v>0</v>
      </c>
      <c r="AV205" s="1119"/>
      <c r="AW205" s="950">
        <v>2300550</v>
      </c>
      <c r="AX205" s="950">
        <v>0</v>
      </c>
    </row>
    <row r="206" spans="1:53">
      <c r="B206" s="537"/>
      <c r="C206" s="537"/>
      <c r="D206" s="537"/>
      <c r="E206" s="663"/>
      <c r="F206" s="663"/>
      <c r="G206" s="1058"/>
      <c r="P206" s="956"/>
      <c r="Q206" s="956"/>
      <c r="R206" s="956"/>
      <c r="S206" s="956"/>
      <c r="T206" s="956"/>
      <c r="U206" s="956"/>
      <c r="V206" s="956"/>
      <c r="W206" s="956"/>
      <c r="X206" s="956"/>
      <c r="Y206" s="956"/>
      <c r="Z206" s="956"/>
      <c r="AA206" s="1029"/>
      <c r="AB206" s="1029"/>
      <c r="AC206" s="1029"/>
      <c r="AD206" s="1029"/>
      <c r="AE206" s="1029"/>
      <c r="AF206" s="1029"/>
      <c r="AG206" s="1029"/>
      <c r="AH206" s="1029"/>
      <c r="AI206" s="1029"/>
      <c r="AJ206" s="1029"/>
      <c r="AK206" s="1029"/>
      <c r="AL206" s="1029"/>
      <c r="AM206" s="1029"/>
      <c r="AN206" s="1029"/>
      <c r="AO206" s="1029"/>
      <c r="AP206" s="1029"/>
      <c r="AQ206" s="1029"/>
      <c r="AR206" s="1029"/>
      <c r="AS206" s="1029"/>
      <c r="AT206" s="1029"/>
      <c r="AU206" s="1029"/>
      <c r="AV206" s="1029"/>
      <c r="AW206" s="1029"/>
      <c r="AX206" s="1029"/>
    </row>
    <row r="207" spans="1:53">
      <c r="B207" s="537"/>
      <c r="C207" s="537"/>
      <c r="D207" s="537"/>
      <c r="E207" s="663"/>
      <c r="F207" s="663"/>
      <c r="G207" s="1058"/>
      <c r="P207" s="956"/>
      <c r="Q207" s="956"/>
      <c r="R207" s="956"/>
      <c r="S207" s="956"/>
      <c r="T207" s="956"/>
      <c r="U207" s="956"/>
      <c r="V207" s="956"/>
      <c r="W207" s="956"/>
      <c r="X207" s="956"/>
      <c r="Y207" s="956"/>
      <c r="Z207" s="956"/>
      <c r="AA207" s="1029"/>
      <c r="AB207" s="1029"/>
      <c r="AC207" s="1029"/>
      <c r="AD207" s="1029"/>
      <c r="AE207" s="1029"/>
      <c r="AF207" s="1029"/>
      <c r="AG207" s="1029"/>
      <c r="AH207" s="1029"/>
      <c r="AI207" s="1029"/>
      <c r="AJ207" s="1029"/>
      <c r="AK207" s="1029"/>
      <c r="AL207" s="1029"/>
      <c r="AM207" s="1029"/>
      <c r="AN207" s="1029"/>
      <c r="AO207" s="1029"/>
      <c r="AP207" s="1029"/>
      <c r="AQ207" s="1029"/>
      <c r="AR207" s="1029"/>
      <c r="AS207" s="1029"/>
      <c r="AT207" s="1029"/>
      <c r="AU207" s="1029"/>
      <c r="AV207" s="1029"/>
      <c r="AW207" s="1029"/>
      <c r="AX207" s="1029"/>
    </row>
    <row r="208" spans="1:53">
      <c r="B208" s="537"/>
      <c r="C208" s="537"/>
      <c r="D208" s="537"/>
      <c r="E208" s="663"/>
      <c r="F208" s="663"/>
      <c r="G208" s="1058"/>
      <c r="P208" s="956"/>
      <c r="Q208" s="956"/>
      <c r="R208" s="956"/>
      <c r="S208" s="956"/>
      <c r="T208" s="956"/>
      <c r="U208" s="956"/>
      <c r="V208" s="956"/>
      <c r="W208" s="956"/>
      <c r="X208" s="956"/>
      <c r="Y208" s="956"/>
      <c r="Z208" s="956"/>
      <c r="AA208" s="1029"/>
      <c r="AB208" s="1029"/>
      <c r="AC208" s="1029"/>
      <c r="AD208" s="1029"/>
      <c r="AE208" s="1029"/>
      <c r="AF208" s="1029"/>
      <c r="AG208" s="1029"/>
      <c r="AH208" s="1029"/>
      <c r="AI208" s="1029"/>
      <c r="AJ208" s="1029"/>
      <c r="AK208" s="1029"/>
      <c r="AL208" s="1029"/>
      <c r="AM208" s="1029"/>
      <c r="AN208" s="1029"/>
      <c r="AO208" s="1029"/>
      <c r="AP208" s="1029"/>
      <c r="AQ208" s="1029"/>
      <c r="AR208" s="1029"/>
      <c r="AS208" s="1029"/>
      <c r="AT208" s="1029"/>
      <c r="AU208" s="1029"/>
      <c r="AV208" s="1029"/>
      <c r="AW208" s="1029"/>
      <c r="AX208" s="1029"/>
    </row>
    <row r="209" spans="1:53">
      <c r="B209" s="537"/>
      <c r="C209" s="537"/>
      <c r="D209" s="537"/>
      <c r="E209" s="663"/>
      <c r="F209" s="663"/>
      <c r="G209" s="1058"/>
      <c r="P209" s="956"/>
      <c r="Q209" s="956"/>
      <c r="R209" s="956"/>
      <c r="S209" s="956"/>
      <c r="T209" s="956"/>
      <c r="U209" s="956"/>
      <c r="V209" s="956"/>
      <c r="W209" s="956"/>
      <c r="X209" s="956"/>
      <c r="Y209" s="956"/>
      <c r="Z209" s="956"/>
      <c r="AA209" s="1029"/>
      <c r="AB209" s="1029"/>
      <c r="AC209" s="1029"/>
      <c r="AD209" s="1029"/>
      <c r="AE209" s="1029"/>
      <c r="AF209" s="1029"/>
      <c r="AG209" s="1029"/>
      <c r="AH209" s="1029"/>
      <c r="AI209" s="1029"/>
      <c r="AJ209" s="1029"/>
      <c r="AK209" s="1029"/>
      <c r="AL209" s="1029"/>
      <c r="AM209" s="1029"/>
      <c r="AN209" s="1029"/>
      <c r="AO209" s="1029"/>
      <c r="AP209" s="1029"/>
      <c r="AQ209" s="1029"/>
      <c r="AR209" s="1029"/>
      <c r="AS209" s="1029"/>
      <c r="AT209" s="1029"/>
      <c r="AU209" s="1029"/>
      <c r="AV209" s="1029"/>
      <c r="AW209" s="1029"/>
      <c r="AX209" s="1029"/>
    </row>
    <row r="210" spans="1:53" s="912" customFormat="1">
      <c r="A210" s="1092" t="s">
        <v>1369</v>
      </c>
      <c r="B210" s="1093" t="s">
        <v>1420</v>
      </c>
      <c r="D210" s="534"/>
      <c r="E210" s="901"/>
      <c r="F210" s="901"/>
      <c r="G210" s="1058"/>
      <c r="P210" s="1094"/>
      <c r="Q210" s="1094"/>
      <c r="R210" s="1094"/>
      <c r="S210" s="1094"/>
      <c r="T210" s="1094"/>
      <c r="U210" s="1094"/>
      <c r="V210" s="1094"/>
      <c r="W210" s="1094"/>
      <c r="X210" s="1094"/>
      <c r="Y210" s="1094"/>
      <c r="Z210" s="1094"/>
      <c r="AA210" s="1095"/>
      <c r="AB210" s="1095"/>
      <c r="AC210" s="1095"/>
      <c r="AD210" s="1095"/>
      <c r="AE210" s="1095"/>
      <c r="AF210" s="1095"/>
      <c r="AG210" s="1095"/>
      <c r="AH210" s="1095"/>
      <c r="AI210" s="1095"/>
      <c r="AJ210" s="1095"/>
      <c r="AK210" s="1095"/>
      <c r="AL210" s="1095"/>
      <c r="AM210" s="1095"/>
      <c r="AN210" s="1095"/>
      <c r="AO210" s="1095"/>
      <c r="AP210" s="1095"/>
      <c r="AQ210" s="1095"/>
      <c r="AR210" s="1095"/>
      <c r="AS210" s="1095"/>
      <c r="AT210" s="1095"/>
      <c r="AU210" s="1095"/>
      <c r="AV210" s="1095"/>
      <c r="AW210" s="1095"/>
      <c r="AX210" s="1095"/>
    </row>
    <row r="211" spans="1:53" s="901" customFormat="1">
      <c r="B211" s="1096" t="s">
        <v>1283</v>
      </c>
      <c r="C211" s="1097"/>
      <c r="D211" s="1097"/>
      <c r="E211" s="1097"/>
      <c r="F211" s="1097"/>
      <c r="G211" s="892"/>
      <c r="H211" s="2478" t="s">
        <v>1374</v>
      </c>
      <c r="I211" s="2477"/>
      <c r="J211" s="2477"/>
      <c r="K211" s="2477"/>
      <c r="L211" s="2477"/>
      <c r="M211" s="2477"/>
      <c r="N211" s="2477"/>
      <c r="O211" s="2477"/>
      <c r="P211" s="2477"/>
      <c r="Q211" s="2477"/>
      <c r="R211" s="2477"/>
      <c r="S211" s="2477"/>
      <c r="T211" s="2477"/>
      <c r="U211" s="2477"/>
      <c r="V211" s="2477"/>
      <c r="W211" s="2477"/>
      <c r="X211" s="2477"/>
      <c r="Y211" s="2477"/>
      <c r="Z211" s="2477"/>
      <c r="AA211" s="2494"/>
      <c r="AB211" s="2478" t="s">
        <v>1399</v>
      </c>
      <c r="AC211" s="2477"/>
      <c r="AD211" s="2477"/>
      <c r="AE211" s="2477"/>
      <c r="AF211" s="2477"/>
      <c r="AG211" s="2477"/>
      <c r="AH211" s="2477"/>
      <c r="AI211" s="2477"/>
      <c r="AJ211" s="2477"/>
      <c r="AK211" s="2477"/>
      <c r="AL211" s="2477"/>
      <c r="AM211" s="2477"/>
      <c r="AN211" s="2477"/>
      <c r="AO211" s="1071"/>
      <c r="AP211" s="549"/>
      <c r="AQ211" s="896"/>
      <c r="AR211" s="897"/>
      <c r="AS211" s="897"/>
      <c r="AT211" s="897"/>
      <c r="AU211" s="898"/>
      <c r="AV211" s="1098"/>
      <c r="AW211" s="897"/>
      <c r="AX211" s="897"/>
    </row>
    <row r="212" spans="1:53" ht="31.2">
      <c r="B212" s="1072" t="s">
        <v>1288</v>
      </c>
      <c r="C212" s="1073" t="s">
        <v>1289</v>
      </c>
      <c r="D212" s="904" t="s">
        <v>1290</v>
      </c>
      <c r="E212" s="904" t="s">
        <v>1400</v>
      </c>
      <c r="F212" s="904" t="s">
        <v>1292</v>
      </c>
      <c r="G212" s="2486" t="s">
        <v>1293</v>
      </c>
      <c r="H212" s="903" t="e">
        <v>#NAME?</v>
      </c>
      <c r="I212" s="2443"/>
      <c r="J212" s="2443"/>
      <c r="K212" s="2443"/>
      <c r="L212" s="2443"/>
      <c r="M212" s="2443"/>
      <c r="N212" s="904" t="s">
        <v>1239</v>
      </c>
      <c r="O212" s="905">
        <v>46023</v>
      </c>
      <c r="P212" s="905">
        <v>46054</v>
      </c>
      <c r="Q212" s="905">
        <v>46082</v>
      </c>
      <c r="R212" s="905">
        <v>46113</v>
      </c>
      <c r="S212" s="905">
        <v>46143</v>
      </c>
      <c r="T212" s="905">
        <v>46174</v>
      </c>
      <c r="U212" s="905">
        <v>46204</v>
      </c>
      <c r="V212" s="905">
        <v>46235</v>
      </c>
      <c r="W212" s="905">
        <v>46266</v>
      </c>
      <c r="X212" s="905">
        <v>46296</v>
      </c>
      <c r="Y212" s="905">
        <v>46327</v>
      </c>
      <c r="Z212" s="905">
        <v>46357</v>
      </c>
      <c r="AA212" s="906" t="e">
        <v>#NAME?</v>
      </c>
      <c r="AB212" s="904" t="s">
        <v>1294</v>
      </c>
      <c r="AC212" s="905">
        <v>46023</v>
      </c>
      <c r="AD212" s="905">
        <v>46054</v>
      </c>
      <c r="AE212" s="905">
        <v>46082</v>
      </c>
      <c r="AF212" s="905">
        <v>46113</v>
      </c>
      <c r="AG212" s="905">
        <v>46143</v>
      </c>
      <c r="AH212" s="905">
        <v>46174</v>
      </c>
      <c r="AI212" s="905">
        <v>46204</v>
      </c>
      <c r="AJ212" s="905">
        <v>46235</v>
      </c>
      <c r="AK212" s="905">
        <v>46266</v>
      </c>
      <c r="AL212" s="905">
        <v>46296</v>
      </c>
      <c r="AM212" s="905">
        <v>46327</v>
      </c>
      <c r="AN212" s="905">
        <v>46357</v>
      </c>
      <c r="AO212" s="907" t="s">
        <v>1295</v>
      </c>
      <c r="AP212" s="1099" t="s">
        <v>1421</v>
      </c>
      <c r="AQ212" s="909">
        <v>47088</v>
      </c>
      <c r="AR212" s="910">
        <v>47453</v>
      </c>
      <c r="AS212" s="910">
        <v>47818</v>
      </c>
      <c r="AT212" s="911">
        <v>48183</v>
      </c>
      <c r="AU212" s="911" t="s">
        <v>1297</v>
      </c>
      <c r="AW212" s="1080"/>
      <c r="AX212" s="1080"/>
    </row>
    <row r="213" spans="1:53">
      <c r="B213" s="920"/>
      <c r="C213" s="921"/>
      <c r="D213" s="902"/>
      <c r="E213" s="902"/>
      <c r="F213" s="902"/>
      <c r="G213" s="2487"/>
      <c r="H213" s="922" t="s">
        <v>1300</v>
      </c>
      <c r="I213" s="2447"/>
      <c r="J213" s="2447"/>
      <c r="K213" s="2447"/>
      <c r="L213" s="2447"/>
      <c r="M213" s="2447"/>
      <c r="N213" s="923" t="s">
        <v>1300</v>
      </c>
      <c r="O213" s="1100" t="s">
        <v>1385</v>
      </c>
      <c r="P213" s="1100" t="s">
        <v>1385</v>
      </c>
      <c r="Q213" s="1100" t="s">
        <v>1385</v>
      </c>
      <c r="R213" s="1100" t="s">
        <v>1385</v>
      </c>
      <c r="S213" s="1121" t="s">
        <v>1386</v>
      </c>
      <c r="T213" s="1100" t="s">
        <v>1385</v>
      </c>
      <c r="U213" s="1100" t="s">
        <v>1385</v>
      </c>
      <c r="V213" s="1100" t="s">
        <v>1385</v>
      </c>
      <c r="W213" s="1084" t="s">
        <v>1401</v>
      </c>
      <c r="X213" s="1084" t="s">
        <v>1401</v>
      </c>
      <c r="Y213" s="1084" t="s">
        <v>1401</v>
      </c>
      <c r="Z213" s="1084" t="s">
        <v>1401</v>
      </c>
      <c r="AA213" s="927" t="s">
        <v>1303</v>
      </c>
      <c r="AB213" s="926" t="s">
        <v>1300</v>
      </c>
      <c r="AC213" s="1084" t="s">
        <v>1241</v>
      </c>
      <c r="AD213" s="1084" t="s">
        <v>1241</v>
      </c>
      <c r="AE213" s="1084" t="s">
        <v>1241</v>
      </c>
      <c r="AF213" s="1084" t="s">
        <v>1241</v>
      </c>
      <c r="AG213" s="1084" t="s">
        <v>1241</v>
      </c>
      <c r="AH213" s="1084" t="s">
        <v>1241</v>
      </c>
      <c r="AI213" s="1084" t="s">
        <v>1241</v>
      </c>
      <c r="AJ213" s="1084" t="s">
        <v>1241</v>
      </c>
      <c r="AK213" s="1084" t="s">
        <v>1241</v>
      </c>
      <c r="AL213" s="1084" t="s">
        <v>1241</v>
      </c>
      <c r="AM213" s="1084" t="s">
        <v>1241</v>
      </c>
      <c r="AN213" s="1084" t="s">
        <v>1241</v>
      </c>
      <c r="AO213" s="927" t="s">
        <v>1303</v>
      </c>
      <c r="AP213" s="1101" t="s">
        <v>1304</v>
      </c>
      <c r="AQ213" s="1084" t="s">
        <v>1240</v>
      </c>
      <c r="AR213" s="1084" t="s">
        <v>1240</v>
      </c>
      <c r="AS213" s="1084" t="s">
        <v>1240</v>
      </c>
      <c r="AT213" s="1084" t="s">
        <v>1240</v>
      </c>
      <c r="AU213" s="1084" t="s">
        <v>1240</v>
      </c>
      <c r="AW213" s="930" t="s">
        <v>1402</v>
      </c>
      <c r="AX213" s="1085" t="s">
        <v>1306</v>
      </c>
    </row>
    <row r="214" spans="1:53">
      <c r="A214" s="872" t="s">
        <v>1369</v>
      </c>
      <c r="B214" s="574" t="s">
        <v>620</v>
      </c>
      <c r="C214" s="574" t="s">
        <v>621</v>
      </c>
      <c r="D214" s="991"/>
      <c r="E214" s="942"/>
      <c r="F214" s="942"/>
      <c r="G214" s="1086"/>
      <c r="H214" s="1118">
        <v>0</v>
      </c>
      <c r="I214" s="958"/>
      <c r="J214" s="958"/>
      <c r="K214" s="958"/>
      <c r="L214" s="958"/>
      <c r="M214" s="958"/>
      <c r="N214" s="974">
        <v>0</v>
      </c>
      <c r="O214" s="948">
        <v>0</v>
      </c>
      <c r="P214" s="947">
        <v>0</v>
      </c>
      <c r="Q214" s="946">
        <v>0</v>
      </c>
      <c r="R214" s="1115">
        <v>0</v>
      </c>
      <c r="S214" s="947">
        <v>0</v>
      </c>
      <c r="T214" s="946">
        <v>0</v>
      </c>
      <c r="U214" s="947">
        <v>0</v>
      </c>
      <c r="V214" s="947">
        <v>0</v>
      </c>
      <c r="W214" s="946">
        <v>0</v>
      </c>
      <c r="X214" s="946">
        <v>0</v>
      </c>
      <c r="Y214" s="946">
        <v>0</v>
      </c>
      <c r="Z214" s="946">
        <v>0</v>
      </c>
      <c r="AA214" s="945">
        <v>0</v>
      </c>
      <c r="AB214" s="945">
        <v>0</v>
      </c>
      <c r="AC214" s="948"/>
      <c r="AD214" s="948"/>
      <c r="AE214" s="948"/>
      <c r="AF214" s="948"/>
      <c r="AG214" s="948"/>
      <c r="AH214" s="948"/>
      <c r="AI214" s="948"/>
      <c r="AJ214" s="948"/>
      <c r="AK214" s="948"/>
      <c r="AL214" s="948"/>
      <c r="AM214" s="948"/>
      <c r="AN214" s="948"/>
      <c r="AO214" s="945">
        <v>0</v>
      </c>
      <c r="AP214" s="959" t="s">
        <v>1308</v>
      </c>
      <c r="AQ214" s="950"/>
      <c r="AR214" s="950"/>
      <c r="AS214" s="950"/>
      <c r="AT214" s="950"/>
      <c r="AU214" s="950"/>
      <c r="AV214" s="1119"/>
      <c r="AW214" s="1102">
        <v>0</v>
      </c>
      <c r="AX214" s="950">
        <v>0</v>
      </c>
      <c r="AY214" s="956"/>
      <c r="AZ214" s="956"/>
      <c r="BA214" s="956"/>
    </row>
    <row r="215" spans="1:53">
      <c r="A215" s="872" t="s">
        <v>1369</v>
      </c>
      <c r="B215" s="574" t="s">
        <v>622</v>
      </c>
      <c r="C215" s="751" t="s">
        <v>623</v>
      </c>
      <c r="D215" s="991"/>
      <c r="E215" s="942"/>
      <c r="F215" s="942"/>
      <c r="G215" s="1086"/>
      <c r="H215" s="1118">
        <v>0</v>
      </c>
      <c r="I215" s="958"/>
      <c r="J215" s="958"/>
      <c r="K215" s="958"/>
      <c r="L215" s="958"/>
      <c r="M215" s="958"/>
      <c r="N215" s="974">
        <v>0</v>
      </c>
      <c r="O215" s="948">
        <v>0</v>
      </c>
      <c r="P215" s="947">
        <v>0</v>
      </c>
      <c r="Q215" s="946">
        <v>0</v>
      </c>
      <c r="R215" s="1115">
        <v>0</v>
      </c>
      <c r="S215" s="947">
        <v>0</v>
      </c>
      <c r="T215" s="946">
        <v>0</v>
      </c>
      <c r="U215" s="947">
        <v>0</v>
      </c>
      <c r="V215" s="947">
        <v>0</v>
      </c>
      <c r="W215" s="946">
        <v>0</v>
      </c>
      <c r="X215" s="946">
        <v>0</v>
      </c>
      <c r="Y215" s="946">
        <v>0</v>
      </c>
      <c r="Z215" s="946">
        <v>0</v>
      </c>
      <c r="AA215" s="945">
        <v>0</v>
      </c>
      <c r="AB215" s="945">
        <v>0</v>
      </c>
      <c r="AC215" s="948"/>
      <c r="AD215" s="948"/>
      <c r="AE215" s="948"/>
      <c r="AF215" s="948"/>
      <c r="AG215" s="948"/>
      <c r="AH215" s="948"/>
      <c r="AI215" s="948"/>
      <c r="AJ215" s="948"/>
      <c r="AK215" s="948"/>
      <c r="AL215" s="948"/>
      <c r="AM215" s="948"/>
      <c r="AN215" s="948"/>
      <c r="AO215" s="945">
        <v>0</v>
      </c>
      <c r="AP215" s="959" t="s">
        <v>1308</v>
      </c>
      <c r="AQ215" s="950"/>
      <c r="AR215" s="950"/>
      <c r="AS215" s="950"/>
      <c r="AT215" s="950"/>
      <c r="AU215" s="950"/>
      <c r="AV215" s="1119"/>
      <c r="AW215" s="950">
        <v>0</v>
      </c>
      <c r="AX215" s="950">
        <v>0</v>
      </c>
      <c r="AY215" s="956"/>
      <c r="AZ215" s="956"/>
      <c r="BA215" s="956"/>
    </row>
    <row r="216" spans="1:53">
      <c r="A216" s="872" t="s">
        <v>1369</v>
      </c>
      <c r="B216" s="574" t="s">
        <v>624</v>
      </c>
      <c r="C216" s="751" t="s">
        <v>1309</v>
      </c>
      <c r="D216" s="991"/>
      <c r="E216" s="942"/>
      <c r="F216" s="942"/>
      <c r="G216" s="1086"/>
      <c r="H216" s="1118">
        <v>0</v>
      </c>
      <c r="I216" s="958"/>
      <c r="J216" s="958"/>
      <c r="K216" s="958"/>
      <c r="L216" s="958"/>
      <c r="M216" s="958"/>
      <c r="N216" s="974">
        <v>0</v>
      </c>
      <c r="O216" s="948">
        <v>0</v>
      </c>
      <c r="P216" s="947">
        <v>0</v>
      </c>
      <c r="Q216" s="946">
        <v>0</v>
      </c>
      <c r="R216" s="1115">
        <v>0</v>
      </c>
      <c r="S216" s="947">
        <v>0</v>
      </c>
      <c r="T216" s="946">
        <v>0</v>
      </c>
      <c r="U216" s="947">
        <v>0</v>
      </c>
      <c r="V216" s="947">
        <v>0</v>
      </c>
      <c r="W216" s="946">
        <v>0</v>
      </c>
      <c r="X216" s="946">
        <v>0</v>
      </c>
      <c r="Y216" s="946">
        <v>0</v>
      </c>
      <c r="Z216" s="946">
        <v>0</v>
      </c>
      <c r="AA216" s="945">
        <v>0</v>
      </c>
      <c r="AB216" s="945">
        <v>0</v>
      </c>
      <c r="AC216" s="948"/>
      <c r="AD216" s="948"/>
      <c r="AE216" s="948"/>
      <c r="AF216" s="948"/>
      <c r="AG216" s="948"/>
      <c r="AH216" s="948"/>
      <c r="AI216" s="948"/>
      <c r="AJ216" s="948"/>
      <c r="AK216" s="948"/>
      <c r="AL216" s="948"/>
      <c r="AM216" s="948"/>
      <c r="AN216" s="948"/>
      <c r="AO216" s="945">
        <v>0</v>
      </c>
      <c r="AP216" s="959" t="s">
        <v>1308</v>
      </c>
      <c r="AQ216" s="950"/>
      <c r="AR216" s="950"/>
      <c r="AS216" s="950"/>
      <c r="AT216" s="950"/>
      <c r="AU216" s="950"/>
      <c r="AV216" s="1119"/>
      <c r="AW216" s="950">
        <v>0</v>
      </c>
      <c r="AX216" s="950">
        <v>0</v>
      </c>
      <c r="AY216" s="956"/>
      <c r="AZ216" s="956"/>
      <c r="BA216" s="956"/>
    </row>
    <row r="217" spans="1:53">
      <c r="A217" s="872" t="s">
        <v>1369</v>
      </c>
      <c r="B217" s="574" t="s">
        <v>626</v>
      </c>
      <c r="C217" s="751" t="s">
        <v>1310</v>
      </c>
      <c r="D217" s="991"/>
      <c r="E217" s="942"/>
      <c r="F217" s="942"/>
      <c r="G217" s="1086"/>
      <c r="H217" s="1118">
        <v>0</v>
      </c>
      <c r="I217" s="958"/>
      <c r="J217" s="958"/>
      <c r="K217" s="958"/>
      <c r="L217" s="958"/>
      <c r="M217" s="958"/>
      <c r="N217" s="974">
        <v>0</v>
      </c>
      <c r="O217" s="948">
        <v>0</v>
      </c>
      <c r="P217" s="947">
        <v>0</v>
      </c>
      <c r="Q217" s="946">
        <v>0</v>
      </c>
      <c r="R217" s="1115">
        <v>0</v>
      </c>
      <c r="S217" s="947">
        <v>0</v>
      </c>
      <c r="T217" s="946">
        <v>0</v>
      </c>
      <c r="U217" s="947">
        <v>0</v>
      </c>
      <c r="V217" s="947">
        <v>0</v>
      </c>
      <c r="W217" s="946">
        <v>0</v>
      </c>
      <c r="X217" s="946">
        <v>0</v>
      </c>
      <c r="Y217" s="946">
        <v>0</v>
      </c>
      <c r="Z217" s="946">
        <v>0</v>
      </c>
      <c r="AA217" s="945">
        <v>0</v>
      </c>
      <c r="AB217" s="945">
        <v>0</v>
      </c>
      <c r="AC217" s="948"/>
      <c r="AD217" s="948"/>
      <c r="AE217" s="948"/>
      <c r="AF217" s="948"/>
      <c r="AG217" s="948"/>
      <c r="AH217" s="948"/>
      <c r="AI217" s="948"/>
      <c r="AJ217" s="948"/>
      <c r="AK217" s="948"/>
      <c r="AL217" s="948"/>
      <c r="AM217" s="948"/>
      <c r="AN217" s="948"/>
      <c r="AO217" s="945">
        <v>0</v>
      </c>
      <c r="AP217" s="959" t="s">
        <v>1308</v>
      </c>
      <c r="AQ217" s="950"/>
      <c r="AR217" s="950"/>
      <c r="AS217" s="950"/>
      <c r="AT217" s="950"/>
      <c r="AU217" s="950"/>
      <c r="AV217" s="1119"/>
      <c r="AW217" s="950">
        <v>0</v>
      </c>
      <c r="AX217" s="950">
        <v>0</v>
      </c>
      <c r="AY217" s="956"/>
      <c r="AZ217" s="956"/>
      <c r="BA217" s="956"/>
    </row>
    <row r="218" spans="1:53">
      <c r="A218" s="872" t="s">
        <v>1369</v>
      </c>
      <c r="B218" s="574" t="s">
        <v>628</v>
      </c>
      <c r="C218" s="751" t="s">
        <v>1311</v>
      </c>
      <c r="D218" s="991"/>
      <c r="E218" s="942"/>
      <c r="F218" s="942"/>
      <c r="G218" s="1086"/>
      <c r="H218" s="1118">
        <v>0</v>
      </c>
      <c r="I218" s="958"/>
      <c r="J218" s="958"/>
      <c r="K218" s="958"/>
      <c r="L218" s="958"/>
      <c r="M218" s="958"/>
      <c r="N218" s="974">
        <v>0</v>
      </c>
      <c r="O218" s="948">
        <v>0</v>
      </c>
      <c r="P218" s="947">
        <v>0</v>
      </c>
      <c r="Q218" s="946">
        <v>0</v>
      </c>
      <c r="R218" s="1115">
        <v>0</v>
      </c>
      <c r="S218" s="947">
        <v>0</v>
      </c>
      <c r="T218" s="946">
        <v>0</v>
      </c>
      <c r="U218" s="947">
        <v>0</v>
      </c>
      <c r="V218" s="947">
        <v>0</v>
      </c>
      <c r="W218" s="946">
        <v>0</v>
      </c>
      <c r="X218" s="946">
        <v>0</v>
      </c>
      <c r="Y218" s="946">
        <v>0</v>
      </c>
      <c r="Z218" s="946">
        <v>0</v>
      </c>
      <c r="AA218" s="945">
        <v>0</v>
      </c>
      <c r="AB218" s="945">
        <v>0</v>
      </c>
      <c r="AC218" s="948"/>
      <c r="AD218" s="948"/>
      <c r="AE218" s="948"/>
      <c r="AF218" s="948"/>
      <c r="AG218" s="948"/>
      <c r="AH218" s="948"/>
      <c r="AI218" s="948"/>
      <c r="AJ218" s="948"/>
      <c r="AK218" s="948"/>
      <c r="AL218" s="948"/>
      <c r="AM218" s="948"/>
      <c r="AN218" s="948"/>
      <c r="AO218" s="945">
        <v>0</v>
      </c>
      <c r="AP218" s="959" t="s">
        <v>1308</v>
      </c>
      <c r="AQ218" s="950"/>
      <c r="AR218" s="950"/>
      <c r="AS218" s="950"/>
      <c r="AT218" s="950"/>
      <c r="AU218" s="950"/>
      <c r="AV218" s="1119"/>
      <c r="AW218" s="950">
        <v>0</v>
      </c>
      <c r="AX218" s="950">
        <v>0</v>
      </c>
      <c r="AY218" s="956"/>
      <c r="AZ218" s="956"/>
      <c r="BA218" s="956"/>
    </row>
    <row r="219" spans="1:53">
      <c r="A219" s="872" t="s">
        <v>1369</v>
      </c>
      <c r="B219" s="574" t="s">
        <v>631</v>
      </c>
      <c r="C219" s="751" t="s">
        <v>1312</v>
      </c>
      <c r="D219" s="991"/>
      <c r="E219" s="942"/>
      <c r="F219" s="942"/>
      <c r="G219" s="1086"/>
      <c r="H219" s="1118">
        <v>0</v>
      </c>
      <c r="I219" s="958"/>
      <c r="J219" s="958"/>
      <c r="K219" s="958"/>
      <c r="L219" s="958"/>
      <c r="M219" s="958"/>
      <c r="N219" s="974">
        <v>0</v>
      </c>
      <c r="O219" s="948">
        <v>0</v>
      </c>
      <c r="P219" s="947">
        <v>0</v>
      </c>
      <c r="Q219" s="946">
        <v>0</v>
      </c>
      <c r="R219" s="1115">
        <v>0</v>
      </c>
      <c r="S219" s="947">
        <v>0</v>
      </c>
      <c r="T219" s="946">
        <v>0</v>
      </c>
      <c r="U219" s="947">
        <v>0</v>
      </c>
      <c r="V219" s="947">
        <v>0</v>
      </c>
      <c r="W219" s="946">
        <v>0</v>
      </c>
      <c r="X219" s="946">
        <v>0</v>
      </c>
      <c r="Y219" s="946">
        <v>0</v>
      </c>
      <c r="Z219" s="946">
        <v>0</v>
      </c>
      <c r="AA219" s="945">
        <v>0</v>
      </c>
      <c r="AB219" s="945">
        <v>0</v>
      </c>
      <c r="AC219" s="948"/>
      <c r="AD219" s="948"/>
      <c r="AE219" s="948"/>
      <c r="AF219" s="948"/>
      <c r="AG219" s="948"/>
      <c r="AH219" s="948"/>
      <c r="AI219" s="948"/>
      <c r="AJ219" s="948"/>
      <c r="AK219" s="948"/>
      <c r="AL219" s="948"/>
      <c r="AM219" s="948"/>
      <c r="AN219" s="948"/>
      <c r="AO219" s="945">
        <v>0</v>
      </c>
      <c r="AP219" s="959" t="s">
        <v>1308</v>
      </c>
      <c r="AQ219" s="950"/>
      <c r="AR219" s="950"/>
      <c r="AS219" s="950"/>
      <c r="AT219" s="950"/>
      <c r="AU219" s="950"/>
      <c r="AV219" s="1119"/>
      <c r="AW219" s="950">
        <v>0</v>
      </c>
      <c r="AX219" s="950">
        <v>0</v>
      </c>
      <c r="AY219" s="956"/>
      <c r="AZ219" s="956"/>
      <c r="BA219" s="956"/>
    </row>
    <row r="220" spans="1:53" s="971" customFormat="1">
      <c r="A220" s="872" t="s">
        <v>1369</v>
      </c>
      <c r="B220" s="962" t="s">
        <v>633</v>
      </c>
      <c r="C220" s="1122" t="s">
        <v>1422</v>
      </c>
      <c r="D220" s="993"/>
      <c r="E220" s="965"/>
      <c r="F220" s="965"/>
      <c r="G220" s="1086"/>
      <c r="H220" s="1118">
        <v>0</v>
      </c>
      <c r="I220" s="958"/>
      <c r="J220" s="958"/>
      <c r="K220" s="958"/>
      <c r="L220" s="958"/>
      <c r="M220" s="958"/>
      <c r="N220" s="974">
        <v>0</v>
      </c>
      <c r="O220" s="948">
        <v>0</v>
      </c>
      <c r="P220" s="947">
        <v>0</v>
      </c>
      <c r="Q220" s="946">
        <v>0</v>
      </c>
      <c r="R220" s="1115">
        <v>0</v>
      </c>
      <c r="S220" s="947">
        <v>0</v>
      </c>
      <c r="T220" s="946">
        <v>0</v>
      </c>
      <c r="U220" s="947">
        <v>0</v>
      </c>
      <c r="V220" s="947">
        <v>0</v>
      </c>
      <c r="W220" s="946">
        <v>0</v>
      </c>
      <c r="X220" s="946">
        <v>0</v>
      </c>
      <c r="Y220" s="946">
        <v>0</v>
      </c>
      <c r="Z220" s="946">
        <v>0</v>
      </c>
      <c r="AA220" s="966">
        <v>0</v>
      </c>
      <c r="AB220" s="966">
        <v>0</v>
      </c>
      <c r="AC220" s="967"/>
      <c r="AD220" s="967"/>
      <c r="AE220" s="967"/>
      <c r="AF220" s="967"/>
      <c r="AG220" s="967"/>
      <c r="AH220" s="967"/>
      <c r="AI220" s="967"/>
      <c r="AJ220" s="967"/>
      <c r="AK220" s="967"/>
      <c r="AL220" s="967"/>
      <c r="AM220" s="967"/>
      <c r="AN220" s="967"/>
      <c r="AO220" s="966">
        <v>0</v>
      </c>
      <c r="AP220" s="968" t="s">
        <v>1314</v>
      </c>
      <c r="AQ220" s="969"/>
      <c r="AR220" s="969"/>
      <c r="AS220" s="969"/>
      <c r="AT220" s="969"/>
      <c r="AU220" s="969"/>
      <c r="AV220" s="1119"/>
      <c r="AW220" s="969">
        <v>0</v>
      </c>
      <c r="AX220" s="969">
        <v>0</v>
      </c>
      <c r="AY220" s="956"/>
      <c r="AZ220" s="956"/>
      <c r="BA220" s="956"/>
    </row>
    <row r="221" spans="1:53">
      <c r="A221" s="872" t="s">
        <v>1369</v>
      </c>
      <c r="B221" s="574" t="s">
        <v>634</v>
      </c>
      <c r="C221" s="751" t="s">
        <v>1315</v>
      </c>
      <c r="D221" s="991"/>
      <c r="E221" s="942"/>
      <c r="F221" s="942"/>
      <c r="G221" s="1086"/>
      <c r="H221" s="1118">
        <v>0</v>
      </c>
      <c r="I221" s="958"/>
      <c r="J221" s="958"/>
      <c r="K221" s="958"/>
      <c r="L221" s="958"/>
      <c r="M221" s="958"/>
      <c r="N221" s="974">
        <v>0</v>
      </c>
      <c r="O221" s="948">
        <v>0</v>
      </c>
      <c r="P221" s="947">
        <v>0</v>
      </c>
      <c r="Q221" s="946">
        <v>0</v>
      </c>
      <c r="R221" s="1115">
        <v>0</v>
      </c>
      <c r="S221" s="947">
        <v>0</v>
      </c>
      <c r="T221" s="946">
        <v>0</v>
      </c>
      <c r="U221" s="947">
        <v>0</v>
      </c>
      <c r="V221" s="947">
        <v>0</v>
      </c>
      <c r="W221" s="946">
        <v>0</v>
      </c>
      <c r="X221" s="946">
        <v>0</v>
      </c>
      <c r="Y221" s="946">
        <v>0</v>
      </c>
      <c r="Z221" s="946">
        <v>0</v>
      </c>
      <c r="AA221" s="945">
        <v>0</v>
      </c>
      <c r="AB221" s="945">
        <v>0</v>
      </c>
      <c r="AC221" s="948"/>
      <c r="AD221" s="948"/>
      <c r="AE221" s="948"/>
      <c r="AF221" s="948"/>
      <c r="AG221" s="948"/>
      <c r="AH221" s="948"/>
      <c r="AI221" s="948"/>
      <c r="AJ221" s="948"/>
      <c r="AK221" s="948"/>
      <c r="AL221" s="948"/>
      <c r="AM221" s="948"/>
      <c r="AN221" s="948"/>
      <c r="AO221" s="945">
        <v>0</v>
      </c>
      <c r="AP221" s="959" t="s">
        <v>1308</v>
      </c>
      <c r="AQ221" s="950"/>
      <c r="AR221" s="950"/>
      <c r="AS221" s="950"/>
      <c r="AT221" s="950"/>
      <c r="AU221" s="950"/>
      <c r="AV221" s="1119"/>
      <c r="AW221" s="950">
        <v>0</v>
      </c>
      <c r="AX221" s="950">
        <v>0</v>
      </c>
      <c r="AY221" s="956"/>
      <c r="AZ221" s="956"/>
      <c r="BA221" s="956"/>
    </row>
    <row r="222" spans="1:53">
      <c r="A222" s="872" t="s">
        <v>1369</v>
      </c>
      <c r="B222" s="574" t="s">
        <v>636</v>
      </c>
      <c r="C222" s="751" t="s">
        <v>1316</v>
      </c>
      <c r="D222" s="991"/>
      <c r="E222" s="942"/>
      <c r="F222" s="942"/>
      <c r="G222" s="1086"/>
      <c r="H222" s="1118">
        <v>0</v>
      </c>
      <c r="I222" s="958"/>
      <c r="J222" s="958"/>
      <c r="K222" s="958"/>
      <c r="L222" s="958"/>
      <c r="M222" s="958"/>
      <c r="N222" s="974">
        <v>0</v>
      </c>
      <c r="O222" s="948">
        <v>0</v>
      </c>
      <c r="P222" s="947">
        <v>0</v>
      </c>
      <c r="Q222" s="946">
        <v>0</v>
      </c>
      <c r="R222" s="1115">
        <v>0</v>
      </c>
      <c r="S222" s="947">
        <v>0</v>
      </c>
      <c r="T222" s="946">
        <v>0</v>
      </c>
      <c r="U222" s="947">
        <v>0</v>
      </c>
      <c r="V222" s="947">
        <v>0</v>
      </c>
      <c r="W222" s="946">
        <v>0</v>
      </c>
      <c r="X222" s="946">
        <v>0</v>
      </c>
      <c r="Y222" s="946">
        <v>0</v>
      </c>
      <c r="Z222" s="946">
        <v>0</v>
      </c>
      <c r="AA222" s="945">
        <v>0</v>
      </c>
      <c r="AB222" s="945">
        <v>0</v>
      </c>
      <c r="AC222" s="948"/>
      <c r="AD222" s="948"/>
      <c r="AE222" s="948"/>
      <c r="AF222" s="948"/>
      <c r="AG222" s="948"/>
      <c r="AH222" s="948"/>
      <c r="AI222" s="948"/>
      <c r="AJ222" s="948"/>
      <c r="AK222" s="948"/>
      <c r="AL222" s="948"/>
      <c r="AM222" s="948"/>
      <c r="AN222" s="948"/>
      <c r="AO222" s="945">
        <v>0</v>
      </c>
      <c r="AP222" s="959" t="s">
        <v>1308</v>
      </c>
      <c r="AQ222" s="950"/>
      <c r="AR222" s="950"/>
      <c r="AS222" s="950"/>
      <c r="AT222" s="950"/>
      <c r="AU222" s="950"/>
      <c r="AV222" s="1119"/>
      <c r="AW222" s="950">
        <v>0</v>
      </c>
      <c r="AX222" s="950">
        <v>0</v>
      </c>
      <c r="AY222" s="956"/>
      <c r="AZ222" s="956"/>
      <c r="BA222" s="956"/>
    </row>
    <row r="223" spans="1:53">
      <c r="A223" s="872" t="s">
        <v>1369</v>
      </c>
      <c r="B223" s="574" t="s">
        <v>647</v>
      </c>
      <c r="C223" s="751" t="s">
        <v>1324</v>
      </c>
      <c r="D223" s="991"/>
      <c r="E223" s="942"/>
      <c r="F223" s="942"/>
      <c r="G223" s="1086"/>
      <c r="H223" s="1118">
        <v>0</v>
      </c>
      <c r="I223" s="958"/>
      <c r="J223" s="958"/>
      <c r="K223" s="958"/>
      <c r="L223" s="958"/>
      <c r="M223" s="958"/>
      <c r="N223" s="974">
        <v>0</v>
      </c>
      <c r="O223" s="948">
        <v>0</v>
      </c>
      <c r="P223" s="947">
        <v>0</v>
      </c>
      <c r="Q223" s="946">
        <v>0</v>
      </c>
      <c r="R223" s="1115">
        <v>0</v>
      </c>
      <c r="S223" s="947">
        <v>0</v>
      </c>
      <c r="T223" s="946">
        <v>0</v>
      </c>
      <c r="U223" s="947">
        <v>0</v>
      </c>
      <c r="V223" s="947">
        <v>0</v>
      </c>
      <c r="W223" s="946">
        <v>0</v>
      </c>
      <c r="X223" s="946">
        <v>0</v>
      </c>
      <c r="Y223" s="946">
        <v>0</v>
      </c>
      <c r="Z223" s="946">
        <v>0</v>
      </c>
      <c r="AA223" s="945">
        <v>0</v>
      </c>
      <c r="AB223" s="945">
        <v>0</v>
      </c>
      <c r="AC223" s="948"/>
      <c r="AD223" s="948"/>
      <c r="AE223" s="948"/>
      <c r="AF223" s="948"/>
      <c r="AG223" s="948"/>
      <c r="AH223" s="948"/>
      <c r="AI223" s="948"/>
      <c r="AJ223" s="948"/>
      <c r="AK223" s="948"/>
      <c r="AL223" s="948"/>
      <c r="AM223" s="948"/>
      <c r="AN223" s="948"/>
      <c r="AO223" s="945">
        <v>0</v>
      </c>
      <c r="AP223" s="959" t="s">
        <v>1308</v>
      </c>
      <c r="AQ223" s="950"/>
      <c r="AR223" s="950"/>
      <c r="AS223" s="950"/>
      <c r="AT223" s="950"/>
      <c r="AU223" s="950"/>
      <c r="AV223" s="1119"/>
      <c r="AW223" s="950">
        <v>0</v>
      </c>
      <c r="AX223" s="950">
        <v>0</v>
      </c>
    </row>
    <row r="224" spans="1:53">
      <c r="A224" s="872" t="s">
        <v>1369</v>
      </c>
      <c r="B224" s="574" t="s">
        <v>651</v>
      </c>
      <c r="C224" s="751" t="s">
        <v>1326</v>
      </c>
      <c r="D224" s="991"/>
      <c r="E224" s="942"/>
      <c r="F224" s="942"/>
      <c r="G224" s="1086"/>
      <c r="H224" s="1118">
        <v>0</v>
      </c>
      <c r="I224" s="958"/>
      <c r="J224" s="958"/>
      <c r="K224" s="958"/>
      <c r="L224" s="958"/>
      <c r="M224" s="958"/>
      <c r="N224" s="974">
        <v>0</v>
      </c>
      <c r="O224" s="948">
        <v>0</v>
      </c>
      <c r="P224" s="947">
        <v>0</v>
      </c>
      <c r="Q224" s="946">
        <v>0</v>
      </c>
      <c r="R224" s="1115">
        <v>0</v>
      </c>
      <c r="S224" s="947">
        <v>0</v>
      </c>
      <c r="T224" s="946">
        <v>0</v>
      </c>
      <c r="U224" s="947">
        <v>0</v>
      </c>
      <c r="V224" s="947">
        <v>0</v>
      </c>
      <c r="W224" s="946">
        <v>0</v>
      </c>
      <c r="X224" s="946">
        <v>0</v>
      </c>
      <c r="Y224" s="946">
        <v>0</v>
      </c>
      <c r="Z224" s="946">
        <v>0</v>
      </c>
      <c r="AA224" s="945">
        <v>0</v>
      </c>
      <c r="AB224" s="945">
        <v>0</v>
      </c>
      <c r="AC224" s="948"/>
      <c r="AD224" s="948"/>
      <c r="AE224" s="948"/>
      <c r="AF224" s="948"/>
      <c r="AG224" s="948"/>
      <c r="AH224" s="948"/>
      <c r="AI224" s="948"/>
      <c r="AJ224" s="948"/>
      <c r="AK224" s="948"/>
      <c r="AL224" s="948"/>
      <c r="AM224" s="948"/>
      <c r="AN224" s="948"/>
      <c r="AO224" s="945">
        <v>0</v>
      </c>
      <c r="AP224" s="959" t="s">
        <v>1308</v>
      </c>
      <c r="AQ224" s="950"/>
      <c r="AR224" s="950"/>
      <c r="AS224" s="950"/>
      <c r="AT224" s="950"/>
      <c r="AU224" s="950"/>
      <c r="AV224" s="1119"/>
      <c r="AW224" s="950">
        <v>0</v>
      </c>
      <c r="AX224" s="950">
        <v>0</v>
      </c>
    </row>
    <row r="225" spans="1:50">
      <c r="A225" s="872" t="s">
        <v>1369</v>
      </c>
      <c r="B225" s="994" t="s">
        <v>1251</v>
      </c>
      <c r="C225" s="995" t="s">
        <v>1327</v>
      </c>
      <c r="D225" s="991"/>
      <c r="E225" s="942"/>
      <c r="F225" s="942"/>
      <c r="G225" s="1086"/>
      <c r="H225" s="1118">
        <v>0</v>
      </c>
      <c r="I225" s="958"/>
      <c r="J225" s="958"/>
      <c r="K225" s="958"/>
      <c r="L225" s="958"/>
      <c r="M225" s="958"/>
      <c r="N225" s="974">
        <v>0</v>
      </c>
      <c r="O225" s="948">
        <v>0</v>
      </c>
      <c r="P225" s="947">
        <v>0</v>
      </c>
      <c r="Q225" s="946">
        <v>0</v>
      </c>
      <c r="R225" s="1115">
        <v>0</v>
      </c>
      <c r="S225" s="947">
        <v>0</v>
      </c>
      <c r="T225" s="946">
        <v>0</v>
      </c>
      <c r="U225" s="947">
        <v>0</v>
      </c>
      <c r="V225" s="947">
        <v>0</v>
      </c>
      <c r="W225" s="946">
        <v>0</v>
      </c>
      <c r="X225" s="946">
        <v>0</v>
      </c>
      <c r="Y225" s="946">
        <v>0</v>
      </c>
      <c r="Z225" s="946">
        <v>0</v>
      </c>
      <c r="AA225" s="945">
        <v>0</v>
      </c>
      <c r="AB225" s="945">
        <v>0</v>
      </c>
      <c r="AC225" s="948"/>
      <c r="AD225" s="948"/>
      <c r="AE225" s="948"/>
      <c r="AF225" s="948"/>
      <c r="AG225" s="948"/>
      <c r="AH225" s="948"/>
      <c r="AI225" s="948"/>
      <c r="AJ225" s="948"/>
      <c r="AK225" s="948"/>
      <c r="AL225" s="948"/>
      <c r="AM225" s="948"/>
      <c r="AN225" s="948"/>
      <c r="AO225" s="945">
        <v>0</v>
      </c>
      <c r="AP225" s="959" t="s">
        <v>1308</v>
      </c>
      <c r="AQ225" s="950"/>
      <c r="AR225" s="950"/>
      <c r="AS225" s="950"/>
      <c r="AT225" s="950"/>
      <c r="AU225" s="950"/>
      <c r="AV225" s="1119"/>
      <c r="AW225" s="950">
        <v>0</v>
      </c>
      <c r="AX225" s="950">
        <v>0</v>
      </c>
    </row>
    <row r="226" spans="1:50">
      <c r="A226" s="872" t="s">
        <v>1423</v>
      </c>
      <c r="B226" s="994" t="s">
        <v>656</v>
      </c>
      <c r="C226" s="751" t="s">
        <v>1328</v>
      </c>
      <c r="D226" s="991"/>
      <c r="E226" s="942"/>
      <c r="F226" s="942"/>
      <c r="G226" s="1086"/>
      <c r="H226" s="1118">
        <v>0</v>
      </c>
      <c r="I226" s="991"/>
      <c r="J226" s="991"/>
      <c r="K226" s="991"/>
      <c r="L226" s="991"/>
      <c r="M226" s="991"/>
      <c r="N226" s="960">
        <v>0</v>
      </c>
      <c r="O226" s="948">
        <v>0</v>
      </c>
      <c r="P226" s="947">
        <v>0</v>
      </c>
      <c r="Q226" s="946">
        <v>0</v>
      </c>
      <c r="R226" s="1115">
        <v>0</v>
      </c>
      <c r="S226" s="947">
        <v>0</v>
      </c>
      <c r="T226" s="946">
        <v>0</v>
      </c>
      <c r="U226" s="947">
        <v>0</v>
      </c>
      <c r="V226" s="947">
        <v>0</v>
      </c>
      <c r="W226" s="946">
        <v>0</v>
      </c>
      <c r="X226" s="946">
        <v>0</v>
      </c>
      <c r="Y226" s="946">
        <v>0</v>
      </c>
      <c r="Z226" s="946">
        <v>0</v>
      </c>
      <c r="AA226" s="945">
        <v>0</v>
      </c>
      <c r="AB226" s="945">
        <v>0</v>
      </c>
      <c r="AC226" s="948"/>
      <c r="AD226" s="991"/>
      <c r="AE226" s="991"/>
      <c r="AF226" s="991"/>
      <c r="AG226" s="991"/>
      <c r="AH226" s="991"/>
      <c r="AI226" s="991"/>
      <c r="AJ226" s="991"/>
      <c r="AK226" s="991"/>
      <c r="AL226" s="991"/>
      <c r="AM226" s="991"/>
      <c r="AN226" s="991"/>
      <c r="AO226" s="945">
        <v>0</v>
      </c>
      <c r="AP226" s="959" t="s">
        <v>1308</v>
      </c>
      <c r="AQ226" s="950"/>
      <c r="AR226" s="950"/>
      <c r="AS226" s="950"/>
      <c r="AT226" s="950"/>
      <c r="AU226" s="950"/>
      <c r="AV226" s="1119"/>
      <c r="AW226" s="950">
        <v>0</v>
      </c>
      <c r="AX226" s="950">
        <v>0</v>
      </c>
    </row>
    <row r="227" spans="1:50">
      <c r="A227" s="872" t="s">
        <v>1424</v>
      </c>
      <c r="B227" s="994" t="s">
        <v>657</v>
      </c>
      <c r="C227" s="751" t="s">
        <v>1329</v>
      </c>
      <c r="D227" s="991"/>
      <c r="E227" s="942"/>
      <c r="F227" s="942"/>
      <c r="G227" s="1086"/>
      <c r="H227" s="1118">
        <v>0</v>
      </c>
      <c r="I227" s="991"/>
      <c r="J227" s="991"/>
      <c r="K227" s="991"/>
      <c r="L227" s="991"/>
      <c r="M227" s="991"/>
      <c r="N227" s="960">
        <v>0</v>
      </c>
      <c r="O227" s="948"/>
      <c r="P227" s="947"/>
      <c r="Q227" s="946"/>
      <c r="R227" s="1115"/>
      <c r="S227" s="947"/>
      <c r="T227" s="946"/>
      <c r="U227" s="947"/>
      <c r="V227" s="947"/>
      <c r="W227" s="946"/>
      <c r="X227" s="946"/>
      <c r="Y227" s="946"/>
      <c r="Z227" s="946"/>
      <c r="AA227" s="945">
        <v>0</v>
      </c>
      <c r="AB227" s="945">
        <v>0</v>
      </c>
      <c r="AC227" s="948"/>
      <c r="AD227" s="991"/>
      <c r="AE227" s="991"/>
      <c r="AF227" s="991"/>
      <c r="AG227" s="991"/>
      <c r="AH227" s="991"/>
      <c r="AI227" s="991"/>
      <c r="AJ227" s="991"/>
      <c r="AK227" s="991"/>
      <c r="AL227" s="991"/>
      <c r="AM227" s="991"/>
      <c r="AN227" s="991"/>
      <c r="AO227" s="945">
        <v>0</v>
      </c>
      <c r="AP227" s="959" t="s">
        <v>1308</v>
      </c>
      <c r="AQ227" s="950"/>
      <c r="AR227" s="950"/>
      <c r="AS227" s="950"/>
      <c r="AT227" s="950"/>
      <c r="AU227" s="950"/>
      <c r="AV227" s="1119"/>
      <c r="AW227" s="950">
        <v>0</v>
      </c>
      <c r="AX227" s="950">
        <v>0</v>
      </c>
    </row>
    <row r="228" spans="1:50">
      <c r="A228" s="872" t="s">
        <v>1425</v>
      </c>
      <c r="B228" s="994" t="s">
        <v>659</v>
      </c>
      <c r="C228" s="751" t="s">
        <v>1330</v>
      </c>
      <c r="D228" s="991"/>
      <c r="E228" s="942"/>
      <c r="F228" s="942"/>
      <c r="G228" s="1086"/>
      <c r="H228" s="1118">
        <v>0</v>
      </c>
      <c r="I228" s="991"/>
      <c r="J228" s="991"/>
      <c r="K228" s="991"/>
      <c r="L228" s="991"/>
      <c r="M228" s="991"/>
      <c r="N228" s="960">
        <v>0</v>
      </c>
      <c r="O228" s="948">
        <v>0</v>
      </c>
      <c r="P228" s="947">
        <v>0</v>
      </c>
      <c r="Q228" s="946">
        <v>0</v>
      </c>
      <c r="R228" s="1115">
        <v>0</v>
      </c>
      <c r="S228" s="947">
        <v>0</v>
      </c>
      <c r="T228" s="946">
        <v>0</v>
      </c>
      <c r="U228" s="947">
        <v>0</v>
      </c>
      <c r="V228" s="947">
        <v>0</v>
      </c>
      <c r="W228" s="946">
        <v>0</v>
      </c>
      <c r="X228" s="946">
        <v>0</v>
      </c>
      <c r="Y228" s="946">
        <v>0</v>
      </c>
      <c r="Z228" s="946">
        <v>0</v>
      </c>
      <c r="AA228" s="945">
        <v>0</v>
      </c>
      <c r="AB228" s="945">
        <v>0</v>
      </c>
      <c r="AC228" s="948"/>
      <c r="AD228" s="948"/>
      <c r="AE228" s="948"/>
      <c r="AF228" s="948"/>
      <c r="AG228" s="948"/>
      <c r="AH228" s="948"/>
      <c r="AI228" s="948"/>
      <c r="AJ228" s="948"/>
      <c r="AK228" s="948"/>
      <c r="AL228" s="948"/>
      <c r="AM228" s="948"/>
      <c r="AN228" s="948"/>
      <c r="AO228" s="945">
        <v>0</v>
      </c>
      <c r="AP228" s="959" t="s">
        <v>1308</v>
      </c>
      <c r="AQ228" s="950"/>
      <c r="AR228" s="950"/>
      <c r="AS228" s="950"/>
      <c r="AT228" s="950"/>
      <c r="AU228" s="950"/>
      <c r="AV228" s="1119"/>
      <c r="AW228" s="950">
        <v>0</v>
      </c>
      <c r="AX228" s="950">
        <v>0</v>
      </c>
    </row>
    <row r="229" spans="1:50">
      <c r="A229" s="872" t="s">
        <v>1426</v>
      </c>
      <c r="B229" s="994" t="s">
        <v>661</v>
      </c>
      <c r="C229" s="751" t="s">
        <v>1331</v>
      </c>
      <c r="D229" s="991"/>
      <c r="E229" s="942"/>
      <c r="F229" s="942"/>
      <c r="G229" s="1086"/>
      <c r="H229" s="1118">
        <v>0</v>
      </c>
      <c r="I229" s="991"/>
      <c r="J229" s="991"/>
      <c r="K229" s="991"/>
      <c r="L229" s="991"/>
      <c r="M229" s="991"/>
      <c r="N229" s="960">
        <v>0</v>
      </c>
      <c r="O229" s="948">
        <v>0</v>
      </c>
      <c r="P229" s="947">
        <v>0</v>
      </c>
      <c r="Q229" s="946">
        <v>0</v>
      </c>
      <c r="R229" s="1115">
        <v>0</v>
      </c>
      <c r="S229" s="947">
        <v>0</v>
      </c>
      <c r="T229" s="946">
        <v>0</v>
      </c>
      <c r="U229" s="947">
        <v>0</v>
      </c>
      <c r="V229" s="947">
        <v>0</v>
      </c>
      <c r="W229" s="946">
        <v>0</v>
      </c>
      <c r="X229" s="946">
        <v>0</v>
      </c>
      <c r="Y229" s="946">
        <v>0</v>
      </c>
      <c r="Z229" s="946">
        <v>0</v>
      </c>
      <c r="AA229" s="945">
        <v>0</v>
      </c>
      <c r="AB229" s="945">
        <v>0</v>
      </c>
      <c r="AC229" s="948"/>
      <c r="AD229" s="948"/>
      <c r="AE229" s="948"/>
      <c r="AF229" s="948"/>
      <c r="AG229" s="948"/>
      <c r="AH229" s="948"/>
      <c r="AI229" s="948"/>
      <c r="AJ229" s="948"/>
      <c r="AK229" s="948"/>
      <c r="AL229" s="948"/>
      <c r="AM229" s="948"/>
      <c r="AN229" s="948"/>
      <c r="AO229" s="945">
        <v>0</v>
      </c>
      <c r="AP229" s="959" t="s">
        <v>1308</v>
      </c>
      <c r="AQ229" s="950"/>
      <c r="AR229" s="950"/>
      <c r="AS229" s="950"/>
      <c r="AT229" s="950"/>
      <c r="AU229" s="950"/>
      <c r="AV229" s="1119"/>
      <c r="AW229" s="950">
        <v>0</v>
      </c>
      <c r="AX229" s="950">
        <v>0</v>
      </c>
    </row>
    <row r="230" spans="1:50">
      <c r="A230" s="872" t="s">
        <v>1427</v>
      </c>
      <c r="B230" s="994" t="s">
        <v>663</v>
      </c>
      <c r="C230" s="995" t="s">
        <v>1332</v>
      </c>
      <c r="D230" s="991"/>
      <c r="E230" s="942"/>
      <c r="F230" s="942"/>
      <c r="G230" s="1086"/>
      <c r="H230" s="1118">
        <v>0</v>
      </c>
      <c r="I230" s="991"/>
      <c r="J230" s="991"/>
      <c r="K230" s="991"/>
      <c r="L230" s="991"/>
      <c r="M230" s="991"/>
      <c r="N230" s="960">
        <v>0</v>
      </c>
      <c r="O230" s="948">
        <v>0</v>
      </c>
      <c r="P230" s="947">
        <v>0</v>
      </c>
      <c r="Q230" s="946">
        <v>0</v>
      </c>
      <c r="R230" s="1115">
        <v>0</v>
      </c>
      <c r="S230" s="947">
        <v>0</v>
      </c>
      <c r="T230" s="946">
        <v>0</v>
      </c>
      <c r="U230" s="947">
        <v>0</v>
      </c>
      <c r="V230" s="947">
        <v>0</v>
      </c>
      <c r="W230" s="946">
        <v>0</v>
      </c>
      <c r="X230" s="946">
        <v>0</v>
      </c>
      <c r="Y230" s="946">
        <v>0</v>
      </c>
      <c r="Z230" s="946">
        <v>0</v>
      </c>
      <c r="AA230" s="945">
        <v>0</v>
      </c>
      <c r="AB230" s="945">
        <v>0</v>
      </c>
      <c r="AC230" s="948"/>
      <c r="AD230" s="948"/>
      <c r="AE230" s="948"/>
      <c r="AF230" s="948"/>
      <c r="AG230" s="948"/>
      <c r="AH230" s="948"/>
      <c r="AI230" s="948"/>
      <c r="AJ230" s="948"/>
      <c r="AK230" s="948"/>
      <c r="AL230" s="948"/>
      <c r="AM230" s="948"/>
      <c r="AN230" s="948"/>
      <c r="AO230" s="945">
        <v>0</v>
      </c>
      <c r="AP230" s="959" t="s">
        <v>1308</v>
      </c>
      <c r="AQ230" s="950"/>
      <c r="AR230" s="950"/>
      <c r="AS230" s="950"/>
      <c r="AT230" s="950"/>
      <c r="AU230" s="950"/>
      <c r="AV230" s="1119"/>
      <c r="AW230" s="950">
        <v>0</v>
      </c>
      <c r="AX230" s="950">
        <v>0</v>
      </c>
    </row>
    <row r="231" spans="1:50">
      <c r="A231" s="872" t="s">
        <v>1428</v>
      </c>
      <c r="B231" s="994" t="s">
        <v>665</v>
      </c>
      <c r="C231" s="995" t="s">
        <v>1333</v>
      </c>
      <c r="D231" s="991"/>
      <c r="E231" s="942"/>
      <c r="F231" s="942"/>
      <c r="G231" s="1086"/>
      <c r="H231" s="1118">
        <v>0</v>
      </c>
      <c r="I231" s="2448"/>
      <c r="J231" s="2448"/>
      <c r="K231" s="2448"/>
      <c r="L231" s="2448"/>
      <c r="M231" s="2448"/>
      <c r="N231" s="1107">
        <v>0</v>
      </c>
      <c r="O231" s="948">
        <v>0</v>
      </c>
      <c r="P231" s="947">
        <v>0</v>
      </c>
      <c r="Q231" s="946">
        <v>0</v>
      </c>
      <c r="R231" s="1115">
        <v>0</v>
      </c>
      <c r="S231" s="947">
        <v>0</v>
      </c>
      <c r="T231" s="946">
        <v>0</v>
      </c>
      <c r="U231" s="947">
        <v>0</v>
      </c>
      <c r="V231" s="947">
        <v>0</v>
      </c>
      <c r="W231" s="946">
        <v>0</v>
      </c>
      <c r="X231" s="946">
        <v>0</v>
      </c>
      <c r="Y231" s="946">
        <v>0</v>
      </c>
      <c r="Z231" s="946">
        <v>0</v>
      </c>
      <c r="AA231" s="945">
        <v>0</v>
      </c>
      <c r="AB231" s="945">
        <v>0</v>
      </c>
      <c r="AC231" s="948">
        <v>0</v>
      </c>
      <c r="AD231" s="948"/>
      <c r="AE231" s="948"/>
      <c r="AF231" s="948"/>
      <c r="AG231" s="948"/>
      <c r="AH231" s="948"/>
      <c r="AI231" s="948"/>
      <c r="AJ231" s="948"/>
      <c r="AK231" s="948"/>
      <c r="AL231" s="948"/>
      <c r="AM231" s="948"/>
      <c r="AN231" s="948"/>
      <c r="AO231" s="945">
        <v>0</v>
      </c>
      <c r="AP231" s="959" t="s">
        <v>1308</v>
      </c>
      <c r="AQ231" s="950"/>
      <c r="AR231" s="950"/>
      <c r="AS231" s="950"/>
      <c r="AT231" s="950"/>
      <c r="AU231" s="950"/>
      <c r="AV231" s="1119"/>
      <c r="AW231" s="950">
        <v>0</v>
      </c>
      <c r="AX231" s="950">
        <v>0</v>
      </c>
    </row>
    <row r="232" spans="1:50">
      <c r="B232" s="1108"/>
      <c r="C232" s="1108" t="s">
        <v>1252</v>
      </c>
      <c r="D232" s="1109">
        <v>0</v>
      </c>
      <c r="E232" s="1109">
        <v>0</v>
      </c>
      <c r="F232" s="1109">
        <v>0</v>
      </c>
      <c r="G232" s="1109">
        <v>0</v>
      </c>
      <c r="H232" s="1109">
        <v>0</v>
      </c>
      <c r="I232" s="2448"/>
      <c r="J232" s="2448"/>
      <c r="K232" s="2448"/>
      <c r="L232" s="2448"/>
      <c r="M232" s="2448"/>
      <c r="N232" s="1123">
        <v>0</v>
      </c>
      <c r="O232" s="1109">
        <v>0</v>
      </c>
      <c r="P232" s="1109">
        <v>0</v>
      </c>
      <c r="Q232" s="1116">
        <v>0</v>
      </c>
      <c r="R232" s="1117">
        <v>0</v>
      </c>
      <c r="S232" s="1112">
        <v>0</v>
      </c>
      <c r="T232" s="1111">
        <v>0</v>
      </c>
      <c r="U232" s="1113">
        <v>0</v>
      </c>
      <c r="V232" s="1113">
        <v>0</v>
      </c>
      <c r="W232" s="1111">
        <v>0</v>
      </c>
      <c r="X232" s="1110">
        <v>0</v>
      </c>
      <c r="Y232" s="1110">
        <v>0</v>
      </c>
      <c r="Z232" s="1110">
        <v>0</v>
      </c>
      <c r="AA232" s="1110">
        <v>0</v>
      </c>
      <c r="AB232" s="1110">
        <v>0</v>
      </c>
      <c r="AC232" s="1110">
        <v>0</v>
      </c>
      <c r="AD232" s="1110">
        <v>0</v>
      </c>
      <c r="AE232" s="1110">
        <v>0</v>
      </c>
      <c r="AF232" s="1110">
        <v>0</v>
      </c>
      <c r="AG232" s="1110">
        <v>0</v>
      </c>
      <c r="AH232" s="1110">
        <v>0</v>
      </c>
      <c r="AI232" s="1110">
        <v>0</v>
      </c>
      <c r="AJ232" s="1110">
        <v>0</v>
      </c>
      <c r="AK232" s="1110">
        <v>0</v>
      </c>
      <c r="AL232" s="1110">
        <v>0</v>
      </c>
      <c r="AM232" s="1110">
        <v>0</v>
      </c>
      <c r="AN232" s="1110">
        <v>0</v>
      </c>
      <c r="AO232" s="1110">
        <v>0</v>
      </c>
      <c r="AP232" s="1114"/>
      <c r="AQ232" s="1109">
        <v>0</v>
      </c>
      <c r="AR232" s="1109">
        <v>0</v>
      </c>
      <c r="AS232" s="1109">
        <v>0</v>
      </c>
      <c r="AT232" s="1109">
        <v>0</v>
      </c>
      <c r="AU232" s="1109">
        <v>0</v>
      </c>
      <c r="AV232" s="1119"/>
      <c r="AW232" s="950">
        <v>0</v>
      </c>
      <c r="AX232" s="950">
        <v>0</v>
      </c>
    </row>
    <row r="233" spans="1:50">
      <c r="A233" s="958"/>
      <c r="B233" s="958"/>
      <c r="C233" s="958"/>
      <c r="D233" s="958"/>
      <c r="E233" s="958"/>
      <c r="F233" s="958"/>
      <c r="G233" s="958"/>
      <c r="H233" s="958"/>
      <c r="I233" s="958"/>
      <c r="J233" s="958"/>
      <c r="K233" s="958"/>
      <c r="L233" s="958"/>
      <c r="M233" s="958"/>
      <c r="N233" s="1088"/>
      <c r="O233" s="958"/>
      <c r="P233" s="958"/>
      <c r="Q233" s="958"/>
      <c r="R233" s="958"/>
      <c r="S233" s="958"/>
      <c r="T233" s="958"/>
      <c r="U233" s="1124"/>
      <c r="V233" s="1124"/>
      <c r="W233" s="958"/>
      <c r="X233" s="958"/>
      <c r="Y233" s="958"/>
      <c r="Z233" s="958"/>
      <c r="AA233" s="958"/>
      <c r="AB233" s="958"/>
      <c r="AC233" s="958"/>
      <c r="AD233" s="958"/>
      <c r="AE233" s="958"/>
      <c r="AF233" s="958"/>
      <c r="AG233" s="958"/>
      <c r="AH233" s="958"/>
      <c r="AI233" s="958"/>
      <c r="AJ233" s="958"/>
      <c r="AK233" s="958"/>
      <c r="AL233" s="958"/>
      <c r="AM233" s="958"/>
      <c r="AN233" s="958"/>
      <c r="AP233" s="958"/>
      <c r="AQ233" s="958"/>
      <c r="AR233" s="958"/>
      <c r="AS233" s="958"/>
      <c r="AT233" s="958"/>
      <c r="AU233" s="958"/>
      <c r="AV233" s="1088"/>
      <c r="AW233" s="958"/>
    </row>
    <row r="234" spans="1:50">
      <c r="A234" s="958"/>
      <c r="B234" s="958"/>
      <c r="C234" s="958"/>
      <c r="D234" s="958"/>
      <c r="E234" s="958"/>
      <c r="F234" s="958"/>
      <c r="G234" s="958"/>
      <c r="H234" s="958"/>
      <c r="I234" s="958"/>
      <c r="J234" s="958"/>
      <c r="K234" s="958"/>
      <c r="L234" s="958"/>
      <c r="M234" s="958"/>
      <c r="N234" s="1088"/>
      <c r="O234" s="958"/>
      <c r="P234" s="958"/>
      <c r="Q234" s="958"/>
      <c r="R234" s="958"/>
      <c r="S234" s="958"/>
      <c r="T234" s="958"/>
      <c r="U234" s="1124"/>
      <c r="V234" s="1124"/>
      <c r="W234" s="958"/>
      <c r="X234" s="958"/>
      <c r="Y234" s="958"/>
      <c r="Z234" s="958"/>
      <c r="AA234" s="958"/>
      <c r="AB234" s="958"/>
      <c r="AC234" s="958"/>
      <c r="AD234" s="958"/>
      <c r="AE234" s="958"/>
      <c r="AF234" s="958"/>
      <c r="AG234" s="958"/>
      <c r="AH234" s="958"/>
      <c r="AI234" s="958"/>
      <c r="AJ234" s="958"/>
      <c r="AK234" s="958"/>
      <c r="AL234" s="958"/>
      <c r="AM234" s="958"/>
      <c r="AN234" s="958"/>
      <c r="AP234" s="958"/>
      <c r="AQ234" s="958"/>
      <c r="AR234" s="958"/>
      <c r="AS234" s="958"/>
      <c r="AT234" s="958"/>
      <c r="AU234" s="958"/>
      <c r="AV234" s="1088"/>
      <c r="AW234" s="958"/>
    </row>
    <row r="235" spans="1:50">
      <c r="A235" s="958"/>
      <c r="B235" s="958"/>
      <c r="C235" s="958"/>
      <c r="D235" s="958"/>
      <c r="E235" s="958"/>
      <c r="F235" s="958"/>
      <c r="G235" s="958"/>
      <c r="H235" s="958"/>
      <c r="I235" s="958"/>
      <c r="J235" s="958"/>
      <c r="K235" s="958"/>
      <c r="L235" s="958"/>
      <c r="M235" s="958"/>
      <c r="N235" s="1088"/>
      <c r="O235" s="958"/>
      <c r="P235" s="958"/>
      <c r="Q235" s="958"/>
      <c r="R235" s="958"/>
      <c r="S235" s="958"/>
      <c r="T235" s="958"/>
      <c r="U235" s="1124"/>
      <c r="V235" s="1124"/>
      <c r="W235" s="958"/>
      <c r="X235" s="958"/>
      <c r="Y235" s="958"/>
      <c r="Z235" s="958"/>
      <c r="AA235" s="958"/>
      <c r="AB235" s="958"/>
      <c r="AC235" s="958"/>
      <c r="AD235" s="958"/>
      <c r="AE235" s="958"/>
      <c r="AF235" s="958"/>
      <c r="AG235" s="958"/>
      <c r="AH235" s="958"/>
      <c r="AI235" s="958"/>
      <c r="AJ235" s="958"/>
      <c r="AK235" s="958"/>
      <c r="AL235" s="958"/>
      <c r="AM235" s="958"/>
      <c r="AN235" s="958"/>
      <c r="AP235" s="958"/>
      <c r="AQ235" s="958"/>
      <c r="AR235" s="958"/>
      <c r="AS235" s="958"/>
      <c r="AT235" s="958"/>
      <c r="AU235" s="958"/>
      <c r="AV235" s="1088"/>
      <c r="AW235" s="958"/>
    </row>
    <row r="236" spans="1:50">
      <c r="A236" s="958"/>
      <c r="B236" s="958"/>
      <c r="C236" s="958"/>
      <c r="D236" s="958"/>
      <c r="E236" s="958"/>
      <c r="F236" s="958"/>
      <c r="G236" s="958"/>
      <c r="H236" s="958"/>
      <c r="I236" s="958"/>
      <c r="J236" s="958"/>
      <c r="K236" s="958"/>
      <c r="L236" s="958"/>
      <c r="M236" s="958"/>
      <c r="N236" s="1088"/>
      <c r="O236" s="958"/>
      <c r="P236" s="958"/>
      <c r="Q236" s="958"/>
      <c r="R236" s="958"/>
      <c r="S236" s="958"/>
      <c r="T236" s="958"/>
      <c r="U236" s="958"/>
      <c r="V236" s="958"/>
      <c r="W236" s="958"/>
      <c r="X236" s="958"/>
      <c r="Y236" s="958"/>
      <c r="Z236" s="958"/>
      <c r="AA236" s="958"/>
      <c r="AB236" s="958"/>
      <c r="AC236" s="958"/>
      <c r="AD236" s="958"/>
      <c r="AE236" s="958"/>
      <c r="AF236" s="958"/>
      <c r="AG236" s="958"/>
      <c r="AH236" s="958"/>
      <c r="AI236" s="958"/>
      <c r="AJ236" s="958"/>
      <c r="AK236" s="958"/>
      <c r="AL236" s="958"/>
      <c r="AM236" s="958"/>
      <c r="AN236" s="958"/>
      <c r="AP236" s="958"/>
      <c r="AQ236" s="958"/>
      <c r="AR236" s="958"/>
      <c r="AS236" s="958"/>
      <c r="AT236" s="958"/>
      <c r="AU236" s="958"/>
      <c r="AV236" s="1088"/>
      <c r="AW236" s="958"/>
    </row>
    <row r="237" spans="1:50">
      <c r="A237" s="958"/>
      <c r="B237" s="958"/>
      <c r="C237" s="958"/>
      <c r="D237" s="958"/>
      <c r="E237" s="958"/>
      <c r="F237" s="958"/>
      <c r="G237" s="958"/>
      <c r="H237" s="958"/>
      <c r="I237" s="958"/>
      <c r="J237" s="958"/>
      <c r="K237" s="958"/>
      <c r="L237" s="958"/>
      <c r="M237" s="958"/>
      <c r="N237" s="1088"/>
      <c r="O237" s="958"/>
      <c r="P237" s="958"/>
      <c r="Q237" s="958"/>
      <c r="R237" s="958"/>
      <c r="S237" s="958"/>
      <c r="T237" s="958"/>
      <c r="U237" s="958"/>
      <c r="V237" s="958"/>
      <c r="W237" s="958"/>
      <c r="X237" s="958"/>
      <c r="Y237" s="958"/>
      <c r="Z237" s="958"/>
      <c r="AA237" s="958"/>
      <c r="AB237" s="958"/>
      <c r="AC237" s="958"/>
      <c r="AD237" s="958"/>
      <c r="AE237" s="663"/>
      <c r="AF237" s="958"/>
      <c r="AG237" s="958"/>
      <c r="AH237" s="958"/>
      <c r="AI237" s="958"/>
      <c r="AJ237" s="958"/>
      <c r="AK237" s="958"/>
      <c r="AL237" s="958"/>
      <c r="AM237" s="958"/>
      <c r="AN237" s="958"/>
      <c r="AP237" s="958"/>
      <c r="AQ237" s="958"/>
      <c r="AR237" s="958"/>
      <c r="AS237" s="958"/>
      <c r="AT237" s="958"/>
      <c r="AU237" s="958"/>
      <c r="AV237" s="1088"/>
      <c r="AW237" s="958"/>
    </row>
    <row r="238" spans="1:50">
      <c r="A238" s="537"/>
      <c r="B238" s="537"/>
      <c r="C238" s="663"/>
      <c r="D238" s="663"/>
      <c r="E238" s="663"/>
      <c r="F238" s="1068"/>
    </row>
    <row r="239" spans="1:50">
      <c r="A239" s="2497" t="s">
        <v>1429</v>
      </c>
      <c r="B239" s="2497"/>
      <c r="C239" s="1125"/>
      <c r="D239" s="1125"/>
      <c r="E239" s="1125"/>
      <c r="F239" s="1125"/>
      <c r="G239" s="1126"/>
      <c r="H239" s="1126"/>
      <c r="N239" s="1126"/>
      <c r="O239" s="1126"/>
      <c r="P239" s="1126"/>
      <c r="Q239" s="1126"/>
      <c r="R239" s="1126"/>
      <c r="S239" s="1126"/>
      <c r="T239" s="1126"/>
      <c r="U239" s="1126"/>
      <c r="V239" s="1126"/>
      <c r="W239" s="1126"/>
      <c r="X239" s="1126"/>
      <c r="Y239" s="1126"/>
      <c r="Z239" s="1126"/>
      <c r="AA239" s="1126"/>
      <c r="AB239" s="1126"/>
      <c r="AC239" s="1126"/>
      <c r="AD239" s="1126"/>
      <c r="AE239" s="1126"/>
      <c r="AF239" s="1126"/>
      <c r="AG239" s="1126"/>
      <c r="AH239" s="1126"/>
      <c r="AI239" s="1126"/>
      <c r="AJ239" s="1126"/>
      <c r="AK239" s="1126"/>
      <c r="AL239" s="1126"/>
      <c r="AM239" s="1126"/>
      <c r="AN239" s="1126"/>
      <c r="AO239" s="1127"/>
      <c r="AP239" s="1126"/>
      <c r="AQ239" s="1126"/>
      <c r="AR239" s="1126"/>
      <c r="AS239" s="1126"/>
      <c r="AT239" s="1126"/>
    </row>
    <row r="240" spans="1:50">
      <c r="A240" s="2497"/>
      <c r="B240" s="2497"/>
      <c r="C240" s="1125"/>
      <c r="D240" s="1125"/>
      <c r="E240" s="1125"/>
      <c r="F240" s="1125"/>
      <c r="G240" s="1126"/>
      <c r="H240" s="1126"/>
      <c r="N240" s="1126"/>
      <c r="O240" s="1126"/>
      <c r="P240" s="1126"/>
      <c r="Q240" s="1126"/>
      <c r="R240" s="1126"/>
      <c r="S240" s="1126"/>
      <c r="T240" s="1126"/>
      <c r="U240" s="1126"/>
      <c r="V240" s="1126"/>
      <c r="W240" s="1126"/>
      <c r="X240" s="1126"/>
      <c r="Y240" s="1126"/>
      <c r="Z240" s="1126"/>
      <c r="AA240" s="1126"/>
      <c r="AB240" s="1126"/>
      <c r="AC240" s="1126"/>
      <c r="AD240" s="1126"/>
      <c r="AE240" s="1126"/>
      <c r="AF240" s="1126"/>
      <c r="AG240" s="1126"/>
      <c r="AH240" s="1126"/>
      <c r="AI240" s="1126"/>
      <c r="AJ240" s="1126"/>
      <c r="AK240" s="1126"/>
      <c r="AL240" s="1126"/>
      <c r="AM240" s="1126"/>
      <c r="AN240" s="1126"/>
      <c r="AO240" s="1127"/>
      <c r="AP240" s="1126"/>
      <c r="AQ240" s="1126"/>
      <c r="AR240" s="1126"/>
      <c r="AS240" s="1126"/>
      <c r="AT240" s="1126"/>
    </row>
    <row r="241" spans="1:49">
      <c r="A241" s="1128" t="s">
        <v>1430</v>
      </c>
      <c r="B241" s="1129"/>
      <c r="C241" s="663"/>
      <c r="D241" s="663"/>
      <c r="E241" s="663"/>
      <c r="F241" s="663"/>
    </row>
    <row r="242" spans="1:49">
      <c r="A242" s="537"/>
      <c r="B242" s="537"/>
      <c r="C242" s="663"/>
      <c r="D242" s="663"/>
      <c r="E242" s="663"/>
      <c r="F242" s="663"/>
    </row>
    <row r="243" spans="1:49">
      <c r="A243" s="1030" t="s">
        <v>1358</v>
      </c>
      <c r="B243" s="1031"/>
      <c r="C243" s="1032"/>
      <c r="D243" s="1032"/>
      <c r="E243" s="1032"/>
      <c r="F243" s="1033"/>
      <c r="G243" s="1034"/>
      <c r="H243" s="1034"/>
      <c r="N243" s="1034"/>
      <c r="O243" s="1034"/>
      <c r="P243" s="1034"/>
      <c r="Q243" s="1034"/>
      <c r="R243" s="1034"/>
      <c r="S243" s="1034"/>
      <c r="T243" s="1034"/>
      <c r="U243" s="1034"/>
      <c r="V243" s="1034"/>
      <c r="W243" s="1034"/>
      <c r="X243" s="1034"/>
      <c r="Y243" s="1034"/>
      <c r="Z243" s="1034"/>
      <c r="AA243" s="1034"/>
      <c r="AB243" s="1034"/>
      <c r="AC243" s="1034"/>
      <c r="AD243" s="1034"/>
      <c r="AE243" s="1034"/>
      <c r="AF243" s="1034"/>
      <c r="AG243" s="1034"/>
      <c r="AH243" s="1034"/>
      <c r="AI243" s="1034"/>
      <c r="AJ243" s="1034"/>
      <c r="AK243" s="1034"/>
      <c r="AL243" s="1034"/>
      <c r="AM243" s="1034"/>
      <c r="AN243" s="1034"/>
    </row>
    <row r="244" spans="1:49">
      <c r="A244" s="1035"/>
      <c r="B244" s="1036"/>
      <c r="C244" s="1037"/>
      <c r="D244" s="1038"/>
      <c r="E244" s="1039"/>
      <c r="F244" s="1040"/>
    </row>
    <row r="245" spans="1:49" ht="31.2">
      <c r="A245" s="2498" t="s">
        <v>1359</v>
      </c>
      <c r="B245" s="2483" t="s">
        <v>1360</v>
      </c>
      <c r="C245" s="2485" t="s">
        <v>1290</v>
      </c>
      <c r="D245" s="2485" t="s">
        <v>1291</v>
      </c>
      <c r="E245" s="2485" t="s">
        <v>1292</v>
      </c>
      <c r="F245" s="2479" t="s">
        <v>1293</v>
      </c>
      <c r="G245" s="903" t="s">
        <v>1238</v>
      </c>
      <c r="H245" s="904" t="s">
        <v>1239</v>
      </c>
      <c r="I245" s="2443"/>
      <c r="J245" s="2443"/>
      <c r="K245" s="2443"/>
      <c r="L245" s="2443"/>
      <c r="M245" s="2443"/>
      <c r="N245" s="905">
        <v>46023</v>
      </c>
      <c r="O245" s="905">
        <v>46054</v>
      </c>
      <c r="P245" s="905">
        <v>46082</v>
      </c>
      <c r="Q245" s="905">
        <v>46113</v>
      </c>
      <c r="R245" s="905">
        <v>46143</v>
      </c>
      <c r="S245" s="905">
        <v>46174</v>
      </c>
      <c r="T245" s="905">
        <v>46204</v>
      </c>
      <c r="U245" s="905">
        <v>46235</v>
      </c>
      <c r="V245" s="905">
        <v>46266</v>
      </c>
      <c r="W245" s="905">
        <v>46296</v>
      </c>
      <c r="X245" s="905">
        <v>46327</v>
      </c>
      <c r="Y245" s="905">
        <v>46357</v>
      </c>
      <c r="Z245" s="906" t="s">
        <v>1273</v>
      </c>
      <c r="AA245" s="904" t="s">
        <v>1294</v>
      </c>
      <c r="AB245" s="905">
        <v>46023</v>
      </c>
      <c r="AC245" s="905">
        <v>46054</v>
      </c>
      <c r="AD245" s="905">
        <v>46082</v>
      </c>
      <c r="AE245" s="905">
        <v>46113</v>
      </c>
      <c r="AF245" s="905">
        <v>46143</v>
      </c>
      <c r="AG245" s="905">
        <v>46174</v>
      </c>
      <c r="AH245" s="905">
        <v>46204</v>
      </c>
      <c r="AI245" s="905">
        <v>46235</v>
      </c>
      <c r="AJ245" s="905">
        <v>46266</v>
      </c>
      <c r="AK245" s="905">
        <v>46296</v>
      </c>
      <c r="AL245" s="905">
        <v>46327</v>
      </c>
      <c r="AM245" s="905">
        <v>46357</v>
      </c>
      <c r="AN245" s="907" t="s">
        <v>1295</v>
      </c>
      <c r="AP245" s="909">
        <v>47088</v>
      </c>
      <c r="AQ245" s="910">
        <v>47453</v>
      </c>
      <c r="AR245" s="910">
        <v>47818</v>
      </c>
      <c r="AS245" s="911">
        <v>48183</v>
      </c>
      <c r="AT245" s="911" t="s">
        <v>1297</v>
      </c>
      <c r="AV245" s="1130"/>
      <c r="AW245" s="1131"/>
    </row>
    <row r="246" spans="1:49">
      <c r="A246" s="2499"/>
      <c r="B246" s="2484"/>
      <c r="C246" s="2480"/>
      <c r="D246" s="2480"/>
      <c r="E246" s="2480"/>
      <c r="F246" s="2480"/>
      <c r="G246" s="1132" t="s">
        <v>1300</v>
      </c>
      <c r="H246" s="1132" t="s">
        <v>1300</v>
      </c>
      <c r="I246" s="2446"/>
      <c r="J246" s="2446"/>
      <c r="K246" s="2446"/>
      <c r="L246" s="2446"/>
      <c r="M246" s="2446"/>
      <c r="N246" s="924" t="s">
        <v>1301</v>
      </c>
      <c r="O246" s="924" t="s">
        <v>1301</v>
      </c>
      <c r="P246" s="924" t="s">
        <v>1301</v>
      </c>
      <c r="Q246" s="924" t="s">
        <v>1301</v>
      </c>
      <c r="R246" s="924" t="s">
        <v>1301</v>
      </c>
      <c r="S246" s="924" t="s">
        <v>1301</v>
      </c>
      <c r="T246" s="924" t="s">
        <v>1301</v>
      </c>
      <c r="U246" s="1084" t="s">
        <v>1401</v>
      </c>
      <c r="V246" s="1084" t="s">
        <v>1401</v>
      </c>
      <c r="W246" s="1084" t="s">
        <v>1401</v>
      </c>
      <c r="X246" s="1084" t="s">
        <v>1401</v>
      </c>
      <c r="Y246" s="1084" t="s">
        <v>1401</v>
      </c>
      <c r="Z246" s="1132" t="s">
        <v>1303</v>
      </c>
      <c r="AA246" s="1132" t="s">
        <v>1300</v>
      </c>
      <c r="AB246" s="1084" t="s">
        <v>1241</v>
      </c>
      <c r="AC246" s="1084" t="s">
        <v>1241</v>
      </c>
      <c r="AD246" s="1084" t="s">
        <v>1241</v>
      </c>
      <c r="AE246" s="1084" t="s">
        <v>1241</v>
      </c>
      <c r="AF246" s="1084" t="s">
        <v>1241</v>
      </c>
      <c r="AG246" s="1084" t="s">
        <v>1241</v>
      </c>
      <c r="AH246" s="1084" t="s">
        <v>1241</v>
      </c>
      <c r="AI246" s="1084" t="s">
        <v>1241</v>
      </c>
      <c r="AJ246" s="1084" t="s">
        <v>1241</v>
      </c>
      <c r="AK246" s="1084" t="s">
        <v>1241</v>
      </c>
      <c r="AL246" s="1084" t="s">
        <v>1241</v>
      </c>
      <c r="AM246" s="1084" t="s">
        <v>1241</v>
      </c>
      <c r="AN246" s="1132" t="s">
        <v>1303</v>
      </c>
      <c r="AP246" s="1084" t="s">
        <v>1240</v>
      </c>
      <c r="AQ246" s="1084" t="s">
        <v>1240</v>
      </c>
      <c r="AR246" s="1084" t="s">
        <v>1240</v>
      </c>
      <c r="AS246" s="1084" t="s">
        <v>1240</v>
      </c>
      <c r="AT246" s="1084" t="s">
        <v>1240</v>
      </c>
      <c r="AV246" s="1133" t="s">
        <v>1305</v>
      </c>
      <c r="AW246" s="1134" t="s">
        <v>1306</v>
      </c>
    </row>
    <row r="247" spans="1:49">
      <c r="A247" s="1043" t="s">
        <v>1361</v>
      </c>
      <c r="B247" s="991" t="s">
        <v>1362</v>
      </c>
      <c r="C247" s="991">
        <v>896553472.54285717</v>
      </c>
      <c r="D247" s="991"/>
      <c r="E247" s="991">
        <v>495661697</v>
      </c>
      <c r="F247" s="1086">
        <v>127938313</v>
      </c>
      <c r="G247" s="950">
        <v>59184000</v>
      </c>
      <c r="H247" s="950">
        <v>54062440</v>
      </c>
      <c r="I247" s="991"/>
      <c r="J247" s="991"/>
      <c r="K247" s="991"/>
      <c r="L247" s="991"/>
      <c r="M247" s="991"/>
      <c r="N247" s="1011">
        <v>2200000</v>
      </c>
      <c r="O247" s="991">
        <v>2765000</v>
      </c>
      <c r="P247" s="991">
        <v>3675000</v>
      </c>
      <c r="Q247" s="991">
        <v>2770500</v>
      </c>
      <c r="R247" s="991">
        <v>3585000</v>
      </c>
      <c r="S247" s="991">
        <v>2655000</v>
      </c>
      <c r="T247" s="991">
        <v>3058000</v>
      </c>
      <c r="U247" s="991">
        <v>5066000</v>
      </c>
      <c r="V247" s="991">
        <v>5920000</v>
      </c>
      <c r="W247" s="991">
        <v>4001500</v>
      </c>
      <c r="X247" s="991">
        <v>5937500</v>
      </c>
      <c r="Y247" s="991">
        <v>12428940</v>
      </c>
      <c r="Z247" s="950">
        <v>182000753</v>
      </c>
      <c r="AA247" s="950">
        <v>78313360</v>
      </c>
      <c r="AB247" s="991">
        <v>8068206</v>
      </c>
      <c r="AC247" s="991">
        <v>5591706</v>
      </c>
      <c r="AD247" s="991">
        <v>6376206</v>
      </c>
      <c r="AE247" s="991">
        <v>5556206</v>
      </c>
      <c r="AF247" s="991">
        <v>6651206</v>
      </c>
      <c r="AG247" s="991">
        <v>5976206</v>
      </c>
      <c r="AH247" s="991">
        <v>8083606</v>
      </c>
      <c r="AI247" s="991">
        <v>6363706</v>
      </c>
      <c r="AJ247" s="991">
        <v>6309461</v>
      </c>
      <c r="AK247" s="991">
        <v>5401461</v>
      </c>
      <c r="AL247" s="991">
        <v>5321461</v>
      </c>
      <c r="AM247" s="991">
        <v>8613929</v>
      </c>
      <c r="AN247" s="950">
        <v>260314113</v>
      </c>
      <c r="AP247" s="950">
        <v>79420900</v>
      </c>
      <c r="AQ247" s="950">
        <v>80228900</v>
      </c>
      <c r="AR247" s="950">
        <v>85979409.54285714</v>
      </c>
      <c r="AS247" s="950">
        <v>335815400</v>
      </c>
      <c r="AT247" s="950">
        <v>54794750</v>
      </c>
      <c r="AU247" s="958"/>
      <c r="AV247" s="960">
        <v>896553472.54285717</v>
      </c>
      <c r="AW247" s="950">
        <v>0</v>
      </c>
    </row>
    <row r="248" spans="1:49">
      <c r="A248" s="1043" t="s">
        <v>1363</v>
      </c>
      <c r="B248" s="991" t="s">
        <v>1364</v>
      </c>
      <c r="C248" s="991">
        <v>2090000</v>
      </c>
      <c r="D248" s="991"/>
      <c r="E248" s="991">
        <v>0</v>
      </c>
      <c r="F248" s="1086">
        <v>890000</v>
      </c>
      <c r="G248" s="950">
        <v>600000</v>
      </c>
      <c r="H248" s="950">
        <v>600000</v>
      </c>
      <c r="I248" s="991"/>
      <c r="J248" s="991"/>
      <c r="K248" s="991"/>
      <c r="L248" s="991"/>
      <c r="M248" s="991"/>
      <c r="N248" s="1011">
        <v>0</v>
      </c>
      <c r="O248" s="991">
        <v>0</v>
      </c>
      <c r="P248" s="991">
        <v>0</v>
      </c>
      <c r="Q248" s="991">
        <v>600000</v>
      </c>
      <c r="R248" s="991">
        <v>0</v>
      </c>
      <c r="S248" s="991">
        <v>0</v>
      </c>
      <c r="T248" s="991">
        <v>0</v>
      </c>
      <c r="U248" s="991">
        <v>0</v>
      </c>
      <c r="V248" s="991">
        <v>0</v>
      </c>
      <c r="W248" s="991">
        <v>0</v>
      </c>
      <c r="X248" s="991">
        <v>0</v>
      </c>
      <c r="Y248" s="991">
        <v>0</v>
      </c>
      <c r="Z248" s="950">
        <v>1490000</v>
      </c>
      <c r="AA248" s="950">
        <v>600000</v>
      </c>
      <c r="AB248" s="991">
        <v>600000</v>
      </c>
      <c r="AC248" s="991">
        <v>0</v>
      </c>
      <c r="AD248" s="991">
        <v>0</v>
      </c>
      <c r="AE248" s="991">
        <v>0</v>
      </c>
      <c r="AF248" s="991">
        <v>0</v>
      </c>
      <c r="AG248" s="991">
        <v>0</v>
      </c>
      <c r="AH248" s="991">
        <v>0</v>
      </c>
      <c r="AI248" s="991">
        <v>0</v>
      </c>
      <c r="AJ248" s="991">
        <v>0</v>
      </c>
      <c r="AK248" s="991">
        <v>0</v>
      </c>
      <c r="AL248" s="991">
        <v>0</v>
      </c>
      <c r="AM248" s="991">
        <v>0</v>
      </c>
      <c r="AN248" s="950">
        <v>2090000</v>
      </c>
      <c r="AP248" s="950">
        <v>0</v>
      </c>
      <c r="AQ248" s="950">
        <v>0</v>
      </c>
      <c r="AR248" s="950">
        <v>0</v>
      </c>
      <c r="AS248" s="950">
        <v>0</v>
      </c>
      <c r="AT248" s="950">
        <v>0</v>
      </c>
      <c r="AU248" s="958"/>
      <c r="AV248" s="960">
        <v>2090000</v>
      </c>
      <c r="AW248" s="950">
        <v>0</v>
      </c>
    </row>
    <row r="249" spans="1:49">
      <c r="A249" s="1043" t="s">
        <v>1365</v>
      </c>
      <c r="B249" s="991" t="s">
        <v>1366</v>
      </c>
      <c r="C249" s="991">
        <v>19939000</v>
      </c>
      <c r="D249" s="991">
        <v>6743355</v>
      </c>
      <c r="E249" s="991">
        <v>5062145</v>
      </c>
      <c r="F249" s="1086">
        <v>7028250</v>
      </c>
      <c r="G249" s="950">
        <v>2234000</v>
      </c>
      <c r="H249" s="950">
        <v>3179100</v>
      </c>
      <c r="I249" s="991"/>
      <c r="J249" s="991"/>
      <c r="K249" s="991"/>
      <c r="L249" s="991"/>
      <c r="M249" s="991"/>
      <c r="N249" s="1011">
        <v>46000</v>
      </c>
      <c r="O249" s="991">
        <v>322500</v>
      </c>
      <c r="P249" s="991">
        <v>90000</v>
      </c>
      <c r="Q249" s="991">
        <v>280000</v>
      </c>
      <c r="R249" s="991">
        <v>320000</v>
      </c>
      <c r="S249" s="991">
        <v>0</v>
      </c>
      <c r="T249" s="991">
        <v>104000</v>
      </c>
      <c r="U249" s="991">
        <v>137000</v>
      </c>
      <c r="V249" s="991">
        <v>413000</v>
      </c>
      <c r="W249" s="991">
        <v>150000</v>
      </c>
      <c r="X249" s="991">
        <v>550000</v>
      </c>
      <c r="Y249" s="991">
        <v>766600</v>
      </c>
      <c r="Z249" s="950">
        <v>10207350</v>
      </c>
      <c r="AA249" s="950">
        <v>2454850</v>
      </c>
      <c r="AB249" s="991">
        <v>0</v>
      </c>
      <c r="AC249" s="991">
        <v>963250</v>
      </c>
      <c r="AD249" s="991">
        <v>0</v>
      </c>
      <c r="AE249" s="991">
        <v>204000</v>
      </c>
      <c r="AF249" s="991">
        <v>320000</v>
      </c>
      <c r="AG249" s="991">
        <v>0</v>
      </c>
      <c r="AH249" s="991">
        <v>141000</v>
      </c>
      <c r="AI249" s="991">
        <v>54000</v>
      </c>
      <c r="AJ249" s="991">
        <v>30000</v>
      </c>
      <c r="AK249" s="991">
        <v>0</v>
      </c>
      <c r="AL249" s="991">
        <v>480000</v>
      </c>
      <c r="AM249" s="991">
        <v>262600</v>
      </c>
      <c r="AN249" s="950">
        <v>12662200</v>
      </c>
      <c r="AP249" s="950">
        <v>1335850</v>
      </c>
      <c r="AQ249" s="950">
        <v>2056850</v>
      </c>
      <c r="AR249" s="950">
        <v>1374850</v>
      </c>
      <c r="AS249" s="950">
        <v>1484250</v>
      </c>
      <c r="AT249" s="950">
        <v>1025000</v>
      </c>
      <c r="AU249" s="958"/>
      <c r="AV249" s="960">
        <v>19939000</v>
      </c>
      <c r="AW249" s="950">
        <v>0</v>
      </c>
    </row>
    <row r="250" spans="1:49">
      <c r="A250" s="1043" t="s">
        <v>1367</v>
      </c>
      <c r="B250" s="991" t="s">
        <v>1368</v>
      </c>
      <c r="C250" s="991">
        <v>21692550</v>
      </c>
      <c r="D250" s="991">
        <v>18854500</v>
      </c>
      <c r="E250" s="991">
        <v>3594518</v>
      </c>
      <c r="F250" s="1086">
        <v>7644518</v>
      </c>
      <c r="G250" s="950">
        <v>5902500</v>
      </c>
      <c r="H250" s="950">
        <v>7019750</v>
      </c>
      <c r="I250" s="991"/>
      <c r="J250" s="991"/>
      <c r="K250" s="991"/>
      <c r="L250" s="991"/>
      <c r="M250" s="991"/>
      <c r="N250" s="1011">
        <v>975000</v>
      </c>
      <c r="O250" s="991">
        <v>1910250</v>
      </c>
      <c r="P250" s="991">
        <v>0</v>
      </c>
      <c r="Q250" s="991">
        <v>200000</v>
      </c>
      <c r="R250" s="991">
        <v>0</v>
      </c>
      <c r="S250" s="991">
        <v>1567250</v>
      </c>
      <c r="T250" s="991">
        <v>1567250</v>
      </c>
      <c r="U250" s="991">
        <v>0</v>
      </c>
      <c r="V250" s="991">
        <v>0</v>
      </c>
      <c r="W250" s="991">
        <v>0</v>
      </c>
      <c r="X250" s="991">
        <v>800000</v>
      </c>
      <c r="Y250" s="991">
        <v>0</v>
      </c>
      <c r="Z250" s="950">
        <v>14664268</v>
      </c>
      <c r="AA250" s="950">
        <v>3428282</v>
      </c>
      <c r="AB250" s="991">
        <v>0</v>
      </c>
      <c r="AC250" s="991">
        <v>1061032</v>
      </c>
      <c r="AD250" s="991">
        <v>1167250</v>
      </c>
      <c r="AE250" s="991">
        <v>400000</v>
      </c>
      <c r="AF250" s="991">
        <v>0</v>
      </c>
      <c r="AG250" s="991">
        <v>0</v>
      </c>
      <c r="AH250" s="991">
        <v>400000</v>
      </c>
      <c r="AI250" s="991">
        <v>0</v>
      </c>
      <c r="AJ250" s="991">
        <v>0</v>
      </c>
      <c r="AK250" s="991">
        <v>400000</v>
      </c>
      <c r="AL250" s="991">
        <v>0</v>
      </c>
      <c r="AM250" s="991">
        <v>0</v>
      </c>
      <c r="AN250" s="950">
        <v>18092550</v>
      </c>
      <c r="AP250" s="950">
        <v>2000000</v>
      </c>
      <c r="AQ250" s="950">
        <v>1600000</v>
      </c>
      <c r="AR250" s="950">
        <v>0</v>
      </c>
      <c r="AS250" s="950">
        <v>0</v>
      </c>
      <c r="AT250" s="950">
        <v>0</v>
      </c>
      <c r="AU250" s="958"/>
      <c r="AV250" s="960">
        <v>21692550</v>
      </c>
      <c r="AW250" s="950">
        <v>0</v>
      </c>
    </row>
    <row r="251" spans="1:49">
      <c r="A251" s="1043" t="s">
        <v>1369</v>
      </c>
      <c r="B251" s="991" t="s">
        <v>1370</v>
      </c>
      <c r="C251" s="991">
        <v>0</v>
      </c>
      <c r="D251" s="991">
        <v>0</v>
      </c>
      <c r="E251" s="991">
        <v>0</v>
      </c>
      <c r="F251" s="1086">
        <v>0</v>
      </c>
      <c r="G251" s="950">
        <v>0</v>
      </c>
      <c r="H251" s="950">
        <v>0</v>
      </c>
      <c r="I251" s="991"/>
      <c r="J251" s="991"/>
      <c r="K251" s="991"/>
      <c r="L251" s="991"/>
      <c r="M251" s="991"/>
      <c r="N251" s="1011">
        <v>0</v>
      </c>
      <c r="O251" s="991">
        <v>0</v>
      </c>
      <c r="P251" s="991">
        <v>0</v>
      </c>
      <c r="Q251" s="991">
        <v>0</v>
      </c>
      <c r="R251" s="991">
        <v>0</v>
      </c>
      <c r="S251" s="991">
        <v>0</v>
      </c>
      <c r="T251" s="991">
        <v>0</v>
      </c>
      <c r="U251" s="991">
        <v>0</v>
      </c>
      <c r="V251" s="991">
        <v>0</v>
      </c>
      <c r="W251" s="991">
        <v>0</v>
      </c>
      <c r="X251" s="991">
        <v>0</v>
      </c>
      <c r="Y251" s="991">
        <v>0</v>
      </c>
      <c r="Z251" s="950">
        <v>0</v>
      </c>
      <c r="AA251" s="950">
        <v>0</v>
      </c>
      <c r="AB251" s="991">
        <v>0</v>
      </c>
      <c r="AC251" s="991">
        <v>0</v>
      </c>
      <c r="AD251" s="991">
        <v>0</v>
      </c>
      <c r="AE251" s="991">
        <v>0</v>
      </c>
      <c r="AF251" s="991">
        <v>0</v>
      </c>
      <c r="AG251" s="991">
        <v>0</v>
      </c>
      <c r="AH251" s="991">
        <v>0</v>
      </c>
      <c r="AI251" s="991">
        <v>0</v>
      </c>
      <c r="AJ251" s="991">
        <v>0</v>
      </c>
      <c r="AK251" s="991">
        <v>0</v>
      </c>
      <c r="AL251" s="991">
        <v>0</v>
      </c>
      <c r="AM251" s="991">
        <v>0</v>
      </c>
      <c r="AN251" s="950">
        <v>0</v>
      </c>
      <c r="AP251" s="950">
        <v>0</v>
      </c>
      <c r="AQ251" s="950">
        <v>0</v>
      </c>
      <c r="AR251" s="950">
        <v>0</v>
      </c>
      <c r="AS251" s="950">
        <v>0</v>
      </c>
      <c r="AT251" s="950">
        <v>0</v>
      </c>
      <c r="AU251" s="958"/>
      <c r="AV251" s="960">
        <v>0</v>
      </c>
      <c r="AW251" s="950">
        <v>0</v>
      </c>
    </row>
    <row r="252" spans="1:49">
      <c r="A252" s="1135"/>
      <c r="B252" s="1135" t="s">
        <v>1272</v>
      </c>
      <c r="C252" s="1136">
        <v>940275022.54285717</v>
      </c>
      <c r="D252" s="1136">
        <v>25597855</v>
      </c>
      <c r="E252" s="1136">
        <v>504318360</v>
      </c>
      <c r="F252" s="1136">
        <v>143501081</v>
      </c>
      <c r="G252" s="1136">
        <v>67920500</v>
      </c>
      <c r="H252" s="1136">
        <v>64861290</v>
      </c>
      <c r="I252" s="991"/>
      <c r="J252" s="991"/>
      <c r="K252" s="991"/>
      <c r="L252" s="991"/>
      <c r="M252" s="991"/>
      <c r="N252" s="1137">
        <v>3221000</v>
      </c>
      <c r="O252" s="1136">
        <v>4997750</v>
      </c>
      <c r="P252" s="1136">
        <v>3765000</v>
      </c>
      <c r="Q252" s="1136">
        <v>3850500</v>
      </c>
      <c r="R252" s="1136">
        <v>3905000</v>
      </c>
      <c r="S252" s="1136">
        <v>4222250</v>
      </c>
      <c r="T252" s="1136">
        <v>4729250</v>
      </c>
      <c r="U252" s="1136">
        <v>5203000</v>
      </c>
      <c r="V252" s="1136">
        <v>6333000</v>
      </c>
      <c r="W252" s="1136">
        <v>4151500</v>
      </c>
      <c r="X252" s="1136">
        <v>7287500</v>
      </c>
      <c r="Y252" s="1136">
        <v>13195540</v>
      </c>
      <c r="Z252" s="1136">
        <v>208362371</v>
      </c>
      <c r="AA252" s="1136">
        <v>84796492</v>
      </c>
      <c r="AB252" s="1136">
        <v>8668206</v>
      </c>
      <c r="AC252" s="1136">
        <v>7615988</v>
      </c>
      <c r="AD252" s="1136">
        <v>7543456</v>
      </c>
      <c r="AE252" s="1136">
        <v>6160206</v>
      </c>
      <c r="AF252" s="1136">
        <v>6971206</v>
      </c>
      <c r="AG252" s="1136">
        <v>5976206</v>
      </c>
      <c r="AH252" s="1136">
        <v>8624606</v>
      </c>
      <c r="AI252" s="1136">
        <v>6417706</v>
      </c>
      <c r="AJ252" s="1136">
        <v>6339461</v>
      </c>
      <c r="AK252" s="1136">
        <v>5801461</v>
      </c>
      <c r="AL252" s="1136">
        <v>5801461</v>
      </c>
      <c r="AM252" s="1136">
        <v>8876529</v>
      </c>
      <c r="AN252" s="1136">
        <v>293158863</v>
      </c>
      <c r="AP252" s="1138">
        <v>82756750</v>
      </c>
      <c r="AQ252" s="1138">
        <v>83885750</v>
      </c>
      <c r="AR252" s="1138">
        <v>87354259.54285714</v>
      </c>
      <c r="AS252" s="1138">
        <v>337299650</v>
      </c>
      <c r="AT252" s="1138">
        <v>55819750</v>
      </c>
      <c r="AV252" s="960">
        <v>940275022.54285717</v>
      </c>
      <c r="AW252" s="950">
        <v>0</v>
      </c>
    </row>
    <row r="254" spans="1:49">
      <c r="G254" s="956">
        <v>0</v>
      </c>
    </row>
    <row r="256" spans="1:49">
      <c r="E256" s="663" t="s">
        <v>1361</v>
      </c>
      <c r="F256" s="958" t="s">
        <v>1362</v>
      </c>
      <c r="N256" s="956">
        <v>0</v>
      </c>
      <c r="O256" s="956">
        <v>0</v>
      </c>
      <c r="P256" s="956">
        <v>0</v>
      </c>
      <c r="Q256" s="956">
        <v>0</v>
      </c>
      <c r="R256" s="956">
        <v>0</v>
      </c>
      <c r="S256" s="956">
        <v>0</v>
      </c>
      <c r="T256" s="956">
        <v>0</v>
      </c>
      <c r="U256" s="956">
        <v>-1230000</v>
      </c>
      <c r="V256" s="956">
        <v>-565000</v>
      </c>
      <c r="W256" s="956">
        <v>-598500</v>
      </c>
      <c r="X256" s="956">
        <v>-807500</v>
      </c>
      <c r="Y256" s="956">
        <v>-486040</v>
      </c>
      <c r="Z256" s="956"/>
      <c r="AA256" s="956">
        <v>-9130960</v>
      </c>
      <c r="AB256" s="956">
        <v>-1614038</v>
      </c>
      <c r="AC256" s="956">
        <v>-2500038</v>
      </c>
      <c r="AD256" s="956">
        <v>-707538</v>
      </c>
      <c r="AE256" s="956">
        <v>-439038</v>
      </c>
      <c r="AF256" s="956">
        <v>-872038</v>
      </c>
      <c r="AG256" s="956">
        <v>-2273038</v>
      </c>
      <c r="AH256" s="956">
        <v>-614538</v>
      </c>
      <c r="AI256" s="956">
        <v>-1930538</v>
      </c>
      <c r="AJ256" s="956">
        <v>-1913793</v>
      </c>
      <c r="AK256" s="956">
        <v>-202793</v>
      </c>
      <c r="AL256" s="956">
        <v>-377793</v>
      </c>
      <c r="AM256" s="956">
        <v>4314223</v>
      </c>
      <c r="AN256" s="956">
        <v>-12818000</v>
      </c>
      <c r="AO256" s="956"/>
      <c r="AP256" s="956">
        <v>-6838360</v>
      </c>
      <c r="AQ256" s="956">
        <v>-5957900</v>
      </c>
      <c r="AR256" s="956">
        <v>-7392742.5428571403</v>
      </c>
      <c r="AS256" s="956">
        <v>-253604900</v>
      </c>
      <c r="AT256" s="956">
        <v>368200600</v>
      </c>
    </row>
    <row r="257" spans="1:46">
      <c r="E257" s="663" t="s">
        <v>1363</v>
      </c>
      <c r="F257" s="958" t="s">
        <v>1364</v>
      </c>
      <c r="N257" s="956">
        <v>0</v>
      </c>
      <c r="O257" s="956">
        <v>0</v>
      </c>
      <c r="P257" s="956">
        <v>0</v>
      </c>
      <c r="Q257" s="956">
        <v>0</v>
      </c>
      <c r="R257" s="956">
        <v>0</v>
      </c>
      <c r="S257" s="956">
        <v>0</v>
      </c>
      <c r="T257" s="956">
        <v>0</v>
      </c>
      <c r="U257" s="956">
        <v>0</v>
      </c>
      <c r="V257" s="956">
        <v>0</v>
      </c>
      <c r="W257" s="956">
        <v>0</v>
      </c>
      <c r="X257" s="956">
        <v>0</v>
      </c>
      <c r="Y257" s="956">
        <v>0</v>
      </c>
      <c r="Z257" s="956"/>
      <c r="AA257" s="956">
        <v>0</v>
      </c>
      <c r="AB257" s="956">
        <v>0</v>
      </c>
      <c r="AC257" s="956">
        <v>0</v>
      </c>
      <c r="AD257" s="956">
        <v>0</v>
      </c>
      <c r="AE257" s="956">
        <v>0</v>
      </c>
      <c r="AF257" s="956">
        <v>0</v>
      </c>
      <c r="AG257" s="956">
        <v>0</v>
      </c>
      <c r="AH257" s="956">
        <v>0</v>
      </c>
      <c r="AI257" s="956">
        <v>0</v>
      </c>
      <c r="AJ257" s="956">
        <v>0</v>
      </c>
      <c r="AK257" s="956">
        <v>0</v>
      </c>
      <c r="AL257" s="956">
        <v>0</v>
      </c>
      <c r="AM257" s="956">
        <v>0</v>
      </c>
      <c r="AN257" s="956">
        <v>0</v>
      </c>
      <c r="AO257" s="956"/>
      <c r="AP257" s="956">
        <v>0</v>
      </c>
      <c r="AQ257" s="956">
        <v>0</v>
      </c>
      <c r="AR257" s="956">
        <v>0</v>
      </c>
      <c r="AS257" s="956">
        <v>0</v>
      </c>
      <c r="AT257" s="956">
        <v>0</v>
      </c>
    </row>
    <row r="258" spans="1:46">
      <c r="E258" s="663" t="s">
        <v>1365</v>
      </c>
      <c r="F258" s="958" t="s">
        <v>1366</v>
      </c>
      <c r="N258" s="956">
        <v>0</v>
      </c>
      <c r="O258" s="956">
        <v>0</v>
      </c>
      <c r="P258" s="956">
        <v>0</v>
      </c>
      <c r="Q258" s="956">
        <v>0</v>
      </c>
      <c r="R258" s="956">
        <v>0</v>
      </c>
      <c r="S258" s="956">
        <v>0</v>
      </c>
      <c r="T258" s="956">
        <v>0</v>
      </c>
      <c r="U258" s="956">
        <v>0</v>
      </c>
      <c r="V258" s="956">
        <v>-288000</v>
      </c>
      <c r="W258" s="956">
        <v>229000</v>
      </c>
      <c r="X258" s="956">
        <v>0</v>
      </c>
      <c r="Y258" s="956">
        <v>-145000</v>
      </c>
      <c r="Z258" s="956"/>
      <c r="AA258" s="956">
        <v>350000</v>
      </c>
      <c r="AB258" s="956">
        <v>340000</v>
      </c>
      <c r="AC258" s="956">
        <v>0</v>
      </c>
      <c r="AD258" s="956">
        <v>160000</v>
      </c>
      <c r="AE258" s="956">
        <v>-204000</v>
      </c>
      <c r="AF258" s="956">
        <v>0</v>
      </c>
      <c r="AG258" s="956">
        <v>54000</v>
      </c>
      <c r="AH258" s="956">
        <v>0</v>
      </c>
      <c r="AI258" s="956">
        <v>0</v>
      </c>
      <c r="AJ258" s="956">
        <v>0</v>
      </c>
      <c r="AK258" s="956">
        <v>145000</v>
      </c>
      <c r="AL258" s="956">
        <v>0</v>
      </c>
      <c r="AM258" s="956">
        <v>-145000</v>
      </c>
      <c r="AN258" s="956">
        <v>146000</v>
      </c>
      <c r="AO258" s="956"/>
      <c r="AP258" s="956">
        <v>-34000</v>
      </c>
      <c r="AQ258" s="956">
        <v>-75000</v>
      </c>
      <c r="AR258" s="956">
        <v>192000</v>
      </c>
      <c r="AS258" s="956">
        <v>-38400</v>
      </c>
      <c r="AT258" s="956">
        <v>1212400</v>
      </c>
    </row>
    <row r="259" spans="1:46">
      <c r="E259" s="663" t="s">
        <v>1367</v>
      </c>
      <c r="F259" s="958" t="s">
        <v>1368</v>
      </c>
      <c r="N259" s="956">
        <v>0</v>
      </c>
      <c r="O259" s="956">
        <v>0</v>
      </c>
      <c r="P259" s="956">
        <v>0</v>
      </c>
      <c r="Q259" s="956">
        <v>0</v>
      </c>
      <c r="R259" s="956">
        <v>0</v>
      </c>
      <c r="S259" s="956">
        <v>0</v>
      </c>
      <c r="T259" s="956">
        <v>0</v>
      </c>
      <c r="U259" s="956">
        <v>0</v>
      </c>
      <c r="V259" s="956">
        <v>0</v>
      </c>
      <c r="W259" s="956">
        <v>0</v>
      </c>
      <c r="X259" s="956">
        <v>0</v>
      </c>
      <c r="Y259" s="956">
        <v>0</v>
      </c>
      <c r="Z259" s="956"/>
      <c r="AA259" s="956">
        <v>0</v>
      </c>
      <c r="AB259" s="956">
        <v>0</v>
      </c>
      <c r="AC259" s="956">
        <v>0</v>
      </c>
      <c r="AD259" s="956">
        <v>0</v>
      </c>
      <c r="AE259" s="956">
        <v>0</v>
      </c>
      <c r="AF259" s="956">
        <v>0</v>
      </c>
      <c r="AG259" s="956">
        <v>0</v>
      </c>
      <c r="AH259" s="956">
        <v>0</v>
      </c>
      <c r="AI259" s="956">
        <v>0</v>
      </c>
      <c r="AJ259" s="956">
        <v>0</v>
      </c>
      <c r="AK259" s="956">
        <v>0</v>
      </c>
      <c r="AL259" s="956">
        <v>0</v>
      </c>
      <c r="AM259" s="956">
        <v>0</v>
      </c>
      <c r="AN259" s="956">
        <v>0</v>
      </c>
      <c r="AO259" s="956"/>
      <c r="AP259" s="956">
        <v>0</v>
      </c>
      <c r="AQ259" s="956">
        <v>0</v>
      </c>
      <c r="AR259" s="956">
        <v>0</v>
      </c>
      <c r="AS259" s="956">
        <v>0</v>
      </c>
      <c r="AT259" s="956">
        <v>0</v>
      </c>
    </row>
    <row r="260" spans="1:46">
      <c r="E260" s="663" t="s">
        <v>1369</v>
      </c>
      <c r="F260" s="958" t="s">
        <v>1370</v>
      </c>
      <c r="N260" s="956">
        <v>0</v>
      </c>
      <c r="O260" s="956">
        <v>0</v>
      </c>
      <c r="P260" s="956">
        <v>0</v>
      </c>
      <c r="Q260" s="956">
        <v>0</v>
      </c>
      <c r="R260" s="956">
        <v>0</v>
      </c>
      <c r="S260" s="956">
        <v>0</v>
      </c>
      <c r="T260" s="956">
        <v>0</v>
      </c>
      <c r="U260" s="956">
        <v>0</v>
      </c>
      <c r="V260" s="956">
        <v>0</v>
      </c>
      <c r="W260" s="956">
        <v>0</v>
      </c>
      <c r="X260" s="956">
        <v>0</v>
      </c>
      <c r="Y260" s="956">
        <v>0</v>
      </c>
      <c r="Z260" s="956"/>
      <c r="AA260" s="956">
        <v>0</v>
      </c>
      <c r="AB260" s="956">
        <v>0</v>
      </c>
      <c r="AC260" s="956">
        <v>0</v>
      </c>
      <c r="AD260" s="956">
        <v>0</v>
      </c>
      <c r="AE260" s="956">
        <v>0</v>
      </c>
      <c r="AF260" s="956">
        <v>0</v>
      </c>
      <c r="AG260" s="956">
        <v>0</v>
      </c>
      <c r="AH260" s="956">
        <v>0</v>
      </c>
      <c r="AI260" s="956">
        <v>0</v>
      </c>
      <c r="AJ260" s="956">
        <v>0</v>
      </c>
      <c r="AK260" s="956">
        <v>0</v>
      </c>
      <c r="AL260" s="956">
        <v>0</v>
      </c>
      <c r="AM260" s="956">
        <v>0</v>
      </c>
      <c r="AN260" s="956">
        <v>0</v>
      </c>
      <c r="AO260" s="956"/>
      <c r="AP260" s="956">
        <v>0</v>
      </c>
      <c r="AQ260" s="956">
        <v>0</v>
      </c>
      <c r="AR260" s="956">
        <v>0</v>
      </c>
      <c r="AS260" s="956">
        <v>0</v>
      </c>
      <c r="AT260" s="956">
        <v>0</v>
      </c>
    </row>
    <row r="261" spans="1:46" ht="16.2" thickBot="1">
      <c r="E261" s="1139" t="s">
        <v>1431</v>
      </c>
      <c r="F261" s="1139"/>
      <c r="G261" s="1139"/>
      <c r="H261" s="1139"/>
      <c r="I261" s="1139"/>
      <c r="J261" s="1139"/>
      <c r="K261" s="1139"/>
      <c r="L261" s="1139"/>
      <c r="M261" s="1139"/>
      <c r="N261" s="1140">
        <v>0</v>
      </c>
      <c r="O261" s="1140">
        <v>0</v>
      </c>
      <c r="P261" s="1140">
        <v>0</v>
      </c>
      <c r="Q261" s="1140">
        <v>0</v>
      </c>
      <c r="R261" s="1140">
        <v>0</v>
      </c>
      <c r="S261" s="1140">
        <v>0</v>
      </c>
      <c r="T261" s="1140">
        <v>0</v>
      </c>
      <c r="U261" s="1140">
        <v>-1230000</v>
      </c>
      <c r="V261" s="1140">
        <v>-853000</v>
      </c>
      <c r="W261" s="1140">
        <v>-369500</v>
      </c>
      <c r="X261" s="1140">
        <v>-807500</v>
      </c>
      <c r="Y261" s="1140">
        <v>-631040</v>
      </c>
      <c r="Z261" s="956"/>
      <c r="AA261" s="1140">
        <v>-8780960</v>
      </c>
      <c r="AB261" s="1140">
        <v>-1274038</v>
      </c>
      <c r="AC261" s="1140">
        <v>-2500038</v>
      </c>
      <c r="AD261" s="1140">
        <v>-547538</v>
      </c>
      <c r="AE261" s="1140">
        <v>-643038</v>
      </c>
      <c r="AF261" s="1140">
        <v>-872038</v>
      </c>
      <c r="AG261" s="1140">
        <v>-2219038</v>
      </c>
      <c r="AH261" s="1140">
        <v>-614538</v>
      </c>
      <c r="AI261" s="1140">
        <v>-1930538</v>
      </c>
      <c r="AJ261" s="1140">
        <v>-1913793</v>
      </c>
      <c r="AK261" s="1140">
        <v>-57793</v>
      </c>
      <c r="AL261" s="1140">
        <v>-377793</v>
      </c>
      <c r="AM261" s="1140">
        <v>4169223</v>
      </c>
      <c r="AN261" s="1140">
        <v>-12672000</v>
      </c>
      <c r="AO261" s="956"/>
      <c r="AP261" s="1140">
        <v>-6872360</v>
      </c>
      <c r="AQ261" s="1140">
        <v>-6032900</v>
      </c>
      <c r="AR261" s="1140">
        <v>-7200742.5428571403</v>
      </c>
      <c r="AS261" s="1140">
        <v>-253643300</v>
      </c>
      <c r="AT261" s="1140">
        <v>369413000</v>
      </c>
    </row>
    <row r="262" spans="1:46" ht="16.2" thickTop="1"/>
    <row r="267" spans="1:46">
      <c r="A267" s="1030" t="s">
        <v>1372</v>
      </c>
      <c r="B267" s="1032"/>
    </row>
    <row r="268" spans="1:46">
      <c r="A268" s="1069" t="s">
        <v>1373</v>
      </c>
      <c r="B268" s="1034"/>
      <c r="C268" s="663"/>
      <c r="D268" s="663"/>
      <c r="E268" s="663"/>
    </row>
    <row r="269" spans="1:46">
      <c r="A269" s="2475" t="s">
        <v>1283</v>
      </c>
      <c r="B269" s="2476"/>
      <c r="C269" s="2476"/>
      <c r="D269" s="2476"/>
      <c r="E269" s="2476"/>
    </row>
    <row r="270" spans="1:46">
      <c r="A270" s="2495" t="s">
        <v>1288</v>
      </c>
      <c r="B270" s="2496" t="s">
        <v>1289</v>
      </c>
      <c r="C270" s="2492" t="s">
        <v>1290</v>
      </c>
      <c r="D270" s="2492" t="s">
        <v>1291</v>
      </c>
      <c r="E270" s="2493" t="s">
        <v>1292</v>
      </c>
    </row>
    <row r="271" spans="1:46">
      <c r="A271" s="2489"/>
      <c r="B271" s="2491"/>
      <c r="C271" s="2492"/>
      <c r="D271" s="2492"/>
      <c r="E271" s="2493"/>
    </row>
    <row r="272" spans="1:46">
      <c r="A272" s="948" t="s">
        <v>1361</v>
      </c>
      <c r="B272" s="948" t="s">
        <v>1376</v>
      </c>
      <c r="C272" s="1074">
        <v>579713343</v>
      </c>
      <c r="D272" s="948"/>
      <c r="E272" s="948">
        <v>408098493</v>
      </c>
    </row>
    <row r="273" spans="1:5">
      <c r="A273" s="948" t="s">
        <v>1377</v>
      </c>
      <c r="B273" s="948" t="s">
        <v>1378</v>
      </c>
      <c r="C273" s="1074">
        <v>2090000</v>
      </c>
      <c r="D273" s="948"/>
      <c r="E273" s="948"/>
    </row>
    <row r="274" spans="1:5">
      <c r="A274" s="948" t="s">
        <v>1379</v>
      </c>
      <c r="B274" s="991" t="s">
        <v>1380</v>
      </c>
      <c r="C274" s="1074">
        <v>6620000</v>
      </c>
      <c r="D274" s="948"/>
      <c r="E274" s="948"/>
    </row>
    <row r="275" spans="1:5">
      <c r="A275" s="948" t="s">
        <v>1367</v>
      </c>
      <c r="B275" s="948" t="s">
        <v>1381</v>
      </c>
      <c r="C275" s="1074">
        <v>2300550</v>
      </c>
      <c r="D275" s="948"/>
      <c r="E275" s="948">
        <v>3394518</v>
      </c>
    </row>
    <row r="276" spans="1:5">
      <c r="A276" s="948" t="s">
        <v>1382</v>
      </c>
      <c r="B276" s="948" t="s">
        <v>1383</v>
      </c>
      <c r="C276" s="948"/>
      <c r="D276" s="948"/>
      <c r="E276" s="948"/>
    </row>
    <row r="277" spans="1:5">
      <c r="C277" s="1046">
        <v>590723893</v>
      </c>
      <c r="D277" s="1046">
        <v>0</v>
      </c>
      <c r="E277" s="1046">
        <v>411493011</v>
      </c>
    </row>
    <row r="280" spans="1:5">
      <c r="A280" s="1030" t="s">
        <v>1384</v>
      </c>
      <c r="B280" s="1031"/>
      <c r="C280" s="663"/>
      <c r="D280" s="663"/>
      <c r="E280" s="663"/>
    </row>
    <row r="281" spans="1:5">
      <c r="A281" s="1069" t="s">
        <v>1373</v>
      </c>
      <c r="B281" s="1034"/>
      <c r="C281" s="663"/>
      <c r="D281" s="663"/>
      <c r="E281" s="663"/>
    </row>
    <row r="282" spans="1:5">
      <c r="A282" s="1078"/>
      <c r="B282" s="1056"/>
      <c r="C282" s="1057"/>
      <c r="D282" s="901"/>
      <c r="E282" s="663"/>
    </row>
    <row r="283" spans="1:5">
      <c r="A283" s="2495" t="s">
        <v>1288</v>
      </c>
      <c r="B283" s="2496" t="s">
        <v>1289</v>
      </c>
      <c r="C283" s="2492" t="s">
        <v>1290</v>
      </c>
      <c r="D283" s="2492" t="s">
        <v>1291</v>
      </c>
      <c r="E283" s="2493" t="s">
        <v>1292</v>
      </c>
    </row>
    <row r="284" spans="1:5">
      <c r="A284" s="2489"/>
      <c r="B284" s="2491"/>
      <c r="C284" s="2492"/>
      <c r="D284" s="2492"/>
      <c r="E284" s="2493"/>
    </row>
    <row r="285" spans="1:5">
      <c r="A285" s="991" t="s">
        <v>1361</v>
      </c>
      <c r="B285" s="991" t="s">
        <v>1362</v>
      </c>
      <c r="C285" s="991">
        <v>316840129.54285717</v>
      </c>
      <c r="D285" s="991">
        <v>187567158</v>
      </c>
      <c r="E285" s="991">
        <v>129040913.54285717</v>
      </c>
    </row>
    <row r="286" spans="1:5">
      <c r="A286" s="991" t="s">
        <v>1379</v>
      </c>
      <c r="B286" s="991" t="s">
        <v>1389</v>
      </c>
      <c r="C286" s="991">
        <v>13319000</v>
      </c>
      <c r="D286" s="991">
        <v>7430958</v>
      </c>
      <c r="E286" s="991">
        <v>5871319</v>
      </c>
    </row>
    <row r="287" spans="1:5">
      <c r="A287" s="991" t="s">
        <v>1390</v>
      </c>
      <c r="B287" s="991" t="s">
        <v>1391</v>
      </c>
      <c r="C287" s="991">
        <v>2280000</v>
      </c>
      <c r="D287" s="991">
        <v>2280000</v>
      </c>
      <c r="E287" s="991">
        <v>0</v>
      </c>
    </row>
    <row r="288" spans="1:5">
      <c r="A288" s="991" t="s">
        <v>1390</v>
      </c>
      <c r="B288" s="991" t="s">
        <v>1392</v>
      </c>
      <c r="C288" s="991">
        <v>3900000</v>
      </c>
      <c r="D288" s="991">
        <v>3700000</v>
      </c>
      <c r="E288" s="991">
        <v>200000</v>
      </c>
    </row>
    <row r="289" spans="1:5">
      <c r="A289" s="991" t="s">
        <v>1390</v>
      </c>
      <c r="B289" s="991" t="s">
        <v>1393</v>
      </c>
      <c r="C289" s="991">
        <v>13212000</v>
      </c>
      <c r="D289" s="991">
        <v>12395000</v>
      </c>
      <c r="E289" s="991">
        <v>817000</v>
      </c>
    </row>
    <row r="290" spans="1:5">
      <c r="A290" s="991" t="s">
        <v>1394</v>
      </c>
      <c r="B290" s="991" t="s">
        <v>1395</v>
      </c>
      <c r="C290" s="991"/>
      <c r="D290" s="991"/>
      <c r="E290" s="991">
        <v>0</v>
      </c>
    </row>
    <row r="291" spans="1:5">
      <c r="C291" s="1046">
        <v>349551129.54285717</v>
      </c>
      <c r="D291" s="1046">
        <v>213373116</v>
      </c>
      <c r="E291" s="1046">
        <v>135929232.54285717</v>
      </c>
    </row>
    <row r="293" spans="1:5">
      <c r="C293" s="956">
        <v>0</v>
      </c>
    </row>
  </sheetData>
  <mergeCells count="64">
    <mergeCell ref="A283:A284"/>
    <mergeCell ref="B283:B284"/>
    <mergeCell ref="C283:C284"/>
    <mergeCell ref="D283:D284"/>
    <mergeCell ref="E283:E284"/>
    <mergeCell ref="A269:E269"/>
    <mergeCell ref="A270:A271"/>
    <mergeCell ref="B270:B271"/>
    <mergeCell ref="C270:C271"/>
    <mergeCell ref="D270:D271"/>
    <mergeCell ref="E270:E271"/>
    <mergeCell ref="G212:G213"/>
    <mergeCell ref="A239:B240"/>
    <mergeCell ref="A245:A246"/>
    <mergeCell ref="B245:B246"/>
    <mergeCell ref="C245:C246"/>
    <mergeCell ref="D245:D246"/>
    <mergeCell ref="E245:E246"/>
    <mergeCell ref="F245:F246"/>
    <mergeCell ref="G181:G182"/>
    <mergeCell ref="H195:AA195"/>
    <mergeCell ref="AB195:AN195"/>
    <mergeCell ref="G196:G197"/>
    <mergeCell ref="H211:AA211"/>
    <mergeCell ref="AB211:AN211"/>
    <mergeCell ref="H180:AA180"/>
    <mergeCell ref="AB180:AN180"/>
    <mergeCell ref="A113:A114"/>
    <mergeCell ref="B113:B114"/>
    <mergeCell ref="C113:C114"/>
    <mergeCell ref="D113:D114"/>
    <mergeCell ref="E113:E114"/>
    <mergeCell ref="F113:F114"/>
    <mergeCell ref="H137:AA137"/>
    <mergeCell ref="AB137:AN137"/>
    <mergeCell ref="H171:AA171"/>
    <mergeCell ref="AB171:AN171"/>
    <mergeCell ref="G172:G173"/>
    <mergeCell ref="A91:E91"/>
    <mergeCell ref="G91:Z91"/>
    <mergeCell ref="AA91:AN91"/>
    <mergeCell ref="A92:A93"/>
    <mergeCell ref="B92:B93"/>
    <mergeCell ref="C92:C93"/>
    <mergeCell ref="D92:D93"/>
    <mergeCell ref="E92:E93"/>
    <mergeCell ref="F92:F93"/>
    <mergeCell ref="F6:F7"/>
    <mergeCell ref="A74:A75"/>
    <mergeCell ref="B74:B75"/>
    <mergeCell ref="C74:C75"/>
    <mergeCell ref="D74:D75"/>
    <mergeCell ref="E74:E75"/>
    <mergeCell ref="F74:F75"/>
    <mergeCell ref="A6:A7"/>
    <mergeCell ref="B6:B7"/>
    <mergeCell ref="C6:C7"/>
    <mergeCell ref="D6:D7"/>
    <mergeCell ref="E6:E7"/>
    <mergeCell ref="A2:B2"/>
    <mergeCell ref="D3:E4"/>
    <mergeCell ref="A5:E5"/>
    <mergeCell ref="H5:Y5"/>
    <mergeCell ref="AA5:AN5"/>
  </mergeCells>
  <phoneticPr fontId="101" type="noConversion"/>
  <conditionalFormatting sqref="C272:C275">
    <cfRule type="expression" dxfId="192" priority="14">
      <formula>estimate&gt;=C$6</formula>
    </cfRule>
  </conditionalFormatting>
  <conditionalFormatting sqref="C82:AN82">
    <cfRule type="cellIs" dxfId="191" priority="53" operator="notEqual">
      <formula>0</formula>
    </cfRule>
  </conditionalFormatting>
  <conditionalFormatting sqref="G115:G121">
    <cfRule type="expression" dxfId="190" priority="21">
      <formula>estimate&gt;=G$6</formula>
    </cfRule>
  </conditionalFormatting>
  <conditionalFormatting sqref="N115:O122 Q115:Y122 N123:Y125">
    <cfRule type="expression" dxfId="189" priority="55">
      <formula>estimate&gt;=N$6</formula>
    </cfRule>
  </conditionalFormatting>
  <conditionalFormatting sqref="N42:X42">
    <cfRule type="expression" dxfId="188" priority="57">
      <formula>estimate&gt;=N$6</formula>
    </cfRule>
  </conditionalFormatting>
  <conditionalFormatting sqref="N7:Y7">
    <cfRule type="cellIs" dxfId="187" priority="18" operator="equal">
      <formula>"實際收入"</formula>
    </cfRule>
  </conditionalFormatting>
  <conditionalFormatting sqref="N62:Y66">
    <cfRule type="expression" dxfId="186" priority="61">
      <formula>estimate&gt;=N$6</formula>
    </cfRule>
  </conditionalFormatting>
  <conditionalFormatting sqref="N75:Y75">
    <cfRule type="cellIs" dxfId="185" priority="38" operator="equal">
      <formula>"實際收入"</formula>
    </cfRule>
  </conditionalFormatting>
  <conditionalFormatting sqref="N93:Y93">
    <cfRule type="cellIs" dxfId="184" priority="13" operator="equal">
      <formula>"實際收入"</formula>
    </cfRule>
  </conditionalFormatting>
  <conditionalFormatting sqref="N114:Y114">
    <cfRule type="cellIs" dxfId="183" priority="16" operator="equal">
      <formula>"實際收入"</formula>
    </cfRule>
  </conditionalFormatting>
  <conditionalFormatting sqref="N246:Y246">
    <cfRule type="cellIs" dxfId="182" priority="17" operator="equal">
      <formula>"實際收入"</formula>
    </cfRule>
  </conditionalFormatting>
  <conditionalFormatting sqref="N247:Y251">
    <cfRule type="expression" dxfId="181" priority="52">
      <formula>estimate&gt;=N$6</formula>
    </cfRule>
  </conditionalFormatting>
  <conditionalFormatting sqref="O199:O204">
    <cfRule type="expression" dxfId="180" priority="40">
      <formula>estimate&gt;=O$6</formula>
    </cfRule>
  </conditionalFormatting>
  <conditionalFormatting sqref="O27:X30">
    <cfRule type="expression" dxfId="179" priority="23">
      <formula>estimate&gt;=O$6</formula>
    </cfRule>
  </conditionalFormatting>
  <conditionalFormatting sqref="O139:Z139">
    <cfRule type="cellIs" dxfId="178" priority="15" operator="equal">
      <formula>"實際收入"</formula>
    </cfRule>
  </conditionalFormatting>
  <conditionalFormatting sqref="O173:Z173">
    <cfRule type="cellIs" dxfId="177" priority="19" operator="equal">
      <formula>"實際收入"</formula>
    </cfRule>
  </conditionalFormatting>
  <conditionalFormatting sqref="O182:Z182">
    <cfRule type="cellIs" dxfId="176" priority="12" operator="equal">
      <formula>"實際收入"</formula>
    </cfRule>
  </conditionalFormatting>
  <conditionalFormatting sqref="O197:Z197">
    <cfRule type="cellIs" dxfId="175" priority="11" operator="equal">
      <formula>"實際收入"</formula>
    </cfRule>
  </conditionalFormatting>
  <conditionalFormatting sqref="O198:Z198">
    <cfRule type="expression" dxfId="174" priority="42">
      <formula>estimate&gt;=O$6</formula>
    </cfRule>
  </conditionalFormatting>
  <conditionalFormatting sqref="O213:Z213">
    <cfRule type="cellIs" dxfId="173" priority="10" operator="equal">
      <formula>"實際收入"</formula>
    </cfRule>
  </conditionalFormatting>
  <conditionalFormatting sqref="O214:Z231">
    <cfRule type="expression" dxfId="172" priority="39">
      <formula>estimate&gt;=O$6</formula>
    </cfRule>
  </conditionalFormatting>
  <conditionalFormatting sqref="P119:P120">
    <cfRule type="expression" dxfId="171" priority="37">
      <formula>estimate&gt;=P$6</formula>
    </cfRule>
  </conditionalFormatting>
  <conditionalFormatting sqref="P198:Z204">
    <cfRule type="expression" dxfId="170" priority="41">
      <formula>estimate&gt;=P$6</formula>
    </cfRule>
  </conditionalFormatting>
  <conditionalFormatting sqref="AB7:AM7">
    <cfRule type="cellIs" dxfId="169" priority="58" operator="equal">
      <formula>"實際收入"</formula>
    </cfRule>
  </conditionalFormatting>
  <conditionalFormatting sqref="AB75:AM75">
    <cfRule type="cellIs" dxfId="168" priority="33" operator="equal">
      <formula>"實際收入"</formula>
    </cfRule>
  </conditionalFormatting>
  <conditionalFormatting sqref="AB93:AM93">
    <cfRule type="cellIs" dxfId="167" priority="32" operator="equal">
      <formula>"實際收入"</formula>
    </cfRule>
  </conditionalFormatting>
  <conditionalFormatting sqref="AB114:AM114">
    <cfRule type="cellIs" dxfId="166" priority="31" operator="equal">
      <formula>"實際收入"</formula>
    </cfRule>
  </conditionalFormatting>
  <conditionalFormatting sqref="AB246:AM246">
    <cfRule type="cellIs" dxfId="165" priority="25" operator="equal">
      <formula>"實際收入"</formula>
    </cfRule>
  </conditionalFormatting>
  <conditionalFormatting sqref="AB8:AN20 AB21:AM26 AN52:AN56 N76:Y80 AP94:AT101 N94:Y103 AB94:AN103 Z183:Z189">
    <cfRule type="expression" dxfId="164" priority="60">
      <formula>estimate&gt;=N$6</formula>
    </cfRule>
  </conditionalFormatting>
  <conditionalFormatting sqref="AB36:AN51 N36:N66 AP36:AT66 G94:G98">
    <cfRule type="expression" dxfId="163" priority="22">
      <formula>estimate&gt;=G$6</formula>
    </cfRule>
  </conditionalFormatting>
  <conditionalFormatting sqref="AB76:AN80">
    <cfRule type="expression" dxfId="162" priority="35">
      <formula>estimate&gt;=AB$6</formula>
    </cfRule>
  </conditionalFormatting>
  <conditionalFormatting sqref="AB115:AN125">
    <cfRule type="expression" dxfId="161" priority="54">
      <formula>estimate&gt;=AB$6</formula>
    </cfRule>
  </conditionalFormatting>
  <conditionalFormatting sqref="AB247:AN251 AN252">
    <cfRule type="expression" dxfId="160" priority="51">
      <formula>estimate&gt;=AB$6</formula>
    </cfRule>
  </conditionalFormatting>
  <conditionalFormatting sqref="AC139:AN139">
    <cfRule type="cellIs" dxfId="159" priority="30" operator="equal">
      <formula>"實際收入"</formula>
    </cfRule>
  </conditionalFormatting>
  <conditionalFormatting sqref="AC173:AN173">
    <cfRule type="cellIs" dxfId="158" priority="29" operator="equal">
      <formula>"實際收入"</formula>
    </cfRule>
  </conditionalFormatting>
  <conditionalFormatting sqref="AC182:AN182">
    <cfRule type="cellIs" dxfId="157" priority="28" operator="equal">
      <formula>"實際收入"</formula>
    </cfRule>
  </conditionalFormatting>
  <conditionalFormatting sqref="AC197:AN197">
    <cfRule type="cellIs" dxfId="156" priority="27" operator="equal">
      <formula>"實際收入"</formula>
    </cfRule>
  </conditionalFormatting>
  <conditionalFormatting sqref="AC213:AN213">
    <cfRule type="cellIs" dxfId="155" priority="26" operator="equal">
      <formula>"實際收入"</formula>
    </cfRule>
  </conditionalFormatting>
  <conditionalFormatting sqref="AC174:AO175 AQ174:AS175 AQ183:AS189 AC198:AO204 AQ198:AS204 AQ214:AS230 AO215:AO231">
    <cfRule type="expression" dxfId="154" priority="46">
      <formula>estimate&gt;=AB$6</formula>
    </cfRule>
  </conditionalFormatting>
  <conditionalFormatting sqref="AC183:AO189 AC215:AN227">
    <cfRule type="expression" dxfId="153" priority="43">
      <formula>estimate&gt;=AB$6</formula>
    </cfRule>
  </conditionalFormatting>
  <conditionalFormatting sqref="AC214:AO214">
    <cfRule type="expression" dxfId="152" priority="44">
      <formula>estimate&gt;=AB$6</formula>
    </cfRule>
  </conditionalFormatting>
  <conditionalFormatting sqref="AO140:AO165">
    <cfRule type="expression" dxfId="151" priority="48">
      <formula>estimate&gt;=AN$6</formula>
    </cfRule>
  </conditionalFormatting>
  <conditionalFormatting sqref="AP8:AT30 N8:N34 AN21:AN34 AB57:AN66 C94:C97">
    <cfRule type="expression" dxfId="150" priority="20">
      <formula>estimate&gt;=C$6</formula>
    </cfRule>
  </conditionalFormatting>
  <conditionalFormatting sqref="AP75:AT75">
    <cfRule type="cellIs" dxfId="149" priority="1" operator="equal">
      <formula>"實際收入"</formula>
    </cfRule>
  </conditionalFormatting>
  <conditionalFormatting sqref="AP76:AT81">
    <cfRule type="expression" dxfId="148" priority="34">
      <formula>estimate&gt;=AP$6</formula>
    </cfRule>
  </conditionalFormatting>
  <conditionalFormatting sqref="AP93:AT93">
    <cfRule type="cellIs" dxfId="147" priority="2" operator="equal">
      <formula>"實際收入"</formula>
    </cfRule>
  </conditionalFormatting>
  <conditionalFormatting sqref="AP114:AT114">
    <cfRule type="cellIs" dxfId="146" priority="3" operator="equal">
      <formula>"實際收入"</formula>
    </cfRule>
  </conditionalFormatting>
  <conditionalFormatting sqref="AP115:AT115">
    <cfRule type="expression" dxfId="145" priority="56">
      <formula>estimate&gt;=AP$6</formula>
    </cfRule>
  </conditionalFormatting>
  <conditionalFormatting sqref="AP246:AT246">
    <cfRule type="cellIs" dxfId="144" priority="9" operator="equal">
      <formula>"實際收入"</formula>
    </cfRule>
  </conditionalFormatting>
  <conditionalFormatting sqref="AP247:AT251">
    <cfRule type="expression" dxfId="143" priority="50">
      <formula>estimate&gt;=AP$6</formula>
    </cfRule>
  </conditionalFormatting>
  <conditionalFormatting sqref="AQ139:AU139">
    <cfRule type="cellIs" dxfId="142" priority="4" operator="equal">
      <formula>"實際收入"</formula>
    </cfRule>
  </conditionalFormatting>
  <conditionalFormatting sqref="AQ173:AU173">
    <cfRule type="cellIs" dxfId="141" priority="5" operator="equal">
      <formula>"實際收入"</formula>
    </cfRule>
  </conditionalFormatting>
  <conditionalFormatting sqref="AQ182:AU182">
    <cfRule type="cellIs" dxfId="140" priority="6" operator="equal">
      <formula>"實際收入"</formula>
    </cfRule>
  </conditionalFormatting>
  <conditionalFormatting sqref="AQ197:AU197">
    <cfRule type="cellIs" dxfId="139" priority="7" operator="equal">
      <formula>"實際收入"</formula>
    </cfRule>
  </conditionalFormatting>
  <conditionalFormatting sqref="AQ213:AU213">
    <cfRule type="cellIs" dxfId="138" priority="8" operator="equal">
      <formula>"實際收入"</formula>
    </cfRule>
  </conditionalFormatting>
  <conditionalFormatting sqref="AS174:AU175 AS183:AU189 AT198:AU204 AT214:AU230">
    <cfRule type="expression" dxfId="137" priority="62">
      <formula>estimate&gt;=AQ$6</formula>
    </cfRule>
  </conditionalFormatting>
  <conditionalFormatting sqref="AV81:AW81">
    <cfRule type="expression" dxfId="136" priority="24">
      <formula>estimate&gt;=AV$6</formula>
    </cfRule>
  </conditionalFormatting>
  <conditionalFormatting sqref="AV82:AW82">
    <cfRule type="cellIs" dxfId="135" priority="36" operator="notEqual">
      <formula>0</formula>
    </cfRule>
  </conditionalFormatting>
  <conditionalFormatting sqref="AW8:AW34 AW36:AW68 AP82:AT82 AX183:AX189">
    <cfRule type="cellIs" dxfId="134" priority="59" operator="notEqual">
      <formula>0</formula>
    </cfRule>
  </conditionalFormatting>
  <conditionalFormatting sqref="AX140:AX166">
    <cfRule type="cellIs" dxfId="133" priority="49" operator="notEqual">
      <formula>0</formula>
    </cfRule>
  </conditionalFormatting>
  <conditionalFormatting sqref="AX174:AX175 AX198:AX204">
    <cfRule type="cellIs" dxfId="132" priority="47" operator="notEqual">
      <formula>0</formula>
    </cfRule>
  </conditionalFormatting>
  <conditionalFormatting sqref="AX214:AX232">
    <cfRule type="cellIs" dxfId="131" priority="45" operator="notEqual">
      <formula>0</formula>
    </cfRule>
  </conditionalFormatting>
  <dataValidations count="2">
    <dataValidation type="list" allowBlank="1" showInputMessage="1" showErrorMessage="1" sqref="AO8:AO34 AO36:AO66 AP198:AP204 AP183:AP189 AP174:AP175 AP140:AP164 AP214:AP231" xr:uid="{D0A845FA-CAB2-47F7-B521-28845F21C75F}">
      <formula1>"內部, 外部"</formula1>
    </dataValidation>
    <dataValidation type="list" allowBlank="1" showInputMessage="1" showErrorMessage="1" sqref="B4" xr:uid="{A6155A06-0930-4616-9148-5785C60355C4}">
      <formula1>YM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22C5-1D25-47E8-A280-D3281A68351C}">
  <sheetPr>
    <tabColor rgb="FFFFC000"/>
  </sheetPr>
  <dimension ref="A1:BQ432"/>
  <sheetViews>
    <sheetView zoomScale="70" zoomScaleNormal="70" workbookViewId="0">
      <pane xSplit="2" ySplit="8" topLeftCell="X9" activePane="bottomRight" state="frozen"/>
      <selection pane="topRight" activeCell="C1" sqref="C1"/>
      <selection pane="bottomLeft" activeCell="A9" sqref="A9"/>
      <selection pane="bottomRight" activeCell="AF140" sqref="AF140"/>
    </sheetView>
  </sheetViews>
  <sheetFormatPr defaultColWidth="9" defaultRowHeight="15.6" outlineLevelRow="2" outlineLevelCol="1"/>
  <cols>
    <col min="1" max="1" width="14.21875" style="872" customWidth="1"/>
    <col min="2" max="2" width="24.6640625" style="872" customWidth="1"/>
    <col min="3" max="5" width="16.33203125" style="872" customWidth="1"/>
    <col min="6" max="6" width="18.44140625" style="872" bestFit="1" customWidth="1"/>
    <col min="7" max="7" width="15" style="872" bestFit="1" customWidth="1"/>
    <col min="8" max="8" width="13.88671875" style="872" hidden="1" customWidth="1" outlineLevel="1"/>
    <col min="9" max="9" width="16" style="872" hidden="1" customWidth="1" outlineLevel="1"/>
    <col min="10" max="10" width="16" style="872" customWidth="1" collapsed="1"/>
    <col min="11" max="20" width="14.33203125" style="872" customWidth="1" outlineLevel="1"/>
    <col min="21" max="21" width="16.21875" style="872" customWidth="1" outlineLevel="1"/>
    <col min="22" max="22" width="16" style="872" customWidth="1" outlineLevel="1"/>
    <col min="23" max="23" width="17.88671875" style="872" customWidth="1"/>
    <col min="24" max="24" width="16" style="872" customWidth="1"/>
    <col min="25" max="31" width="14.109375" style="872" customWidth="1" outlineLevel="1"/>
    <col min="32" max="35" width="13" style="872" customWidth="1" outlineLevel="1"/>
    <col min="36" max="36" width="16.44140625" style="872" customWidth="1" outlineLevel="1"/>
    <col min="37" max="37" width="15.109375" style="872" customWidth="1" outlineLevel="1"/>
    <col min="38" max="38" width="12.77734375" style="872" customWidth="1" outlineLevel="1"/>
    <col min="39" max="40" width="15.109375" style="872" customWidth="1"/>
    <col min="41" max="41" width="13.88671875" style="872" customWidth="1"/>
    <col min="42" max="43" width="15.109375" style="872" customWidth="1"/>
    <col min="44" max="44" width="11.88671875" style="872" customWidth="1"/>
    <col min="45" max="45" width="15.109375" style="872" customWidth="1"/>
    <col min="46" max="46" width="6.6640625" style="872" customWidth="1"/>
    <col min="47" max="47" width="2.33203125" style="872" customWidth="1"/>
    <col min="48" max="52" width="17.88671875" style="872" customWidth="1"/>
    <col min="53" max="55" width="19" style="872" customWidth="1"/>
    <col min="56" max="56" width="4.6640625" style="872" customWidth="1"/>
    <col min="57" max="57" width="18.44140625" style="872" bestFit="1" customWidth="1"/>
    <col min="58" max="58" width="28.77734375" style="872" customWidth="1"/>
    <col min="59" max="59" width="14.33203125" style="872" bestFit="1" customWidth="1"/>
    <col min="60" max="16384" width="9" style="872"/>
  </cols>
  <sheetData>
    <row r="1" spans="1:58" s="878" customFormat="1">
      <c r="A1" s="1694" t="s">
        <v>2194</v>
      </c>
      <c r="C1" s="1695" t="s">
        <v>1602</v>
      </c>
      <c r="D1" s="1695" t="s">
        <v>1603</v>
      </c>
      <c r="E1" s="1695" t="s">
        <v>1604</v>
      </c>
      <c r="F1" s="1695" t="s">
        <v>1605</v>
      </c>
      <c r="G1" s="1695" t="s">
        <v>1606</v>
      </c>
      <c r="H1" s="1695" t="s">
        <v>1607</v>
      </c>
      <c r="I1" s="1695" t="s">
        <v>1608</v>
      </c>
      <c r="J1" s="1695" t="s">
        <v>1609</v>
      </c>
      <c r="K1" s="1695" t="s">
        <v>1610</v>
      </c>
      <c r="L1" s="1695" t="s">
        <v>1611</v>
      </c>
      <c r="M1" s="1695" t="s">
        <v>1612</v>
      </c>
      <c r="N1" s="1695" t="s">
        <v>1613</v>
      </c>
      <c r="O1" s="1695" t="s">
        <v>1614</v>
      </c>
      <c r="P1" s="1695" t="s">
        <v>1615</v>
      </c>
      <c r="Q1" s="1695" t="s">
        <v>1616</v>
      </c>
      <c r="R1" s="1695" t="s">
        <v>1617</v>
      </c>
      <c r="S1" s="1695" t="s">
        <v>1618</v>
      </c>
      <c r="T1" s="1695" t="s">
        <v>1619</v>
      </c>
      <c r="U1" s="1695" t="s">
        <v>1620</v>
      </c>
      <c r="V1" s="1695" t="s">
        <v>1621</v>
      </c>
      <c r="W1" s="1695" t="s">
        <v>1622</v>
      </c>
      <c r="X1" s="1695" t="s">
        <v>1623</v>
      </c>
      <c r="Y1" s="1695" t="s">
        <v>1624</v>
      </c>
      <c r="Z1" s="1695" t="s">
        <v>1625</v>
      </c>
      <c r="AA1" s="1695" t="s">
        <v>1626</v>
      </c>
      <c r="AB1" s="1695" t="s">
        <v>1627</v>
      </c>
      <c r="AC1" s="1695" t="s">
        <v>1628</v>
      </c>
      <c r="AD1" s="1695" t="s">
        <v>1629</v>
      </c>
      <c r="AE1" s="1695" t="s">
        <v>1630</v>
      </c>
      <c r="AF1" s="1695" t="s">
        <v>1631</v>
      </c>
      <c r="AG1" s="1695" t="s">
        <v>1632</v>
      </c>
      <c r="AH1" s="1695" t="s">
        <v>1633</v>
      </c>
      <c r="AI1" s="1695" t="s">
        <v>1634</v>
      </c>
      <c r="AJ1" s="1695" t="s">
        <v>1635</v>
      </c>
      <c r="AK1" s="1695" t="s">
        <v>1636</v>
      </c>
      <c r="AL1" s="1695" t="s">
        <v>1637</v>
      </c>
      <c r="AM1" s="1695" t="s">
        <v>1638</v>
      </c>
      <c r="AN1" s="1695" t="s">
        <v>1639</v>
      </c>
      <c r="AO1" s="1695" t="s">
        <v>1640</v>
      </c>
      <c r="AP1" s="1695" t="s">
        <v>1641</v>
      </c>
      <c r="AQ1" s="1695" t="s">
        <v>1642</v>
      </c>
      <c r="AR1" s="1695" t="s">
        <v>1643</v>
      </c>
      <c r="AS1" s="1695" t="s">
        <v>1644</v>
      </c>
      <c r="AT1" s="1695" t="s">
        <v>1237</v>
      </c>
      <c r="AU1" s="1695" t="s">
        <v>1645</v>
      </c>
      <c r="AV1" s="1695" t="s">
        <v>1646</v>
      </c>
      <c r="AW1" s="1695" t="s">
        <v>1647</v>
      </c>
      <c r="AX1" s="1695" t="s">
        <v>1648</v>
      </c>
      <c r="AY1" s="1695" t="s">
        <v>1649</v>
      </c>
      <c r="AZ1" s="1695" t="s">
        <v>1650</v>
      </c>
      <c r="BA1" s="1695" t="s">
        <v>1651</v>
      </c>
      <c r="BB1" s="1695" t="s">
        <v>1652</v>
      </c>
      <c r="BC1" s="1695" t="s">
        <v>1653</v>
      </c>
      <c r="BD1" s="1695" t="s">
        <v>1654</v>
      </c>
      <c r="BE1" s="1695" t="s">
        <v>1655</v>
      </c>
    </row>
    <row r="2" spans="1:58">
      <c r="A2" s="872" t="s">
        <v>1196</v>
      </c>
    </row>
    <row r="3" spans="1:58">
      <c r="A3" s="1696">
        <v>8</v>
      </c>
      <c r="C3" s="872" t="s">
        <v>2195</v>
      </c>
      <c r="F3" s="1697" t="s">
        <v>2196</v>
      </c>
      <c r="AL3" s="1698" t="s">
        <v>2197</v>
      </c>
    </row>
    <row r="4" spans="1:58">
      <c r="A4" s="1699" t="s">
        <v>2491</v>
      </c>
      <c r="C4" s="872" t="s">
        <v>2198</v>
      </c>
      <c r="F4" s="1700" t="s">
        <v>2199</v>
      </c>
      <c r="AL4" s="1698" t="s">
        <v>2200</v>
      </c>
    </row>
    <row r="5" spans="1:58">
      <c r="BE5" s="889" t="s">
        <v>2201</v>
      </c>
    </row>
    <row r="6" spans="1:58" ht="27.75" customHeight="1">
      <c r="A6" s="2504" t="s">
        <v>2202</v>
      </c>
      <c r="B6" s="2505"/>
      <c r="C6" s="2505"/>
      <c r="D6" s="2505"/>
      <c r="E6" s="2505"/>
      <c r="F6" s="892"/>
      <c r="G6" s="2478" t="s">
        <v>2203</v>
      </c>
      <c r="H6" s="2477"/>
      <c r="I6" s="2477"/>
      <c r="J6" s="2477"/>
      <c r="K6" s="2477"/>
      <c r="L6" s="2477"/>
      <c r="M6" s="2477"/>
      <c r="N6" s="2477"/>
      <c r="O6" s="2477"/>
      <c r="P6" s="2477"/>
      <c r="Q6" s="2477"/>
      <c r="R6" s="2477"/>
      <c r="S6" s="2477"/>
      <c r="T6" s="2477"/>
      <c r="U6" s="2477"/>
      <c r="V6" s="2477"/>
      <c r="W6" s="2494"/>
      <c r="X6" s="2478" t="s">
        <v>2204</v>
      </c>
      <c r="Y6" s="2477"/>
      <c r="Z6" s="2477"/>
      <c r="AA6" s="2477"/>
      <c r="AB6" s="2477"/>
      <c r="AC6" s="2477"/>
      <c r="AD6" s="2477"/>
      <c r="AE6" s="2477"/>
      <c r="AF6" s="2477"/>
      <c r="AG6" s="2477"/>
      <c r="AH6" s="2477"/>
      <c r="AI6" s="2477"/>
      <c r="AJ6" s="2477"/>
      <c r="AK6" s="2477"/>
      <c r="AL6" s="549"/>
      <c r="AM6" s="896"/>
      <c r="AN6" s="897"/>
      <c r="AO6" s="897"/>
      <c r="AP6" s="898"/>
      <c r="AQ6" s="898"/>
      <c r="AR6" s="1701"/>
      <c r="AS6" s="1702"/>
      <c r="AT6" s="1702"/>
      <c r="AV6" s="2506" t="s">
        <v>1657</v>
      </c>
      <c r="AW6" s="2507"/>
      <c r="AX6" s="2507"/>
      <c r="AY6" s="2507"/>
      <c r="AZ6" s="2507"/>
      <c r="BA6" s="2507"/>
      <c r="BB6" s="2498" t="s">
        <v>2205</v>
      </c>
      <c r="BE6" s="2509" t="s">
        <v>2206</v>
      </c>
      <c r="BF6" s="2500" t="s">
        <v>2207</v>
      </c>
    </row>
    <row r="7" spans="1:58" ht="31.2">
      <c r="A7" s="2502" t="s">
        <v>1288</v>
      </c>
      <c r="B7" s="2490" t="s">
        <v>1289</v>
      </c>
      <c r="C7" s="2480" t="s">
        <v>1290</v>
      </c>
      <c r="D7" s="2480" t="s">
        <v>1291</v>
      </c>
      <c r="E7" s="2487" t="s">
        <v>1292</v>
      </c>
      <c r="F7" s="2479" t="s">
        <v>2208</v>
      </c>
      <c r="G7" s="1703" t="s">
        <v>2209</v>
      </c>
      <c r="H7" s="1704">
        <v>8</v>
      </c>
      <c r="I7" s="1705" t="s">
        <v>1756</v>
      </c>
      <c r="J7" s="904" t="s">
        <v>2210</v>
      </c>
      <c r="K7" s="1706" t="s">
        <v>2211</v>
      </c>
      <c r="L7" s="1706" t="s">
        <v>2212</v>
      </c>
      <c r="M7" s="1706" t="s">
        <v>2213</v>
      </c>
      <c r="N7" s="1706" t="s">
        <v>2214</v>
      </c>
      <c r="O7" s="1706" t="s">
        <v>2215</v>
      </c>
      <c r="P7" s="1706" t="s">
        <v>2216</v>
      </c>
      <c r="Q7" s="1706" t="s">
        <v>2217</v>
      </c>
      <c r="R7" s="1706" t="s">
        <v>2218</v>
      </c>
      <c r="S7" s="1706" t="s">
        <v>2219</v>
      </c>
      <c r="T7" s="1706" t="s">
        <v>2220</v>
      </c>
      <c r="U7" s="1706" t="s">
        <v>2221</v>
      </c>
      <c r="V7" s="1706" t="s">
        <v>2222</v>
      </c>
      <c r="W7" s="906" t="s">
        <v>2223</v>
      </c>
      <c r="X7" s="904" t="s">
        <v>2224</v>
      </c>
      <c r="Y7" s="1706" t="s">
        <v>2211</v>
      </c>
      <c r="Z7" s="1706" t="s">
        <v>2212</v>
      </c>
      <c r="AA7" s="1706" t="s">
        <v>2213</v>
      </c>
      <c r="AB7" s="1706" t="s">
        <v>2214</v>
      </c>
      <c r="AC7" s="1706" t="s">
        <v>2215</v>
      </c>
      <c r="AD7" s="1706" t="s">
        <v>2216</v>
      </c>
      <c r="AE7" s="1706" t="s">
        <v>2217</v>
      </c>
      <c r="AF7" s="1706" t="s">
        <v>2218</v>
      </c>
      <c r="AG7" s="1706" t="s">
        <v>2219</v>
      </c>
      <c r="AH7" s="1706" t="s">
        <v>2220</v>
      </c>
      <c r="AI7" s="1706" t="s">
        <v>2221</v>
      </c>
      <c r="AJ7" s="1706" t="s">
        <v>2222</v>
      </c>
      <c r="AK7" s="906" t="s">
        <v>2225</v>
      </c>
      <c r="AL7" s="1099" t="s">
        <v>1296</v>
      </c>
      <c r="AM7" s="909">
        <v>47088</v>
      </c>
      <c r="AN7" s="910">
        <v>47453</v>
      </c>
      <c r="AO7" s="910">
        <v>47818</v>
      </c>
      <c r="AP7" s="911">
        <v>48183</v>
      </c>
      <c r="AQ7" s="911" t="s">
        <v>2205</v>
      </c>
      <c r="AR7" s="1707" t="s">
        <v>2226</v>
      </c>
      <c r="AS7" s="1708" t="s">
        <v>1669</v>
      </c>
      <c r="AT7" s="1708"/>
      <c r="AV7" s="910">
        <v>46357</v>
      </c>
      <c r="AW7" s="910">
        <v>46722</v>
      </c>
      <c r="AX7" s="911">
        <v>47088</v>
      </c>
      <c r="AY7" s="910">
        <v>47453</v>
      </c>
      <c r="AZ7" s="909">
        <v>47818</v>
      </c>
      <c r="BA7" s="909">
        <v>48183</v>
      </c>
      <c r="BB7" s="2508"/>
      <c r="BE7" s="2510"/>
      <c r="BF7" s="2501"/>
    </row>
    <row r="8" spans="1:58">
      <c r="A8" s="2503"/>
      <c r="B8" s="2491"/>
      <c r="C8" s="2492"/>
      <c r="D8" s="2492"/>
      <c r="E8" s="2493"/>
      <c r="F8" s="2480"/>
      <c r="G8" s="1710" t="s">
        <v>1300</v>
      </c>
      <c r="H8" s="1711" t="s">
        <v>2227</v>
      </c>
      <c r="I8" s="1712" t="s">
        <v>2227</v>
      </c>
      <c r="J8" s="923" t="s">
        <v>1300</v>
      </c>
      <c r="K8" s="1121" t="s">
        <v>2228</v>
      </c>
      <c r="L8" s="1121" t="s">
        <v>2228</v>
      </c>
      <c r="M8" s="1121" t="s">
        <v>2228</v>
      </c>
      <c r="N8" s="1121" t="s">
        <v>2228</v>
      </c>
      <c r="O8" s="1121" t="s">
        <v>2228</v>
      </c>
      <c r="P8" s="1121" t="s">
        <v>2228</v>
      </c>
      <c r="Q8" s="1121" t="s">
        <v>2228</v>
      </c>
      <c r="R8" s="1121" t="s">
        <v>2228</v>
      </c>
      <c r="S8" s="1084" t="s">
        <v>2229</v>
      </c>
      <c r="T8" s="1084" t="s">
        <v>2229</v>
      </c>
      <c r="U8" s="1084" t="s">
        <v>2229</v>
      </c>
      <c r="V8" s="1084" t="s">
        <v>2229</v>
      </c>
      <c r="W8" s="927" t="s">
        <v>1303</v>
      </c>
      <c r="X8" s="926" t="s">
        <v>1300</v>
      </c>
      <c r="Y8" s="1084" t="s">
        <v>2230</v>
      </c>
      <c r="Z8" s="1084" t="s">
        <v>2230</v>
      </c>
      <c r="AA8" s="1084" t="s">
        <v>2230</v>
      </c>
      <c r="AB8" s="1084" t="s">
        <v>2230</v>
      </c>
      <c r="AC8" s="1084" t="s">
        <v>2230</v>
      </c>
      <c r="AD8" s="1084" t="s">
        <v>2230</v>
      </c>
      <c r="AE8" s="1084" t="s">
        <v>2230</v>
      </c>
      <c r="AF8" s="1084" t="s">
        <v>2230</v>
      </c>
      <c r="AG8" s="1084" t="s">
        <v>2230</v>
      </c>
      <c r="AH8" s="1084" t="s">
        <v>2230</v>
      </c>
      <c r="AI8" s="1084" t="s">
        <v>2230</v>
      </c>
      <c r="AJ8" s="1084" t="s">
        <v>2230</v>
      </c>
      <c r="AK8" s="927" t="s">
        <v>1303</v>
      </c>
      <c r="AL8" s="1101" t="s">
        <v>1304</v>
      </c>
      <c r="AM8" s="929" t="s">
        <v>2231</v>
      </c>
      <c r="AN8" s="930" t="s">
        <v>2231</v>
      </c>
      <c r="AO8" s="930" t="s">
        <v>2231</v>
      </c>
      <c r="AP8" s="931" t="s">
        <v>2231</v>
      </c>
      <c r="AQ8" s="931" t="s">
        <v>2231</v>
      </c>
      <c r="AR8" s="1713"/>
      <c r="AS8" s="1712"/>
      <c r="AT8" s="1712"/>
      <c r="AV8" s="929" t="s">
        <v>1670</v>
      </c>
      <c r="AW8" s="930" t="s">
        <v>1670</v>
      </c>
      <c r="AX8" s="930" t="s">
        <v>1670</v>
      </c>
      <c r="AY8" s="931" t="s">
        <v>1670</v>
      </c>
      <c r="AZ8" s="930" t="s">
        <v>1670</v>
      </c>
      <c r="BA8" s="929" t="s">
        <v>1670</v>
      </c>
      <c r="BB8" s="930" t="s">
        <v>1670</v>
      </c>
      <c r="BE8" s="2510"/>
      <c r="BF8" s="2501"/>
    </row>
    <row r="9" spans="1:58">
      <c r="A9" s="1120" t="s">
        <v>620</v>
      </c>
      <c r="B9" s="574" t="s">
        <v>621</v>
      </c>
      <c r="C9" s="948">
        <v>1632393</v>
      </c>
      <c r="D9" s="948">
        <v>1966785</v>
      </c>
      <c r="E9" s="948">
        <v>-334392</v>
      </c>
      <c r="F9" s="943">
        <v>1547393</v>
      </c>
      <c r="G9" s="945">
        <v>85000</v>
      </c>
      <c r="H9" s="948">
        <v>0</v>
      </c>
      <c r="I9" s="948">
        <v>0</v>
      </c>
      <c r="J9" s="945">
        <v>-900717</v>
      </c>
      <c r="K9" s="1115">
        <v>0</v>
      </c>
      <c r="L9" s="947">
        <v>0</v>
      </c>
      <c r="M9" s="947">
        <v>0</v>
      </c>
      <c r="N9" s="947">
        <v>0</v>
      </c>
      <c r="O9" s="947">
        <v>0</v>
      </c>
      <c r="P9" s="947">
        <v>0</v>
      </c>
      <c r="Q9" s="947">
        <v>0</v>
      </c>
      <c r="R9" s="947">
        <v>0</v>
      </c>
      <c r="S9" s="946">
        <v>0</v>
      </c>
      <c r="T9" s="946">
        <v>0</v>
      </c>
      <c r="U9" s="946">
        <v>0</v>
      </c>
      <c r="V9" s="946">
        <v>-900717</v>
      </c>
      <c r="W9" s="945">
        <v>646676</v>
      </c>
      <c r="X9" s="945">
        <v>985717</v>
      </c>
      <c r="Y9" s="948">
        <v>2966</v>
      </c>
      <c r="Z9" s="948">
        <v>2967</v>
      </c>
      <c r="AA9" s="948">
        <v>2966</v>
      </c>
      <c r="AB9" s="948">
        <v>98868</v>
      </c>
      <c r="AC9" s="948">
        <v>98868</v>
      </c>
      <c r="AD9" s="948">
        <v>98868</v>
      </c>
      <c r="AE9" s="948">
        <v>101835</v>
      </c>
      <c r="AF9" s="948">
        <v>131494</v>
      </c>
      <c r="AG9" s="948">
        <v>131495</v>
      </c>
      <c r="AH9" s="948">
        <v>131495</v>
      </c>
      <c r="AI9" s="948">
        <v>82061</v>
      </c>
      <c r="AJ9" s="948">
        <v>101834</v>
      </c>
      <c r="AK9" s="945">
        <v>1632393</v>
      </c>
      <c r="AL9" s="959" t="s">
        <v>1308</v>
      </c>
      <c r="AM9" s="945">
        <v>0</v>
      </c>
      <c r="AN9" s="945">
        <v>0</v>
      </c>
      <c r="AO9" s="945">
        <v>0</v>
      </c>
      <c r="AP9" s="945">
        <v>0</v>
      </c>
      <c r="AQ9" s="945">
        <v>0</v>
      </c>
      <c r="AR9" s="1714" t="s">
        <v>1308</v>
      </c>
      <c r="AS9" s="1715" t="s">
        <v>1196</v>
      </c>
      <c r="AT9" s="949" t="s">
        <v>2232</v>
      </c>
      <c r="AV9" s="945">
        <v>985717</v>
      </c>
      <c r="AW9" s="945">
        <v>0</v>
      </c>
      <c r="AX9" s="945">
        <v>0</v>
      </c>
      <c r="AY9" s="945">
        <v>0</v>
      </c>
      <c r="AZ9" s="945">
        <v>0</v>
      </c>
      <c r="BA9" s="945">
        <v>0</v>
      </c>
      <c r="BB9" s="1102">
        <v>0</v>
      </c>
      <c r="BC9" s="956"/>
      <c r="BE9" s="1716">
        <v>85000</v>
      </c>
      <c r="BF9" s="1717">
        <v>900717</v>
      </c>
    </row>
    <row r="10" spans="1:58">
      <c r="A10" s="1120" t="s">
        <v>622</v>
      </c>
      <c r="B10" s="751" t="s">
        <v>623</v>
      </c>
      <c r="C10" s="948">
        <v>24780000</v>
      </c>
      <c r="D10" s="948">
        <v>16733307</v>
      </c>
      <c r="E10" s="948">
        <v>8046693</v>
      </c>
      <c r="F10" s="943">
        <v>16428000</v>
      </c>
      <c r="G10" s="945">
        <v>795000</v>
      </c>
      <c r="H10" s="948">
        <v>0</v>
      </c>
      <c r="I10" s="948">
        <v>0</v>
      </c>
      <c r="J10" s="945">
        <v>-1027875</v>
      </c>
      <c r="K10" s="1115">
        <v>0</v>
      </c>
      <c r="L10" s="947">
        <v>0</v>
      </c>
      <c r="M10" s="947">
        <v>0</v>
      </c>
      <c r="N10" s="947">
        <v>0</v>
      </c>
      <c r="O10" s="947">
        <v>0</v>
      </c>
      <c r="P10" s="947">
        <v>0</v>
      </c>
      <c r="Q10" s="947">
        <v>0</v>
      </c>
      <c r="R10" s="947">
        <v>0</v>
      </c>
      <c r="S10" s="946">
        <v>0</v>
      </c>
      <c r="T10" s="946">
        <v>0</v>
      </c>
      <c r="U10" s="946">
        <v>270000</v>
      </c>
      <c r="V10" s="946">
        <v>-1297875</v>
      </c>
      <c r="W10" s="945">
        <v>15400125</v>
      </c>
      <c r="X10" s="945">
        <v>1036968</v>
      </c>
      <c r="Y10" s="948">
        <v>225688</v>
      </c>
      <c r="Z10" s="948">
        <v>70453</v>
      </c>
      <c r="AA10" s="948">
        <v>73980</v>
      </c>
      <c r="AB10" s="948">
        <v>75745</v>
      </c>
      <c r="AC10" s="948">
        <v>75746</v>
      </c>
      <c r="AD10" s="948">
        <v>103598</v>
      </c>
      <c r="AE10" s="948">
        <v>188641</v>
      </c>
      <c r="AF10" s="948">
        <v>38700</v>
      </c>
      <c r="AG10" s="948">
        <v>38700</v>
      </c>
      <c r="AH10" s="948">
        <v>38700</v>
      </c>
      <c r="AI10" s="948">
        <v>38700</v>
      </c>
      <c r="AJ10" s="948">
        <v>68317</v>
      </c>
      <c r="AK10" s="945">
        <v>16437093</v>
      </c>
      <c r="AL10" s="959" t="s">
        <v>1308</v>
      </c>
      <c r="AM10" s="945">
        <v>1055992</v>
      </c>
      <c r="AN10" s="945">
        <v>7286915</v>
      </c>
      <c r="AO10" s="945">
        <v>0</v>
      </c>
      <c r="AP10" s="945">
        <v>0</v>
      </c>
      <c r="AQ10" s="945">
        <v>0</v>
      </c>
      <c r="AR10" s="1714" t="s">
        <v>1308</v>
      </c>
      <c r="AS10" s="1715" t="s">
        <v>1196</v>
      </c>
      <c r="AT10" s="949" t="s">
        <v>2232</v>
      </c>
      <c r="AV10" s="945">
        <v>9379875</v>
      </c>
      <c r="AW10" s="945">
        <v>8342907</v>
      </c>
      <c r="AX10" s="945">
        <v>7286915</v>
      </c>
      <c r="AY10" s="945">
        <v>0</v>
      </c>
      <c r="AZ10" s="945">
        <v>0</v>
      </c>
      <c r="BA10" s="945">
        <v>0</v>
      </c>
      <c r="BB10" s="1102">
        <v>0</v>
      </c>
      <c r="BC10" s="956"/>
      <c r="BE10" s="1718">
        <v>795000</v>
      </c>
      <c r="BF10" s="1717">
        <v>241968</v>
      </c>
    </row>
    <row r="11" spans="1:58">
      <c r="A11" s="1120" t="s">
        <v>624</v>
      </c>
      <c r="B11" s="751" t="s">
        <v>1309</v>
      </c>
      <c r="C11" s="948">
        <v>11380550</v>
      </c>
      <c r="D11" s="948">
        <v>8457888</v>
      </c>
      <c r="E11" s="948">
        <v>2922662</v>
      </c>
      <c r="F11" s="943">
        <v>6771518</v>
      </c>
      <c r="G11" s="945">
        <v>1650000</v>
      </c>
      <c r="H11" s="948">
        <v>75000</v>
      </c>
      <c r="I11" s="948">
        <v>1200000</v>
      </c>
      <c r="J11" s="945">
        <v>-47588</v>
      </c>
      <c r="K11" s="1115">
        <v>75000</v>
      </c>
      <c r="L11" s="947">
        <v>75000</v>
      </c>
      <c r="M11" s="947">
        <v>75000</v>
      </c>
      <c r="N11" s="947">
        <v>675000</v>
      </c>
      <c r="O11" s="947">
        <v>75000</v>
      </c>
      <c r="P11" s="947">
        <v>75000</v>
      </c>
      <c r="Q11" s="947">
        <v>75000</v>
      </c>
      <c r="R11" s="947">
        <v>75000</v>
      </c>
      <c r="S11" s="946">
        <v>75000</v>
      </c>
      <c r="T11" s="946">
        <v>75000</v>
      </c>
      <c r="U11" s="946">
        <v>150000</v>
      </c>
      <c r="V11" s="946">
        <v>-1547588</v>
      </c>
      <c r="W11" s="945">
        <v>6723930</v>
      </c>
      <c r="X11" s="945">
        <v>1752477</v>
      </c>
      <c r="Y11" s="948">
        <v>1118433</v>
      </c>
      <c r="Z11" s="948">
        <v>35262</v>
      </c>
      <c r="AA11" s="948">
        <v>83347</v>
      </c>
      <c r="AB11" s="948">
        <v>35262</v>
      </c>
      <c r="AC11" s="948">
        <v>35262</v>
      </c>
      <c r="AD11" s="948">
        <v>110258</v>
      </c>
      <c r="AE11" s="948">
        <v>35262</v>
      </c>
      <c r="AF11" s="948">
        <v>35262</v>
      </c>
      <c r="AG11" s="948">
        <v>83347</v>
      </c>
      <c r="AH11" s="948">
        <v>35262</v>
      </c>
      <c r="AI11" s="948">
        <v>35261</v>
      </c>
      <c r="AJ11" s="948">
        <v>110259</v>
      </c>
      <c r="AK11" s="945">
        <v>8476407</v>
      </c>
      <c r="AL11" s="959" t="s">
        <v>1308</v>
      </c>
      <c r="AM11" s="945">
        <v>2904143</v>
      </c>
      <c r="AN11" s="945">
        <v>0</v>
      </c>
      <c r="AO11" s="945">
        <v>0</v>
      </c>
      <c r="AP11" s="945">
        <v>0</v>
      </c>
      <c r="AQ11" s="945">
        <v>0</v>
      </c>
      <c r="AR11" s="1714" t="s">
        <v>1308</v>
      </c>
      <c r="AS11" s="1715" t="s">
        <v>1196</v>
      </c>
      <c r="AT11" s="949" t="s">
        <v>2232</v>
      </c>
      <c r="AV11" s="945">
        <v>4656620</v>
      </c>
      <c r="AW11" s="945">
        <v>2904143</v>
      </c>
      <c r="AX11" s="945">
        <v>0</v>
      </c>
      <c r="AY11" s="945">
        <v>0</v>
      </c>
      <c r="AZ11" s="945">
        <v>0</v>
      </c>
      <c r="BA11" s="945">
        <v>0</v>
      </c>
      <c r="BB11" s="1102">
        <v>0</v>
      </c>
      <c r="BC11" s="956"/>
      <c r="BE11" s="1718">
        <v>1650000</v>
      </c>
      <c r="BF11" s="1717">
        <v>102477</v>
      </c>
    </row>
    <row r="12" spans="1:58">
      <c r="A12" s="1120" t="s">
        <v>626</v>
      </c>
      <c r="B12" s="751" t="s">
        <v>1310</v>
      </c>
      <c r="C12" s="948">
        <v>1950000</v>
      </c>
      <c r="D12" s="948">
        <v>1258917</v>
      </c>
      <c r="E12" s="948">
        <v>691083</v>
      </c>
      <c r="F12" s="943">
        <v>1950000</v>
      </c>
      <c r="G12" s="945">
        <v>0</v>
      </c>
      <c r="H12" s="948">
        <v>0</v>
      </c>
      <c r="I12" s="948">
        <v>0</v>
      </c>
      <c r="J12" s="945">
        <v>0</v>
      </c>
      <c r="K12" s="1115">
        <v>0</v>
      </c>
      <c r="L12" s="947">
        <v>0</v>
      </c>
      <c r="M12" s="947">
        <v>0</v>
      </c>
      <c r="N12" s="947">
        <v>0</v>
      </c>
      <c r="O12" s="947">
        <v>0</v>
      </c>
      <c r="P12" s="947">
        <v>0</v>
      </c>
      <c r="Q12" s="947">
        <v>0</v>
      </c>
      <c r="R12" s="947">
        <v>0</v>
      </c>
      <c r="S12" s="946">
        <v>0</v>
      </c>
      <c r="T12" s="946">
        <v>0</v>
      </c>
      <c r="U12" s="946">
        <v>0</v>
      </c>
      <c r="V12" s="946">
        <v>0</v>
      </c>
      <c r="W12" s="945">
        <v>1950000</v>
      </c>
      <c r="X12" s="945">
        <v>0</v>
      </c>
      <c r="Y12" s="948">
        <v>0</v>
      </c>
      <c r="Z12" s="948">
        <v>0</v>
      </c>
      <c r="AA12" s="948">
        <v>0</v>
      </c>
      <c r="AB12" s="948">
        <v>0</v>
      </c>
      <c r="AC12" s="948">
        <v>0</v>
      </c>
      <c r="AD12" s="948">
        <v>0</v>
      </c>
      <c r="AE12" s="948">
        <v>0</v>
      </c>
      <c r="AF12" s="948">
        <v>0</v>
      </c>
      <c r="AG12" s="948">
        <v>0</v>
      </c>
      <c r="AH12" s="948">
        <v>0</v>
      </c>
      <c r="AI12" s="948">
        <v>0</v>
      </c>
      <c r="AJ12" s="948">
        <v>0</v>
      </c>
      <c r="AK12" s="945">
        <v>1950000</v>
      </c>
      <c r="AL12" s="959" t="s">
        <v>1308</v>
      </c>
      <c r="AM12" s="945">
        <v>0</v>
      </c>
      <c r="AN12" s="945">
        <v>0</v>
      </c>
      <c r="AO12" s="945">
        <v>0</v>
      </c>
      <c r="AP12" s="945">
        <v>0</v>
      </c>
      <c r="AQ12" s="945">
        <v>0</v>
      </c>
      <c r="AR12" s="1714" t="s">
        <v>1308</v>
      </c>
      <c r="AS12" s="1715" t="s">
        <v>1196</v>
      </c>
      <c r="AT12" s="949" t="s">
        <v>2232</v>
      </c>
      <c r="AV12" s="945">
        <v>0</v>
      </c>
      <c r="AW12" s="945">
        <v>0</v>
      </c>
      <c r="AX12" s="945">
        <v>0</v>
      </c>
      <c r="AY12" s="945">
        <v>0</v>
      </c>
      <c r="AZ12" s="945">
        <v>0</v>
      </c>
      <c r="BA12" s="945">
        <v>0</v>
      </c>
      <c r="BB12" s="1102">
        <v>0</v>
      </c>
      <c r="BC12" s="956"/>
      <c r="BE12" s="1718">
        <v>0</v>
      </c>
      <c r="BF12" s="1717">
        <v>0</v>
      </c>
    </row>
    <row r="13" spans="1:58">
      <c r="A13" s="1120" t="s">
        <v>628</v>
      </c>
      <c r="B13" s="751" t="s">
        <v>1311</v>
      </c>
      <c r="C13" s="948">
        <v>18000000</v>
      </c>
      <c r="D13" s="948">
        <v>16145608</v>
      </c>
      <c r="E13" s="948">
        <v>1854392</v>
      </c>
      <c r="F13" s="943">
        <v>10350000</v>
      </c>
      <c r="G13" s="945">
        <v>1782000</v>
      </c>
      <c r="H13" s="948">
        <v>30000</v>
      </c>
      <c r="I13" s="948">
        <v>1191000</v>
      </c>
      <c r="J13" s="945">
        <v>-947613</v>
      </c>
      <c r="K13" s="1115">
        <v>30000</v>
      </c>
      <c r="L13" s="947">
        <v>30000</v>
      </c>
      <c r="M13" s="947">
        <v>330000</v>
      </c>
      <c r="N13" s="947">
        <v>408000</v>
      </c>
      <c r="O13" s="947">
        <v>30000</v>
      </c>
      <c r="P13" s="947">
        <v>30000</v>
      </c>
      <c r="Q13" s="947">
        <v>303000</v>
      </c>
      <c r="R13" s="947">
        <v>30000</v>
      </c>
      <c r="S13" s="946">
        <v>30000</v>
      </c>
      <c r="T13" s="946">
        <v>303000</v>
      </c>
      <c r="U13" s="946">
        <v>30000</v>
      </c>
      <c r="V13" s="946">
        <v>-2501613</v>
      </c>
      <c r="W13" s="945">
        <v>9402387</v>
      </c>
      <c r="X13" s="945">
        <v>673092</v>
      </c>
      <c r="Y13" s="948">
        <v>76942</v>
      </c>
      <c r="Z13" s="948">
        <v>50383</v>
      </c>
      <c r="AA13" s="948">
        <v>30462</v>
      </c>
      <c r="AB13" s="948">
        <v>30462</v>
      </c>
      <c r="AC13" s="948">
        <v>103505</v>
      </c>
      <c r="AD13" s="948">
        <v>92601</v>
      </c>
      <c r="AE13" s="948">
        <v>70303</v>
      </c>
      <c r="AF13" s="948">
        <v>37103</v>
      </c>
      <c r="AG13" s="948">
        <v>30462</v>
      </c>
      <c r="AH13" s="948">
        <v>33118</v>
      </c>
      <c r="AI13" s="948">
        <v>47727</v>
      </c>
      <c r="AJ13" s="948">
        <v>70024</v>
      </c>
      <c r="AK13" s="945">
        <v>10075479</v>
      </c>
      <c r="AL13" s="959" t="s">
        <v>1308</v>
      </c>
      <c r="AM13" s="945">
        <v>679285</v>
      </c>
      <c r="AN13" s="945">
        <v>598791</v>
      </c>
      <c r="AO13" s="945">
        <v>604112</v>
      </c>
      <c r="AP13" s="945">
        <v>791228</v>
      </c>
      <c r="AQ13" s="945">
        <v>5251105</v>
      </c>
      <c r="AR13" s="1714" t="s">
        <v>1308</v>
      </c>
      <c r="AS13" s="1715" t="s">
        <v>1196</v>
      </c>
      <c r="AT13" s="949" t="s">
        <v>2232</v>
      </c>
      <c r="AV13" s="945">
        <v>8597613</v>
      </c>
      <c r="AW13" s="945">
        <v>7924521</v>
      </c>
      <c r="AX13" s="945">
        <v>7245236</v>
      </c>
      <c r="AY13" s="945">
        <v>6646445</v>
      </c>
      <c r="AZ13" s="945">
        <v>6042333</v>
      </c>
      <c r="BA13" s="945">
        <v>5251105</v>
      </c>
      <c r="BB13" s="1102">
        <v>0</v>
      </c>
      <c r="BC13" s="956"/>
      <c r="BE13" s="1718">
        <v>1782000</v>
      </c>
      <c r="BF13" s="1717">
        <v>-1108908</v>
      </c>
    </row>
    <row r="14" spans="1:58">
      <c r="A14" s="1120" t="s">
        <v>631</v>
      </c>
      <c r="B14" s="751" t="s">
        <v>1312</v>
      </c>
      <c r="C14" s="948">
        <v>4380000</v>
      </c>
      <c r="D14" s="948">
        <v>4575503</v>
      </c>
      <c r="E14" s="948">
        <v>-195503</v>
      </c>
      <c r="F14" s="943">
        <v>3615000</v>
      </c>
      <c r="G14" s="945">
        <v>765000</v>
      </c>
      <c r="H14" s="948">
        <v>0</v>
      </c>
      <c r="I14" s="948">
        <v>0</v>
      </c>
      <c r="J14" s="945">
        <v>-124266</v>
      </c>
      <c r="K14" s="1115">
        <v>0</v>
      </c>
      <c r="L14" s="947">
        <v>0</v>
      </c>
      <c r="M14" s="947">
        <v>0</v>
      </c>
      <c r="N14" s="947">
        <v>0</v>
      </c>
      <c r="O14" s="947">
        <v>0</v>
      </c>
      <c r="P14" s="947">
        <v>0</v>
      </c>
      <c r="Q14" s="947">
        <v>0</v>
      </c>
      <c r="R14" s="947">
        <v>0</v>
      </c>
      <c r="S14" s="946">
        <v>0</v>
      </c>
      <c r="T14" s="946">
        <v>0</v>
      </c>
      <c r="U14" s="946">
        <v>0</v>
      </c>
      <c r="V14" s="946">
        <v>-124266</v>
      </c>
      <c r="W14" s="945">
        <v>3490734</v>
      </c>
      <c r="X14" s="945">
        <v>889266</v>
      </c>
      <c r="Y14" s="948">
        <v>218939</v>
      </c>
      <c r="Z14" s="948">
        <v>118592</v>
      </c>
      <c r="AA14" s="948">
        <v>118592</v>
      </c>
      <c r="AB14" s="948">
        <v>50173</v>
      </c>
      <c r="AC14" s="948">
        <v>50174</v>
      </c>
      <c r="AD14" s="948">
        <v>50173</v>
      </c>
      <c r="AE14" s="948">
        <v>72980</v>
      </c>
      <c r="AF14" s="948">
        <v>0</v>
      </c>
      <c r="AG14" s="948">
        <v>0</v>
      </c>
      <c r="AH14" s="948">
        <v>0</v>
      </c>
      <c r="AI14" s="948">
        <v>0</v>
      </c>
      <c r="AJ14" s="948">
        <v>209643</v>
      </c>
      <c r="AK14" s="945">
        <v>4380000</v>
      </c>
      <c r="AL14" s="959" t="s">
        <v>1308</v>
      </c>
      <c r="AM14" s="945">
        <v>0</v>
      </c>
      <c r="AN14" s="945">
        <v>0</v>
      </c>
      <c r="AO14" s="945">
        <v>0</v>
      </c>
      <c r="AP14" s="945">
        <v>0</v>
      </c>
      <c r="AQ14" s="945">
        <v>0</v>
      </c>
      <c r="AR14" s="1714" t="s">
        <v>1308</v>
      </c>
      <c r="AS14" s="1715" t="s">
        <v>1196</v>
      </c>
      <c r="AT14" s="949" t="s">
        <v>2232</v>
      </c>
      <c r="AV14" s="945">
        <v>889266</v>
      </c>
      <c r="AW14" s="945">
        <v>0</v>
      </c>
      <c r="AX14" s="945">
        <v>0</v>
      </c>
      <c r="AY14" s="945">
        <v>0</v>
      </c>
      <c r="AZ14" s="945">
        <v>0</v>
      </c>
      <c r="BA14" s="945">
        <v>0</v>
      </c>
      <c r="BB14" s="1102">
        <v>0</v>
      </c>
      <c r="BC14" s="956"/>
      <c r="BE14" s="1718">
        <v>765000</v>
      </c>
      <c r="BF14" s="1717">
        <v>124266</v>
      </c>
    </row>
    <row r="15" spans="1:58" s="971" customFormat="1">
      <c r="A15" s="1719" t="s">
        <v>633</v>
      </c>
      <c r="B15" s="963" t="s">
        <v>1313</v>
      </c>
      <c r="C15" s="967">
        <v>3525000</v>
      </c>
      <c r="D15" s="967">
        <v>2838696</v>
      </c>
      <c r="E15" s="967">
        <v>686304</v>
      </c>
      <c r="F15" s="981">
        <v>0</v>
      </c>
      <c r="G15" s="966">
        <v>1617000</v>
      </c>
      <c r="H15" s="967">
        <v>0</v>
      </c>
      <c r="I15" s="967">
        <v>0</v>
      </c>
      <c r="J15" s="966">
        <v>1567877</v>
      </c>
      <c r="K15" s="967">
        <v>0</v>
      </c>
      <c r="L15" s="967">
        <v>0</v>
      </c>
      <c r="M15" s="967">
        <v>0</v>
      </c>
      <c r="N15" s="967">
        <v>0</v>
      </c>
      <c r="O15" s="967">
        <v>0</v>
      </c>
      <c r="P15" s="967">
        <v>0</v>
      </c>
      <c r="Q15" s="967">
        <v>0</v>
      </c>
      <c r="R15" s="967">
        <v>0</v>
      </c>
      <c r="S15" s="967">
        <v>0</v>
      </c>
      <c r="T15" s="967">
        <v>0</v>
      </c>
      <c r="U15" s="967">
        <v>0</v>
      </c>
      <c r="V15" s="967">
        <v>1567877</v>
      </c>
      <c r="W15" s="966">
        <v>1567877</v>
      </c>
      <c r="X15" s="966">
        <v>733338</v>
      </c>
      <c r="Y15" s="967">
        <v>0</v>
      </c>
      <c r="Z15" s="967">
        <v>0</v>
      </c>
      <c r="AA15" s="967">
        <v>207089</v>
      </c>
      <c r="AB15" s="967">
        <v>48814</v>
      </c>
      <c r="AC15" s="967">
        <v>48814</v>
      </c>
      <c r="AD15" s="967">
        <v>86067</v>
      </c>
      <c r="AE15" s="967">
        <v>48814</v>
      </c>
      <c r="AF15" s="967">
        <v>48813</v>
      </c>
      <c r="AG15" s="967">
        <v>48814</v>
      </c>
      <c r="AH15" s="967">
        <v>48814</v>
      </c>
      <c r="AI15" s="967">
        <v>48814</v>
      </c>
      <c r="AJ15" s="967">
        <v>98485</v>
      </c>
      <c r="AK15" s="966">
        <v>2301215</v>
      </c>
      <c r="AL15" s="1698" t="s">
        <v>2197</v>
      </c>
      <c r="AM15" s="966">
        <v>353987</v>
      </c>
      <c r="AN15" s="966">
        <v>869798</v>
      </c>
      <c r="AO15" s="966">
        <v>0</v>
      </c>
      <c r="AP15" s="966">
        <v>0</v>
      </c>
      <c r="AQ15" s="966">
        <v>0</v>
      </c>
      <c r="AR15" s="1720" t="s">
        <v>1314</v>
      </c>
      <c r="AS15" s="1721" t="s">
        <v>2233</v>
      </c>
      <c r="AT15" s="1722" t="s">
        <v>2234</v>
      </c>
      <c r="AV15" s="966">
        <v>1957123</v>
      </c>
      <c r="AW15" s="966">
        <v>1223785</v>
      </c>
      <c r="AX15" s="966">
        <v>869798</v>
      </c>
      <c r="AY15" s="966">
        <v>0</v>
      </c>
      <c r="AZ15" s="966">
        <v>0</v>
      </c>
      <c r="BA15" s="966">
        <v>0</v>
      </c>
      <c r="BB15" s="1723">
        <v>0</v>
      </c>
      <c r="BC15" s="956"/>
      <c r="BE15" s="1724">
        <v>1617000</v>
      </c>
      <c r="BF15" s="1725">
        <v>-883662</v>
      </c>
    </row>
    <row r="16" spans="1:58">
      <c r="A16" s="1120" t="s">
        <v>634</v>
      </c>
      <c r="B16" s="751" t="s">
        <v>1315</v>
      </c>
      <c r="C16" s="948">
        <v>7800000</v>
      </c>
      <c r="D16" s="948">
        <v>7041372</v>
      </c>
      <c r="E16" s="948">
        <v>758628</v>
      </c>
      <c r="F16" s="943">
        <v>4185000</v>
      </c>
      <c r="G16" s="945">
        <v>1440000</v>
      </c>
      <c r="H16" s="948">
        <v>160000</v>
      </c>
      <c r="I16" s="948">
        <v>1280000</v>
      </c>
      <c r="J16" s="945">
        <v>1231753</v>
      </c>
      <c r="K16" s="1115">
        <v>160000</v>
      </c>
      <c r="L16" s="947">
        <v>160000</v>
      </c>
      <c r="M16" s="947">
        <v>160000</v>
      </c>
      <c r="N16" s="947">
        <v>160000</v>
      </c>
      <c r="O16" s="947">
        <v>160000</v>
      </c>
      <c r="P16" s="947">
        <v>160000</v>
      </c>
      <c r="Q16" s="947">
        <v>160000</v>
      </c>
      <c r="R16" s="947">
        <v>160000</v>
      </c>
      <c r="S16" s="946">
        <v>0</v>
      </c>
      <c r="T16" s="946">
        <v>0</v>
      </c>
      <c r="U16" s="946">
        <v>80000</v>
      </c>
      <c r="V16" s="946">
        <v>-128247</v>
      </c>
      <c r="W16" s="945">
        <v>5416753</v>
      </c>
      <c r="X16" s="945">
        <v>2383247</v>
      </c>
      <c r="Y16" s="948">
        <v>131955</v>
      </c>
      <c r="Z16" s="948">
        <v>131955</v>
      </c>
      <c r="AA16" s="948">
        <v>131955</v>
      </c>
      <c r="AB16" s="948">
        <v>131955</v>
      </c>
      <c r="AC16" s="948">
        <v>131955</v>
      </c>
      <c r="AD16" s="948">
        <v>154110</v>
      </c>
      <c r="AE16" s="948">
        <v>131955</v>
      </c>
      <c r="AF16" s="948">
        <v>131955</v>
      </c>
      <c r="AG16" s="948">
        <v>131955</v>
      </c>
      <c r="AH16" s="948">
        <v>131955</v>
      </c>
      <c r="AI16" s="948">
        <v>131955</v>
      </c>
      <c r="AJ16" s="948">
        <v>909587</v>
      </c>
      <c r="AK16" s="945">
        <v>7800000</v>
      </c>
      <c r="AL16" s="959" t="s">
        <v>1308</v>
      </c>
      <c r="AM16" s="945">
        <v>0</v>
      </c>
      <c r="AN16" s="945">
        <v>0</v>
      </c>
      <c r="AO16" s="945">
        <v>0</v>
      </c>
      <c r="AP16" s="945">
        <v>0</v>
      </c>
      <c r="AQ16" s="945">
        <v>0</v>
      </c>
      <c r="AR16" s="1714" t="s">
        <v>1308</v>
      </c>
      <c r="AS16" s="1714" t="s">
        <v>1196</v>
      </c>
      <c r="AT16" s="949" t="s">
        <v>2232</v>
      </c>
      <c r="AV16" s="945">
        <v>2383247</v>
      </c>
      <c r="AW16" s="945">
        <v>0</v>
      </c>
      <c r="AX16" s="945">
        <v>0</v>
      </c>
      <c r="AY16" s="945">
        <v>0</v>
      </c>
      <c r="AZ16" s="945">
        <v>0</v>
      </c>
      <c r="BA16" s="945">
        <v>0</v>
      </c>
      <c r="BB16" s="1102">
        <v>0</v>
      </c>
      <c r="BC16" s="956"/>
      <c r="BE16" s="1718">
        <v>1440000</v>
      </c>
      <c r="BF16" s="1717">
        <v>943247</v>
      </c>
    </row>
    <row r="17" spans="1:58">
      <c r="A17" s="1120" t="s">
        <v>636</v>
      </c>
      <c r="B17" s="751" t="s">
        <v>1316</v>
      </c>
      <c r="C17" s="948">
        <v>40013400</v>
      </c>
      <c r="D17" s="948">
        <v>26960687</v>
      </c>
      <c r="E17" s="948">
        <v>13052713</v>
      </c>
      <c r="F17" s="943">
        <v>6018000</v>
      </c>
      <c r="G17" s="945">
        <v>6300000</v>
      </c>
      <c r="H17" s="948">
        <v>0</v>
      </c>
      <c r="I17" s="948">
        <v>850000</v>
      </c>
      <c r="J17" s="945">
        <v>32452</v>
      </c>
      <c r="K17" s="1115">
        <v>0</v>
      </c>
      <c r="L17" s="947">
        <v>170000</v>
      </c>
      <c r="M17" s="947">
        <v>0</v>
      </c>
      <c r="N17" s="947">
        <v>170000</v>
      </c>
      <c r="O17" s="947">
        <v>170000</v>
      </c>
      <c r="P17" s="947">
        <v>170000</v>
      </c>
      <c r="Q17" s="947">
        <v>170000</v>
      </c>
      <c r="R17" s="947">
        <v>0</v>
      </c>
      <c r="S17" s="946">
        <v>170000</v>
      </c>
      <c r="T17" s="946">
        <v>525000</v>
      </c>
      <c r="U17" s="946">
        <v>525000</v>
      </c>
      <c r="V17" s="946">
        <v>-2037548</v>
      </c>
      <c r="W17" s="945">
        <v>6050452</v>
      </c>
      <c r="X17" s="945">
        <v>3643032</v>
      </c>
      <c r="Y17" s="948">
        <v>774240</v>
      </c>
      <c r="Z17" s="948">
        <v>800759</v>
      </c>
      <c r="AA17" s="948">
        <v>730042</v>
      </c>
      <c r="AB17" s="948">
        <v>464853</v>
      </c>
      <c r="AC17" s="948">
        <v>75913</v>
      </c>
      <c r="AD17" s="948">
        <v>120436</v>
      </c>
      <c r="AE17" s="948">
        <v>75912</v>
      </c>
      <c r="AF17" s="948">
        <v>75912</v>
      </c>
      <c r="AG17" s="948">
        <v>75913</v>
      </c>
      <c r="AH17" s="948">
        <v>75912</v>
      </c>
      <c r="AI17" s="948">
        <v>75912</v>
      </c>
      <c r="AJ17" s="948">
        <v>297228</v>
      </c>
      <c r="AK17" s="945">
        <v>9693484</v>
      </c>
      <c r="AL17" s="959" t="s">
        <v>1308</v>
      </c>
      <c r="AM17" s="945">
        <v>2817532</v>
      </c>
      <c r="AN17" s="945">
        <v>1431289</v>
      </c>
      <c r="AO17" s="945">
        <v>1428224</v>
      </c>
      <c r="AP17" s="945">
        <v>2526528</v>
      </c>
      <c r="AQ17" s="945">
        <v>22116343</v>
      </c>
      <c r="AR17" s="1714" t="s">
        <v>1308</v>
      </c>
      <c r="AS17" s="1714" t="s">
        <v>1246</v>
      </c>
      <c r="AT17" s="949" t="s">
        <v>2232</v>
      </c>
      <c r="AV17" s="945">
        <v>33962948</v>
      </c>
      <c r="AW17" s="945">
        <v>30319916</v>
      </c>
      <c r="AX17" s="945">
        <v>27502384</v>
      </c>
      <c r="AY17" s="945">
        <v>26071095</v>
      </c>
      <c r="AZ17" s="945">
        <v>24642871</v>
      </c>
      <c r="BA17" s="945">
        <v>22116343</v>
      </c>
      <c r="BB17" s="1102">
        <v>0</v>
      </c>
      <c r="BC17" s="956"/>
      <c r="BE17" s="1718">
        <v>6300000</v>
      </c>
      <c r="BF17" s="1717">
        <v>-2656968</v>
      </c>
    </row>
    <row r="18" spans="1:58">
      <c r="A18" s="1726" t="s">
        <v>1065</v>
      </c>
      <c r="B18" s="1009" t="s">
        <v>1317</v>
      </c>
      <c r="C18" s="946">
        <v>49477750</v>
      </c>
      <c r="D18" s="946">
        <v>33486571</v>
      </c>
      <c r="E18" s="946">
        <v>15991179</v>
      </c>
      <c r="F18" s="1012">
        <v>1486250</v>
      </c>
      <c r="G18" s="945">
        <v>7876000</v>
      </c>
      <c r="H18" s="946">
        <v>160000</v>
      </c>
      <c r="I18" s="946">
        <v>1402500</v>
      </c>
      <c r="J18" s="974">
        <v>3950756</v>
      </c>
      <c r="K18" s="1115">
        <v>160000</v>
      </c>
      <c r="L18" s="947">
        <v>282500</v>
      </c>
      <c r="M18" s="947">
        <v>160000</v>
      </c>
      <c r="N18" s="947">
        <v>160000</v>
      </c>
      <c r="O18" s="947">
        <v>160000</v>
      </c>
      <c r="P18" s="947">
        <v>160000</v>
      </c>
      <c r="Q18" s="947">
        <v>160000</v>
      </c>
      <c r="R18" s="947">
        <v>160000</v>
      </c>
      <c r="S18" s="946">
        <v>160000</v>
      </c>
      <c r="T18" s="946">
        <v>160000</v>
      </c>
      <c r="U18" s="946">
        <v>1910000</v>
      </c>
      <c r="V18" s="946">
        <v>318256</v>
      </c>
      <c r="W18" s="974">
        <v>5437006</v>
      </c>
      <c r="X18" s="974">
        <v>4645488</v>
      </c>
      <c r="Y18" s="948">
        <v>621193</v>
      </c>
      <c r="Z18" s="948">
        <v>480389</v>
      </c>
      <c r="AA18" s="948">
        <v>871120</v>
      </c>
      <c r="AB18" s="948">
        <v>385344</v>
      </c>
      <c r="AC18" s="948">
        <v>367744</v>
      </c>
      <c r="AD18" s="948">
        <v>745371</v>
      </c>
      <c r="AE18" s="948">
        <v>269182</v>
      </c>
      <c r="AF18" s="948">
        <v>269181</v>
      </c>
      <c r="AG18" s="948">
        <v>142457</v>
      </c>
      <c r="AH18" s="948">
        <v>121334</v>
      </c>
      <c r="AI18" s="948">
        <v>121334</v>
      </c>
      <c r="AJ18" s="948">
        <v>250839</v>
      </c>
      <c r="AK18" s="974">
        <v>10082494</v>
      </c>
      <c r="AL18" s="975" t="s">
        <v>1318</v>
      </c>
      <c r="AM18" s="945">
        <v>5953096</v>
      </c>
      <c r="AN18" s="945">
        <v>6932212</v>
      </c>
      <c r="AO18" s="945">
        <v>3376458</v>
      </c>
      <c r="AP18" s="945">
        <v>1665897</v>
      </c>
      <c r="AQ18" s="945">
        <v>21467593</v>
      </c>
      <c r="AR18" s="1727" t="s">
        <v>1318</v>
      </c>
      <c r="AS18" s="1727" t="s">
        <v>1246</v>
      </c>
      <c r="AT18" s="1728" t="s">
        <v>2235</v>
      </c>
      <c r="AV18" s="945">
        <v>44040744</v>
      </c>
      <c r="AW18" s="945">
        <v>39395256</v>
      </c>
      <c r="AX18" s="945">
        <v>33442160</v>
      </c>
      <c r="AY18" s="945">
        <v>26509948</v>
      </c>
      <c r="AZ18" s="945">
        <v>23133490</v>
      </c>
      <c r="BA18" s="945">
        <v>21467593</v>
      </c>
      <c r="BB18" s="1102">
        <v>0</v>
      </c>
      <c r="BC18" s="956"/>
      <c r="BE18" s="1729">
        <v>7876000</v>
      </c>
      <c r="BF18" s="1717">
        <v>-3230512</v>
      </c>
    </row>
    <row r="19" spans="1:58" s="971" customFormat="1" ht="16.2">
      <c r="A19" s="1730" t="s">
        <v>1069</v>
      </c>
      <c r="B19" s="1010" t="s">
        <v>2236</v>
      </c>
      <c r="C19" s="967">
        <v>5000000</v>
      </c>
      <c r="D19" s="967">
        <v>2812703</v>
      </c>
      <c r="E19" s="967">
        <v>2187297</v>
      </c>
      <c r="F19" s="981">
        <v>3200000</v>
      </c>
      <c r="G19" s="966">
        <v>1800000</v>
      </c>
      <c r="H19" s="967">
        <v>0</v>
      </c>
      <c r="I19" s="967">
        <v>800000</v>
      </c>
      <c r="J19" s="966">
        <v>-16368</v>
      </c>
      <c r="K19" s="967">
        <v>0</v>
      </c>
      <c r="L19" s="967">
        <v>0</v>
      </c>
      <c r="M19" s="967">
        <v>0</v>
      </c>
      <c r="N19" s="967">
        <v>0</v>
      </c>
      <c r="O19" s="967">
        <v>800000</v>
      </c>
      <c r="P19" s="967">
        <v>0</v>
      </c>
      <c r="Q19" s="967">
        <v>0</v>
      </c>
      <c r="R19" s="967">
        <v>0</v>
      </c>
      <c r="S19" s="967">
        <v>0</v>
      </c>
      <c r="T19" s="967">
        <v>190000</v>
      </c>
      <c r="U19" s="967">
        <v>0</v>
      </c>
      <c r="V19" s="967">
        <v>-1006368</v>
      </c>
      <c r="W19" s="966">
        <v>3183632</v>
      </c>
      <c r="X19" s="966">
        <v>1816368</v>
      </c>
      <c r="Y19" s="967">
        <v>0</v>
      </c>
      <c r="Z19" s="967">
        <v>0</v>
      </c>
      <c r="AA19" s="967">
        <v>0</v>
      </c>
      <c r="AB19" s="967">
        <v>0</v>
      </c>
      <c r="AC19" s="967">
        <v>0</v>
      </c>
      <c r="AD19" s="967">
        <v>0</v>
      </c>
      <c r="AE19" s="967">
        <v>211755</v>
      </c>
      <c r="AF19" s="967">
        <v>211755</v>
      </c>
      <c r="AG19" s="967">
        <v>211756</v>
      </c>
      <c r="AH19" s="967">
        <v>211755</v>
      </c>
      <c r="AI19" s="967">
        <v>169405</v>
      </c>
      <c r="AJ19" s="967">
        <v>799942</v>
      </c>
      <c r="AK19" s="966">
        <v>5000000</v>
      </c>
      <c r="AL19" s="1698" t="s">
        <v>2200</v>
      </c>
      <c r="AM19" s="966">
        <v>0</v>
      </c>
      <c r="AN19" s="966">
        <v>0</v>
      </c>
      <c r="AO19" s="966">
        <v>0</v>
      </c>
      <c r="AP19" s="966">
        <v>0</v>
      </c>
      <c r="AQ19" s="966">
        <v>0</v>
      </c>
      <c r="AR19" s="1720" t="s">
        <v>1314</v>
      </c>
      <c r="AS19" s="1721" t="s">
        <v>2233</v>
      </c>
      <c r="AT19" s="1722" t="s">
        <v>2234</v>
      </c>
      <c r="AV19" s="966">
        <v>1816368</v>
      </c>
      <c r="AW19" s="966">
        <v>0</v>
      </c>
      <c r="AX19" s="966">
        <v>0</v>
      </c>
      <c r="AY19" s="966">
        <v>0</v>
      </c>
      <c r="AZ19" s="966">
        <v>0</v>
      </c>
      <c r="BA19" s="966">
        <v>0</v>
      </c>
      <c r="BB19" s="1723">
        <v>0</v>
      </c>
      <c r="BC19" s="956"/>
      <c r="BE19" s="1724">
        <v>1800000</v>
      </c>
      <c r="BF19" s="1725">
        <v>16368</v>
      </c>
    </row>
    <row r="20" spans="1:58" s="971" customFormat="1">
      <c r="A20" s="599" t="s">
        <v>1073</v>
      </c>
      <c r="B20" s="599" t="s">
        <v>1076</v>
      </c>
      <c r="C20" s="967">
        <v>11400000</v>
      </c>
      <c r="D20" s="967">
        <v>8045334</v>
      </c>
      <c r="E20" s="967">
        <v>3354666</v>
      </c>
      <c r="F20" s="981">
        <v>2280000</v>
      </c>
      <c r="G20" s="966">
        <v>1140000</v>
      </c>
      <c r="H20" s="967">
        <v>0</v>
      </c>
      <c r="I20" s="967">
        <v>0</v>
      </c>
      <c r="J20" s="966">
        <v>-1656836</v>
      </c>
      <c r="K20" s="967">
        <v>0</v>
      </c>
      <c r="L20" s="967">
        <v>0</v>
      </c>
      <c r="M20" s="967">
        <v>0</v>
      </c>
      <c r="N20" s="967">
        <v>0</v>
      </c>
      <c r="O20" s="967">
        <v>0</v>
      </c>
      <c r="P20" s="967">
        <v>0</v>
      </c>
      <c r="Q20" s="967">
        <v>0</v>
      </c>
      <c r="R20" s="967">
        <v>0</v>
      </c>
      <c r="S20" s="967">
        <v>0</v>
      </c>
      <c r="T20" s="967">
        <v>0</v>
      </c>
      <c r="U20" s="967">
        <v>0</v>
      </c>
      <c r="V20" s="967">
        <v>-1656836</v>
      </c>
      <c r="W20" s="966">
        <v>623164</v>
      </c>
      <c r="X20" s="966">
        <v>841988</v>
      </c>
      <c r="Y20" s="967">
        <v>55596</v>
      </c>
      <c r="Z20" s="967">
        <v>55596</v>
      </c>
      <c r="AA20" s="967">
        <v>173751</v>
      </c>
      <c r="AB20" s="967">
        <v>55596</v>
      </c>
      <c r="AC20" s="967">
        <v>55596</v>
      </c>
      <c r="AD20" s="967">
        <v>83936</v>
      </c>
      <c r="AE20" s="967">
        <v>55596</v>
      </c>
      <c r="AF20" s="967">
        <v>55596</v>
      </c>
      <c r="AG20" s="967">
        <v>55596</v>
      </c>
      <c r="AH20" s="967">
        <v>55597</v>
      </c>
      <c r="AI20" s="967">
        <v>55596</v>
      </c>
      <c r="AJ20" s="967">
        <v>83936</v>
      </c>
      <c r="AK20" s="966">
        <v>1465152</v>
      </c>
      <c r="AL20" s="1698" t="s">
        <v>2197</v>
      </c>
      <c r="AM20" s="966">
        <v>1067114</v>
      </c>
      <c r="AN20" s="966">
        <v>1729119</v>
      </c>
      <c r="AO20" s="966">
        <v>1648308</v>
      </c>
      <c r="AP20" s="966">
        <v>964504</v>
      </c>
      <c r="AQ20" s="966">
        <v>4525803</v>
      </c>
      <c r="AR20" s="1720" t="s">
        <v>1314</v>
      </c>
      <c r="AS20" s="1721" t="s">
        <v>2233</v>
      </c>
      <c r="AT20" s="1722" t="s">
        <v>2234</v>
      </c>
      <c r="AV20" s="966">
        <v>10776836</v>
      </c>
      <c r="AW20" s="966">
        <v>9934848</v>
      </c>
      <c r="AX20" s="966">
        <v>8867734</v>
      </c>
      <c r="AY20" s="966">
        <v>7138615</v>
      </c>
      <c r="AZ20" s="966">
        <v>5490307</v>
      </c>
      <c r="BA20" s="966">
        <v>4525803</v>
      </c>
      <c r="BB20" s="1723">
        <v>0</v>
      </c>
      <c r="BC20" s="956"/>
      <c r="BE20" s="1724">
        <v>1140000</v>
      </c>
      <c r="BF20" s="1725">
        <v>-298012</v>
      </c>
    </row>
    <row r="21" spans="1:58" s="971" customFormat="1">
      <c r="A21" s="865" t="s">
        <v>642</v>
      </c>
      <c r="B21" s="599" t="s">
        <v>1671</v>
      </c>
      <c r="C21" s="967">
        <v>9400000</v>
      </c>
      <c r="D21" s="967">
        <v>6304845</v>
      </c>
      <c r="E21" s="967">
        <v>3095155</v>
      </c>
      <c r="F21" s="981">
        <v>0</v>
      </c>
      <c r="G21" s="966">
        <v>0</v>
      </c>
      <c r="H21" s="967">
        <v>1316000</v>
      </c>
      <c r="I21" s="967">
        <v>2256000</v>
      </c>
      <c r="J21" s="966">
        <v>3847729</v>
      </c>
      <c r="K21" s="967">
        <v>0</v>
      </c>
      <c r="L21" s="967">
        <v>0</v>
      </c>
      <c r="M21" s="967">
        <v>940000</v>
      </c>
      <c r="N21" s="967">
        <v>0</v>
      </c>
      <c r="O21" s="967">
        <v>0</v>
      </c>
      <c r="P21" s="967">
        <v>0</v>
      </c>
      <c r="Q21" s="967">
        <v>0</v>
      </c>
      <c r="R21" s="967">
        <v>1316000</v>
      </c>
      <c r="S21" s="967">
        <v>0</v>
      </c>
      <c r="T21" s="967">
        <v>0</v>
      </c>
      <c r="U21" s="967">
        <v>0</v>
      </c>
      <c r="V21" s="967">
        <v>1591729</v>
      </c>
      <c r="W21" s="966">
        <v>3847729</v>
      </c>
      <c r="X21" s="966">
        <v>5552271</v>
      </c>
      <c r="Y21" s="967">
        <v>239758</v>
      </c>
      <c r="Z21" s="967">
        <v>239759</v>
      </c>
      <c r="AA21" s="967">
        <v>239759</v>
      </c>
      <c r="AB21" s="967">
        <v>239759</v>
      </c>
      <c r="AC21" s="967">
        <v>239759</v>
      </c>
      <c r="AD21" s="967">
        <v>74545</v>
      </c>
      <c r="AE21" s="967">
        <v>0</v>
      </c>
      <c r="AF21" s="967">
        <v>0</v>
      </c>
      <c r="AG21" s="967">
        <v>0</v>
      </c>
      <c r="AH21" s="967">
        <v>0</v>
      </c>
      <c r="AI21" s="967">
        <v>0</v>
      </c>
      <c r="AJ21" s="967">
        <v>4278932</v>
      </c>
      <c r="AK21" s="966">
        <v>9400000</v>
      </c>
      <c r="AL21" s="1698" t="s">
        <v>2200</v>
      </c>
      <c r="AM21" s="966">
        <v>0</v>
      </c>
      <c r="AN21" s="966">
        <v>0</v>
      </c>
      <c r="AO21" s="966">
        <v>0</v>
      </c>
      <c r="AP21" s="966">
        <v>0</v>
      </c>
      <c r="AQ21" s="966">
        <v>0</v>
      </c>
      <c r="AR21" s="1720" t="s">
        <v>1314</v>
      </c>
      <c r="AS21" s="1721" t="s">
        <v>2233</v>
      </c>
      <c r="AT21" s="1722" t="s">
        <v>2234</v>
      </c>
      <c r="AV21" s="966">
        <v>5552271</v>
      </c>
      <c r="AW21" s="966">
        <v>0</v>
      </c>
      <c r="AX21" s="966">
        <v>0</v>
      </c>
      <c r="AY21" s="966">
        <v>0</v>
      </c>
      <c r="AZ21" s="966">
        <v>0</v>
      </c>
      <c r="BA21" s="966">
        <v>0</v>
      </c>
      <c r="BB21" s="1723">
        <v>0</v>
      </c>
      <c r="BC21" s="956"/>
      <c r="BE21" s="1724"/>
      <c r="BF21" s="1725">
        <v>5552271</v>
      </c>
    </row>
    <row r="22" spans="1:58" s="971" customFormat="1">
      <c r="A22" s="865" t="s">
        <v>1080</v>
      </c>
      <c r="B22" s="599" t="s">
        <v>1247</v>
      </c>
      <c r="C22" s="967">
        <v>1330000</v>
      </c>
      <c r="D22" s="967">
        <v>575468</v>
      </c>
      <c r="E22" s="967">
        <v>754532</v>
      </c>
      <c r="F22" s="981">
        <v>0</v>
      </c>
      <c r="G22" s="966">
        <v>0</v>
      </c>
      <c r="H22" s="967">
        <v>0</v>
      </c>
      <c r="I22" s="967">
        <v>0</v>
      </c>
      <c r="J22" s="966">
        <v>1330000</v>
      </c>
      <c r="K22" s="967">
        <v>0</v>
      </c>
      <c r="L22" s="967">
        <v>0</v>
      </c>
      <c r="M22" s="967">
        <v>0</v>
      </c>
      <c r="N22" s="967">
        <v>0</v>
      </c>
      <c r="O22" s="967">
        <v>0</v>
      </c>
      <c r="P22" s="967">
        <v>0</v>
      </c>
      <c r="Q22" s="967">
        <v>0</v>
      </c>
      <c r="R22" s="967">
        <v>0</v>
      </c>
      <c r="S22" s="967">
        <v>1200000</v>
      </c>
      <c r="T22" s="967">
        <v>130000</v>
      </c>
      <c r="U22" s="967">
        <v>0</v>
      </c>
      <c r="V22" s="967">
        <v>0</v>
      </c>
      <c r="W22" s="966">
        <v>1330000</v>
      </c>
      <c r="X22" s="966">
        <v>0</v>
      </c>
      <c r="Y22" s="967">
        <v>0</v>
      </c>
      <c r="Z22" s="967">
        <v>0</v>
      </c>
      <c r="AA22" s="967">
        <v>0</v>
      </c>
      <c r="AB22" s="967">
        <v>0</v>
      </c>
      <c r="AC22" s="967">
        <v>0</v>
      </c>
      <c r="AD22" s="967">
        <v>0</v>
      </c>
      <c r="AE22" s="967">
        <v>0</v>
      </c>
      <c r="AF22" s="967">
        <v>0</v>
      </c>
      <c r="AG22" s="967">
        <v>0</v>
      </c>
      <c r="AH22" s="967">
        <v>0</v>
      </c>
      <c r="AI22" s="967">
        <v>0</v>
      </c>
      <c r="AJ22" s="967">
        <v>0</v>
      </c>
      <c r="AK22" s="966">
        <v>1330000</v>
      </c>
      <c r="AL22" s="1698" t="s">
        <v>2200</v>
      </c>
      <c r="AM22" s="966">
        <v>0</v>
      </c>
      <c r="AN22" s="966">
        <v>0</v>
      </c>
      <c r="AO22" s="966">
        <v>0</v>
      </c>
      <c r="AP22" s="966">
        <v>0</v>
      </c>
      <c r="AQ22" s="966">
        <v>0</v>
      </c>
      <c r="AR22" s="1720" t="s">
        <v>1314</v>
      </c>
      <c r="AS22" s="1721" t="s">
        <v>2233</v>
      </c>
      <c r="AT22" s="1722" t="s">
        <v>2234</v>
      </c>
      <c r="AV22" s="966">
        <v>0</v>
      </c>
      <c r="AW22" s="966">
        <v>0</v>
      </c>
      <c r="AX22" s="966">
        <v>0</v>
      </c>
      <c r="AY22" s="966">
        <v>0</v>
      </c>
      <c r="AZ22" s="966">
        <v>0</v>
      </c>
      <c r="BA22" s="966">
        <v>0</v>
      </c>
      <c r="BB22" s="1723">
        <v>0</v>
      </c>
      <c r="BC22" s="956"/>
      <c r="BE22" s="1724"/>
      <c r="BF22" s="1725">
        <v>0</v>
      </c>
    </row>
    <row r="23" spans="1:58" s="971" customFormat="1">
      <c r="A23" s="865" t="s">
        <v>1082</v>
      </c>
      <c r="B23" s="599" t="s">
        <v>1248</v>
      </c>
      <c r="C23" s="967">
        <v>15000000</v>
      </c>
      <c r="D23" s="967">
        <v>10227649</v>
      </c>
      <c r="E23" s="967">
        <v>4772351</v>
      </c>
      <c r="F23" s="981">
        <v>0</v>
      </c>
      <c r="G23" s="966">
        <v>0</v>
      </c>
      <c r="H23" s="967">
        <v>0</v>
      </c>
      <c r="I23" s="967">
        <v>0</v>
      </c>
      <c r="J23" s="966">
        <v>35360</v>
      </c>
      <c r="K23" s="967">
        <v>0</v>
      </c>
      <c r="L23" s="967">
        <v>0</v>
      </c>
      <c r="M23" s="967">
        <v>0</v>
      </c>
      <c r="N23" s="967">
        <v>0</v>
      </c>
      <c r="O23" s="967">
        <v>0</v>
      </c>
      <c r="P23" s="967">
        <v>0</v>
      </c>
      <c r="Q23" s="967">
        <v>0</v>
      </c>
      <c r="R23" s="967">
        <v>0</v>
      </c>
      <c r="S23" s="967">
        <v>0</v>
      </c>
      <c r="T23" s="967">
        <v>0</v>
      </c>
      <c r="U23" s="967">
        <v>0</v>
      </c>
      <c r="V23" s="967">
        <v>35360</v>
      </c>
      <c r="W23" s="966">
        <v>35360</v>
      </c>
      <c r="X23" s="966">
        <v>4236903</v>
      </c>
      <c r="Y23" s="967">
        <v>349409</v>
      </c>
      <c r="Z23" s="967">
        <v>349409</v>
      </c>
      <c r="AA23" s="967">
        <v>349408</v>
      </c>
      <c r="AB23" s="967">
        <v>349409</v>
      </c>
      <c r="AC23" s="967">
        <v>349409</v>
      </c>
      <c r="AD23" s="967">
        <v>349409</v>
      </c>
      <c r="AE23" s="967">
        <v>349408</v>
      </c>
      <c r="AF23" s="967">
        <v>349409</v>
      </c>
      <c r="AG23" s="967">
        <v>349409</v>
      </c>
      <c r="AH23" s="967">
        <v>349408</v>
      </c>
      <c r="AI23" s="967">
        <v>349409</v>
      </c>
      <c r="AJ23" s="967">
        <v>393407</v>
      </c>
      <c r="AK23" s="966">
        <v>4272263</v>
      </c>
      <c r="AL23" s="1698" t="s">
        <v>2200</v>
      </c>
      <c r="AM23" s="966">
        <v>3711616</v>
      </c>
      <c r="AN23" s="966">
        <v>1200126</v>
      </c>
      <c r="AO23" s="966">
        <v>1259111</v>
      </c>
      <c r="AP23" s="966">
        <v>3890467</v>
      </c>
      <c r="AQ23" s="966">
        <v>666417</v>
      </c>
      <c r="AR23" s="1720" t="s">
        <v>1314</v>
      </c>
      <c r="AS23" s="1721" t="s">
        <v>2233</v>
      </c>
      <c r="AT23" s="1722" t="s">
        <v>2234</v>
      </c>
      <c r="AV23" s="966">
        <v>14964640</v>
      </c>
      <c r="AW23" s="966">
        <v>10727737</v>
      </c>
      <c r="AX23" s="966">
        <v>7016121</v>
      </c>
      <c r="AY23" s="966">
        <v>5815995</v>
      </c>
      <c r="AZ23" s="966">
        <v>4556884</v>
      </c>
      <c r="BA23" s="966">
        <v>666417</v>
      </c>
      <c r="BB23" s="1723">
        <v>0</v>
      </c>
      <c r="BC23" s="956"/>
      <c r="BE23" s="1724"/>
      <c r="BF23" s="1725">
        <v>4236903</v>
      </c>
    </row>
    <row r="24" spans="1:58" s="990" customFormat="1">
      <c r="A24" s="866" t="s">
        <v>1249</v>
      </c>
      <c r="B24" s="867" t="s">
        <v>1085</v>
      </c>
      <c r="C24" s="947">
        <v>14840000</v>
      </c>
      <c r="D24" s="947">
        <v>9953304</v>
      </c>
      <c r="E24" s="947">
        <v>4886696</v>
      </c>
      <c r="F24" s="984">
        <v>0</v>
      </c>
      <c r="G24" s="986">
        <v>0</v>
      </c>
      <c r="H24" s="947">
        <v>0</v>
      </c>
      <c r="I24" s="947">
        <v>0</v>
      </c>
      <c r="J24" s="986">
        <v>349009</v>
      </c>
      <c r="K24" s="947">
        <v>0</v>
      </c>
      <c r="L24" s="947">
        <v>0</v>
      </c>
      <c r="M24" s="947">
        <v>0</v>
      </c>
      <c r="N24" s="947">
        <v>0</v>
      </c>
      <c r="O24" s="947">
        <v>0</v>
      </c>
      <c r="P24" s="947">
        <v>0</v>
      </c>
      <c r="Q24" s="947">
        <v>0</v>
      </c>
      <c r="R24" s="947">
        <v>0</v>
      </c>
      <c r="S24" s="947">
        <v>0</v>
      </c>
      <c r="T24" s="947">
        <v>0</v>
      </c>
      <c r="U24" s="947">
        <v>0</v>
      </c>
      <c r="V24" s="946">
        <v>349009</v>
      </c>
      <c r="W24" s="986">
        <v>349009</v>
      </c>
      <c r="X24" s="986">
        <v>3774432</v>
      </c>
      <c r="Y24" s="948">
        <v>177605</v>
      </c>
      <c r="Z24" s="948">
        <v>177605</v>
      </c>
      <c r="AA24" s="948">
        <v>355210</v>
      </c>
      <c r="AB24" s="948">
        <v>355209</v>
      </c>
      <c r="AC24" s="948">
        <v>355210</v>
      </c>
      <c r="AD24" s="948">
        <v>355210</v>
      </c>
      <c r="AE24" s="948">
        <v>355210</v>
      </c>
      <c r="AF24" s="948">
        <v>355210</v>
      </c>
      <c r="AG24" s="948">
        <v>355209</v>
      </c>
      <c r="AH24" s="948">
        <v>355210</v>
      </c>
      <c r="AI24" s="948">
        <v>355210</v>
      </c>
      <c r="AJ24" s="948">
        <v>222334</v>
      </c>
      <c r="AK24" s="986">
        <v>4123441</v>
      </c>
      <c r="AL24" s="987" t="s">
        <v>1323</v>
      </c>
      <c r="AM24" s="945">
        <v>3400387</v>
      </c>
      <c r="AN24" s="945">
        <v>2395374</v>
      </c>
      <c r="AO24" s="945">
        <v>2424714</v>
      </c>
      <c r="AP24" s="945">
        <v>2451355</v>
      </c>
      <c r="AQ24" s="945">
        <v>44729</v>
      </c>
      <c r="AR24" s="1731" t="s">
        <v>1323</v>
      </c>
      <c r="AS24" s="1731" t="s">
        <v>1246</v>
      </c>
      <c r="AT24" s="1732" t="s">
        <v>2237</v>
      </c>
      <c r="AV24" s="945">
        <v>14490991</v>
      </c>
      <c r="AW24" s="945">
        <v>10716559</v>
      </c>
      <c r="AX24" s="945">
        <v>7316172</v>
      </c>
      <c r="AY24" s="945">
        <v>4920798</v>
      </c>
      <c r="AZ24" s="945">
        <v>2496084</v>
      </c>
      <c r="BA24" s="945">
        <v>44729</v>
      </c>
      <c r="BB24" s="1102">
        <v>0</v>
      </c>
      <c r="BC24" s="956"/>
      <c r="BE24" s="1733"/>
      <c r="BF24" s="1734"/>
    </row>
    <row r="25" spans="1:58" s="663" customFormat="1">
      <c r="A25" s="1120" t="s">
        <v>647</v>
      </c>
      <c r="B25" s="751" t="s">
        <v>1324</v>
      </c>
      <c r="C25" s="948"/>
      <c r="D25" s="948"/>
      <c r="E25" s="948"/>
      <c r="F25" s="1735"/>
      <c r="G25" s="945">
        <v>1050000</v>
      </c>
      <c r="H25" s="948">
        <v>0</v>
      </c>
      <c r="I25" s="948">
        <v>0</v>
      </c>
      <c r="J25" s="945">
        <v>787500</v>
      </c>
      <c r="K25" s="948">
        <v>0</v>
      </c>
      <c r="L25" s="948">
        <v>0</v>
      </c>
      <c r="M25" s="948">
        <v>0</v>
      </c>
      <c r="N25" s="948">
        <v>0</v>
      </c>
      <c r="O25" s="948">
        <v>0</v>
      </c>
      <c r="P25" s="948">
        <v>0</v>
      </c>
      <c r="Q25" s="948">
        <v>0</v>
      </c>
      <c r="R25" s="948">
        <v>0</v>
      </c>
      <c r="S25" s="948">
        <v>700000</v>
      </c>
      <c r="T25" s="948">
        <v>0</v>
      </c>
      <c r="U25" s="948">
        <v>0</v>
      </c>
      <c r="V25" s="948">
        <v>87500</v>
      </c>
      <c r="W25" s="945">
        <v>787500</v>
      </c>
      <c r="X25" s="945">
        <v>354000</v>
      </c>
      <c r="Y25" s="948">
        <v>29500</v>
      </c>
      <c r="Z25" s="948">
        <v>29500</v>
      </c>
      <c r="AA25" s="948">
        <v>29500</v>
      </c>
      <c r="AB25" s="948">
        <v>29500</v>
      </c>
      <c r="AC25" s="948">
        <v>29500</v>
      </c>
      <c r="AD25" s="948">
        <v>29500</v>
      </c>
      <c r="AE25" s="948">
        <v>29500</v>
      </c>
      <c r="AF25" s="948">
        <v>29500</v>
      </c>
      <c r="AG25" s="948">
        <v>29500</v>
      </c>
      <c r="AH25" s="948">
        <v>29500</v>
      </c>
      <c r="AI25" s="948">
        <v>29500</v>
      </c>
      <c r="AJ25" s="948">
        <v>29500</v>
      </c>
      <c r="AK25" s="945">
        <v>1141500</v>
      </c>
      <c r="AL25" s="959" t="s">
        <v>2238</v>
      </c>
      <c r="AM25" s="945">
        <v>1050000</v>
      </c>
      <c r="AN25" s="945">
        <v>1110000</v>
      </c>
      <c r="AO25" s="945">
        <v>1597500</v>
      </c>
      <c r="AP25" s="945">
        <v>0</v>
      </c>
      <c r="AQ25" s="945">
        <v>0</v>
      </c>
      <c r="AR25" s="1714" t="s">
        <v>2238</v>
      </c>
      <c r="AS25" s="1714" t="s">
        <v>2238</v>
      </c>
      <c r="AT25" s="1714" t="s">
        <v>2239</v>
      </c>
      <c r="AV25" s="945" t="s">
        <v>866</v>
      </c>
      <c r="AW25" s="945" t="s">
        <v>866</v>
      </c>
      <c r="AX25" s="945" t="s">
        <v>866</v>
      </c>
      <c r="AY25" s="945" t="s">
        <v>866</v>
      </c>
      <c r="AZ25" s="945" t="s">
        <v>866</v>
      </c>
      <c r="BA25" s="945" t="s">
        <v>866</v>
      </c>
      <c r="BB25" s="1102" t="s">
        <v>866</v>
      </c>
      <c r="BC25" s="956"/>
      <c r="BE25" s="1718">
        <v>1050000</v>
      </c>
      <c r="BF25" s="1736">
        <v>-696000</v>
      </c>
    </row>
    <row r="26" spans="1:58" s="971" customFormat="1">
      <c r="A26" s="1730" t="s">
        <v>649</v>
      </c>
      <c r="B26" s="1010" t="s">
        <v>1406</v>
      </c>
      <c r="C26" s="966">
        <v>52500</v>
      </c>
      <c r="D26" s="966">
        <v>39200</v>
      </c>
      <c r="E26" s="966">
        <v>13300</v>
      </c>
      <c r="F26" s="1737"/>
      <c r="G26" s="966">
        <v>0</v>
      </c>
      <c r="H26" s="967">
        <v>0</v>
      </c>
      <c r="I26" s="967">
        <v>52500</v>
      </c>
      <c r="J26" s="966">
        <v>52500</v>
      </c>
      <c r="K26" s="967">
        <v>0</v>
      </c>
      <c r="L26" s="967">
        <v>0</v>
      </c>
      <c r="M26" s="967">
        <v>0</v>
      </c>
      <c r="N26" s="967">
        <v>0</v>
      </c>
      <c r="O26" s="967">
        <v>0</v>
      </c>
      <c r="P26" s="967">
        <v>52500</v>
      </c>
      <c r="Q26" s="967">
        <v>0</v>
      </c>
      <c r="R26" s="967">
        <v>0</v>
      </c>
      <c r="S26" s="967">
        <v>0</v>
      </c>
      <c r="T26" s="967">
        <v>0</v>
      </c>
      <c r="U26" s="967">
        <v>0</v>
      </c>
      <c r="V26" s="967">
        <v>0</v>
      </c>
      <c r="W26" s="966">
        <v>52500</v>
      </c>
      <c r="X26" s="966">
        <v>0</v>
      </c>
      <c r="Y26" s="967">
        <v>0</v>
      </c>
      <c r="Z26" s="967">
        <v>0</v>
      </c>
      <c r="AA26" s="967">
        <v>0</v>
      </c>
      <c r="AB26" s="967">
        <v>0</v>
      </c>
      <c r="AC26" s="967">
        <v>0</v>
      </c>
      <c r="AD26" s="967">
        <v>0</v>
      </c>
      <c r="AE26" s="967">
        <v>0</v>
      </c>
      <c r="AF26" s="967">
        <v>0</v>
      </c>
      <c r="AG26" s="967">
        <v>0</v>
      </c>
      <c r="AH26" s="967">
        <v>0</v>
      </c>
      <c r="AI26" s="967">
        <v>0</v>
      </c>
      <c r="AJ26" s="967">
        <v>0</v>
      </c>
      <c r="AK26" s="966">
        <v>52500</v>
      </c>
      <c r="AL26" s="1698" t="s">
        <v>2197</v>
      </c>
      <c r="AM26" s="966">
        <v>0</v>
      </c>
      <c r="AN26" s="966">
        <v>0</v>
      </c>
      <c r="AO26" s="966">
        <v>0</v>
      </c>
      <c r="AP26" s="966">
        <v>0</v>
      </c>
      <c r="AQ26" s="966">
        <v>0</v>
      </c>
      <c r="AR26" s="1720" t="s">
        <v>1314</v>
      </c>
      <c r="AS26" s="1721" t="s">
        <v>2233</v>
      </c>
      <c r="AT26" s="1720" t="s">
        <v>2240</v>
      </c>
      <c r="AV26" s="966" t="s">
        <v>866</v>
      </c>
      <c r="AW26" s="966" t="s">
        <v>866</v>
      </c>
      <c r="AX26" s="966" t="s">
        <v>866</v>
      </c>
      <c r="AY26" s="966" t="s">
        <v>866</v>
      </c>
      <c r="AZ26" s="966" t="s">
        <v>866</v>
      </c>
      <c r="BA26" s="966" t="s">
        <v>866</v>
      </c>
      <c r="BB26" s="1723" t="s">
        <v>866</v>
      </c>
      <c r="BC26" s="956"/>
      <c r="BE26" s="1724"/>
      <c r="BF26" s="1725">
        <v>0</v>
      </c>
    </row>
    <row r="27" spans="1:58" s="1745" customFormat="1">
      <c r="A27" s="1738" t="s">
        <v>651</v>
      </c>
      <c r="B27" s="1739" t="s">
        <v>2241</v>
      </c>
      <c r="C27" s="1740"/>
      <c r="D27" s="1740"/>
      <c r="E27" s="1740"/>
      <c r="F27" s="1741"/>
      <c r="G27" s="945">
        <v>1200000</v>
      </c>
      <c r="H27" s="1740">
        <v>0</v>
      </c>
      <c r="I27" s="1740">
        <v>0</v>
      </c>
      <c r="J27" s="1742">
        <v>1200000</v>
      </c>
      <c r="K27" s="1115">
        <v>0</v>
      </c>
      <c r="L27" s="947">
        <v>0</v>
      </c>
      <c r="M27" s="947">
        <v>0</v>
      </c>
      <c r="N27" s="947">
        <v>0</v>
      </c>
      <c r="O27" s="947">
        <v>0</v>
      </c>
      <c r="P27" s="947">
        <v>0</v>
      </c>
      <c r="Q27" s="947">
        <v>0</v>
      </c>
      <c r="R27" s="947">
        <v>0</v>
      </c>
      <c r="S27" s="946">
        <v>0</v>
      </c>
      <c r="T27" s="946">
        <v>0</v>
      </c>
      <c r="U27" s="946">
        <v>0</v>
      </c>
      <c r="V27" s="946">
        <v>1200000</v>
      </c>
      <c r="W27" s="1742">
        <v>1200000</v>
      </c>
      <c r="X27" s="1742">
        <v>1200000</v>
      </c>
      <c r="Y27" s="948">
        <v>0</v>
      </c>
      <c r="Z27" s="948">
        <v>0</v>
      </c>
      <c r="AA27" s="948">
        <v>0</v>
      </c>
      <c r="AB27" s="948">
        <v>0</v>
      </c>
      <c r="AC27" s="948">
        <v>0</v>
      </c>
      <c r="AD27" s="948">
        <v>0</v>
      </c>
      <c r="AE27" s="948">
        <v>0</v>
      </c>
      <c r="AF27" s="948">
        <v>0</v>
      </c>
      <c r="AG27" s="948">
        <v>0</v>
      </c>
      <c r="AH27" s="948">
        <v>0</v>
      </c>
      <c r="AI27" s="948">
        <v>0</v>
      </c>
      <c r="AJ27" s="948">
        <v>1200000</v>
      </c>
      <c r="AK27" s="1742">
        <v>2400000</v>
      </c>
      <c r="AL27" s="1743" t="s">
        <v>2103</v>
      </c>
      <c r="AM27" s="945">
        <v>420000</v>
      </c>
      <c r="AN27" s="945">
        <v>821500</v>
      </c>
      <c r="AO27" s="945">
        <v>0</v>
      </c>
      <c r="AP27" s="945">
        <v>0</v>
      </c>
      <c r="AQ27" s="945">
        <v>0</v>
      </c>
      <c r="AR27" s="1744" t="s">
        <v>2242</v>
      </c>
      <c r="AS27" s="1744" t="s">
        <v>2243</v>
      </c>
      <c r="AT27" s="1744" t="s">
        <v>2244</v>
      </c>
      <c r="AV27" s="945" t="s">
        <v>866</v>
      </c>
      <c r="AW27" s="945" t="s">
        <v>866</v>
      </c>
      <c r="AX27" s="945" t="s">
        <v>866</v>
      </c>
      <c r="AY27" s="945" t="s">
        <v>866</v>
      </c>
      <c r="AZ27" s="945" t="s">
        <v>866</v>
      </c>
      <c r="BA27" s="945" t="s">
        <v>866</v>
      </c>
      <c r="BB27" s="1102" t="s">
        <v>866</v>
      </c>
      <c r="BC27" s="956"/>
      <c r="BE27" s="1718">
        <v>1200000</v>
      </c>
      <c r="BF27" s="1717">
        <v>0</v>
      </c>
    </row>
    <row r="28" spans="1:58" s="990" customFormat="1">
      <c r="A28" s="1746" t="s">
        <v>1251</v>
      </c>
      <c r="B28" s="867" t="s">
        <v>1672</v>
      </c>
      <c r="C28" s="947">
        <v>0</v>
      </c>
      <c r="D28" s="947">
        <v>0</v>
      </c>
      <c r="E28" s="947">
        <v>0</v>
      </c>
      <c r="F28" s="984">
        <v>0</v>
      </c>
      <c r="G28" s="986">
        <v>3240000</v>
      </c>
      <c r="H28" s="947">
        <v>0</v>
      </c>
      <c r="I28" s="947">
        <v>0</v>
      </c>
      <c r="J28" s="986">
        <v>0</v>
      </c>
      <c r="K28" s="947">
        <v>0</v>
      </c>
      <c r="L28" s="947">
        <v>0</v>
      </c>
      <c r="M28" s="947">
        <v>0</v>
      </c>
      <c r="N28" s="947">
        <v>0</v>
      </c>
      <c r="O28" s="947">
        <v>0</v>
      </c>
      <c r="P28" s="947">
        <v>0</v>
      </c>
      <c r="Q28" s="947">
        <v>0</v>
      </c>
      <c r="R28" s="947">
        <v>0</v>
      </c>
      <c r="S28" s="947">
        <v>0</v>
      </c>
      <c r="T28" s="947">
        <v>0</v>
      </c>
      <c r="U28" s="947">
        <v>0</v>
      </c>
      <c r="V28" s="946">
        <v>0</v>
      </c>
      <c r="W28" s="986">
        <v>0</v>
      </c>
      <c r="X28" s="986">
        <v>0</v>
      </c>
      <c r="Y28" s="948">
        <v>0</v>
      </c>
      <c r="Z28" s="948">
        <v>0</v>
      </c>
      <c r="AA28" s="948">
        <v>0</v>
      </c>
      <c r="AB28" s="948">
        <v>0</v>
      </c>
      <c r="AC28" s="948">
        <v>0</v>
      </c>
      <c r="AD28" s="948">
        <v>0</v>
      </c>
      <c r="AE28" s="948">
        <v>0</v>
      </c>
      <c r="AF28" s="948">
        <v>0</v>
      </c>
      <c r="AG28" s="948">
        <v>0</v>
      </c>
      <c r="AH28" s="948">
        <v>0</v>
      </c>
      <c r="AI28" s="948">
        <v>0</v>
      </c>
      <c r="AJ28" s="948">
        <v>0</v>
      </c>
      <c r="AK28" s="986">
        <v>0</v>
      </c>
      <c r="AL28" s="987" t="s">
        <v>1323</v>
      </c>
      <c r="AM28" s="945">
        <v>0</v>
      </c>
      <c r="AN28" s="945">
        <v>0</v>
      </c>
      <c r="AO28" s="945">
        <v>0</v>
      </c>
      <c r="AP28" s="945">
        <v>0</v>
      </c>
      <c r="AQ28" s="945">
        <v>0</v>
      </c>
      <c r="AR28" s="1731" t="s">
        <v>1323</v>
      </c>
      <c r="AS28" s="1747" t="s">
        <v>1673</v>
      </c>
      <c r="AT28" s="1732" t="s">
        <v>2237</v>
      </c>
      <c r="AV28" s="945">
        <v>0</v>
      </c>
      <c r="AW28" s="945">
        <v>0</v>
      </c>
      <c r="AX28" s="945">
        <v>0</v>
      </c>
      <c r="AY28" s="945">
        <v>0</v>
      </c>
      <c r="AZ28" s="945">
        <v>0</v>
      </c>
      <c r="BA28" s="945">
        <v>0</v>
      </c>
      <c r="BB28" s="1102">
        <v>0</v>
      </c>
      <c r="BC28" s="956"/>
      <c r="BE28" s="1733">
        <v>1700000</v>
      </c>
      <c r="BF28" s="1734">
        <v>-1700000</v>
      </c>
    </row>
    <row r="29" spans="1:58" s="990" customFormat="1">
      <c r="A29" s="1746" t="s">
        <v>656</v>
      </c>
      <c r="B29" s="867" t="s">
        <v>1674</v>
      </c>
      <c r="C29" s="947">
        <v>0</v>
      </c>
      <c r="D29" s="947">
        <v>0</v>
      </c>
      <c r="E29" s="947">
        <v>0</v>
      </c>
      <c r="F29" s="984">
        <v>0</v>
      </c>
      <c r="G29" s="986">
        <v>0</v>
      </c>
      <c r="H29" s="947">
        <v>0</v>
      </c>
      <c r="I29" s="947">
        <v>0</v>
      </c>
      <c r="J29" s="986">
        <v>0</v>
      </c>
      <c r="K29" s="947">
        <v>0</v>
      </c>
      <c r="L29" s="947">
        <v>0</v>
      </c>
      <c r="M29" s="947">
        <v>0</v>
      </c>
      <c r="N29" s="947">
        <v>0</v>
      </c>
      <c r="O29" s="947">
        <v>0</v>
      </c>
      <c r="P29" s="947">
        <v>0</v>
      </c>
      <c r="Q29" s="947">
        <v>0</v>
      </c>
      <c r="R29" s="947">
        <v>0</v>
      </c>
      <c r="S29" s="947">
        <v>0</v>
      </c>
      <c r="T29" s="947">
        <v>0</v>
      </c>
      <c r="U29" s="947">
        <v>0</v>
      </c>
      <c r="V29" s="946">
        <v>0</v>
      </c>
      <c r="W29" s="986">
        <v>0</v>
      </c>
      <c r="X29" s="986">
        <v>0</v>
      </c>
      <c r="Y29" s="948">
        <v>0</v>
      </c>
      <c r="Z29" s="948">
        <v>0</v>
      </c>
      <c r="AA29" s="948">
        <v>0</v>
      </c>
      <c r="AB29" s="948">
        <v>0</v>
      </c>
      <c r="AC29" s="948">
        <v>0</v>
      </c>
      <c r="AD29" s="948">
        <v>0</v>
      </c>
      <c r="AE29" s="948">
        <v>0</v>
      </c>
      <c r="AF29" s="948">
        <v>0</v>
      </c>
      <c r="AG29" s="948">
        <v>0</v>
      </c>
      <c r="AH29" s="948">
        <v>0</v>
      </c>
      <c r="AI29" s="948">
        <v>0</v>
      </c>
      <c r="AJ29" s="948">
        <v>0</v>
      </c>
      <c r="AK29" s="986">
        <v>0</v>
      </c>
      <c r="AL29" s="987" t="s">
        <v>1323</v>
      </c>
      <c r="AM29" s="945">
        <v>0</v>
      </c>
      <c r="AN29" s="945">
        <v>0</v>
      </c>
      <c r="AO29" s="945">
        <v>0</v>
      </c>
      <c r="AP29" s="945">
        <v>0</v>
      </c>
      <c r="AQ29" s="945">
        <v>0</v>
      </c>
      <c r="AR29" s="1731" t="s">
        <v>1323</v>
      </c>
      <c r="AS29" s="1747" t="s">
        <v>1673</v>
      </c>
      <c r="AT29" s="1732" t="s">
        <v>2237</v>
      </c>
      <c r="AV29" s="945">
        <v>0</v>
      </c>
      <c r="AW29" s="945">
        <v>0</v>
      </c>
      <c r="AX29" s="945">
        <v>0</v>
      </c>
      <c r="AY29" s="945">
        <v>0</v>
      </c>
      <c r="AZ29" s="945">
        <v>0</v>
      </c>
      <c r="BA29" s="945">
        <v>0</v>
      </c>
      <c r="BB29" s="1102">
        <v>0</v>
      </c>
      <c r="BC29" s="956"/>
      <c r="BE29" s="1733"/>
      <c r="BF29" s="1734">
        <v>0</v>
      </c>
    </row>
    <row r="30" spans="1:58" s="990" customFormat="1">
      <c r="A30" s="1746" t="s">
        <v>657</v>
      </c>
      <c r="B30" s="867" t="s">
        <v>2245</v>
      </c>
      <c r="C30" s="947">
        <v>109000000</v>
      </c>
      <c r="D30" s="947">
        <v>72632285</v>
      </c>
      <c r="E30" s="947">
        <v>36367715</v>
      </c>
      <c r="F30" s="984">
        <v>0</v>
      </c>
      <c r="G30" s="986">
        <v>0</v>
      </c>
      <c r="H30" s="947">
        <v>0</v>
      </c>
      <c r="I30" s="947">
        <v>0</v>
      </c>
      <c r="J30" s="986">
        <v>0</v>
      </c>
      <c r="K30" s="947">
        <v>0</v>
      </c>
      <c r="L30" s="947">
        <v>0</v>
      </c>
      <c r="M30" s="947">
        <v>0</v>
      </c>
      <c r="N30" s="947">
        <v>0</v>
      </c>
      <c r="O30" s="947">
        <v>0</v>
      </c>
      <c r="P30" s="947">
        <v>0</v>
      </c>
      <c r="Q30" s="947">
        <v>0</v>
      </c>
      <c r="R30" s="947">
        <v>0</v>
      </c>
      <c r="S30" s="947">
        <v>0</v>
      </c>
      <c r="T30" s="947">
        <v>0</v>
      </c>
      <c r="U30" s="947">
        <v>0</v>
      </c>
      <c r="V30" s="947">
        <v>0</v>
      </c>
      <c r="W30" s="986">
        <v>0</v>
      </c>
      <c r="X30" s="986">
        <v>6435579</v>
      </c>
      <c r="Y30" s="947">
        <v>0</v>
      </c>
      <c r="Z30" s="947">
        <v>0</v>
      </c>
      <c r="AA30" s="947">
        <v>0</v>
      </c>
      <c r="AB30" s="947">
        <v>178766</v>
      </c>
      <c r="AC30" s="947">
        <v>536298</v>
      </c>
      <c r="AD30" s="947">
        <v>536299</v>
      </c>
      <c r="AE30" s="947">
        <v>536298</v>
      </c>
      <c r="AF30" s="947">
        <v>0</v>
      </c>
      <c r="AG30" s="947">
        <v>0</v>
      </c>
      <c r="AH30" s="947">
        <v>2502725</v>
      </c>
      <c r="AI30" s="947">
        <v>1072596</v>
      </c>
      <c r="AJ30" s="947">
        <v>1072597</v>
      </c>
      <c r="AK30" s="986">
        <v>6435579</v>
      </c>
      <c r="AL30" s="987" t="s">
        <v>1323</v>
      </c>
      <c r="AM30" s="986">
        <v>9382214</v>
      </c>
      <c r="AN30" s="986">
        <v>9858389</v>
      </c>
      <c r="AO30" s="986">
        <v>10361353</v>
      </c>
      <c r="AP30" s="986">
        <v>10892904</v>
      </c>
      <c r="AQ30" s="986">
        <v>62069561</v>
      </c>
      <c r="AR30" s="1731" t="s">
        <v>1323</v>
      </c>
      <c r="AS30" s="1747" t="s">
        <v>1676</v>
      </c>
      <c r="AT30" s="1732" t="s">
        <v>2237</v>
      </c>
      <c r="AV30" s="986">
        <v>0</v>
      </c>
      <c r="AW30" s="986">
        <v>102564421</v>
      </c>
      <c r="AX30" s="986">
        <v>93182207</v>
      </c>
      <c r="AY30" s="986">
        <v>83323818</v>
      </c>
      <c r="AZ30" s="986">
        <v>72962465</v>
      </c>
      <c r="BA30" s="986">
        <v>62069561</v>
      </c>
      <c r="BB30" s="1748">
        <v>0</v>
      </c>
      <c r="BC30" s="1105"/>
      <c r="BE30" s="1733"/>
      <c r="BF30" s="1734">
        <v>6435579</v>
      </c>
    </row>
    <row r="31" spans="1:58" s="1757" customFormat="1">
      <c r="A31" s="1749" t="s">
        <v>659</v>
      </c>
      <c r="B31" s="1147" t="s">
        <v>1677</v>
      </c>
      <c r="C31" s="1750">
        <v>76500000</v>
      </c>
      <c r="D31" s="1750">
        <v>51343045</v>
      </c>
      <c r="E31" s="1750">
        <v>25156955</v>
      </c>
      <c r="F31" s="1751"/>
      <c r="G31" s="1752">
        <v>0</v>
      </c>
      <c r="H31" s="1750">
        <v>0</v>
      </c>
      <c r="I31" s="1750">
        <v>0</v>
      </c>
      <c r="J31" s="1752">
        <v>0</v>
      </c>
      <c r="K31" s="1750">
        <v>0</v>
      </c>
      <c r="L31" s="1750">
        <v>0</v>
      </c>
      <c r="M31" s="1750">
        <v>0</v>
      </c>
      <c r="N31" s="1750">
        <v>0</v>
      </c>
      <c r="O31" s="1750">
        <v>0</v>
      </c>
      <c r="P31" s="1750">
        <v>0</v>
      </c>
      <c r="Q31" s="1750">
        <v>0</v>
      </c>
      <c r="R31" s="1750">
        <v>0</v>
      </c>
      <c r="S31" s="1750">
        <v>0</v>
      </c>
      <c r="T31" s="1750">
        <v>0</v>
      </c>
      <c r="U31" s="1750">
        <v>0</v>
      </c>
      <c r="V31" s="946">
        <v>0</v>
      </c>
      <c r="W31" s="1752">
        <v>0</v>
      </c>
      <c r="X31" s="1752">
        <v>0</v>
      </c>
      <c r="Y31" s="948">
        <v>0</v>
      </c>
      <c r="Z31" s="948">
        <v>0</v>
      </c>
      <c r="AA31" s="948">
        <v>0</v>
      </c>
      <c r="AB31" s="948">
        <v>0</v>
      </c>
      <c r="AC31" s="948">
        <v>0</v>
      </c>
      <c r="AD31" s="948">
        <v>0</v>
      </c>
      <c r="AE31" s="948">
        <v>0</v>
      </c>
      <c r="AF31" s="948">
        <v>0</v>
      </c>
      <c r="AG31" s="948">
        <v>0</v>
      </c>
      <c r="AH31" s="948">
        <v>0</v>
      </c>
      <c r="AI31" s="948">
        <v>0</v>
      </c>
      <c r="AJ31" s="948">
        <v>0</v>
      </c>
      <c r="AK31" s="1752">
        <v>0</v>
      </c>
      <c r="AL31" s="1753" t="s">
        <v>2246</v>
      </c>
      <c r="AM31" s="945">
        <v>4866156</v>
      </c>
      <c r="AN31" s="945">
        <v>5102541</v>
      </c>
      <c r="AO31" s="945">
        <v>6351150</v>
      </c>
      <c r="AP31" s="945">
        <v>6608200</v>
      </c>
      <c r="AQ31" s="945">
        <v>53571953</v>
      </c>
      <c r="AR31" s="1754" t="s">
        <v>2246</v>
      </c>
      <c r="AS31" s="1755" t="s">
        <v>1678</v>
      </c>
      <c r="AT31" s="1756" t="s">
        <v>2247</v>
      </c>
      <c r="AV31" s="945">
        <v>0</v>
      </c>
      <c r="AW31" s="945">
        <v>0</v>
      </c>
      <c r="AX31" s="945">
        <v>71633844</v>
      </c>
      <c r="AY31" s="945">
        <v>66531303</v>
      </c>
      <c r="AZ31" s="945">
        <v>60180153</v>
      </c>
      <c r="BA31" s="945">
        <v>53571953</v>
      </c>
      <c r="BB31" s="1102">
        <v>0</v>
      </c>
      <c r="BC31" s="956"/>
      <c r="BE31" s="1758"/>
      <c r="BF31" s="1759"/>
    </row>
    <row r="32" spans="1:58" s="1757" customFormat="1">
      <c r="A32" s="1749" t="s">
        <v>661</v>
      </c>
      <c r="B32" s="1147" t="s">
        <v>1679</v>
      </c>
      <c r="C32" s="1750">
        <v>77000000</v>
      </c>
      <c r="D32" s="1750">
        <v>51899975</v>
      </c>
      <c r="E32" s="1750">
        <v>25100025</v>
      </c>
      <c r="F32" s="1751"/>
      <c r="G32" s="1752">
        <v>0</v>
      </c>
      <c r="H32" s="1750">
        <v>0</v>
      </c>
      <c r="I32" s="1750">
        <v>0</v>
      </c>
      <c r="J32" s="1752">
        <v>0</v>
      </c>
      <c r="K32" s="1750">
        <v>0</v>
      </c>
      <c r="L32" s="1750">
        <v>0</v>
      </c>
      <c r="M32" s="1750">
        <v>0</v>
      </c>
      <c r="N32" s="1750">
        <v>0</v>
      </c>
      <c r="O32" s="1750">
        <v>0</v>
      </c>
      <c r="P32" s="1750">
        <v>0</v>
      </c>
      <c r="Q32" s="1750">
        <v>0</v>
      </c>
      <c r="R32" s="1750">
        <v>0</v>
      </c>
      <c r="S32" s="1750">
        <v>0</v>
      </c>
      <c r="T32" s="1750">
        <v>0</v>
      </c>
      <c r="U32" s="1750">
        <v>0</v>
      </c>
      <c r="V32" s="946">
        <v>0</v>
      </c>
      <c r="W32" s="1752">
        <v>0</v>
      </c>
      <c r="X32" s="1752">
        <v>0</v>
      </c>
      <c r="Y32" s="948">
        <v>0</v>
      </c>
      <c r="Z32" s="948">
        <v>0</v>
      </c>
      <c r="AA32" s="948">
        <v>0</v>
      </c>
      <c r="AB32" s="948">
        <v>0</v>
      </c>
      <c r="AC32" s="948">
        <v>0</v>
      </c>
      <c r="AD32" s="948">
        <v>0</v>
      </c>
      <c r="AE32" s="948">
        <v>0</v>
      </c>
      <c r="AF32" s="948">
        <v>0</v>
      </c>
      <c r="AG32" s="948">
        <v>0</v>
      </c>
      <c r="AH32" s="948">
        <v>0</v>
      </c>
      <c r="AI32" s="948">
        <v>0</v>
      </c>
      <c r="AJ32" s="948">
        <v>0</v>
      </c>
      <c r="AK32" s="1752">
        <v>0</v>
      </c>
      <c r="AL32" s="1753" t="s">
        <v>2246</v>
      </c>
      <c r="AM32" s="945">
        <v>0</v>
      </c>
      <c r="AN32" s="945">
        <v>3957802</v>
      </c>
      <c r="AO32" s="945">
        <v>6324062</v>
      </c>
      <c r="AP32" s="945">
        <v>6580017</v>
      </c>
      <c r="AQ32" s="945">
        <v>60138119</v>
      </c>
      <c r="AR32" s="1754" t="s">
        <v>2246</v>
      </c>
      <c r="AS32" s="1755" t="s">
        <v>1680</v>
      </c>
      <c r="AT32" s="1756" t="s">
        <v>2247</v>
      </c>
      <c r="AV32" s="945">
        <v>0</v>
      </c>
      <c r="AW32" s="945">
        <v>0</v>
      </c>
      <c r="AX32" s="945">
        <v>0</v>
      </c>
      <c r="AY32" s="945">
        <v>73042198</v>
      </c>
      <c r="AZ32" s="945">
        <v>66718136</v>
      </c>
      <c r="BA32" s="945">
        <v>60138119</v>
      </c>
      <c r="BB32" s="1102">
        <v>0</v>
      </c>
      <c r="BC32" s="956"/>
      <c r="BE32" s="1758"/>
      <c r="BF32" s="1759"/>
    </row>
    <row r="33" spans="1:58" s="1757" customFormat="1">
      <c r="A33" s="1749" t="s">
        <v>663</v>
      </c>
      <c r="B33" s="1147" t="s">
        <v>1681</v>
      </c>
      <c r="C33" s="1750">
        <v>77500000</v>
      </c>
      <c r="D33" s="1750">
        <v>52205495</v>
      </c>
      <c r="E33" s="1750">
        <v>25294505</v>
      </c>
      <c r="F33" s="1751">
        <v>0</v>
      </c>
      <c r="G33" s="1752">
        <v>0</v>
      </c>
      <c r="H33" s="1750">
        <v>0</v>
      </c>
      <c r="I33" s="1750">
        <v>0</v>
      </c>
      <c r="J33" s="1752">
        <v>0</v>
      </c>
      <c r="K33" s="1750">
        <v>0</v>
      </c>
      <c r="L33" s="1750">
        <v>0</v>
      </c>
      <c r="M33" s="1750">
        <v>0</v>
      </c>
      <c r="N33" s="1750">
        <v>0</v>
      </c>
      <c r="O33" s="1750">
        <v>0</v>
      </c>
      <c r="P33" s="1750">
        <v>0</v>
      </c>
      <c r="Q33" s="1750">
        <v>0</v>
      </c>
      <c r="R33" s="1750">
        <v>0</v>
      </c>
      <c r="S33" s="1750">
        <v>0</v>
      </c>
      <c r="T33" s="1750">
        <v>0</v>
      </c>
      <c r="U33" s="1750">
        <v>0</v>
      </c>
      <c r="V33" s="946">
        <v>0</v>
      </c>
      <c r="W33" s="1752">
        <v>0</v>
      </c>
      <c r="X33" s="1752">
        <v>0</v>
      </c>
      <c r="Y33" s="948">
        <v>0</v>
      </c>
      <c r="Z33" s="948">
        <v>0</v>
      </c>
      <c r="AA33" s="948">
        <v>0</v>
      </c>
      <c r="AB33" s="948">
        <v>0</v>
      </c>
      <c r="AC33" s="948">
        <v>0</v>
      </c>
      <c r="AD33" s="948">
        <v>0</v>
      </c>
      <c r="AE33" s="948">
        <v>0</v>
      </c>
      <c r="AF33" s="948">
        <v>0</v>
      </c>
      <c r="AG33" s="948">
        <v>0</v>
      </c>
      <c r="AH33" s="948">
        <v>0</v>
      </c>
      <c r="AI33" s="948">
        <v>0</v>
      </c>
      <c r="AJ33" s="948">
        <v>0</v>
      </c>
      <c r="AK33" s="1752">
        <v>0</v>
      </c>
      <c r="AL33" s="1753" t="s">
        <v>2246</v>
      </c>
      <c r="AM33" s="945">
        <v>0</v>
      </c>
      <c r="AN33" s="945">
        <v>0</v>
      </c>
      <c r="AO33" s="945">
        <v>6209116</v>
      </c>
      <c r="AP33" s="945">
        <v>6583986</v>
      </c>
      <c r="AQ33" s="945">
        <v>64706898</v>
      </c>
      <c r="AR33" s="1754" t="s">
        <v>2246</v>
      </c>
      <c r="AS33" s="1755" t="s">
        <v>1682</v>
      </c>
      <c r="AT33" s="1756" t="s">
        <v>2247</v>
      </c>
      <c r="AV33" s="945">
        <v>0</v>
      </c>
      <c r="AW33" s="945">
        <v>0</v>
      </c>
      <c r="AX33" s="945">
        <v>0</v>
      </c>
      <c r="AY33" s="945">
        <v>0</v>
      </c>
      <c r="AZ33" s="945">
        <v>71290884</v>
      </c>
      <c r="BA33" s="945">
        <v>64706898</v>
      </c>
      <c r="BB33" s="1102">
        <v>0</v>
      </c>
      <c r="BC33" s="956"/>
      <c r="BE33" s="1758"/>
      <c r="BF33" s="1759">
        <v>0</v>
      </c>
    </row>
    <row r="34" spans="1:58" s="1757" customFormat="1">
      <c r="A34" s="1749" t="s">
        <v>665</v>
      </c>
      <c r="B34" s="1147" t="s">
        <v>1683</v>
      </c>
      <c r="C34" s="1750">
        <v>78000000</v>
      </c>
      <c r="D34" s="1750">
        <v>52560130</v>
      </c>
      <c r="E34" s="1750">
        <v>25439870</v>
      </c>
      <c r="F34" s="1751">
        <v>0</v>
      </c>
      <c r="G34" s="1752">
        <v>0</v>
      </c>
      <c r="H34" s="1750">
        <v>0</v>
      </c>
      <c r="I34" s="1750">
        <v>0</v>
      </c>
      <c r="J34" s="1752">
        <v>0</v>
      </c>
      <c r="K34" s="1750">
        <v>0</v>
      </c>
      <c r="L34" s="1750">
        <v>0</v>
      </c>
      <c r="M34" s="1750">
        <v>0</v>
      </c>
      <c r="N34" s="1750">
        <v>0</v>
      </c>
      <c r="O34" s="1750">
        <v>0</v>
      </c>
      <c r="P34" s="1750">
        <v>0</v>
      </c>
      <c r="Q34" s="1750">
        <v>0</v>
      </c>
      <c r="R34" s="1750">
        <v>0</v>
      </c>
      <c r="S34" s="1750">
        <v>0</v>
      </c>
      <c r="T34" s="1750">
        <v>0</v>
      </c>
      <c r="U34" s="1750">
        <v>0</v>
      </c>
      <c r="V34" s="946">
        <v>0</v>
      </c>
      <c r="W34" s="1752">
        <v>0</v>
      </c>
      <c r="X34" s="1752">
        <v>0</v>
      </c>
      <c r="Y34" s="948">
        <v>0</v>
      </c>
      <c r="Z34" s="948">
        <v>0</v>
      </c>
      <c r="AA34" s="948">
        <v>0</v>
      </c>
      <c r="AB34" s="948">
        <v>0</v>
      </c>
      <c r="AC34" s="948">
        <v>0</v>
      </c>
      <c r="AD34" s="948">
        <v>0</v>
      </c>
      <c r="AE34" s="948">
        <v>0</v>
      </c>
      <c r="AF34" s="948">
        <v>0</v>
      </c>
      <c r="AG34" s="948">
        <v>0</v>
      </c>
      <c r="AH34" s="948">
        <v>0</v>
      </c>
      <c r="AI34" s="948">
        <v>0</v>
      </c>
      <c r="AJ34" s="948">
        <v>0</v>
      </c>
      <c r="AK34" s="1752">
        <v>0</v>
      </c>
      <c r="AL34" s="1753" t="s">
        <v>2246</v>
      </c>
      <c r="AM34" s="945">
        <v>0</v>
      </c>
      <c r="AN34" s="945">
        <v>0</v>
      </c>
      <c r="AO34" s="945">
        <v>0</v>
      </c>
      <c r="AP34" s="945">
        <v>5445221</v>
      </c>
      <c r="AQ34" s="945">
        <v>72554779</v>
      </c>
      <c r="AR34" s="1754" t="s">
        <v>2246</v>
      </c>
      <c r="AS34" s="1755" t="s">
        <v>1684</v>
      </c>
      <c r="AT34" s="1756" t="s">
        <v>2247</v>
      </c>
      <c r="AV34" s="945">
        <v>0</v>
      </c>
      <c r="AW34" s="945">
        <v>0</v>
      </c>
      <c r="AX34" s="945">
        <v>0</v>
      </c>
      <c r="AY34" s="945">
        <v>0</v>
      </c>
      <c r="AZ34" s="945">
        <v>0</v>
      </c>
      <c r="BA34" s="945">
        <v>72554779</v>
      </c>
      <c r="BB34" s="1102">
        <v>0</v>
      </c>
      <c r="BC34" s="956"/>
      <c r="BE34" s="1758"/>
      <c r="BF34" s="1759">
        <v>0</v>
      </c>
    </row>
    <row r="35" spans="1:58" s="1757" customFormat="1">
      <c r="A35" s="1760"/>
      <c r="B35" s="1147"/>
      <c r="C35" s="1750"/>
      <c r="D35" s="1750"/>
      <c r="E35" s="1750"/>
      <c r="F35" s="1751"/>
      <c r="G35" s="1752">
        <v>0</v>
      </c>
      <c r="H35" s="1750">
        <v>0</v>
      </c>
      <c r="I35" s="1750">
        <v>0</v>
      </c>
      <c r="J35" s="1752">
        <v>0</v>
      </c>
      <c r="K35" s="1750"/>
      <c r="L35" s="1750"/>
      <c r="M35" s="1750"/>
      <c r="N35" s="1750"/>
      <c r="O35" s="1750"/>
      <c r="P35" s="1750"/>
      <c r="Q35" s="1750"/>
      <c r="R35" s="1750"/>
      <c r="S35" s="1750"/>
      <c r="T35" s="1750"/>
      <c r="U35" s="1750"/>
      <c r="V35" s="946"/>
      <c r="W35" s="1752">
        <v>0</v>
      </c>
      <c r="X35" s="1752">
        <v>0</v>
      </c>
      <c r="Y35" s="948"/>
      <c r="Z35" s="948"/>
      <c r="AA35" s="948"/>
      <c r="AB35" s="948"/>
      <c r="AC35" s="948"/>
      <c r="AD35" s="948"/>
      <c r="AE35" s="948"/>
      <c r="AF35" s="948"/>
      <c r="AG35" s="948"/>
      <c r="AH35" s="948"/>
      <c r="AI35" s="948"/>
      <c r="AJ35" s="948"/>
      <c r="AK35" s="1752">
        <v>0</v>
      </c>
      <c r="AL35" s="1753"/>
      <c r="AM35" s="945"/>
      <c r="AN35" s="945"/>
      <c r="AO35" s="945"/>
      <c r="AP35" s="945"/>
      <c r="AQ35" s="1752"/>
      <c r="AR35" s="1754"/>
      <c r="AS35" s="1761"/>
      <c r="AT35" s="1762"/>
      <c r="AV35" s="945"/>
      <c r="AW35" s="945"/>
      <c r="AX35" s="945"/>
      <c r="AY35" s="945"/>
      <c r="AZ35" s="945"/>
      <c r="BA35" s="945"/>
      <c r="BB35" s="1102"/>
      <c r="BC35" s="956"/>
      <c r="BE35" s="1763"/>
      <c r="BF35" s="1759">
        <v>0</v>
      </c>
    </row>
    <row r="36" spans="1:58">
      <c r="A36" s="1764"/>
      <c r="B36" s="1108" t="s">
        <v>1252</v>
      </c>
      <c r="C36" s="1110">
        <v>328961593</v>
      </c>
      <c r="D36" s="1110">
        <v>230056122</v>
      </c>
      <c r="E36" s="1110">
        <v>98905471</v>
      </c>
      <c r="F36" s="1110">
        <v>57831161</v>
      </c>
      <c r="G36" s="1110">
        <v>30740000</v>
      </c>
      <c r="H36" s="1110">
        <v>1741000</v>
      </c>
      <c r="I36" s="1110">
        <v>9032000</v>
      </c>
      <c r="J36" s="1110">
        <v>9663673</v>
      </c>
      <c r="K36" s="1765">
        <v>425000</v>
      </c>
      <c r="L36" s="1113">
        <v>717500</v>
      </c>
      <c r="M36" s="1113">
        <v>1665000</v>
      </c>
      <c r="N36" s="1113">
        <v>1573000</v>
      </c>
      <c r="O36" s="1113">
        <v>1395000</v>
      </c>
      <c r="P36" s="1113">
        <v>647500</v>
      </c>
      <c r="Q36" s="1113">
        <v>868000</v>
      </c>
      <c r="R36" s="1113">
        <v>1741000</v>
      </c>
      <c r="S36" s="1110">
        <v>2335000</v>
      </c>
      <c r="T36" s="1110">
        <v>1383000</v>
      </c>
      <c r="U36" s="1110">
        <v>2965000</v>
      </c>
      <c r="V36" s="1110">
        <v>-6051327</v>
      </c>
      <c r="W36" s="1110">
        <v>67494834</v>
      </c>
      <c r="X36" s="1110">
        <v>40954166</v>
      </c>
      <c r="Y36" s="1110">
        <v>4022224</v>
      </c>
      <c r="Z36" s="1110">
        <v>2542629</v>
      </c>
      <c r="AA36" s="1110">
        <v>3397181</v>
      </c>
      <c r="AB36" s="1110">
        <v>2529715</v>
      </c>
      <c r="AC36" s="1110">
        <v>2553753</v>
      </c>
      <c r="AD36" s="1110">
        <v>2990381</v>
      </c>
      <c r="AE36" s="1110">
        <v>2532651</v>
      </c>
      <c r="AF36" s="1110">
        <v>1769890</v>
      </c>
      <c r="AG36" s="1110">
        <v>1684613</v>
      </c>
      <c r="AH36" s="1110">
        <v>4120785</v>
      </c>
      <c r="AI36" s="1110">
        <v>2613480</v>
      </c>
      <c r="AJ36" s="1110">
        <v>10196864</v>
      </c>
      <c r="AK36" s="1110">
        <v>108449000</v>
      </c>
      <c r="AL36" s="1114"/>
      <c r="AM36" s="1109">
        <v>37661522</v>
      </c>
      <c r="AN36" s="1109">
        <v>43293856</v>
      </c>
      <c r="AO36" s="1109">
        <v>41584108</v>
      </c>
      <c r="AP36" s="1109">
        <v>48400307</v>
      </c>
      <c r="AQ36" s="1109">
        <v>367113300</v>
      </c>
      <c r="AR36" s="1766"/>
      <c r="AS36" s="1766"/>
      <c r="AT36" s="1766"/>
      <c r="AV36" s="1109">
        <v>154454259</v>
      </c>
      <c r="AW36" s="1109">
        <v>224054093</v>
      </c>
      <c r="AX36" s="1109">
        <v>264362571</v>
      </c>
      <c r="AY36" s="1109">
        <v>300000215</v>
      </c>
      <c r="AZ36" s="1109">
        <v>337513607</v>
      </c>
      <c r="BA36" s="1109">
        <v>367113300</v>
      </c>
      <c r="BB36" s="1109">
        <v>0</v>
      </c>
      <c r="BD36" s="889" t="s">
        <v>1685</v>
      </c>
      <c r="BE36" s="1767">
        <v>29200000</v>
      </c>
      <c r="BF36" s="1767">
        <v>7979734</v>
      </c>
    </row>
    <row r="37" spans="1:58" s="971" customFormat="1">
      <c r="A37" s="1719" t="s">
        <v>667</v>
      </c>
      <c r="B37" s="963" t="s">
        <v>1334</v>
      </c>
      <c r="C37" s="967">
        <v>11112000</v>
      </c>
      <c r="D37" s="967">
        <v>7070420</v>
      </c>
      <c r="E37" s="967">
        <v>4041580</v>
      </c>
      <c r="F37" s="981">
        <v>11112000</v>
      </c>
      <c r="G37" s="966">
        <v>0</v>
      </c>
      <c r="H37" s="967">
        <v>0</v>
      </c>
      <c r="I37" s="967">
        <v>0</v>
      </c>
      <c r="J37" s="966">
        <v>0</v>
      </c>
      <c r="K37" s="967">
        <v>0</v>
      </c>
      <c r="L37" s="967">
        <v>0</v>
      </c>
      <c r="M37" s="967">
        <v>0</v>
      </c>
      <c r="N37" s="967">
        <v>0</v>
      </c>
      <c r="O37" s="967">
        <v>0</v>
      </c>
      <c r="P37" s="967">
        <v>0</v>
      </c>
      <c r="Q37" s="967">
        <v>0</v>
      </c>
      <c r="R37" s="967">
        <v>0</v>
      </c>
      <c r="S37" s="967">
        <v>0</v>
      </c>
      <c r="T37" s="967">
        <v>0</v>
      </c>
      <c r="U37" s="967">
        <v>0</v>
      </c>
      <c r="V37" s="967">
        <v>0</v>
      </c>
      <c r="W37" s="966">
        <v>11112000</v>
      </c>
      <c r="X37" s="966">
        <v>0</v>
      </c>
      <c r="Y37" s="967">
        <v>0</v>
      </c>
      <c r="Z37" s="967">
        <v>0</v>
      </c>
      <c r="AA37" s="967">
        <v>0</v>
      </c>
      <c r="AB37" s="967">
        <v>0</v>
      </c>
      <c r="AC37" s="967">
        <v>0</v>
      </c>
      <c r="AD37" s="967">
        <v>0</v>
      </c>
      <c r="AE37" s="967">
        <v>0</v>
      </c>
      <c r="AF37" s="967">
        <v>0</v>
      </c>
      <c r="AG37" s="967">
        <v>0</v>
      </c>
      <c r="AH37" s="967">
        <v>0</v>
      </c>
      <c r="AI37" s="967">
        <v>0</v>
      </c>
      <c r="AJ37" s="967">
        <v>0</v>
      </c>
      <c r="AK37" s="966">
        <v>11112000</v>
      </c>
      <c r="AL37" s="1698" t="s">
        <v>2197</v>
      </c>
      <c r="AM37" s="966">
        <v>0</v>
      </c>
      <c r="AN37" s="966">
        <v>0</v>
      </c>
      <c r="AO37" s="966">
        <v>0</v>
      </c>
      <c r="AP37" s="966">
        <v>0</v>
      </c>
      <c r="AQ37" s="966">
        <v>0</v>
      </c>
      <c r="AR37" s="1720" t="s">
        <v>1314</v>
      </c>
      <c r="AS37" s="1768" t="s">
        <v>2248</v>
      </c>
      <c r="AT37" s="1722" t="s">
        <v>2234</v>
      </c>
      <c r="AV37" s="966">
        <v>0</v>
      </c>
      <c r="AW37" s="966">
        <v>0</v>
      </c>
      <c r="AX37" s="966">
        <v>0</v>
      </c>
      <c r="AY37" s="966">
        <v>0</v>
      </c>
      <c r="AZ37" s="966">
        <v>0</v>
      </c>
      <c r="BA37" s="966">
        <v>0</v>
      </c>
      <c r="BB37" s="1723">
        <v>0</v>
      </c>
      <c r="BE37" s="1724">
        <v>0</v>
      </c>
      <c r="BF37" s="1725">
        <v>0</v>
      </c>
    </row>
    <row r="38" spans="1:58">
      <c r="A38" s="1120" t="s">
        <v>668</v>
      </c>
      <c r="B38" s="751" t="s">
        <v>1335</v>
      </c>
      <c r="C38" s="948">
        <v>7820000</v>
      </c>
      <c r="D38" s="948">
        <v>8635953</v>
      </c>
      <c r="E38" s="948">
        <v>-815953</v>
      </c>
      <c r="F38" s="943">
        <v>7385000</v>
      </c>
      <c r="G38" s="945">
        <v>360000</v>
      </c>
      <c r="H38" s="948">
        <v>100000</v>
      </c>
      <c r="I38" s="948">
        <v>100000</v>
      </c>
      <c r="J38" s="945">
        <v>83292</v>
      </c>
      <c r="K38" s="1115">
        <v>0</v>
      </c>
      <c r="L38" s="947">
        <v>0</v>
      </c>
      <c r="M38" s="947">
        <v>0</v>
      </c>
      <c r="N38" s="947">
        <v>0</v>
      </c>
      <c r="O38" s="947">
        <v>0</v>
      </c>
      <c r="P38" s="947">
        <v>0</v>
      </c>
      <c r="Q38" s="947">
        <v>0</v>
      </c>
      <c r="R38" s="947">
        <v>100000</v>
      </c>
      <c r="S38" s="946">
        <v>0</v>
      </c>
      <c r="T38" s="946">
        <v>0</v>
      </c>
      <c r="U38" s="946">
        <v>130000</v>
      </c>
      <c r="V38" s="946">
        <v>-146708</v>
      </c>
      <c r="W38" s="945">
        <v>7468292</v>
      </c>
      <c r="X38" s="945">
        <v>157355</v>
      </c>
      <c r="Y38" s="948">
        <v>98058</v>
      </c>
      <c r="Z38" s="948">
        <v>21395</v>
      </c>
      <c r="AA38" s="948">
        <v>30755</v>
      </c>
      <c r="AB38" s="948">
        <v>0</v>
      </c>
      <c r="AC38" s="948">
        <v>0</v>
      </c>
      <c r="AD38" s="948">
        <v>0</v>
      </c>
      <c r="AE38" s="948">
        <v>0</v>
      </c>
      <c r="AF38" s="948">
        <v>0</v>
      </c>
      <c r="AG38" s="948">
        <v>0</v>
      </c>
      <c r="AH38" s="948">
        <v>7147</v>
      </c>
      <c r="AI38" s="948">
        <v>0</v>
      </c>
      <c r="AJ38" s="948">
        <v>0</v>
      </c>
      <c r="AK38" s="945">
        <v>7625647</v>
      </c>
      <c r="AL38" s="959" t="s">
        <v>1308</v>
      </c>
      <c r="AM38" s="945">
        <v>0</v>
      </c>
      <c r="AN38" s="945">
        <v>0</v>
      </c>
      <c r="AO38" s="945">
        <v>0</v>
      </c>
      <c r="AP38" s="945">
        <v>0</v>
      </c>
      <c r="AQ38" s="945">
        <v>194353</v>
      </c>
      <c r="AR38" s="1714" t="s">
        <v>1308</v>
      </c>
      <c r="AS38" s="1714" t="s">
        <v>1196</v>
      </c>
      <c r="AT38" s="949" t="s">
        <v>2232</v>
      </c>
      <c r="AV38" s="945">
        <v>351708</v>
      </c>
      <c r="AW38" s="945">
        <v>194353</v>
      </c>
      <c r="AX38" s="945">
        <v>194353</v>
      </c>
      <c r="AY38" s="945">
        <v>194353</v>
      </c>
      <c r="AZ38" s="945">
        <v>194353</v>
      </c>
      <c r="BA38" s="945">
        <v>194353</v>
      </c>
      <c r="BB38" s="1102">
        <v>0</v>
      </c>
      <c r="BE38" s="1718">
        <v>360000</v>
      </c>
      <c r="BF38" s="1717">
        <v>-202645</v>
      </c>
    </row>
    <row r="39" spans="1:58">
      <c r="A39" s="1120" t="s">
        <v>670</v>
      </c>
      <c r="B39" s="751" t="s">
        <v>1336</v>
      </c>
      <c r="C39" s="948">
        <v>4030000</v>
      </c>
      <c r="D39" s="948">
        <v>2390732</v>
      </c>
      <c r="E39" s="948">
        <v>1639268</v>
      </c>
      <c r="F39" s="943">
        <v>3590000</v>
      </c>
      <c r="G39" s="945">
        <v>310000</v>
      </c>
      <c r="H39" s="948">
        <v>65000</v>
      </c>
      <c r="I39" s="948">
        <v>330000</v>
      </c>
      <c r="J39" s="945">
        <v>198808</v>
      </c>
      <c r="K39" s="1115">
        <v>0</v>
      </c>
      <c r="L39" s="947">
        <v>65000</v>
      </c>
      <c r="M39" s="947">
        <v>0</v>
      </c>
      <c r="N39" s="947">
        <v>135000</v>
      </c>
      <c r="O39" s="947">
        <v>0</v>
      </c>
      <c r="P39" s="947">
        <v>65000</v>
      </c>
      <c r="Q39" s="947">
        <v>0</v>
      </c>
      <c r="R39" s="947">
        <v>65000</v>
      </c>
      <c r="S39" s="946">
        <v>0</v>
      </c>
      <c r="T39" s="946">
        <v>65000</v>
      </c>
      <c r="U39" s="946">
        <v>0</v>
      </c>
      <c r="V39" s="946">
        <v>-196192</v>
      </c>
      <c r="W39" s="945">
        <v>3788808</v>
      </c>
      <c r="X39" s="945">
        <v>136980</v>
      </c>
      <c r="Y39" s="948">
        <v>51481</v>
      </c>
      <c r="Z39" s="948">
        <v>28247</v>
      </c>
      <c r="AA39" s="948">
        <v>57252</v>
      </c>
      <c r="AB39" s="948">
        <v>0</v>
      </c>
      <c r="AC39" s="948">
        <v>0</v>
      </c>
      <c r="AD39" s="948">
        <v>0</v>
      </c>
      <c r="AE39" s="948">
        <v>0</v>
      </c>
      <c r="AF39" s="948">
        <v>0</v>
      </c>
      <c r="AG39" s="948">
        <v>0</v>
      </c>
      <c r="AH39" s="948">
        <v>0</v>
      </c>
      <c r="AI39" s="948">
        <v>0</v>
      </c>
      <c r="AJ39" s="948">
        <v>0</v>
      </c>
      <c r="AK39" s="945">
        <v>3925788</v>
      </c>
      <c r="AL39" s="959" t="s">
        <v>1308</v>
      </c>
      <c r="AM39" s="945">
        <v>0</v>
      </c>
      <c r="AN39" s="945">
        <v>0</v>
      </c>
      <c r="AO39" s="945">
        <v>0</v>
      </c>
      <c r="AP39" s="945">
        <v>0</v>
      </c>
      <c r="AQ39" s="945">
        <v>104212</v>
      </c>
      <c r="AR39" s="1714" t="s">
        <v>1308</v>
      </c>
      <c r="AS39" s="1714" t="s">
        <v>1196</v>
      </c>
      <c r="AT39" s="949" t="s">
        <v>2232</v>
      </c>
      <c r="AV39" s="945">
        <v>241192</v>
      </c>
      <c r="AW39" s="945">
        <v>104212</v>
      </c>
      <c r="AX39" s="945">
        <v>104212</v>
      </c>
      <c r="AY39" s="945">
        <v>104212</v>
      </c>
      <c r="AZ39" s="945">
        <v>104212</v>
      </c>
      <c r="BA39" s="945">
        <v>104212</v>
      </c>
      <c r="BB39" s="1102">
        <v>0</v>
      </c>
      <c r="BE39" s="1718">
        <v>310000</v>
      </c>
      <c r="BF39" s="1717">
        <v>-173020</v>
      </c>
    </row>
    <row r="40" spans="1:58" s="971" customFormat="1">
      <c r="A40" s="1719" t="s">
        <v>672</v>
      </c>
      <c r="B40" s="963" t="s">
        <v>1337</v>
      </c>
      <c r="C40" s="967">
        <v>5150000</v>
      </c>
      <c r="D40" s="967">
        <v>3686233</v>
      </c>
      <c r="E40" s="967">
        <v>1463767</v>
      </c>
      <c r="F40" s="981">
        <v>867500</v>
      </c>
      <c r="G40" s="966">
        <v>1041000</v>
      </c>
      <c r="H40" s="967">
        <v>0</v>
      </c>
      <c r="I40" s="967">
        <v>0</v>
      </c>
      <c r="J40" s="966">
        <v>-306598</v>
      </c>
      <c r="K40" s="967">
        <v>0</v>
      </c>
      <c r="L40" s="967">
        <v>0</v>
      </c>
      <c r="M40" s="967">
        <v>0</v>
      </c>
      <c r="N40" s="967">
        <v>0</v>
      </c>
      <c r="O40" s="967">
        <v>0</v>
      </c>
      <c r="P40" s="967">
        <v>0</v>
      </c>
      <c r="Q40" s="967">
        <v>0</v>
      </c>
      <c r="R40" s="967">
        <v>0</v>
      </c>
      <c r="S40" s="967">
        <v>0</v>
      </c>
      <c r="T40" s="967">
        <v>0</v>
      </c>
      <c r="U40" s="967">
        <v>0</v>
      </c>
      <c r="V40" s="967">
        <v>-306598</v>
      </c>
      <c r="W40" s="966">
        <v>560902</v>
      </c>
      <c r="X40" s="966">
        <v>2029970</v>
      </c>
      <c r="Y40" s="967">
        <v>154655</v>
      </c>
      <c r="Z40" s="967">
        <v>109632</v>
      </c>
      <c r="AA40" s="967">
        <v>190338</v>
      </c>
      <c r="AB40" s="967">
        <v>160024</v>
      </c>
      <c r="AC40" s="967">
        <v>202360</v>
      </c>
      <c r="AD40" s="967">
        <v>175565</v>
      </c>
      <c r="AE40" s="967">
        <v>169396</v>
      </c>
      <c r="AF40" s="967">
        <v>170579</v>
      </c>
      <c r="AG40" s="967">
        <v>155787</v>
      </c>
      <c r="AH40" s="967">
        <v>166814</v>
      </c>
      <c r="AI40" s="967">
        <v>168615</v>
      </c>
      <c r="AJ40" s="967">
        <v>206205</v>
      </c>
      <c r="AK40" s="966">
        <v>2590872</v>
      </c>
      <c r="AL40" s="1698" t="s">
        <v>2197</v>
      </c>
      <c r="AM40" s="966">
        <v>754813</v>
      </c>
      <c r="AN40" s="966">
        <v>965371</v>
      </c>
      <c r="AO40" s="966">
        <v>0</v>
      </c>
      <c r="AP40" s="966">
        <v>0</v>
      </c>
      <c r="AQ40" s="966">
        <v>838944</v>
      </c>
      <c r="AR40" s="1720" t="s">
        <v>1314</v>
      </c>
      <c r="AS40" s="1768" t="s">
        <v>2248</v>
      </c>
      <c r="AT40" s="1722" t="s">
        <v>2234</v>
      </c>
      <c r="AV40" s="966">
        <v>4589098</v>
      </c>
      <c r="AW40" s="966">
        <v>2559128</v>
      </c>
      <c r="AX40" s="966">
        <v>1804315</v>
      </c>
      <c r="AY40" s="966">
        <v>838944</v>
      </c>
      <c r="AZ40" s="966">
        <v>838944</v>
      </c>
      <c r="BA40" s="966">
        <v>838944</v>
      </c>
      <c r="BB40" s="1723">
        <v>0</v>
      </c>
      <c r="BE40" s="1724">
        <v>1041000</v>
      </c>
      <c r="BF40" s="1725">
        <v>988970</v>
      </c>
    </row>
    <row r="41" spans="1:58">
      <c r="A41" s="1120" t="s">
        <v>673</v>
      </c>
      <c r="B41" s="751" t="s">
        <v>1338</v>
      </c>
      <c r="C41" s="948">
        <v>19200000</v>
      </c>
      <c r="D41" s="948">
        <v>12357744</v>
      </c>
      <c r="E41" s="948">
        <v>6842256</v>
      </c>
      <c r="F41" s="943">
        <v>10965000</v>
      </c>
      <c r="G41" s="945">
        <v>4860000</v>
      </c>
      <c r="H41" s="948">
        <v>300000</v>
      </c>
      <c r="I41" s="948">
        <v>3225000</v>
      </c>
      <c r="J41" s="945">
        <v>3874954</v>
      </c>
      <c r="K41" s="1115">
        <v>1125000</v>
      </c>
      <c r="L41" s="947">
        <v>300000</v>
      </c>
      <c r="M41" s="947">
        <v>300000</v>
      </c>
      <c r="N41" s="947">
        <v>300000</v>
      </c>
      <c r="O41" s="947">
        <v>300000</v>
      </c>
      <c r="P41" s="947">
        <v>300000</v>
      </c>
      <c r="Q41" s="947">
        <v>300000</v>
      </c>
      <c r="R41" s="947">
        <v>300000</v>
      </c>
      <c r="S41" s="946">
        <v>300000</v>
      </c>
      <c r="T41" s="946">
        <v>300000</v>
      </c>
      <c r="U41" s="946">
        <v>780000</v>
      </c>
      <c r="V41" s="946">
        <v>-730046</v>
      </c>
      <c r="W41" s="945">
        <v>14839954</v>
      </c>
      <c r="X41" s="945">
        <v>2763424</v>
      </c>
      <c r="Y41" s="948">
        <v>188327</v>
      </c>
      <c r="Z41" s="948">
        <v>122961</v>
      </c>
      <c r="AA41" s="948">
        <v>247940</v>
      </c>
      <c r="AB41" s="948">
        <v>195110</v>
      </c>
      <c r="AC41" s="948">
        <v>226130</v>
      </c>
      <c r="AD41" s="948">
        <v>196333</v>
      </c>
      <c r="AE41" s="948">
        <v>189471</v>
      </c>
      <c r="AF41" s="948">
        <v>190895</v>
      </c>
      <c r="AG41" s="948">
        <v>174444</v>
      </c>
      <c r="AH41" s="948">
        <v>387720</v>
      </c>
      <c r="AI41" s="948">
        <v>307132</v>
      </c>
      <c r="AJ41" s="948">
        <v>336961</v>
      </c>
      <c r="AK41" s="945">
        <v>17603378</v>
      </c>
      <c r="AL41" s="959" t="s">
        <v>1308</v>
      </c>
      <c r="AM41" s="945">
        <v>1064317</v>
      </c>
      <c r="AN41" s="945">
        <v>0</v>
      </c>
      <c r="AO41" s="945">
        <v>0</v>
      </c>
      <c r="AP41" s="945">
        <v>0</v>
      </c>
      <c r="AQ41" s="945">
        <v>532305</v>
      </c>
      <c r="AR41" s="1714" t="s">
        <v>1308</v>
      </c>
      <c r="AS41" s="1714" t="s">
        <v>1196</v>
      </c>
      <c r="AT41" s="949" t="s">
        <v>2232</v>
      </c>
      <c r="AV41" s="945">
        <v>4360046</v>
      </c>
      <c r="AW41" s="945">
        <v>1596622</v>
      </c>
      <c r="AX41" s="945">
        <v>532305</v>
      </c>
      <c r="AY41" s="945">
        <v>532305</v>
      </c>
      <c r="AZ41" s="945">
        <v>532305</v>
      </c>
      <c r="BA41" s="945">
        <v>532305</v>
      </c>
      <c r="BB41" s="1102">
        <v>0</v>
      </c>
      <c r="BE41" s="1718">
        <v>4860000</v>
      </c>
      <c r="BF41" s="1717">
        <v>-2096576</v>
      </c>
    </row>
    <row r="42" spans="1:58">
      <c r="A42" s="1120" t="s">
        <v>675</v>
      </c>
      <c r="B42" s="751" t="s">
        <v>1339</v>
      </c>
      <c r="C42" s="948">
        <v>4940000</v>
      </c>
      <c r="D42" s="948">
        <v>3200000</v>
      </c>
      <c r="E42" s="948">
        <v>1740000</v>
      </c>
      <c r="F42" s="943">
        <v>3530000</v>
      </c>
      <c r="G42" s="945">
        <v>1340000</v>
      </c>
      <c r="H42" s="948">
        <v>140000</v>
      </c>
      <c r="I42" s="948">
        <v>840000</v>
      </c>
      <c r="J42" s="945">
        <v>987732</v>
      </c>
      <c r="K42" s="1115">
        <v>0</v>
      </c>
      <c r="L42" s="947">
        <v>0</v>
      </c>
      <c r="M42" s="947">
        <v>140000</v>
      </c>
      <c r="N42" s="947">
        <v>140000</v>
      </c>
      <c r="O42" s="947">
        <v>140000</v>
      </c>
      <c r="P42" s="947">
        <v>140000</v>
      </c>
      <c r="Q42" s="947">
        <v>140000</v>
      </c>
      <c r="R42" s="947">
        <v>140000</v>
      </c>
      <c r="S42" s="946">
        <v>140000</v>
      </c>
      <c r="T42" s="946">
        <v>290000</v>
      </c>
      <c r="U42" s="946">
        <v>140000</v>
      </c>
      <c r="V42" s="946">
        <v>-422268</v>
      </c>
      <c r="W42" s="945">
        <v>4517732</v>
      </c>
      <c r="X42" s="945">
        <v>11218</v>
      </c>
      <c r="Y42" s="948">
        <v>1553</v>
      </c>
      <c r="Z42" s="948">
        <v>1553</v>
      </c>
      <c r="AA42" s="948">
        <v>1622</v>
      </c>
      <c r="AB42" s="948">
        <v>1623</v>
      </c>
      <c r="AC42" s="948">
        <v>1622</v>
      </c>
      <c r="AD42" s="948">
        <v>1623</v>
      </c>
      <c r="AE42" s="948">
        <v>1622</v>
      </c>
      <c r="AF42" s="948">
        <v>0</v>
      </c>
      <c r="AG42" s="948">
        <v>0</v>
      </c>
      <c r="AH42" s="948">
        <v>0</v>
      </c>
      <c r="AI42" s="948">
        <v>0</v>
      </c>
      <c r="AJ42" s="948">
        <v>0</v>
      </c>
      <c r="AK42" s="945">
        <v>4528950</v>
      </c>
      <c r="AL42" s="959" t="s">
        <v>1308</v>
      </c>
      <c r="AM42" s="945">
        <v>0</v>
      </c>
      <c r="AN42" s="945">
        <v>0</v>
      </c>
      <c r="AO42" s="945">
        <v>0</v>
      </c>
      <c r="AP42" s="945">
        <v>0</v>
      </c>
      <c r="AQ42" s="945">
        <v>411050</v>
      </c>
      <c r="AR42" s="1714" t="s">
        <v>2108</v>
      </c>
      <c r="AS42" s="1714" t="s">
        <v>1196</v>
      </c>
      <c r="AT42" s="949" t="s">
        <v>2232</v>
      </c>
      <c r="AV42" s="945">
        <v>422268</v>
      </c>
      <c r="AW42" s="945">
        <v>411050</v>
      </c>
      <c r="AX42" s="945">
        <v>411050</v>
      </c>
      <c r="AY42" s="945">
        <v>411050</v>
      </c>
      <c r="AZ42" s="945">
        <v>411050</v>
      </c>
      <c r="BA42" s="945">
        <v>411050</v>
      </c>
      <c r="BB42" s="1102">
        <v>0</v>
      </c>
      <c r="BE42" s="1718">
        <v>1340000</v>
      </c>
      <c r="BF42" s="1717">
        <v>-1328782</v>
      </c>
    </row>
    <row r="43" spans="1:58">
      <c r="A43" s="1120" t="s">
        <v>677</v>
      </c>
      <c r="B43" s="751" t="s">
        <v>1340</v>
      </c>
      <c r="C43" s="948">
        <v>31186000</v>
      </c>
      <c r="D43" s="948">
        <v>16578194</v>
      </c>
      <c r="E43" s="948">
        <v>14607806</v>
      </c>
      <c r="F43" s="943">
        <v>21665000</v>
      </c>
      <c r="G43" s="945">
        <v>9310000</v>
      </c>
      <c r="H43" s="948">
        <v>870000</v>
      </c>
      <c r="I43" s="948">
        <v>7280000</v>
      </c>
      <c r="J43" s="945">
        <v>7158898</v>
      </c>
      <c r="K43" s="1115">
        <v>870000</v>
      </c>
      <c r="L43" s="947">
        <v>870000</v>
      </c>
      <c r="M43" s="947">
        <v>870000</v>
      </c>
      <c r="N43" s="947">
        <v>870000</v>
      </c>
      <c r="O43" s="947">
        <v>1190000</v>
      </c>
      <c r="P43" s="947">
        <v>870000</v>
      </c>
      <c r="Q43" s="947">
        <v>870000</v>
      </c>
      <c r="R43" s="947">
        <v>870000</v>
      </c>
      <c r="S43" s="946">
        <v>870000</v>
      </c>
      <c r="T43" s="946">
        <v>290000</v>
      </c>
      <c r="U43" s="946">
        <v>290000</v>
      </c>
      <c r="V43" s="946">
        <v>-1571102</v>
      </c>
      <c r="W43" s="945">
        <v>28823898</v>
      </c>
      <c r="X43" s="945">
        <v>1754234</v>
      </c>
      <c r="Y43" s="948">
        <v>606827</v>
      </c>
      <c r="Z43" s="948">
        <v>282938</v>
      </c>
      <c r="AA43" s="948">
        <v>515208</v>
      </c>
      <c r="AB43" s="948">
        <v>122856</v>
      </c>
      <c r="AC43" s="948">
        <v>120598</v>
      </c>
      <c r="AD43" s="948">
        <v>63024</v>
      </c>
      <c r="AE43" s="948">
        <v>6590</v>
      </c>
      <c r="AF43" s="948">
        <v>7239</v>
      </c>
      <c r="AG43" s="948">
        <v>7238</v>
      </c>
      <c r="AH43" s="948">
        <v>7239</v>
      </c>
      <c r="AI43" s="948">
        <v>7239</v>
      </c>
      <c r="AJ43" s="948">
        <v>7238</v>
      </c>
      <c r="AK43" s="945">
        <v>30578132</v>
      </c>
      <c r="AL43" s="959" t="s">
        <v>1308</v>
      </c>
      <c r="AM43" s="945">
        <v>163137</v>
      </c>
      <c r="AN43" s="945">
        <v>0</v>
      </c>
      <c r="AO43" s="945">
        <v>0</v>
      </c>
      <c r="AP43" s="945">
        <v>0</v>
      </c>
      <c r="AQ43" s="945">
        <v>444731</v>
      </c>
      <c r="AR43" s="1714" t="s">
        <v>1308</v>
      </c>
      <c r="AS43" s="1714" t="s">
        <v>1196</v>
      </c>
      <c r="AT43" s="949" t="s">
        <v>2232</v>
      </c>
      <c r="AV43" s="945">
        <v>2362102</v>
      </c>
      <c r="AW43" s="945">
        <v>607868</v>
      </c>
      <c r="AX43" s="945">
        <v>444731</v>
      </c>
      <c r="AY43" s="945">
        <v>444731</v>
      </c>
      <c r="AZ43" s="945">
        <v>444731</v>
      </c>
      <c r="BA43" s="945">
        <v>444731</v>
      </c>
      <c r="BB43" s="1102">
        <v>0</v>
      </c>
      <c r="BE43" s="1718">
        <v>9310000</v>
      </c>
      <c r="BF43" s="1717">
        <v>-7555766</v>
      </c>
    </row>
    <row r="44" spans="1:58">
      <c r="A44" s="1120" t="s">
        <v>678</v>
      </c>
      <c r="B44" s="751" t="s">
        <v>1341</v>
      </c>
      <c r="C44" s="948">
        <v>2200000</v>
      </c>
      <c r="D44" s="948">
        <v>1681852</v>
      </c>
      <c r="E44" s="948">
        <v>518148</v>
      </c>
      <c r="F44" s="943">
        <v>2200000</v>
      </c>
      <c r="G44" s="945">
        <v>0</v>
      </c>
      <c r="H44" s="948">
        <v>0</v>
      </c>
      <c r="I44" s="948">
        <v>0</v>
      </c>
      <c r="J44" s="945">
        <v>0</v>
      </c>
      <c r="K44" s="1115">
        <v>0</v>
      </c>
      <c r="L44" s="947">
        <v>0</v>
      </c>
      <c r="M44" s="947">
        <v>0</v>
      </c>
      <c r="N44" s="947">
        <v>0</v>
      </c>
      <c r="O44" s="947">
        <v>0</v>
      </c>
      <c r="P44" s="947">
        <v>0</v>
      </c>
      <c r="Q44" s="947">
        <v>0</v>
      </c>
      <c r="R44" s="947">
        <v>0</v>
      </c>
      <c r="S44" s="946">
        <v>0</v>
      </c>
      <c r="T44" s="946">
        <v>0</v>
      </c>
      <c r="U44" s="946">
        <v>0</v>
      </c>
      <c r="V44" s="946">
        <v>0</v>
      </c>
      <c r="W44" s="945">
        <v>2200000</v>
      </c>
      <c r="X44" s="945">
        <v>0</v>
      </c>
      <c r="Y44" s="948">
        <v>0</v>
      </c>
      <c r="Z44" s="948">
        <v>0</v>
      </c>
      <c r="AA44" s="948">
        <v>0</v>
      </c>
      <c r="AB44" s="948">
        <v>0</v>
      </c>
      <c r="AC44" s="948">
        <v>0</v>
      </c>
      <c r="AD44" s="948">
        <v>0</v>
      </c>
      <c r="AE44" s="948">
        <v>0</v>
      </c>
      <c r="AF44" s="948">
        <v>0</v>
      </c>
      <c r="AG44" s="948">
        <v>0</v>
      </c>
      <c r="AH44" s="948">
        <v>0</v>
      </c>
      <c r="AI44" s="948">
        <v>0</v>
      </c>
      <c r="AJ44" s="948">
        <v>0</v>
      </c>
      <c r="AK44" s="945">
        <v>2200000</v>
      </c>
      <c r="AL44" s="959" t="s">
        <v>1308</v>
      </c>
      <c r="AM44" s="945">
        <v>0</v>
      </c>
      <c r="AN44" s="945">
        <v>0</v>
      </c>
      <c r="AO44" s="945">
        <v>0</v>
      </c>
      <c r="AP44" s="945">
        <v>0</v>
      </c>
      <c r="AQ44" s="945">
        <v>0</v>
      </c>
      <c r="AR44" s="1714" t="s">
        <v>1308</v>
      </c>
      <c r="AS44" s="1714" t="s">
        <v>1196</v>
      </c>
      <c r="AT44" s="949" t="s">
        <v>2232</v>
      </c>
      <c r="AV44" s="945">
        <v>0</v>
      </c>
      <c r="AW44" s="945">
        <v>0</v>
      </c>
      <c r="AX44" s="945">
        <v>0</v>
      </c>
      <c r="AY44" s="945">
        <v>0</v>
      </c>
      <c r="AZ44" s="945">
        <v>0</v>
      </c>
      <c r="BA44" s="945">
        <v>0</v>
      </c>
      <c r="BB44" s="1102">
        <v>0</v>
      </c>
      <c r="BE44" s="1718">
        <v>0</v>
      </c>
      <c r="BF44" s="1717">
        <v>0</v>
      </c>
    </row>
    <row r="45" spans="1:58">
      <c r="A45" s="1120" t="s">
        <v>680</v>
      </c>
      <c r="B45" s="751" t="s">
        <v>1342</v>
      </c>
      <c r="C45" s="948">
        <v>3125000</v>
      </c>
      <c r="D45" s="948">
        <v>2550964</v>
      </c>
      <c r="E45" s="948">
        <v>574036</v>
      </c>
      <c r="F45" s="943">
        <v>2685000</v>
      </c>
      <c r="G45" s="945">
        <v>440000.00000000012</v>
      </c>
      <c r="H45" s="948">
        <v>0</v>
      </c>
      <c r="I45" s="948">
        <v>290000</v>
      </c>
      <c r="J45" s="945">
        <v>91782</v>
      </c>
      <c r="K45" s="1115">
        <v>145000</v>
      </c>
      <c r="L45" s="947">
        <v>145000</v>
      </c>
      <c r="M45" s="947">
        <v>0</v>
      </c>
      <c r="N45" s="947">
        <v>0</v>
      </c>
      <c r="O45" s="947">
        <v>0</v>
      </c>
      <c r="P45" s="947">
        <v>0</v>
      </c>
      <c r="Q45" s="947">
        <v>0</v>
      </c>
      <c r="R45" s="947">
        <v>0</v>
      </c>
      <c r="S45" s="946">
        <v>0</v>
      </c>
      <c r="T45" s="946">
        <v>0</v>
      </c>
      <c r="U45" s="946">
        <v>150000</v>
      </c>
      <c r="V45" s="946">
        <v>-348218</v>
      </c>
      <c r="W45" s="945">
        <v>2776782</v>
      </c>
      <c r="X45" s="945">
        <v>0</v>
      </c>
      <c r="Y45" s="948">
        <v>0</v>
      </c>
      <c r="Z45" s="948">
        <v>0</v>
      </c>
      <c r="AA45" s="948">
        <v>0</v>
      </c>
      <c r="AB45" s="948">
        <v>0</v>
      </c>
      <c r="AC45" s="948">
        <v>0</v>
      </c>
      <c r="AD45" s="948">
        <v>0</v>
      </c>
      <c r="AE45" s="948">
        <v>0</v>
      </c>
      <c r="AF45" s="948">
        <v>0</v>
      </c>
      <c r="AG45" s="948">
        <v>0</v>
      </c>
      <c r="AH45" s="948">
        <v>0</v>
      </c>
      <c r="AI45" s="948">
        <v>0</v>
      </c>
      <c r="AJ45" s="948">
        <v>0</v>
      </c>
      <c r="AK45" s="945">
        <v>2776782</v>
      </c>
      <c r="AL45" s="959" t="s">
        <v>1308</v>
      </c>
      <c r="AM45" s="945">
        <v>0</v>
      </c>
      <c r="AN45" s="945">
        <v>0</v>
      </c>
      <c r="AO45" s="945">
        <v>0</v>
      </c>
      <c r="AP45" s="945">
        <v>0</v>
      </c>
      <c r="AQ45" s="945">
        <v>348218</v>
      </c>
      <c r="AR45" s="1714" t="s">
        <v>1308</v>
      </c>
      <c r="AS45" s="1714" t="s">
        <v>1196</v>
      </c>
      <c r="AT45" s="949" t="s">
        <v>2232</v>
      </c>
      <c r="AV45" s="945">
        <v>348218</v>
      </c>
      <c r="AW45" s="945">
        <v>348218</v>
      </c>
      <c r="AX45" s="945">
        <v>348218</v>
      </c>
      <c r="AY45" s="945">
        <v>348218</v>
      </c>
      <c r="AZ45" s="945">
        <v>348218</v>
      </c>
      <c r="BA45" s="945">
        <v>348218</v>
      </c>
      <c r="BB45" s="1102">
        <v>0</v>
      </c>
      <c r="BE45" s="1718">
        <v>440000.00000000012</v>
      </c>
      <c r="BF45" s="1717">
        <v>-440000.00000000012</v>
      </c>
    </row>
    <row r="46" spans="1:58">
      <c r="A46" s="1120" t="s">
        <v>682</v>
      </c>
      <c r="B46" s="751" t="s">
        <v>1343</v>
      </c>
      <c r="C46" s="948">
        <v>2042000</v>
      </c>
      <c r="D46" s="948">
        <v>1088331</v>
      </c>
      <c r="E46" s="948">
        <v>953669</v>
      </c>
      <c r="F46" s="943">
        <v>1542000</v>
      </c>
      <c r="G46" s="945">
        <v>427500.00000000012</v>
      </c>
      <c r="H46" s="948">
        <v>0</v>
      </c>
      <c r="I46" s="948">
        <v>435000</v>
      </c>
      <c r="J46" s="945">
        <v>146355</v>
      </c>
      <c r="K46" s="1115">
        <v>145000</v>
      </c>
      <c r="L46" s="947">
        <v>72500</v>
      </c>
      <c r="M46" s="947">
        <v>72500</v>
      </c>
      <c r="N46" s="947">
        <v>72500</v>
      </c>
      <c r="O46" s="947">
        <v>0</v>
      </c>
      <c r="P46" s="947">
        <v>72500</v>
      </c>
      <c r="Q46" s="947">
        <v>0</v>
      </c>
      <c r="R46" s="947">
        <v>0</v>
      </c>
      <c r="S46" s="946">
        <v>0</v>
      </c>
      <c r="T46" s="946">
        <v>0</v>
      </c>
      <c r="U46" s="946">
        <v>0</v>
      </c>
      <c r="V46" s="946">
        <v>-288645</v>
      </c>
      <c r="W46" s="945">
        <v>1688355</v>
      </c>
      <c r="X46" s="945">
        <v>0</v>
      </c>
      <c r="Y46" s="948">
        <v>0</v>
      </c>
      <c r="Z46" s="948">
        <v>0</v>
      </c>
      <c r="AA46" s="948">
        <v>0</v>
      </c>
      <c r="AB46" s="948">
        <v>0</v>
      </c>
      <c r="AC46" s="948">
        <v>0</v>
      </c>
      <c r="AD46" s="948">
        <v>0</v>
      </c>
      <c r="AE46" s="948">
        <v>0</v>
      </c>
      <c r="AF46" s="948">
        <v>0</v>
      </c>
      <c r="AG46" s="948">
        <v>0</v>
      </c>
      <c r="AH46" s="948">
        <v>0</v>
      </c>
      <c r="AI46" s="948">
        <v>0</v>
      </c>
      <c r="AJ46" s="948">
        <v>0</v>
      </c>
      <c r="AK46" s="945">
        <v>1688355</v>
      </c>
      <c r="AL46" s="959" t="s">
        <v>1308</v>
      </c>
      <c r="AM46" s="945">
        <v>0</v>
      </c>
      <c r="AN46" s="945">
        <v>0</v>
      </c>
      <c r="AO46" s="945">
        <v>0</v>
      </c>
      <c r="AP46" s="945">
        <v>0</v>
      </c>
      <c r="AQ46" s="945">
        <v>353645</v>
      </c>
      <c r="AR46" s="1714" t="s">
        <v>1308</v>
      </c>
      <c r="AS46" s="1714" t="s">
        <v>1196</v>
      </c>
      <c r="AT46" s="949" t="s">
        <v>2232</v>
      </c>
      <c r="AV46" s="945">
        <v>353645</v>
      </c>
      <c r="AW46" s="945">
        <v>353645</v>
      </c>
      <c r="AX46" s="945">
        <v>353645</v>
      </c>
      <c r="AY46" s="945">
        <v>353645</v>
      </c>
      <c r="AZ46" s="945">
        <v>353645</v>
      </c>
      <c r="BA46" s="945">
        <v>353645</v>
      </c>
      <c r="BB46" s="1102">
        <v>0</v>
      </c>
      <c r="BE46" s="1718">
        <v>427500.00000000012</v>
      </c>
      <c r="BF46" s="1717">
        <v>-427500.00000000012</v>
      </c>
    </row>
    <row r="47" spans="1:58">
      <c r="A47" s="1726" t="s">
        <v>684</v>
      </c>
      <c r="B47" s="1009" t="s">
        <v>1344</v>
      </c>
      <c r="C47" s="948">
        <v>2202000</v>
      </c>
      <c r="D47" s="948">
        <v>1089400</v>
      </c>
      <c r="E47" s="948">
        <v>1112600</v>
      </c>
      <c r="F47" s="943">
        <v>1537000</v>
      </c>
      <c r="G47" s="945">
        <v>572500.00000000012</v>
      </c>
      <c r="H47" s="948">
        <v>0</v>
      </c>
      <c r="I47" s="948">
        <v>20000</v>
      </c>
      <c r="J47" s="945">
        <v>665000</v>
      </c>
      <c r="K47" s="1115">
        <v>0</v>
      </c>
      <c r="L47" s="947">
        <v>20000</v>
      </c>
      <c r="M47" s="947">
        <v>0</v>
      </c>
      <c r="N47" s="947">
        <v>0</v>
      </c>
      <c r="O47" s="947">
        <v>0</v>
      </c>
      <c r="P47" s="947">
        <v>0</v>
      </c>
      <c r="Q47" s="947">
        <v>0</v>
      </c>
      <c r="R47" s="947">
        <v>0</v>
      </c>
      <c r="S47" s="946">
        <v>145000</v>
      </c>
      <c r="T47" s="946">
        <v>0</v>
      </c>
      <c r="U47" s="946">
        <v>0</v>
      </c>
      <c r="V47" s="946">
        <v>500000</v>
      </c>
      <c r="W47" s="945">
        <v>2202000</v>
      </c>
      <c r="X47" s="945">
        <v>0</v>
      </c>
      <c r="Y47" s="948">
        <v>0</v>
      </c>
      <c r="Z47" s="948">
        <v>0</v>
      </c>
      <c r="AA47" s="948">
        <v>0</v>
      </c>
      <c r="AB47" s="948">
        <v>0</v>
      </c>
      <c r="AC47" s="948">
        <v>0</v>
      </c>
      <c r="AD47" s="948">
        <v>0</v>
      </c>
      <c r="AE47" s="948">
        <v>0</v>
      </c>
      <c r="AF47" s="948">
        <v>0</v>
      </c>
      <c r="AG47" s="948">
        <v>0</v>
      </c>
      <c r="AH47" s="948">
        <v>0</v>
      </c>
      <c r="AI47" s="948">
        <v>0</v>
      </c>
      <c r="AJ47" s="948">
        <v>0</v>
      </c>
      <c r="AK47" s="945">
        <v>2202000</v>
      </c>
      <c r="AL47" s="959" t="s">
        <v>1308</v>
      </c>
      <c r="AM47" s="945">
        <v>0</v>
      </c>
      <c r="AN47" s="945">
        <v>0</v>
      </c>
      <c r="AO47" s="945">
        <v>0</v>
      </c>
      <c r="AP47" s="945">
        <v>0</v>
      </c>
      <c r="AQ47" s="945">
        <v>0</v>
      </c>
      <c r="AR47" s="1714" t="s">
        <v>1308</v>
      </c>
      <c r="AS47" s="1714" t="s">
        <v>1196</v>
      </c>
      <c r="AT47" s="949" t="s">
        <v>2232</v>
      </c>
      <c r="AV47" s="945">
        <v>0</v>
      </c>
      <c r="AW47" s="945">
        <v>0</v>
      </c>
      <c r="AX47" s="945">
        <v>0</v>
      </c>
      <c r="AY47" s="945">
        <v>0</v>
      </c>
      <c r="AZ47" s="945">
        <v>0</v>
      </c>
      <c r="BA47" s="945">
        <v>0</v>
      </c>
      <c r="BB47" s="1102">
        <v>0</v>
      </c>
      <c r="BE47" s="1718">
        <v>572500.00000000012</v>
      </c>
      <c r="BF47" s="1717">
        <v>-572500.00000000012</v>
      </c>
    </row>
    <row r="48" spans="1:58">
      <c r="A48" s="1726" t="s">
        <v>686</v>
      </c>
      <c r="B48" s="1009" t="s">
        <v>1345</v>
      </c>
      <c r="C48" s="948">
        <v>3365000</v>
      </c>
      <c r="D48" s="948">
        <v>1792862</v>
      </c>
      <c r="E48" s="948">
        <v>1572138</v>
      </c>
      <c r="F48" s="943">
        <v>3100000</v>
      </c>
      <c r="G48" s="945">
        <v>140000</v>
      </c>
      <c r="H48" s="948">
        <v>0</v>
      </c>
      <c r="I48" s="948">
        <v>140000.00000000003</v>
      </c>
      <c r="J48" s="945">
        <v>177064</v>
      </c>
      <c r="K48" s="1115">
        <v>140000.00000000003</v>
      </c>
      <c r="L48" s="947">
        <v>0</v>
      </c>
      <c r="M48" s="947">
        <v>0</v>
      </c>
      <c r="N48" s="947">
        <v>0</v>
      </c>
      <c r="O48" s="947">
        <v>0</v>
      </c>
      <c r="P48" s="947">
        <v>0</v>
      </c>
      <c r="Q48" s="947">
        <v>0</v>
      </c>
      <c r="R48" s="947">
        <v>0</v>
      </c>
      <c r="S48" s="946">
        <v>125000</v>
      </c>
      <c r="T48" s="946">
        <v>0</v>
      </c>
      <c r="U48" s="946">
        <v>0</v>
      </c>
      <c r="V48" s="946">
        <v>-87936</v>
      </c>
      <c r="W48" s="945">
        <v>3277064</v>
      </c>
      <c r="X48" s="945">
        <v>13639</v>
      </c>
      <c r="Y48" s="948">
        <v>1888</v>
      </c>
      <c r="Z48" s="948">
        <v>1888</v>
      </c>
      <c r="AA48" s="948">
        <v>1973</v>
      </c>
      <c r="AB48" s="948">
        <v>1973</v>
      </c>
      <c r="AC48" s="948">
        <v>1972</v>
      </c>
      <c r="AD48" s="948">
        <v>1973</v>
      </c>
      <c r="AE48" s="948">
        <v>1972</v>
      </c>
      <c r="AF48" s="948">
        <v>0</v>
      </c>
      <c r="AG48" s="948">
        <v>0</v>
      </c>
      <c r="AH48" s="948">
        <v>0</v>
      </c>
      <c r="AI48" s="948">
        <v>0</v>
      </c>
      <c r="AJ48" s="948">
        <v>0</v>
      </c>
      <c r="AK48" s="945">
        <v>3290703</v>
      </c>
      <c r="AL48" s="959" t="s">
        <v>1308</v>
      </c>
      <c r="AM48" s="945">
        <v>0</v>
      </c>
      <c r="AN48" s="945">
        <v>0</v>
      </c>
      <c r="AO48" s="945">
        <v>0</v>
      </c>
      <c r="AP48" s="945">
        <v>0</v>
      </c>
      <c r="AQ48" s="945">
        <v>74297</v>
      </c>
      <c r="AR48" s="1714" t="s">
        <v>1308</v>
      </c>
      <c r="AS48" s="1714" t="s">
        <v>1196</v>
      </c>
      <c r="AT48" s="949" t="s">
        <v>2232</v>
      </c>
      <c r="AV48" s="945">
        <v>87936</v>
      </c>
      <c r="AW48" s="945">
        <v>74297</v>
      </c>
      <c r="AX48" s="945">
        <v>74297</v>
      </c>
      <c r="AY48" s="945">
        <v>74297</v>
      </c>
      <c r="AZ48" s="945">
        <v>74297</v>
      </c>
      <c r="BA48" s="945">
        <v>74297</v>
      </c>
      <c r="BB48" s="1102">
        <v>0</v>
      </c>
      <c r="BE48" s="1718">
        <v>140000</v>
      </c>
      <c r="BF48" s="1717">
        <v>-126361</v>
      </c>
    </row>
    <row r="49" spans="1:58" s="971" customFormat="1">
      <c r="A49" s="1730" t="s">
        <v>688</v>
      </c>
      <c r="B49" s="1010" t="s">
        <v>1346</v>
      </c>
      <c r="C49" s="967">
        <v>3047620</v>
      </c>
      <c r="D49" s="967">
        <v>1250140</v>
      </c>
      <c r="E49" s="967">
        <v>1797480</v>
      </c>
      <c r="F49" s="981">
        <v>3047620</v>
      </c>
      <c r="G49" s="966">
        <v>0</v>
      </c>
      <c r="H49" s="967">
        <v>0</v>
      </c>
      <c r="I49" s="967">
        <v>0</v>
      </c>
      <c r="J49" s="966">
        <v>0</v>
      </c>
      <c r="K49" s="967">
        <v>0</v>
      </c>
      <c r="L49" s="967">
        <v>0</v>
      </c>
      <c r="M49" s="967">
        <v>0</v>
      </c>
      <c r="N49" s="967">
        <v>0</v>
      </c>
      <c r="O49" s="967">
        <v>0</v>
      </c>
      <c r="P49" s="967">
        <v>0</v>
      </c>
      <c r="Q49" s="967">
        <v>0</v>
      </c>
      <c r="R49" s="967">
        <v>0</v>
      </c>
      <c r="S49" s="967">
        <v>0</v>
      </c>
      <c r="T49" s="967">
        <v>0</v>
      </c>
      <c r="U49" s="967">
        <v>0</v>
      </c>
      <c r="V49" s="967">
        <v>0</v>
      </c>
      <c r="W49" s="966">
        <v>3047620</v>
      </c>
      <c r="X49" s="966">
        <v>0</v>
      </c>
      <c r="Y49" s="967">
        <v>0</v>
      </c>
      <c r="Z49" s="967">
        <v>0</v>
      </c>
      <c r="AA49" s="967">
        <v>0</v>
      </c>
      <c r="AB49" s="967">
        <v>0</v>
      </c>
      <c r="AC49" s="967">
        <v>0</v>
      </c>
      <c r="AD49" s="967">
        <v>0</v>
      </c>
      <c r="AE49" s="967">
        <v>0</v>
      </c>
      <c r="AF49" s="967">
        <v>0</v>
      </c>
      <c r="AG49" s="967">
        <v>0</v>
      </c>
      <c r="AH49" s="967">
        <v>0</v>
      </c>
      <c r="AI49" s="967">
        <v>0</v>
      </c>
      <c r="AJ49" s="967">
        <v>0</v>
      </c>
      <c r="AK49" s="966">
        <v>3047620</v>
      </c>
      <c r="AL49" s="1698" t="s">
        <v>2197</v>
      </c>
      <c r="AM49" s="966">
        <v>0</v>
      </c>
      <c r="AN49" s="966">
        <v>0</v>
      </c>
      <c r="AO49" s="966">
        <v>0</v>
      </c>
      <c r="AP49" s="966">
        <v>0</v>
      </c>
      <c r="AQ49" s="966">
        <v>0</v>
      </c>
      <c r="AR49" s="1720" t="s">
        <v>1314</v>
      </c>
      <c r="AS49" s="1768" t="s">
        <v>2248</v>
      </c>
      <c r="AT49" s="1722" t="s">
        <v>2234</v>
      </c>
      <c r="AV49" s="966">
        <v>0</v>
      </c>
      <c r="AW49" s="966">
        <v>0</v>
      </c>
      <c r="AX49" s="966">
        <v>0</v>
      </c>
      <c r="AY49" s="966">
        <v>0</v>
      </c>
      <c r="AZ49" s="966">
        <v>0</v>
      </c>
      <c r="BA49" s="966">
        <v>0</v>
      </c>
      <c r="BB49" s="1723">
        <v>0</v>
      </c>
      <c r="BE49" s="1724">
        <v>0</v>
      </c>
      <c r="BF49" s="1725">
        <v>0</v>
      </c>
    </row>
    <row r="50" spans="1:58">
      <c r="A50" s="1726" t="s">
        <v>690</v>
      </c>
      <c r="B50" s="1009" t="s">
        <v>1348</v>
      </c>
      <c r="C50" s="946">
        <v>36177000</v>
      </c>
      <c r="D50" s="946">
        <v>28979864</v>
      </c>
      <c r="E50" s="946">
        <v>7197136</v>
      </c>
      <c r="F50" s="1012">
        <v>3030000</v>
      </c>
      <c r="G50" s="945">
        <v>9592500</v>
      </c>
      <c r="H50" s="946">
        <v>165000</v>
      </c>
      <c r="I50" s="946">
        <v>6744750</v>
      </c>
      <c r="J50" s="974">
        <v>7971914</v>
      </c>
      <c r="K50" s="1115">
        <v>165000</v>
      </c>
      <c r="L50" s="947">
        <v>2255250</v>
      </c>
      <c r="M50" s="947">
        <v>165000</v>
      </c>
      <c r="N50" s="947">
        <v>365000</v>
      </c>
      <c r="O50" s="947">
        <v>165000</v>
      </c>
      <c r="P50" s="947">
        <v>1732250</v>
      </c>
      <c r="Q50" s="947">
        <v>1732250</v>
      </c>
      <c r="R50" s="947">
        <v>165000</v>
      </c>
      <c r="S50" s="946">
        <v>165000</v>
      </c>
      <c r="T50" s="946">
        <v>165000</v>
      </c>
      <c r="U50" s="946">
        <v>1130000</v>
      </c>
      <c r="V50" s="946">
        <v>-232836</v>
      </c>
      <c r="W50" s="974">
        <v>11001914</v>
      </c>
      <c r="X50" s="974">
        <v>8030272</v>
      </c>
      <c r="Y50" s="948">
        <v>380211</v>
      </c>
      <c r="Z50" s="948">
        <v>248836</v>
      </c>
      <c r="AA50" s="948">
        <v>1892094</v>
      </c>
      <c r="AB50" s="948">
        <v>905108</v>
      </c>
      <c r="AC50" s="948">
        <v>462510</v>
      </c>
      <c r="AD50" s="948">
        <v>472405</v>
      </c>
      <c r="AE50" s="948">
        <v>942525</v>
      </c>
      <c r="AF50" s="948">
        <v>446620</v>
      </c>
      <c r="AG50" s="948">
        <v>383614</v>
      </c>
      <c r="AH50" s="948">
        <v>902655</v>
      </c>
      <c r="AI50" s="948">
        <v>441357</v>
      </c>
      <c r="AJ50" s="948">
        <v>552337</v>
      </c>
      <c r="AK50" s="974">
        <v>19032186</v>
      </c>
      <c r="AL50" s="975" t="s">
        <v>1318</v>
      </c>
      <c r="AM50" s="945">
        <v>8943393</v>
      </c>
      <c r="AN50" s="945">
        <v>6526819</v>
      </c>
      <c r="AO50" s="945">
        <v>1459635</v>
      </c>
      <c r="AP50" s="945">
        <v>0</v>
      </c>
      <c r="AQ50" s="945">
        <v>214967</v>
      </c>
      <c r="AR50" s="1727" t="s">
        <v>1318</v>
      </c>
      <c r="AS50" s="1727" t="s">
        <v>1246</v>
      </c>
      <c r="AT50" s="1728" t="s">
        <v>2235</v>
      </c>
      <c r="AV50" s="945">
        <v>25175086</v>
      </c>
      <c r="AW50" s="945">
        <v>17144814</v>
      </c>
      <c r="AX50" s="945">
        <v>8201421</v>
      </c>
      <c r="AY50" s="945">
        <v>1674602</v>
      </c>
      <c r="AZ50" s="945">
        <v>214967</v>
      </c>
      <c r="BA50" s="945">
        <v>214967</v>
      </c>
      <c r="BB50" s="1102">
        <v>0</v>
      </c>
      <c r="BE50" s="1729">
        <v>9592500</v>
      </c>
      <c r="BF50" s="1717">
        <v>-1562228</v>
      </c>
    </row>
    <row r="51" spans="1:58">
      <c r="A51" s="1726" t="s">
        <v>692</v>
      </c>
      <c r="B51" s="1009" t="s">
        <v>1349</v>
      </c>
      <c r="C51" s="946">
        <v>1910000</v>
      </c>
      <c r="D51" s="946">
        <v>1274592</v>
      </c>
      <c r="E51" s="946">
        <v>635408</v>
      </c>
      <c r="F51" s="1012">
        <v>1170000</v>
      </c>
      <c r="G51" s="945">
        <v>850000</v>
      </c>
      <c r="H51" s="946">
        <v>80000</v>
      </c>
      <c r="I51" s="946">
        <v>610000</v>
      </c>
      <c r="J51" s="974">
        <v>474854</v>
      </c>
      <c r="K51" s="1115">
        <v>160000</v>
      </c>
      <c r="L51" s="947">
        <v>0</v>
      </c>
      <c r="M51" s="947">
        <v>0</v>
      </c>
      <c r="N51" s="947">
        <v>80000</v>
      </c>
      <c r="O51" s="947">
        <v>80000</v>
      </c>
      <c r="P51" s="947">
        <v>80000</v>
      </c>
      <c r="Q51" s="947">
        <v>130000</v>
      </c>
      <c r="R51" s="947">
        <v>80000</v>
      </c>
      <c r="S51" s="946">
        <v>0</v>
      </c>
      <c r="T51" s="946">
        <v>80000</v>
      </c>
      <c r="U51" s="946">
        <v>0</v>
      </c>
      <c r="V51" s="946">
        <v>-215146</v>
      </c>
      <c r="W51" s="974">
        <v>1644854</v>
      </c>
      <c r="X51" s="974">
        <v>85244</v>
      </c>
      <c r="Y51" s="948">
        <v>2513</v>
      </c>
      <c r="Z51" s="948">
        <v>2513</v>
      </c>
      <c r="AA51" s="948">
        <v>2625</v>
      </c>
      <c r="AB51" s="948">
        <v>2625</v>
      </c>
      <c r="AC51" s="948">
        <v>25331</v>
      </c>
      <c r="AD51" s="948">
        <v>17611</v>
      </c>
      <c r="AE51" s="948">
        <v>2625</v>
      </c>
      <c r="AF51" s="948">
        <v>2884</v>
      </c>
      <c r="AG51" s="948">
        <v>2883</v>
      </c>
      <c r="AH51" s="948">
        <v>2883</v>
      </c>
      <c r="AI51" s="948">
        <v>2883</v>
      </c>
      <c r="AJ51" s="948">
        <v>17868</v>
      </c>
      <c r="AK51" s="974">
        <v>1730098</v>
      </c>
      <c r="AL51" s="975" t="s">
        <v>1318</v>
      </c>
      <c r="AM51" s="945">
        <v>15729</v>
      </c>
      <c r="AN51" s="945">
        <v>0</v>
      </c>
      <c r="AO51" s="945">
        <v>0</v>
      </c>
      <c r="AP51" s="945">
        <v>0</v>
      </c>
      <c r="AQ51" s="945">
        <v>164173</v>
      </c>
      <c r="AR51" s="1727" t="s">
        <v>1318</v>
      </c>
      <c r="AS51" s="1727" t="s">
        <v>1246</v>
      </c>
      <c r="AT51" s="1728" t="s">
        <v>2235</v>
      </c>
      <c r="AV51" s="945">
        <v>265146</v>
      </c>
      <c r="AW51" s="945">
        <v>179902</v>
      </c>
      <c r="AX51" s="945">
        <v>164173</v>
      </c>
      <c r="AY51" s="945">
        <v>164173</v>
      </c>
      <c r="AZ51" s="945">
        <v>164173</v>
      </c>
      <c r="BA51" s="945">
        <v>164173</v>
      </c>
      <c r="BB51" s="1102">
        <v>0</v>
      </c>
      <c r="BE51" s="1729">
        <v>850000</v>
      </c>
      <c r="BF51" s="1717">
        <v>-764756</v>
      </c>
    </row>
    <row r="52" spans="1:58">
      <c r="A52" s="1726" t="s">
        <v>1159</v>
      </c>
      <c r="B52" s="1009" t="s">
        <v>1350</v>
      </c>
      <c r="C52" s="946">
        <v>3969500</v>
      </c>
      <c r="D52" s="946">
        <v>2705044</v>
      </c>
      <c r="E52" s="946">
        <v>1264456</v>
      </c>
      <c r="F52" s="1012">
        <v>517000</v>
      </c>
      <c r="G52" s="945">
        <v>1957000</v>
      </c>
      <c r="H52" s="946">
        <v>197000</v>
      </c>
      <c r="I52" s="946">
        <v>1523000</v>
      </c>
      <c r="J52" s="974">
        <v>1676319</v>
      </c>
      <c r="K52" s="1115">
        <v>46000</v>
      </c>
      <c r="L52" s="947">
        <v>320000</v>
      </c>
      <c r="M52" s="947">
        <v>320000</v>
      </c>
      <c r="N52" s="947">
        <v>160000</v>
      </c>
      <c r="O52" s="947">
        <v>160000</v>
      </c>
      <c r="P52" s="947">
        <v>160000</v>
      </c>
      <c r="Q52" s="947">
        <v>160000</v>
      </c>
      <c r="R52" s="947">
        <v>197000</v>
      </c>
      <c r="S52" s="946">
        <v>160000</v>
      </c>
      <c r="T52" s="946">
        <v>160000</v>
      </c>
      <c r="U52" s="946">
        <v>160000</v>
      </c>
      <c r="V52" s="946">
        <v>-326681</v>
      </c>
      <c r="W52" s="974">
        <v>2193319</v>
      </c>
      <c r="X52" s="974">
        <v>1656338</v>
      </c>
      <c r="Y52" s="948">
        <v>161952</v>
      </c>
      <c r="Z52" s="948">
        <v>91546</v>
      </c>
      <c r="AA52" s="948">
        <v>199410</v>
      </c>
      <c r="AB52" s="948">
        <v>167569</v>
      </c>
      <c r="AC52" s="948">
        <v>189803</v>
      </c>
      <c r="AD52" s="948">
        <v>183893</v>
      </c>
      <c r="AE52" s="948">
        <v>177412</v>
      </c>
      <c r="AF52" s="948">
        <v>178606</v>
      </c>
      <c r="AG52" s="948">
        <v>90836</v>
      </c>
      <c r="AH52" s="948">
        <v>102419</v>
      </c>
      <c r="AI52" s="948">
        <v>97087</v>
      </c>
      <c r="AJ52" s="948">
        <v>15805</v>
      </c>
      <c r="AK52" s="974">
        <v>3849657</v>
      </c>
      <c r="AL52" s="975" t="s">
        <v>1318</v>
      </c>
      <c r="AM52" s="945">
        <v>32843</v>
      </c>
      <c r="AN52" s="945">
        <v>0</v>
      </c>
      <c r="AO52" s="945">
        <v>0</v>
      </c>
      <c r="AP52" s="945">
        <v>0</v>
      </c>
      <c r="AQ52" s="945">
        <v>87000</v>
      </c>
      <c r="AR52" s="1727" t="s">
        <v>1318</v>
      </c>
      <c r="AS52" s="1727" t="s">
        <v>1246</v>
      </c>
      <c r="AT52" s="1728" t="s">
        <v>2235</v>
      </c>
      <c r="AV52" s="945">
        <v>1776181</v>
      </c>
      <c r="AW52" s="945">
        <v>119843</v>
      </c>
      <c r="AX52" s="945">
        <v>87000</v>
      </c>
      <c r="AY52" s="945">
        <v>87000</v>
      </c>
      <c r="AZ52" s="945">
        <v>87000</v>
      </c>
      <c r="BA52" s="945">
        <v>87000</v>
      </c>
      <c r="BB52" s="1102">
        <v>0</v>
      </c>
      <c r="BE52" s="1729">
        <v>1957000</v>
      </c>
      <c r="BF52" s="1717">
        <v>-300662</v>
      </c>
    </row>
    <row r="53" spans="1:58">
      <c r="A53" s="1726" t="s">
        <v>1162</v>
      </c>
      <c r="B53" s="1009" t="s">
        <v>1351</v>
      </c>
      <c r="C53" s="946">
        <v>2655000</v>
      </c>
      <c r="D53" s="946">
        <v>1823753</v>
      </c>
      <c r="E53" s="946">
        <v>831247</v>
      </c>
      <c r="F53" s="1012">
        <v>155000</v>
      </c>
      <c r="G53" s="945">
        <v>0</v>
      </c>
      <c r="H53" s="946">
        <v>155000</v>
      </c>
      <c r="I53" s="946">
        <v>1240000</v>
      </c>
      <c r="J53" s="974">
        <v>1507788</v>
      </c>
      <c r="K53" s="1115">
        <v>0</v>
      </c>
      <c r="L53" s="947">
        <v>232500</v>
      </c>
      <c r="M53" s="947">
        <v>232500</v>
      </c>
      <c r="N53" s="947">
        <v>155000</v>
      </c>
      <c r="O53" s="947">
        <v>155000</v>
      </c>
      <c r="P53" s="947">
        <v>155000</v>
      </c>
      <c r="Q53" s="947">
        <v>155000</v>
      </c>
      <c r="R53" s="947">
        <v>155000</v>
      </c>
      <c r="S53" s="946">
        <v>155000</v>
      </c>
      <c r="T53" s="946">
        <v>155000</v>
      </c>
      <c r="U53" s="946">
        <v>155000</v>
      </c>
      <c r="V53" s="946">
        <v>-197212</v>
      </c>
      <c r="W53" s="974">
        <v>1662788</v>
      </c>
      <c r="X53" s="974">
        <v>971696</v>
      </c>
      <c r="Y53" s="948">
        <v>102361</v>
      </c>
      <c r="Z53" s="948">
        <v>78377</v>
      </c>
      <c r="AA53" s="948">
        <v>130879</v>
      </c>
      <c r="AB53" s="948">
        <v>105025</v>
      </c>
      <c r="AC53" s="948">
        <v>113849</v>
      </c>
      <c r="AD53" s="948">
        <v>121219</v>
      </c>
      <c r="AE53" s="948">
        <v>96159</v>
      </c>
      <c r="AF53" s="948">
        <v>47295</v>
      </c>
      <c r="AG53" s="948">
        <v>42995</v>
      </c>
      <c r="AH53" s="948">
        <v>54486</v>
      </c>
      <c r="AI53" s="948">
        <v>31529</v>
      </c>
      <c r="AJ53" s="948">
        <v>47522</v>
      </c>
      <c r="AK53" s="974">
        <v>2634484</v>
      </c>
      <c r="AL53" s="975" t="s">
        <v>1318</v>
      </c>
      <c r="AM53" s="945">
        <v>0</v>
      </c>
      <c r="AN53" s="945">
        <v>0</v>
      </c>
      <c r="AO53" s="945">
        <v>0</v>
      </c>
      <c r="AP53" s="945">
        <v>0</v>
      </c>
      <c r="AQ53" s="945">
        <v>20516</v>
      </c>
      <c r="AR53" s="1727" t="s">
        <v>1318</v>
      </c>
      <c r="AS53" s="1727" t="s">
        <v>1246</v>
      </c>
      <c r="AT53" s="1728" t="s">
        <v>2235</v>
      </c>
      <c r="AV53" s="945">
        <v>992212</v>
      </c>
      <c r="AW53" s="945">
        <v>20516</v>
      </c>
      <c r="AX53" s="945">
        <v>20516</v>
      </c>
      <c r="AY53" s="945">
        <v>20516</v>
      </c>
      <c r="AZ53" s="945">
        <v>20516</v>
      </c>
      <c r="BA53" s="945">
        <v>20516</v>
      </c>
      <c r="BB53" s="1102">
        <v>0</v>
      </c>
      <c r="BE53" s="1729">
        <v>0</v>
      </c>
      <c r="BF53" s="1717">
        <v>971696</v>
      </c>
    </row>
    <row r="54" spans="1:58" s="990" customFormat="1">
      <c r="A54" s="866" t="s">
        <v>1261</v>
      </c>
      <c r="B54" s="630" t="s">
        <v>1166</v>
      </c>
      <c r="C54" s="947">
        <v>2588000</v>
      </c>
      <c r="D54" s="947">
        <v>1778000</v>
      </c>
      <c r="E54" s="947">
        <v>810000</v>
      </c>
      <c r="F54" s="984">
        <v>0</v>
      </c>
      <c r="G54" s="986"/>
      <c r="H54" s="947">
        <v>160000</v>
      </c>
      <c r="I54" s="947">
        <v>534000</v>
      </c>
      <c r="J54" s="986">
        <v>1003993</v>
      </c>
      <c r="K54" s="947">
        <v>0</v>
      </c>
      <c r="L54" s="947">
        <v>0</v>
      </c>
      <c r="M54" s="947">
        <v>0</v>
      </c>
      <c r="N54" s="947">
        <v>0</v>
      </c>
      <c r="O54" s="947">
        <v>0</v>
      </c>
      <c r="P54" s="947">
        <v>0</v>
      </c>
      <c r="Q54" s="947">
        <v>374000</v>
      </c>
      <c r="R54" s="947">
        <v>160000</v>
      </c>
      <c r="S54" s="947">
        <v>80000</v>
      </c>
      <c r="T54" s="947">
        <v>160000</v>
      </c>
      <c r="U54" s="947">
        <v>160000</v>
      </c>
      <c r="V54" s="946">
        <v>69993</v>
      </c>
      <c r="W54" s="986">
        <v>1003993</v>
      </c>
      <c r="X54" s="986">
        <v>881211</v>
      </c>
      <c r="Y54" s="948">
        <v>161128</v>
      </c>
      <c r="Z54" s="948">
        <v>114220</v>
      </c>
      <c r="AA54" s="948">
        <v>198305</v>
      </c>
      <c r="AB54" s="948">
        <v>166722</v>
      </c>
      <c r="AC54" s="948">
        <v>188777</v>
      </c>
      <c r="AD54" s="948">
        <v>16086</v>
      </c>
      <c r="AE54" s="948">
        <v>1530</v>
      </c>
      <c r="AF54" s="948">
        <v>1679</v>
      </c>
      <c r="AG54" s="948">
        <v>1680</v>
      </c>
      <c r="AH54" s="948">
        <v>13169</v>
      </c>
      <c r="AI54" s="948">
        <v>1679</v>
      </c>
      <c r="AJ54" s="948">
        <v>16236</v>
      </c>
      <c r="AK54" s="986">
        <v>1885204</v>
      </c>
      <c r="AL54" s="987" t="s">
        <v>1323</v>
      </c>
      <c r="AM54" s="945">
        <v>0</v>
      </c>
      <c r="AN54" s="945">
        <v>0</v>
      </c>
      <c r="AO54" s="945">
        <v>0</v>
      </c>
      <c r="AP54" s="945">
        <v>0</v>
      </c>
      <c r="AQ54" s="945">
        <v>702796</v>
      </c>
      <c r="AR54" s="1731" t="s">
        <v>1323</v>
      </c>
      <c r="AS54" s="1731" t="s">
        <v>1246</v>
      </c>
      <c r="AT54" s="1732" t="s">
        <v>2237</v>
      </c>
      <c r="AV54" s="945">
        <v>1584007</v>
      </c>
      <c r="AW54" s="945">
        <v>702796</v>
      </c>
      <c r="AX54" s="945">
        <v>702796</v>
      </c>
      <c r="AY54" s="945">
        <v>702796</v>
      </c>
      <c r="AZ54" s="945">
        <v>702796</v>
      </c>
      <c r="BA54" s="945">
        <v>702796</v>
      </c>
      <c r="BB54" s="1102">
        <v>0</v>
      </c>
      <c r="BE54" s="1733"/>
      <c r="BF54" s="1734"/>
    </row>
    <row r="55" spans="1:58" s="990" customFormat="1" ht="16.2">
      <c r="A55" s="866" t="s">
        <v>1262</v>
      </c>
      <c r="B55" s="867" t="s">
        <v>1559</v>
      </c>
      <c r="C55" s="947">
        <v>4070040</v>
      </c>
      <c r="D55" s="947">
        <v>3406000</v>
      </c>
      <c r="E55" s="947">
        <v>664040</v>
      </c>
      <c r="F55" s="984">
        <v>0</v>
      </c>
      <c r="G55" s="986"/>
      <c r="H55" s="947">
        <v>0</v>
      </c>
      <c r="I55" s="947">
        <v>160000</v>
      </c>
      <c r="J55" s="986">
        <v>679445</v>
      </c>
      <c r="K55" s="947">
        <v>0</v>
      </c>
      <c r="L55" s="947">
        <v>0</v>
      </c>
      <c r="M55" s="947">
        <v>0</v>
      </c>
      <c r="N55" s="947">
        <v>0</v>
      </c>
      <c r="O55" s="947">
        <v>160000</v>
      </c>
      <c r="P55" s="947">
        <v>0</v>
      </c>
      <c r="Q55" s="947">
        <v>0</v>
      </c>
      <c r="R55" s="947">
        <v>0</v>
      </c>
      <c r="S55" s="947">
        <v>0</v>
      </c>
      <c r="T55" s="947">
        <v>214000</v>
      </c>
      <c r="U55" s="947">
        <v>160000</v>
      </c>
      <c r="V55" s="946">
        <v>145445</v>
      </c>
      <c r="W55" s="986">
        <v>679445</v>
      </c>
      <c r="X55" s="986">
        <v>2021454</v>
      </c>
      <c r="Y55" s="948">
        <v>132279</v>
      </c>
      <c r="Z55" s="948">
        <v>93770</v>
      </c>
      <c r="AA55" s="948">
        <v>243175</v>
      </c>
      <c r="AB55" s="948">
        <v>210727</v>
      </c>
      <c r="AC55" s="948">
        <v>228833</v>
      </c>
      <c r="AD55" s="948">
        <v>225363</v>
      </c>
      <c r="AE55" s="948">
        <v>144888</v>
      </c>
      <c r="AF55" s="948">
        <v>145900</v>
      </c>
      <c r="AG55" s="948">
        <v>133248</v>
      </c>
      <c r="AH55" s="948">
        <v>142680</v>
      </c>
      <c r="AI55" s="948">
        <v>144220</v>
      </c>
      <c r="AJ55" s="948">
        <v>176371</v>
      </c>
      <c r="AK55" s="986">
        <v>2700899</v>
      </c>
      <c r="AL55" s="987" t="s">
        <v>1323</v>
      </c>
      <c r="AM55" s="945">
        <v>332210</v>
      </c>
      <c r="AN55" s="945">
        <v>34442</v>
      </c>
      <c r="AO55" s="945">
        <v>0</v>
      </c>
      <c r="AP55" s="945">
        <v>0</v>
      </c>
      <c r="AQ55" s="945">
        <v>1002489</v>
      </c>
      <c r="AR55" s="1731" t="s">
        <v>1323</v>
      </c>
      <c r="AS55" s="1731" t="s">
        <v>1246</v>
      </c>
      <c r="AT55" s="1732" t="s">
        <v>2237</v>
      </c>
      <c r="AV55" s="945">
        <v>3390595</v>
      </c>
      <c r="AW55" s="945">
        <v>1369141</v>
      </c>
      <c r="AX55" s="945">
        <v>1036931</v>
      </c>
      <c r="AY55" s="945">
        <v>1002489</v>
      </c>
      <c r="AZ55" s="945">
        <v>1002489</v>
      </c>
      <c r="BA55" s="945">
        <v>1002489</v>
      </c>
      <c r="BB55" s="1102">
        <v>0</v>
      </c>
      <c r="BE55" s="1733"/>
      <c r="BF55" s="1734"/>
    </row>
    <row r="56" spans="1:58" s="990" customFormat="1">
      <c r="A56" s="866" t="s">
        <v>1263</v>
      </c>
      <c r="B56" s="867" t="s">
        <v>1172</v>
      </c>
      <c r="C56" s="947">
        <v>11482667</v>
      </c>
      <c r="D56" s="947">
        <v>8018707</v>
      </c>
      <c r="E56" s="947">
        <v>3463960</v>
      </c>
      <c r="F56" s="984">
        <v>0</v>
      </c>
      <c r="G56" s="986"/>
      <c r="H56" s="947">
        <v>0</v>
      </c>
      <c r="I56" s="947">
        <v>0</v>
      </c>
      <c r="J56" s="986">
        <v>910636</v>
      </c>
      <c r="K56" s="947">
        <v>0</v>
      </c>
      <c r="L56" s="947">
        <v>0</v>
      </c>
      <c r="M56" s="947">
        <v>0</v>
      </c>
      <c r="N56" s="947">
        <v>0</v>
      </c>
      <c r="O56" s="947">
        <v>0</v>
      </c>
      <c r="P56" s="947">
        <v>0</v>
      </c>
      <c r="Q56" s="947">
        <v>0</v>
      </c>
      <c r="R56" s="947">
        <v>0</v>
      </c>
      <c r="S56" s="947">
        <v>525000</v>
      </c>
      <c r="T56" s="947">
        <v>320000</v>
      </c>
      <c r="U56" s="947">
        <v>175000</v>
      </c>
      <c r="V56" s="946">
        <v>-109364</v>
      </c>
      <c r="W56" s="986">
        <v>910636</v>
      </c>
      <c r="X56" s="986">
        <v>2111370</v>
      </c>
      <c r="Y56" s="948">
        <v>159479</v>
      </c>
      <c r="Z56" s="948">
        <v>113330</v>
      </c>
      <c r="AA56" s="948">
        <v>196096</v>
      </c>
      <c r="AB56" s="948">
        <v>165025</v>
      </c>
      <c r="AC56" s="948">
        <v>186722</v>
      </c>
      <c r="AD56" s="948">
        <v>195274</v>
      </c>
      <c r="AE56" s="948">
        <v>174631</v>
      </c>
      <c r="AF56" s="948">
        <v>175942</v>
      </c>
      <c r="AG56" s="948">
        <v>160781</v>
      </c>
      <c r="AH56" s="948">
        <v>183384</v>
      </c>
      <c r="AI56" s="948">
        <v>173929</v>
      </c>
      <c r="AJ56" s="948">
        <v>226777</v>
      </c>
      <c r="AK56" s="986">
        <v>3022006</v>
      </c>
      <c r="AL56" s="987" t="s">
        <v>1323</v>
      </c>
      <c r="AM56" s="945">
        <v>2180293</v>
      </c>
      <c r="AN56" s="945">
        <v>2286813</v>
      </c>
      <c r="AO56" s="945">
        <v>329780</v>
      </c>
      <c r="AP56" s="945">
        <v>0</v>
      </c>
      <c r="AQ56" s="945">
        <v>3663775</v>
      </c>
      <c r="AR56" s="1731" t="s">
        <v>1323</v>
      </c>
      <c r="AS56" s="1731" t="s">
        <v>1246</v>
      </c>
      <c r="AT56" s="1732" t="s">
        <v>2237</v>
      </c>
      <c r="AV56" s="945">
        <v>10572031</v>
      </c>
      <c r="AW56" s="945">
        <v>8460661</v>
      </c>
      <c r="AX56" s="945">
        <v>6280368</v>
      </c>
      <c r="AY56" s="945">
        <v>3993555</v>
      </c>
      <c r="AZ56" s="945">
        <v>3663775</v>
      </c>
      <c r="BA56" s="945">
        <v>3663775</v>
      </c>
      <c r="BB56" s="1102">
        <v>0</v>
      </c>
      <c r="BE56" s="1733"/>
      <c r="BF56" s="1734"/>
    </row>
    <row r="57" spans="1:58" s="990" customFormat="1">
      <c r="A57" s="866" t="s">
        <v>1264</v>
      </c>
      <c r="B57" s="867" t="s">
        <v>1175</v>
      </c>
      <c r="C57" s="947">
        <v>1960000</v>
      </c>
      <c r="D57" s="947">
        <v>1402700</v>
      </c>
      <c r="E57" s="947">
        <v>557300</v>
      </c>
      <c r="F57" s="984">
        <v>0</v>
      </c>
      <c r="G57" s="986"/>
      <c r="H57" s="947">
        <v>0</v>
      </c>
      <c r="I57" s="947">
        <v>0</v>
      </c>
      <c r="J57" s="986">
        <v>386289</v>
      </c>
      <c r="K57" s="947">
        <v>0</v>
      </c>
      <c r="L57" s="947">
        <v>0</v>
      </c>
      <c r="M57" s="947">
        <v>0</v>
      </c>
      <c r="N57" s="947">
        <v>0</v>
      </c>
      <c r="O57" s="947">
        <v>0</v>
      </c>
      <c r="P57" s="947">
        <v>0</v>
      </c>
      <c r="Q57" s="947">
        <v>0</v>
      </c>
      <c r="R57" s="947">
        <v>0</v>
      </c>
      <c r="S57" s="947">
        <v>0</v>
      </c>
      <c r="T57" s="947">
        <v>200000</v>
      </c>
      <c r="U57" s="947">
        <v>85000</v>
      </c>
      <c r="V57" s="946">
        <v>101289</v>
      </c>
      <c r="W57" s="986">
        <v>386289</v>
      </c>
      <c r="X57" s="986">
        <v>543299</v>
      </c>
      <c r="Y57" s="948">
        <v>84494</v>
      </c>
      <c r="Z57" s="948">
        <v>44019</v>
      </c>
      <c r="AA57" s="948">
        <v>93983</v>
      </c>
      <c r="AB57" s="948">
        <v>86362</v>
      </c>
      <c r="AC57" s="948">
        <v>107534</v>
      </c>
      <c r="AD57" s="948">
        <v>101905</v>
      </c>
      <c r="AE57" s="948">
        <v>0</v>
      </c>
      <c r="AF57" s="948">
        <v>0</v>
      </c>
      <c r="AG57" s="948">
        <v>0</v>
      </c>
      <c r="AH57" s="948">
        <v>11029</v>
      </c>
      <c r="AI57" s="948">
        <v>0</v>
      </c>
      <c r="AJ57" s="948">
        <v>13973</v>
      </c>
      <c r="AK57" s="986">
        <v>929588</v>
      </c>
      <c r="AL57" s="987" t="s">
        <v>1323</v>
      </c>
      <c r="AM57" s="945">
        <v>172729</v>
      </c>
      <c r="AN57" s="945">
        <v>0</v>
      </c>
      <c r="AO57" s="945">
        <v>0</v>
      </c>
      <c r="AP57" s="945">
        <v>0</v>
      </c>
      <c r="AQ57" s="945">
        <v>857683</v>
      </c>
      <c r="AR57" s="1731" t="s">
        <v>1323</v>
      </c>
      <c r="AS57" s="1731" t="s">
        <v>1246</v>
      </c>
      <c r="AT57" s="1732" t="s">
        <v>2237</v>
      </c>
      <c r="AV57" s="945">
        <v>1573711</v>
      </c>
      <c r="AW57" s="945">
        <v>1030412</v>
      </c>
      <c r="AX57" s="945">
        <v>857683</v>
      </c>
      <c r="AY57" s="945">
        <v>857683</v>
      </c>
      <c r="AZ57" s="945">
        <v>857683</v>
      </c>
      <c r="BA57" s="945">
        <v>857683</v>
      </c>
      <c r="BB57" s="1102">
        <v>0</v>
      </c>
      <c r="BE57" s="1733"/>
      <c r="BF57" s="1734"/>
    </row>
    <row r="58" spans="1:58" s="663" customFormat="1">
      <c r="A58" s="1120" t="s">
        <v>705</v>
      </c>
      <c r="B58" s="751" t="s">
        <v>2249</v>
      </c>
      <c r="C58" s="948"/>
      <c r="D58" s="948"/>
      <c r="E58" s="948"/>
      <c r="F58" s="1735"/>
      <c r="G58" s="945">
        <v>0</v>
      </c>
      <c r="H58" s="948">
        <v>0</v>
      </c>
      <c r="I58" s="948">
        <v>0</v>
      </c>
      <c r="J58" s="945">
        <v>480000</v>
      </c>
      <c r="K58" s="948">
        <v>0</v>
      </c>
      <c r="L58" s="948">
        <v>0</v>
      </c>
      <c r="M58" s="948">
        <v>0</v>
      </c>
      <c r="N58" s="948">
        <v>0</v>
      </c>
      <c r="O58" s="948">
        <v>0</v>
      </c>
      <c r="P58" s="948">
        <v>0</v>
      </c>
      <c r="Q58" s="948">
        <v>0</v>
      </c>
      <c r="R58" s="948">
        <v>0</v>
      </c>
      <c r="S58" s="948">
        <v>480000</v>
      </c>
      <c r="T58" s="948">
        <v>0</v>
      </c>
      <c r="U58" s="948">
        <v>0</v>
      </c>
      <c r="V58" s="948">
        <v>0</v>
      </c>
      <c r="W58" s="945">
        <v>480000</v>
      </c>
      <c r="X58" s="945">
        <v>1265000</v>
      </c>
      <c r="Y58" s="948">
        <v>0</v>
      </c>
      <c r="Z58" s="948">
        <v>0</v>
      </c>
      <c r="AA58" s="948">
        <v>0</v>
      </c>
      <c r="AB58" s="948">
        <v>1265000</v>
      </c>
      <c r="AC58" s="948">
        <v>0</v>
      </c>
      <c r="AD58" s="948">
        <v>0</v>
      </c>
      <c r="AE58" s="948">
        <v>0</v>
      </c>
      <c r="AF58" s="948">
        <v>0</v>
      </c>
      <c r="AG58" s="948">
        <v>0</v>
      </c>
      <c r="AH58" s="948">
        <v>0</v>
      </c>
      <c r="AI58" s="948">
        <v>0</v>
      </c>
      <c r="AJ58" s="948">
        <v>0</v>
      </c>
      <c r="AK58" s="945">
        <v>1745000</v>
      </c>
      <c r="AL58" s="959" t="s">
        <v>1308</v>
      </c>
      <c r="AM58" s="945">
        <v>0</v>
      </c>
      <c r="AN58" s="945">
        <v>0</v>
      </c>
      <c r="AO58" s="945">
        <v>0</v>
      </c>
      <c r="AP58" s="945">
        <v>0</v>
      </c>
      <c r="AQ58" s="945">
        <v>0</v>
      </c>
      <c r="AR58" s="1714" t="s">
        <v>2238</v>
      </c>
      <c r="AS58" s="1714" t="s">
        <v>2238</v>
      </c>
      <c r="AT58" s="1714" t="s">
        <v>2239</v>
      </c>
      <c r="AV58" s="945" t="s">
        <v>866</v>
      </c>
      <c r="AW58" s="945" t="s">
        <v>866</v>
      </c>
      <c r="AX58" s="945" t="s">
        <v>866</v>
      </c>
      <c r="AY58" s="945" t="s">
        <v>866</v>
      </c>
      <c r="AZ58" s="945" t="s">
        <v>866</v>
      </c>
      <c r="BA58" s="945" t="s">
        <v>866</v>
      </c>
      <c r="BB58" s="1102" t="s">
        <v>866</v>
      </c>
      <c r="BE58" s="1718"/>
      <c r="BF58" s="1736">
        <v>1265000</v>
      </c>
    </row>
    <row r="59" spans="1:58" s="1745" customFormat="1">
      <c r="A59" s="1738" t="s">
        <v>707</v>
      </c>
      <c r="B59" s="1739" t="s">
        <v>2250</v>
      </c>
      <c r="C59" s="1740"/>
      <c r="D59" s="1740"/>
      <c r="E59" s="1740"/>
      <c r="F59" s="1741"/>
      <c r="G59" s="945">
        <v>160000</v>
      </c>
      <c r="H59" s="1740">
        <v>0</v>
      </c>
      <c r="I59" s="1740">
        <v>160000</v>
      </c>
      <c r="J59" s="1742">
        <v>1120000</v>
      </c>
      <c r="K59" s="1115">
        <v>0</v>
      </c>
      <c r="L59" s="947">
        <v>0</v>
      </c>
      <c r="M59" s="947">
        <v>0</v>
      </c>
      <c r="N59" s="947">
        <v>0</v>
      </c>
      <c r="O59" s="947">
        <v>160000</v>
      </c>
      <c r="P59" s="947">
        <v>0</v>
      </c>
      <c r="Q59" s="947">
        <v>0</v>
      </c>
      <c r="R59" s="947">
        <v>0</v>
      </c>
      <c r="S59" s="946">
        <v>0</v>
      </c>
      <c r="T59" s="946">
        <v>0</v>
      </c>
      <c r="U59" s="946">
        <v>0</v>
      </c>
      <c r="V59" s="946">
        <v>960000</v>
      </c>
      <c r="W59" s="1742">
        <v>1120000</v>
      </c>
      <c r="X59" s="1742">
        <v>175000</v>
      </c>
      <c r="Y59" s="948">
        <v>0</v>
      </c>
      <c r="Z59" s="948">
        <v>0</v>
      </c>
      <c r="AA59" s="948">
        <v>0</v>
      </c>
      <c r="AB59" s="948">
        <v>0</v>
      </c>
      <c r="AC59" s="948">
        <v>0</v>
      </c>
      <c r="AD59" s="948">
        <v>0</v>
      </c>
      <c r="AE59" s="948">
        <v>0</v>
      </c>
      <c r="AF59" s="948">
        <v>0</v>
      </c>
      <c r="AG59" s="948">
        <v>0</v>
      </c>
      <c r="AH59" s="948">
        <v>175000</v>
      </c>
      <c r="AI59" s="948">
        <v>0</v>
      </c>
      <c r="AJ59" s="948">
        <v>0</v>
      </c>
      <c r="AK59" s="1742">
        <v>1295000</v>
      </c>
      <c r="AL59" s="1743" t="s">
        <v>2103</v>
      </c>
      <c r="AM59" s="945">
        <v>0</v>
      </c>
      <c r="AN59" s="945">
        <v>0</v>
      </c>
      <c r="AO59" s="945">
        <v>0</v>
      </c>
      <c r="AP59" s="945">
        <v>0</v>
      </c>
      <c r="AQ59" s="945">
        <v>0</v>
      </c>
      <c r="AR59" s="1744" t="s">
        <v>2242</v>
      </c>
      <c r="AS59" s="1744" t="s">
        <v>2243</v>
      </c>
      <c r="AT59" s="1744" t="s">
        <v>2244</v>
      </c>
      <c r="AV59" s="945" t="s">
        <v>866</v>
      </c>
      <c r="AW59" s="945" t="s">
        <v>866</v>
      </c>
      <c r="AX59" s="945" t="s">
        <v>866</v>
      </c>
      <c r="AY59" s="945" t="s">
        <v>866</v>
      </c>
      <c r="AZ59" s="945" t="s">
        <v>866</v>
      </c>
      <c r="BA59" s="945" t="s">
        <v>866</v>
      </c>
      <c r="BB59" s="1102" t="s">
        <v>866</v>
      </c>
      <c r="BE59" s="1718">
        <v>160000</v>
      </c>
      <c r="BF59" s="1717">
        <v>15000</v>
      </c>
    </row>
    <row r="60" spans="1:58" s="990" customFormat="1">
      <c r="A60" s="630" t="s">
        <v>710</v>
      </c>
      <c r="B60" s="867" t="s">
        <v>1265</v>
      </c>
      <c r="C60" s="947">
        <v>0</v>
      </c>
      <c r="D60" s="947">
        <v>0</v>
      </c>
      <c r="E60" s="947">
        <v>0</v>
      </c>
      <c r="F60" s="984">
        <v>0</v>
      </c>
      <c r="G60" s="986">
        <v>5820000</v>
      </c>
      <c r="H60" s="947">
        <v>0</v>
      </c>
      <c r="I60" s="947">
        <v>0</v>
      </c>
      <c r="J60" s="986">
        <v>0</v>
      </c>
      <c r="K60" s="947">
        <v>0</v>
      </c>
      <c r="L60" s="947">
        <v>0</v>
      </c>
      <c r="M60" s="947">
        <v>0</v>
      </c>
      <c r="N60" s="947">
        <v>0</v>
      </c>
      <c r="O60" s="947">
        <v>0</v>
      </c>
      <c r="P60" s="947">
        <v>0</v>
      </c>
      <c r="Q60" s="947">
        <v>0</v>
      </c>
      <c r="R60" s="947">
        <v>0</v>
      </c>
      <c r="S60" s="947">
        <v>0</v>
      </c>
      <c r="T60" s="947">
        <v>0</v>
      </c>
      <c r="U60" s="947">
        <v>0</v>
      </c>
      <c r="V60" s="946">
        <v>0</v>
      </c>
      <c r="W60" s="986">
        <v>0</v>
      </c>
      <c r="X60" s="986">
        <v>0</v>
      </c>
      <c r="Y60" s="948">
        <v>0</v>
      </c>
      <c r="Z60" s="948">
        <v>0</v>
      </c>
      <c r="AA60" s="948">
        <v>0</v>
      </c>
      <c r="AB60" s="948">
        <v>0</v>
      </c>
      <c r="AC60" s="948">
        <v>0</v>
      </c>
      <c r="AD60" s="948">
        <v>0</v>
      </c>
      <c r="AE60" s="948">
        <v>0</v>
      </c>
      <c r="AF60" s="948">
        <v>0</v>
      </c>
      <c r="AG60" s="948">
        <v>0</v>
      </c>
      <c r="AH60" s="948">
        <v>0</v>
      </c>
      <c r="AI60" s="948">
        <v>0</v>
      </c>
      <c r="AJ60" s="948">
        <v>0</v>
      </c>
      <c r="AK60" s="986">
        <v>0</v>
      </c>
      <c r="AL60" s="987" t="s">
        <v>1323</v>
      </c>
      <c r="AM60" s="945">
        <v>0</v>
      </c>
      <c r="AN60" s="945">
        <v>0</v>
      </c>
      <c r="AO60" s="945">
        <v>0</v>
      </c>
      <c r="AP60" s="945">
        <v>0</v>
      </c>
      <c r="AQ60" s="945">
        <v>0</v>
      </c>
      <c r="AR60" s="1731" t="s">
        <v>1323</v>
      </c>
      <c r="AS60" s="1747" t="s">
        <v>1673</v>
      </c>
      <c r="AT60" s="1732" t="s">
        <v>2237</v>
      </c>
      <c r="AV60" s="945">
        <v>0</v>
      </c>
      <c r="AW60" s="945">
        <v>0</v>
      </c>
      <c r="AX60" s="945">
        <v>0</v>
      </c>
      <c r="AY60" s="945">
        <v>0</v>
      </c>
      <c r="AZ60" s="945">
        <v>0</v>
      </c>
      <c r="BA60" s="945">
        <v>0</v>
      </c>
      <c r="BB60" s="1102">
        <v>0</v>
      </c>
      <c r="BE60" s="1733">
        <v>3960000</v>
      </c>
      <c r="BF60" s="1734">
        <v>-3960000</v>
      </c>
    </row>
    <row r="61" spans="1:58" s="990" customFormat="1">
      <c r="A61" s="630" t="s">
        <v>712</v>
      </c>
      <c r="B61" s="867" t="s">
        <v>1265</v>
      </c>
      <c r="C61" s="947">
        <v>0</v>
      </c>
      <c r="D61" s="947">
        <v>0</v>
      </c>
      <c r="E61" s="947">
        <v>0</v>
      </c>
      <c r="F61" s="984">
        <v>0</v>
      </c>
      <c r="G61" s="986">
        <v>0</v>
      </c>
      <c r="H61" s="947">
        <v>0</v>
      </c>
      <c r="I61" s="947">
        <v>0</v>
      </c>
      <c r="J61" s="986">
        <v>0</v>
      </c>
      <c r="K61" s="947">
        <v>0</v>
      </c>
      <c r="L61" s="947">
        <v>0</v>
      </c>
      <c r="M61" s="947">
        <v>0</v>
      </c>
      <c r="N61" s="947">
        <v>0</v>
      </c>
      <c r="O61" s="947">
        <v>0</v>
      </c>
      <c r="P61" s="947">
        <v>0</v>
      </c>
      <c r="Q61" s="947">
        <v>0</v>
      </c>
      <c r="R61" s="947">
        <v>0</v>
      </c>
      <c r="S61" s="947">
        <v>0</v>
      </c>
      <c r="T61" s="947">
        <v>0</v>
      </c>
      <c r="U61" s="947">
        <v>0</v>
      </c>
      <c r="V61" s="946">
        <v>0</v>
      </c>
      <c r="W61" s="986">
        <v>0</v>
      </c>
      <c r="X61" s="986">
        <v>0</v>
      </c>
      <c r="Y61" s="948">
        <v>0</v>
      </c>
      <c r="Z61" s="948">
        <v>0</v>
      </c>
      <c r="AA61" s="948">
        <v>0</v>
      </c>
      <c r="AB61" s="948">
        <v>0</v>
      </c>
      <c r="AC61" s="948">
        <v>0</v>
      </c>
      <c r="AD61" s="948">
        <v>0</v>
      </c>
      <c r="AE61" s="948">
        <v>0</v>
      </c>
      <c r="AF61" s="948">
        <v>0</v>
      </c>
      <c r="AG61" s="948">
        <v>0</v>
      </c>
      <c r="AH61" s="948">
        <v>0</v>
      </c>
      <c r="AI61" s="948">
        <v>0</v>
      </c>
      <c r="AJ61" s="948">
        <v>0</v>
      </c>
      <c r="AK61" s="986">
        <v>0</v>
      </c>
      <c r="AL61" s="987" t="s">
        <v>1323</v>
      </c>
      <c r="AM61" s="945">
        <v>0</v>
      </c>
      <c r="AN61" s="945">
        <v>0</v>
      </c>
      <c r="AO61" s="945">
        <v>0</v>
      </c>
      <c r="AP61" s="945">
        <v>0</v>
      </c>
      <c r="AQ61" s="945">
        <v>0</v>
      </c>
      <c r="AR61" s="1731" t="s">
        <v>1323</v>
      </c>
      <c r="AS61" s="1747" t="s">
        <v>1673</v>
      </c>
      <c r="AT61" s="1732" t="s">
        <v>2237</v>
      </c>
      <c r="AV61" s="945">
        <v>0</v>
      </c>
      <c r="AW61" s="945">
        <v>0</v>
      </c>
      <c r="AX61" s="945">
        <v>0</v>
      </c>
      <c r="AY61" s="945">
        <v>0</v>
      </c>
      <c r="AZ61" s="945">
        <v>0</v>
      </c>
      <c r="BA61" s="945">
        <v>0</v>
      </c>
      <c r="BB61" s="1102">
        <v>0</v>
      </c>
      <c r="BE61" s="1733"/>
      <c r="BF61" s="1734">
        <v>0</v>
      </c>
    </row>
    <row r="62" spans="1:58" s="990" customFormat="1">
      <c r="A62" s="630" t="s">
        <v>713</v>
      </c>
      <c r="B62" s="867" t="s">
        <v>1266</v>
      </c>
      <c r="C62" s="947">
        <v>45715000</v>
      </c>
      <c r="D62" s="947">
        <v>33162551</v>
      </c>
      <c r="E62" s="947">
        <v>12552449</v>
      </c>
      <c r="F62" s="984">
        <v>0</v>
      </c>
      <c r="G62" s="986">
        <v>0</v>
      </c>
      <c r="H62" s="947">
        <v>0</v>
      </c>
      <c r="I62" s="947">
        <v>0</v>
      </c>
      <c r="J62" s="986">
        <v>0</v>
      </c>
      <c r="K62" s="947">
        <v>0</v>
      </c>
      <c r="L62" s="947">
        <v>0</v>
      </c>
      <c r="M62" s="947">
        <v>0</v>
      </c>
      <c r="N62" s="947">
        <v>0</v>
      </c>
      <c r="O62" s="947">
        <v>0</v>
      </c>
      <c r="P62" s="947">
        <v>0</v>
      </c>
      <c r="Q62" s="947">
        <v>0</v>
      </c>
      <c r="R62" s="947">
        <v>0</v>
      </c>
      <c r="S62" s="947">
        <v>0</v>
      </c>
      <c r="T62" s="947">
        <v>0</v>
      </c>
      <c r="U62" s="947">
        <v>0</v>
      </c>
      <c r="V62" s="947">
        <v>0</v>
      </c>
      <c r="W62" s="986">
        <v>0</v>
      </c>
      <c r="X62" s="986">
        <v>12561904</v>
      </c>
      <c r="Y62" s="947">
        <v>239191</v>
      </c>
      <c r="Z62" s="947">
        <v>133123</v>
      </c>
      <c r="AA62" s="947">
        <v>517086</v>
      </c>
      <c r="AB62" s="947">
        <v>787063</v>
      </c>
      <c r="AC62" s="947">
        <v>1216689</v>
      </c>
      <c r="AD62" s="947">
        <v>1177413</v>
      </c>
      <c r="AE62" s="947">
        <v>1330383</v>
      </c>
      <c r="AF62" s="947">
        <v>1339068</v>
      </c>
      <c r="AG62" s="947">
        <v>1374417</v>
      </c>
      <c r="AH62" s="947">
        <v>1222293</v>
      </c>
      <c r="AI62" s="947">
        <v>1488349</v>
      </c>
      <c r="AJ62" s="947">
        <v>1736829</v>
      </c>
      <c r="AK62" s="986">
        <v>12561904</v>
      </c>
      <c r="AL62" s="987" t="s">
        <v>1323</v>
      </c>
      <c r="AM62" s="986">
        <v>11187000</v>
      </c>
      <c r="AN62" s="986">
        <v>12709602</v>
      </c>
      <c r="AO62" s="986">
        <v>5771815</v>
      </c>
      <c r="AP62" s="986">
        <v>3484679</v>
      </c>
      <c r="AQ62" s="986">
        <v>0</v>
      </c>
      <c r="AR62" s="1731" t="s">
        <v>1323</v>
      </c>
      <c r="AS62" s="1747" t="s">
        <v>1676</v>
      </c>
      <c r="AT62" s="1732" t="s">
        <v>2237</v>
      </c>
      <c r="AV62" s="986">
        <v>0</v>
      </c>
      <c r="AW62" s="986">
        <v>33153096</v>
      </c>
      <c r="AX62" s="986">
        <v>21966096</v>
      </c>
      <c r="AY62" s="986">
        <v>9256494</v>
      </c>
      <c r="AZ62" s="986">
        <v>3484679</v>
      </c>
      <c r="BA62" s="986">
        <v>0</v>
      </c>
      <c r="BB62" s="1748">
        <v>0</v>
      </c>
      <c r="BE62" s="1733"/>
      <c r="BF62" s="1734">
        <v>12561904</v>
      </c>
    </row>
    <row r="63" spans="1:58" s="1757" customFormat="1">
      <c r="A63" s="1148" t="s">
        <v>715</v>
      </c>
      <c r="B63" s="1147" t="s">
        <v>1267</v>
      </c>
      <c r="C63" s="1750">
        <v>37129000</v>
      </c>
      <c r="D63" s="1750">
        <v>26962211</v>
      </c>
      <c r="E63" s="1750">
        <v>10166789</v>
      </c>
      <c r="F63" s="1751">
        <v>0</v>
      </c>
      <c r="G63" s="1752">
        <v>0</v>
      </c>
      <c r="H63" s="1750">
        <v>0</v>
      </c>
      <c r="I63" s="1750">
        <v>0</v>
      </c>
      <c r="J63" s="1752">
        <v>0</v>
      </c>
      <c r="K63" s="1750">
        <v>0</v>
      </c>
      <c r="L63" s="1750">
        <v>0</v>
      </c>
      <c r="M63" s="1750">
        <v>0</v>
      </c>
      <c r="N63" s="1750">
        <v>0</v>
      </c>
      <c r="O63" s="1750">
        <v>0</v>
      </c>
      <c r="P63" s="1750">
        <v>0</v>
      </c>
      <c r="Q63" s="1750">
        <v>0</v>
      </c>
      <c r="R63" s="1750">
        <v>0</v>
      </c>
      <c r="S63" s="1750">
        <v>0</v>
      </c>
      <c r="T63" s="1750">
        <v>0</v>
      </c>
      <c r="U63" s="1750">
        <v>0</v>
      </c>
      <c r="V63" s="946"/>
      <c r="W63" s="1752">
        <v>0</v>
      </c>
      <c r="X63" s="1752">
        <v>0</v>
      </c>
      <c r="Y63" s="948">
        <v>0</v>
      </c>
      <c r="Z63" s="948">
        <v>0</v>
      </c>
      <c r="AA63" s="948">
        <v>0</v>
      </c>
      <c r="AB63" s="948">
        <v>0</v>
      </c>
      <c r="AC63" s="948">
        <v>0</v>
      </c>
      <c r="AD63" s="948">
        <v>0</v>
      </c>
      <c r="AE63" s="948">
        <v>0</v>
      </c>
      <c r="AF63" s="948">
        <v>0</v>
      </c>
      <c r="AG63" s="948">
        <v>0</v>
      </c>
      <c r="AH63" s="948">
        <v>0</v>
      </c>
      <c r="AI63" s="948">
        <v>0</v>
      </c>
      <c r="AJ63" s="948">
        <v>0</v>
      </c>
      <c r="AK63" s="1752">
        <v>0</v>
      </c>
      <c r="AL63" s="1753" t="s">
        <v>2246</v>
      </c>
      <c r="AM63" s="945">
        <v>11585870</v>
      </c>
      <c r="AN63" s="945">
        <v>7773297</v>
      </c>
      <c r="AO63" s="945">
        <v>9623952</v>
      </c>
      <c r="AP63" s="945">
        <v>8049486</v>
      </c>
      <c r="AQ63" s="945">
        <v>96395</v>
      </c>
      <c r="AR63" s="1754" t="s">
        <v>2246</v>
      </c>
      <c r="AS63" s="1755" t="s">
        <v>1678</v>
      </c>
      <c r="AT63" s="1756" t="s">
        <v>2247</v>
      </c>
      <c r="AV63" s="945">
        <v>0</v>
      </c>
      <c r="AW63" s="945">
        <v>0</v>
      </c>
      <c r="AX63" s="945">
        <v>25543130</v>
      </c>
      <c r="AY63" s="945">
        <v>17769833</v>
      </c>
      <c r="AZ63" s="945">
        <v>8145881</v>
      </c>
      <c r="BA63" s="945">
        <v>96395</v>
      </c>
      <c r="BB63" s="1102">
        <v>0</v>
      </c>
      <c r="BE63" s="1758"/>
      <c r="BF63" s="1759">
        <v>0</v>
      </c>
    </row>
    <row r="64" spans="1:58" s="1757" customFormat="1">
      <c r="A64" s="1148" t="s">
        <v>717</v>
      </c>
      <c r="B64" s="1147" t="s">
        <v>1268</v>
      </c>
      <c r="C64" s="1750">
        <v>37036000</v>
      </c>
      <c r="D64" s="1750">
        <v>26836315</v>
      </c>
      <c r="E64" s="1750">
        <v>10199685</v>
      </c>
      <c r="F64" s="1751">
        <v>0</v>
      </c>
      <c r="G64" s="1752">
        <v>0</v>
      </c>
      <c r="H64" s="1750">
        <v>0</v>
      </c>
      <c r="I64" s="1750">
        <v>0</v>
      </c>
      <c r="J64" s="1752">
        <v>0</v>
      </c>
      <c r="K64" s="1750">
        <v>0</v>
      </c>
      <c r="L64" s="1750">
        <v>0</v>
      </c>
      <c r="M64" s="1750">
        <v>0</v>
      </c>
      <c r="N64" s="1750">
        <v>0</v>
      </c>
      <c r="O64" s="1750">
        <v>0</v>
      </c>
      <c r="P64" s="1750">
        <v>0</v>
      </c>
      <c r="Q64" s="1750">
        <v>0</v>
      </c>
      <c r="R64" s="1750">
        <v>0</v>
      </c>
      <c r="S64" s="1750">
        <v>0</v>
      </c>
      <c r="T64" s="1750">
        <v>0</v>
      </c>
      <c r="U64" s="1750">
        <v>0</v>
      </c>
      <c r="V64" s="946">
        <v>0</v>
      </c>
      <c r="W64" s="1752">
        <v>0</v>
      </c>
      <c r="X64" s="1752">
        <v>0</v>
      </c>
      <c r="Y64" s="948">
        <v>0</v>
      </c>
      <c r="Z64" s="948">
        <v>0</v>
      </c>
      <c r="AA64" s="948">
        <v>0</v>
      </c>
      <c r="AB64" s="948">
        <v>0</v>
      </c>
      <c r="AC64" s="948">
        <v>0</v>
      </c>
      <c r="AD64" s="948">
        <v>0</v>
      </c>
      <c r="AE64" s="948">
        <v>0</v>
      </c>
      <c r="AF64" s="948">
        <v>0</v>
      </c>
      <c r="AG64" s="948">
        <v>0</v>
      </c>
      <c r="AH64" s="948">
        <v>0</v>
      </c>
      <c r="AI64" s="948">
        <v>0</v>
      </c>
      <c r="AJ64" s="948">
        <v>0</v>
      </c>
      <c r="AK64" s="1752">
        <v>0</v>
      </c>
      <c r="AL64" s="1753" t="s">
        <v>2246</v>
      </c>
      <c r="AM64" s="945">
        <v>0</v>
      </c>
      <c r="AN64" s="945">
        <v>7673986</v>
      </c>
      <c r="AO64" s="945">
        <v>10058901</v>
      </c>
      <c r="AP64" s="945">
        <v>10017494</v>
      </c>
      <c r="AQ64" s="945">
        <v>9285619</v>
      </c>
      <c r="AR64" s="1754" t="s">
        <v>2246</v>
      </c>
      <c r="AS64" s="1755" t="s">
        <v>1680</v>
      </c>
      <c r="AT64" s="1756" t="s">
        <v>2247</v>
      </c>
      <c r="AV64" s="945">
        <v>0</v>
      </c>
      <c r="AW64" s="945">
        <v>0</v>
      </c>
      <c r="AX64" s="945">
        <v>0</v>
      </c>
      <c r="AY64" s="945">
        <v>29362014</v>
      </c>
      <c r="AZ64" s="945">
        <v>19303113</v>
      </c>
      <c r="BA64" s="945">
        <v>9285619</v>
      </c>
      <c r="BB64" s="1102">
        <v>0</v>
      </c>
      <c r="BE64" s="1758"/>
      <c r="BF64" s="1759">
        <v>0</v>
      </c>
    </row>
    <row r="65" spans="1:58" s="1757" customFormat="1">
      <c r="A65" s="1148" t="s">
        <v>719</v>
      </c>
      <c r="B65" s="1147" t="s">
        <v>1269</v>
      </c>
      <c r="C65" s="1750">
        <v>39667000</v>
      </c>
      <c r="D65" s="1750">
        <v>29105591</v>
      </c>
      <c r="E65" s="1750">
        <v>10561409</v>
      </c>
      <c r="F65" s="1751"/>
      <c r="G65" s="1752">
        <v>0</v>
      </c>
      <c r="H65" s="1750">
        <v>0</v>
      </c>
      <c r="I65" s="1750">
        <v>0</v>
      </c>
      <c r="J65" s="1752">
        <v>0</v>
      </c>
      <c r="K65" s="1750">
        <v>0</v>
      </c>
      <c r="L65" s="1750">
        <v>0</v>
      </c>
      <c r="M65" s="1750">
        <v>0</v>
      </c>
      <c r="N65" s="1750">
        <v>0</v>
      </c>
      <c r="O65" s="1750">
        <v>0</v>
      </c>
      <c r="P65" s="1750">
        <v>0</v>
      </c>
      <c r="Q65" s="1750">
        <v>0</v>
      </c>
      <c r="R65" s="1750">
        <v>0</v>
      </c>
      <c r="S65" s="1750">
        <v>0</v>
      </c>
      <c r="T65" s="1750">
        <v>0</v>
      </c>
      <c r="U65" s="1750">
        <v>0</v>
      </c>
      <c r="V65" s="946">
        <v>0</v>
      </c>
      <c r="W65" s="1752">
        <v>0</v>
      </c>
      <c r="X65" s="1752">
        <v>0</v>
      </c>
      <c r="Y65" s="948">
        <v>0</v>
      </c>
      <c r="Z65" s="948">
        <v>0</v>
      </c>
      <c r="AA65" s="948">
        <v>0</v>
      </c>
      <c r="AB65" s="948">
        <v>0</v>
      </c>
      <c r="AC65" s="948">
        <v>0</v>
      </c>
      <c r="AD65" s="948">
        <v>0</v>
      </c>
      <c r="AE65" s="948">
        <v>0</v>
      </c>
      <c r="AF65" s="948">
        <v>0</v>
      </c>
      <c r="AG65" s="948">
        <v>0</v>
      </c>
      <c r="AH65" s="948">
        <v>0</v>
      </c>
      <c r="AI65" s="948">
        <v>0</v>
      </c>
      <c r="AJ65" s="948">
        <v>0</v>
      </c>
      <c r="AK65" s="1752">
        <v>0</v>
      </c>
      <c r="AL65" s="1753" t="s">
        <v>2246</v>
      </c>
      <c r="AM65" s="945">
        <v>0</v>
      </c>
      <c r="AN65" s="945">
        <v>0</v>
      </c>
      <c r="AO65" s="945">
        <v>11650269</v>
      </c>
      <c r="AP65" s="945">
        <v>10301468</v>
      </c>
      <c r="AQ65" s="945">
        <v>17715263</v>
      </c>
      <c r="AR65" s="1754" t="s">
        <v>2246</v>
      </c>
      <c r="AS65" s="1755" t="s">
        <v>1682</v>
      </c>
      <c r="AT65" s="1756" t="s">
        <v>2247</v>
      </c>
      <c r="AV65" s="945">
        <v>0</v>
      </c>
      <c r="AW65" s="945">
        <v>0</v>
      </c>
      <c r="AX65" s="945">
        <v>0</v>
      </c>
      <c r="AY65" s="945">
        <v>0</v>
      </c>
      <c r="AZ65" s="945">
        <v>28016731</v>
      </c>
      <c r="BA65" s="945">
        <v>17715263</v>
      </c>
      <c r="BB65" s="1102">
        <v>0</v>
      </c>
      <c r="BE65" s="1758"/>
      <c r="BF65" s="1759">
        <v>0</v>
      </c>
    </row>
    <row r="66" spans="1:58" s="1757" customFormat="1">
      <c r="A66" s="1148" t="s">
        <v>721</v>
      </c>
      <c r="B66" s="1147" t="s">
        <v>1270</v>
      </c>
      <c r="C66" s="1750">
        <v>42374000</v>
      </c>
      <c r="D66" s="1750">
        <v>30695265</v>
      </c>
      <c r="E66" s="1750">
        <v>11678735</v>
      </c>
      <c r="F66" s="1751"/>
      <c r="G66" s="1752">
        <v>0</v>
      </c>
      <c r="H66" s="1750">
        <v>0</v>
      </c>
      <c r="I66" s="1750">
        <v>0</v>
      </c>
      <c r="J66" s="1752">
        <v>0</v>
      </c>
      <c r="K66" s="1750">
        <v>0</v>
      </c>
      <c r="L66" s="1750">
        <v>0</v>
      </c>
      <c r="M66" s="1750">
        <v>0</v>
      </c>
      <c r="N66" s="1750">
        <v>0</v>
      </c>
      <c r="O66" s="1750">
        <v>0</v>
      </c>
      <c r="P66" s="1750">
        <v>0</v>
      </c>
      <c r="Q66" s="1750">
        <v>0</v>
      </c>
      <c r="R66" s="1750">
        <v>0</v>
      </c>
      <c r="S66" s="1750">
        <v>0</v>
      </c>
      <c r="T66" s="1750">
        <v>0</v>
      </c>
      <c r="U66" s="1750">
        <v>0</v>
      </c>
      <c r="V66" s="946">
        <v>0</v>
      </c>
      <c r="W66" s="1752">
        <v>0</v>
      </c>
      <c r="X66" s="1752">
        <v>0</v>
      </c>
      <c r="Y66" s="948">
        <v>0</v>
      </c>
      <c r="Z66" s="948">
        <v>0</v>
      </c>
      <c r="AA66" s="948">
        <v>0</v>
      </c>
      <c r="AB66" s="948">
        <v>0</v>
      </c>
      <c r="AC66" s="948">
        <v>0</v>
      </c>
      <c r="AD66" s="948">
        <v>0</v>
      </c>
      <c r="AE66" s="948">
        <v>0</v>
      </c>
      <c r="AF66" s="948">
        <v>0</v>
      </c>
      <c r="AG66" s="948">
        <v>0</v>
      </c>
      <c r="AH66" s="948">
        <v>0</v>
      </c>
      <c r="AI66" s="948">
        <v>0</v>
      </c>
      <c r="AJ66" s="948">
        <v>0</v>
      </c>
      <c r="AK66" s="1752">
        <v>0</v>
      </c>
      <c r="AL66" s="1753" t="s">
        <v>2246</v>
      </c>
      <c r="AM66" s="945">
        <v>0</v>
      </c>
      <c r="AN66" s="945">
        <v>0</v>
      </c>
      <c r="AO66" s="945">
        <v>0</v>
      </c>
      <c r="AP66" s="945">
        <v>8373052</v>
      </c>
      <c r="AQ66" s="945">
        <v>34000948</v>
      </c>
      <c r="AR66" s="1754" t="s">
        <v>2246</v>
      </c>
      <c r="AS66" s="1755" t="s">
        <v>1684</v>
      </c>
      <c r="AT66" s="1756" t="s">
        <v>2247</v>
      </c>
      <c r="AV66" s="945">
        <v>0</v>
      </c>
      <c r="AW66" s="945">
        <v>0</v>
      </c>
      <c r="AX66" s="945">
        <v>0</v>
      </c>
      <c r="AY66" s="945">
        <v>0</v>
      </c>
      <c r="AZ66" s="945">
        <v>0</v>
      </c>
      <c r="BA66" s="945">
        <v>34000948</v>
      </c>
      <c r="BB66" s="1102">
        <v>0</v>
      </c>
      <c r="BE66" s="1769"/>
      <c r="BF66" s="1759">
        <v>0</v>
      </c>
    </row>
    <row r="67" spans="1:58">
      <c r="A67" s="1770"/>
      <c r="B67" s="751"/>
      <c r="C67" s="948"/>
      <c r="D67" s="948"/>
      <c r="E67" s="948"/>
      <c r="F67" s="943"/>
      <c r="G67" s="945"/>
      <c r="H67" s="948"/>
      <c r="I67" s="948"/>
      <c r="J67" s="945"/>
      <c r="K67" s="1115"/>
      <c r="L67" s="946"/>
      <c r="M67" s="946"/>
      <c r="N67" s="946"/>
      <c r="O67" s="946"/>
      <c r="P67" s="946"/>
      <c r="Q67" s="946"/>
      <c r="R67" s="946"/>
      <c r="S67" s="946"/>
      <c r="T67" s="946"/>
      <c r="U67" s="946"/>
      <c r="V67" s="946"/>
      <c r="W67" s="945"/>
      <c r="X67" s="945"/>
      <c r="Y67" s="948"/>
      <c r="Z67" s="948"/>
      <c r="AA67" s="948"/>
      <c r="AB67" s="948"/>
      <c r="AC67" s="948"/>
      <c r="AD67" s="948"/>
      <c r="AE67" s="948"/>
      <c r="AF67" s="948"/>
      <c r="AG67" s="948"/>
      <c r="AH67" s="948"/>
      <c r="AI67" s="948"/>
      <c r="AJ67" s="948"/>
      <c r="AK67" s="945"/>
      <c r="AL67" s="959"/>
      <c r="AM67" s="950"/>
      <c r="AN67" s="950"/>
      <c r="AO67" s="950"/>
      <c r="AP67" s="950"/>
      <c r="AQ67" s="950"/>
      <c r="AR67" s="991"/>
      <c r="AS67" s="991"/>
      <c r="AT67" s="991"/>
      <c r="AV67" s="945"/>
      <c r="AW67" s="1771"/>
      <c r="AX67" s="1771"/>
      <c r="AY67" s="1771"/>
      <c r="AZ67" s="1771"/>
      <c r="BA67" s="945"/>
      <c r="BB67" s="945"/>
      <c r="BE67" s="1772"/>
      <c r="BF67" s="1717">
        <v>0</v>
      </c>
    </row>
    <row r="68" spans="1:58">
      <c r="A68" s="1770"/>
      <c r="B68" s="751"/>
      <c r="C68" s="948"/>
      <c r="D68" s="948"/>
      <c r="E68" s="948"/>
      <c r="F68" s="943"/>
      <c r="G68" s="945"/>
      <c r="H68" s="948"/>
      <c r="I68" s="948"/>
      <c r="J68" s="945"/>
      <c r="K68" s="1115"/>
      <c r="L68" s="948"/>
      <c r="M68" s="948"/>
      <c r="N68" s="948"/>
      <c r="O68" s="948"/>
      <c r="P68" s="948"/>
      <c r="Q68" s="948"/>
      <c r="R68" s="948"/>
      <c r="S68" s="948"/>
      <c r="T68" s="948"/>
      <c r="U68" s="948"/>
      <c r="V68" s="946"/>
      <c r="W68" s="945"/>
      <c r="X68" s="945"/>
      <c r="Y68" s="948"/>
      <c r="Z68" s="948"/>
      <c r="AA68" s="948"/>
      <c r="AB68" s="948"/>
      <c r="AC68" s="948"/>
      <c r="AD68" s="948"/>
      <c r="AE68" s="948"/>
      <c r="AF68" s="948"/>
      <c r="AG68" s="948"/>
      <c r="AH68" s="948"/>
      <c r="AI68" s="948"/>
      <c r="AJ68" s="948"/>
      <c r="AK68" s="945"/>
      <c r="AL68" s="959"/>
      <c r="AM68" s="950"/>
      <c r="AN68" s="950"/>
      <c r="AO68" s="950"/>
      <c r="AP68" s="950"/>
      <c r="AQ68" s="950"/>
      <c r="AR68" s="991"/>
      <c r="AS68" s="991"/>
      <c r="AT68" s="991"/>
      <c r="AV68" s="945"/>
      <c r="AW68" s="945"/>
      <c r="AX68" s="945"/>
      <c r="AY68" s="945"/>
      <c r="AZ68" s="945"/>
      <c r="BA68" s="945"/>
      <c r="BB68" s="945"/>
      <c r="BE68" s="1772"/>
      <c r="BF68" s="1717">
        <v>0</v>
      </c>
    </row>
    <row r="69" spans="1:58">
      <c r="A69" s="1770"/>
      <c r="B69" s="751"/>
      <c r="C69" s="948"/>
      <c r="D69" s="948"/>
      <c r="E69" s="948"/>
      <c r="F69" s="943"/>
      <c r="G69" s="945"/>
      <c r="H69" s="948"/>
      <c r="I69" s="948"/>
      <c r="J69" s="945"/>
      <c r="K69" s="948"/>
      <c r="L69" s="948"/>
      <c r="M69" s="948"/>
      <c r="N69" s="948"/>
      <c r="O69" s="948"/>
      <c r="P69" s="948"/>
      <c r="Q69" s="948"/>
      <c r="R69" s="948"/>
      <c r="S69" s="948"/>
      <c r="T69" s="948"/>
      <c r="U69" s="948"/>
      <c r="V69" s="946"/>
      <c r="W69" s="945"/>
      <c r="X69" s="945"/>
      <c r="Y69" s="948"/>
      <c r="Z69" s="948"/>
      <c r="AA69" s="948"/>
      <c r="AB69" s="948"/>
      <c r="AC69" s="948"/>
      <c r="AD69" s="948"/>
      <c r="AE69" s="948"/>
      <c r="AF69" s="948"/>
      <c r="AG69" s="948"/>
      <c r="AH69" s="948"/>
      <c r="AI69" s="948"/>
      <c r="AJ69" s="948"/>
      <c r="AK69" s="945"/>
      <c r="AL69" s="959"/>
      <c r="AM69" s="950"/>
      <c r="AN69" s="950"/>
      <c r="AO69" s="950"/>
      <c r="AP69" s="950"/>
      <c r="AQ69" s="950"/>
      <c r="AR69" s="991"/>
      <c r="AS69" s="991"/>
      <c r="AT69" s="991"/>
      <c r="AV69" s="945"/>
      <c r="AW69" s="945"/>
      <c r="AX69" s="945"/>
      <c r="AY69" s="945"/>
      <c r="AZ69" s="945"/>
      <c r="BA69" s="945"/>
      <c r="BB69" s="945"/>
      <c r="BE69" s="1773"/>
      <c r="BF69" s="1717">
        <v>0</v>
      </c>
    </row>
    <row r="70" spans="1:58">
      <c r="A70" s="1764"/>
      <c r="B70" s="1108" t="s">
        <v>1271</v>
      </c>
      <c r="C70" s="1110">
        <v>209946827</v>
      </c>
      <c r="D70" s="1110">
        <v>145924036</v>
      </c>
      <c r="E70" s="1110">
        <v>64022791</v>
      </c>
      <c r="F70" s="1110">
        <v>78098120</v>
      </c>
      <c r="G70" s="1110">
        <v>37180500</v>
      </c>
      <c r="H70" s="1110">
        <v>2232000</v>
      </c>
      <c r="I70" s="1110">
        <v>23631750</v>
      </c>
      <c r="J70" s="1110">
        <v>29288525</v>
      </c>
      <c r="K70" s="1110">
        <v>2796000</v>
      </c>
      <c r="L70" s="1110">
        <v>4280250</v>
      </c>
      <c r="M70" s="1110">
        <v>2100000</v>
      </c>
      <c r="N70" s="1110">
        <v>2277500</v>
      </c>
      <c r="O70" s="1110">
        <v>2510000</v>
      </c>
      <c r="P70" s="1110">
        <v>3574750</v>
      </c>
      <c r="Q70" s="1110">
        <v>3861250</v>
      </c>
      <c r="R70" s="1110">
        <v>2232000</v>
      </c>
      <c r="S70" s="1110">
        <v>3145000</v>
      </c>
      <c r="T70" s="1110">
        <v>2399000</v>
      </c>
      <c r="U70" s="1110">
        <v>3515000</v>
      </c>
      <c r="V70" s="1110">
        <v>-3402225</v>
      </c>
      <c r="W70" s="1110">
        <v>107386645</v>
      </c>
      <c r="X70" s="1110">
        <v>37169608</v>
      </c>
      <c r="Y70" s="1110">
        <v>2526397</v>
      </c>
      <c r="Z70" s="1110">
        <v>1488348</v>
      </c>
      <c r="AA70" s="1110">
        <v>4518741</v>
      </c>
      <c r="AB70" s="1110">
        <v>4342812</v>
      </c>
      <c r="AC70" s="1110">
        <v>3272730</v>
      </c>
      <c r="AD70" s="1110">
        <v>2949687</v>
      </c>
      <c r="AE70" s="1110">
        <v>3239204</v>
      </c>
      <c r="AF70" s="1110">
        <v>2706707</v>
      </c>
      <c r="AG70" s="1110">
        <v>2527923</v>
      </c>
      <c r="AH70" s="1110">
        <v>3378918</v>
      </c>
      <c r="AI70" s="1110">
        <v>2864019</v>
      </c>
      <c r="AJ70" s="1110">
        <v>3354122</v>
      </c>
      <c r="AK70" s="1110">
        <v>144556253</v>
      </c>
      <c r="AL70" s="1114"/>
      <c r="AM70" s="1109">
        <v>36432334</v>
      </c>
      <c r="AN70" s="1109">
        <v>37970330</v>
      </c>
      <c r="AO70" s="1109">
        <v>38894352</v>
      </c>
      <c r="AP70" s="1109">
        <v>40226179</v>
      </c>
      <c r="AQ70" s="1109">
        <v>71113379</v>
      </c>
      <c r="AR70" s="1109"/>
      <c r="AS70" s="1109"/>
      <c r="AT70" s="1109"/>
      <c r="AV70" s="1109">
        <v>58445182</v>
      </c>
      <c r="AW70" s="1109">
        <v>68430574</v>
      </c>
      <c r="AX70" s="1109">
        <v>69127240</v>
      </c>
      <c r="AY70" s="1109">
        <v>68192910</v>
      </c>
      <c r="AZ70" s="1109">
        <v>68965558</v>
      </c>
      <c r="BA70" s="1109">
        <v>71113379</v>
      </c>
      <c r="BB70" s="1109">
        <v>0</v>
      </c>
      <c r="BD70" s="889" t="s">
        <v>1685</v>
      </c>
      <c r="BE70" s="1767">
        <v>35320500</v>
      </c>
      <c r="BF70" s="1767">
        <v>-3708226</v>
      </c>
    </row>
    <row r="71" spans="1:58">
      <c r="A71" s="1120" t="s">
        <v>1686</v>
      </c>
      <c r="B71" s="751" t="s">
        <v>2251</v>
      </c>
      <c r="C71" s="948"/>
      <c r="D71" s="948"/>
      <c r="E71" s="948"/>
      <c r="F71" s="948"/>
      <c r="G71" s="948"/>
      <c r="H71" s="948"/>
      <c r="I71" s="948"/>
      <c r="J71" s="948"/>
      <c r="K71" s="948"/>
      <c r="L71" s="948"/>
      <c r="M71" s="948"/>
      <c r="N71" s="948"/>
      <c r="O71" s="948"/>
      <c r="P71" s="948"/>
      <c r="Q71" s="948"/>
      <c r="R71" s="948"/>
      <c r="S71" s="948"/>
      <c r="T71" s="948"/>
      <c r="U71" s="948"/>
      <c r="V71" s="948"/>
      <c r="W71" s="948"/>
      <c r="X71" s="948"/>
      <c r="Y71" s="948"/>
      <c r="Z71" s="948"/>
      <c r="AA71" s="948"/>
      <c r="AB71" s="948"/>
      <c r="AC71" s="948"/>
      <c r="AD71" s="948"/>
      <c r="AE71" s="948"/>
      <c r="AF71" s="948"/>
      <c r="AG71" s="948"/>
      <c r="AH71" s="948"/>
      <c r="AI71" s="948"/>
      <c r="AJ71" s="948"/>
      <c r="AK71" s="948"/>
      <c r="AL71" s="959"/>
      <c r="AM71" s="991"/>
      <c r="AN71" s="991"/>
      <c r="AO71" s="991"/>
      <c r="AP71" s="991"/>
      <c r="AQ71" s="991"/>
      <c r="AR71" s="1774" t="s">
        <v>1308</v>
      </c>
      <c r="AS71" s="1775" t="s">
        <v>1687</v>
      </c>
      <c r="AT71" s="1109"/>
      <c r="AV71" s="991"/>
      <c r="AW71" s="991"/>
      <c r="AX71" s="991"/>
      <c r="AY71" s="991"/>
      <c r="AZ71" s="991"/>
      <c r="BA71" s="991"/>
      <c r="BB71" s="991"/>
    </row>
    <row r="72" spans="1:58">
      <c r="A72" s="1776"/>
      <c r="B72" s="1776" t="s">
        <v>1357</v>
      </c>
      <c r="C72" s="1777">
        <v>538908420</v>
      </c>
      <c r="D72" s="1777">
        <v>375980158</v>
      </c>
      <c r="E72" s="1777">
        <v>162928262</v>
      </c>
      <c r="F72" s="1777">
        <v>135929281</v>
      </c>
      <c r="G72" s="1777">
        <v>67920500</v>
      </c>
      <c r="H72" s="1777">
        <v>3973000</v>
      </c>
      <c r="I72" s="1777">
        <v>32663750</v>
      </c>
      <c r="J72" s="1777">
        <v>38952198</v>
      </c>
      <c r="K72" s="1777">
        <v>3221000</v>
      </c>
      <c r="L72" s="1777">
        <v>4997750</v>
      </c>
      <c r="M72" s="1777">
        <v>3765000</v>
      </c>
      <c r="N72" s="1777">
        <v>3850500</v>
      </c>
      <c r="O72" s="1777">
        <v>3905000</v>
      </c>
      <c r="P72" s="1777">
        <v>4222250</v>
      </c>
      <c r="Q72" s="1777">
        <v>4729250</v>
      </c>
      <c r="R72" s="1777">
        <v>3973000</v>
      </c>
      <c r="S72" s="1777">
        <v>5480000</v>
      </c>
      <c r="T72" s="1777">
        <v>3782000</v>
      </c>
      <c r="U72" s="1777">
        <v>6480000</v>
      </c>
      <c r="V72" s="1777">
        <v>-9453552</v>
      </c>
      <c r="W72" s="1777">
        <v>174881479</v>
      </c>
      <c r="X72" s="1777">
        <v>78123774</v>
      </c>
      <c r="Y72" s="1777">
        <v>6548621</v>
      </c>
      <c r="Z72" s="1777">
        <v>4030977</v>
      </c>
      <c r="AA72" s="1777">
        <v>7915922</v>
      </c>
      <c r="AB72" s="1777">
        <v>6872527</v>
      </c>
      <c r="AC72" s="1777">
        <v>5826483</v>
      </c>
      <c r="AD72" s="1777">
        <v>5940068</v>
      </c>
      <c r="AE72" s="1777">
        <v>5771855</v>
      </c>
      <c r="AF72" s="1777">
        <v>4476597</v>
      </c>
      <c r="AG72" s="1777">
        <v>4212536</v>
      </c>
      <c r="AH72" s="1777">
        <v>7499703</v>
      </c>
      <c r="AI72" s="1777">
        <v>5477499</v>
      </c>
      <c r="AJ72" s="1777">
        <v>13550986</v>
      </c>
      <c r="AK72" s="1777">
        <v>253005253</v>
      </c>
      <c r="AL72" s="1778"/>
      <c r="AM72" s="1779">
        <v>74093856</v>
      </c>
      <c r="AN72" s="1779">
        <v>81264186</v>
      </c>
      <c r="AO72" s="1779">
        <v>80478460</v>
      </c>
      <c r="AP72" s="1779">
        <v>88626486</v>
      </c>
      <c r="AQ72" s="1779">
        <v>438226679</v>
      </c>
      <c r="AR72" s="1779"/>
      <c r="AS72" s="1780" t="s">
        <v>1272</v>
      </c>
      <c r="AT72" s="1779"/>
      <c r="AV72" s="1779">
        <v>212899441</v>
      </c>
      <c r="AW72" s="1779">
        <v>292484667</v>
      </c>
      <c r="AX72" s="1779">
        <v>333489811</v>
      </c>
      <c r="AY72" s="1779">
        <v>368193125</v>
      </c>
      <c r="AZ72" s="1779">
        <v>406479165</v>
      </c>
      <c r="BA72" s="1779">
        <v>438226679</v>
      </c>
      <c r="BB72" s="1779">
        <v>0</v>
      </c>
      <c r="BD72" s="889" t="s">
        <v>1685</v>
      </c>
      <c r="BE72" s="1779">
        <v>64520500</v>
      </c>
      <c r="BF72" s="1779">
        <v>4271508</v>
      </c>
    </row>
    <row r="73" spans="1:58">
      <c r="C73" s="956"/>
      <c r="D73" s="956"/>
      <c r="E73" s="956"/>
      <c r="F73" s="956"/>
      <c r="G73" s="956">
        <v>0</v>
      </c>
      <c r="H73" s="956"/>
      <c r="I73" s="956"/>
      <c r="J73" s="692">
        <v>0</v>
      </c>
      <c r="K73" s="956">
        <v>0</v>
      </c>
      <c r="L73" s="956">
        <v>0</v>
      </c>
      <c r="M73" s="956">
        <v>0</v>
      </c>
      <c r="N73" s="956">
        <v>0</v>
      </c>
      <c r="O73" s="956">
        <v>0</v>
      </c>
      <c r="P73" s="956">
        <v>0</v>
      </c>
      <c r="Q73" s="956">
        <v>0</v>
      </c>
      <c r="R73" s="872">
        <v>0</v>
      </c>
      <c r="S73" s="956">
        <v>0</v>
      </c>
      <c r="T73" s="956">
        <v>0</v>
      </c>
      <c r="U73" s="956">
        <v>0</v>
      </c>
      <c r="V73" s="956">
        <v>0</v>
      </c>
      <c r="W73" s="956">
        <v>0</v>
      </c>
      <c r="X73" s="956">
        <v>0</v>
      </c>
      <c r="Y73" s="956">
        <v>0</v>
      </c>
      <c r="Z73" s="956">
        <v>0</v>
      </c>
      <c r="AA73" s="956">
        <v>0</v>
      </c>
      <c r="AB73" s="956">
        <v>0</v>
      </c>
      <c r="AC73" s="956">
        <v>0</v>
      </c>
      <c r="AD73" s="956">
        <v>0</v>
      </c>
      <c r="AE73" s="956">
        <v>0</v>
      </c>
      <c r="AF73" s="956">
        <v>0</v>
      </c>
      <c r="AG73" s="956">
        <v>0</v>
      </c>
      <c r="AH73" s="956">
        <v>0</v>
      </c>
      <c r="AI73" s="956">
        <v>0</v>
      </c>
      <c r="AJ73" s="956">
        <v>0</v>
      </c>
      <c r="AK73" s="956">
        <v>0</v>
      </c>
      <c r="AL73" s="956"/>
      <c r="AM73" s="956">
        <v>0</v>
      </c>
      <c r="AN73" s="956">
        <v>0</v>
      </c>
      <c r="AO73" s="956">
        <v>0</v>
      </c>
      <c r="AP73" s="956">
        <v>0</v>
      </c>
      <c r="AQ73" s="956">
        <v>0</v>
      </c>
      <c r="AR73" s="956"/>
      <c r="AS73" s="956"/>
      <c r="AT73" s="956"/>
      <c r="AV73" s="956">
        <v>0</v>
      </c>
      <c r="AW73" s="956">
        <v>0</v>
      </c>
      <c r="AX73" s="956">
        <v>0</v>
      </c>
      <c r="AY73" s="956">
        <v>0</v>
      </c>
      <c r="AZ73" s="956">
        <v>0</v>
      </c>
      <c r="BA73" s="956">
        <v>0</v>
      </c>
      <c r="BB73" s="956">
        <v>0</v>
      </c>
    </row>
    <row r="74" spans="1:58">
      <c r="AV74" s="956">
        <v>0</v>
      </c>
      <c r="AW74" s="956">
        <v>0</v>
      </c>
      <c r="AX74" s="956">
        <v>0</v>
      </c>
      <c r="AY74" s="956">
        <v>0</v>
      </c>
      <c r="AZ74" s="956">
        <v>0</v>
      </c>
      <c r="BA74" s="956">
        <v>0</v>
      </c>
      <c r="BB74" s="956">
        <v>0</v>
      </c>
    </row>
    <row r="75" spans="1:58">
      <c r="AU75" s="872" t="s">
        <v>2252</v>
      </c>
      <c r="AV75" s="956">
        <v>0</v>
      </c>
      <c r="AW75" s="956">
        <v>0</v>
      </c>
      <c r="AX75" s="956">
        <v>0</v>
      </c>
      <c r="AY75" s="956">
        <v>0</v>
      </c>
      <c r="AZ75" s="956">
        <v>0</v>
      </c>
      <c r="BA75" s="956">
        <v>0</v>
      </c>
      <c r="BB75" s="956">
        <v>0</v>
      </c>
    </row>
    <row r="77" spans="1:58" ht="28.5" customHeight="1">
      <c r="A77" s="2521" t="s">
        <v>2253</v>
      </c>
      <c r="B77" s="2522"/>
      <c r="C77" s="2522"/>
      <c r="D77" s="2522"/>
      <c r="E77" s="2522"/>
      <c r="F77" s="1781"/>
      <c r="G77" s="2523" t="s">
        <v>2254</v>
      </c>
      <c r="H77" s="2523"/>
      <c r="I77" s="2523"/>
      <c r="J77" s="2523"/>
      <c r="K77" s="2523"/>
      <c r="L77" s="2523"/>
      <c r="M77" s="2523"/>
      <c r="N77" s="2523"/>
      <c r="O77" s="2523"/>
      <c r="P77" s="2523"/>
      <c r="Q77" s="2523"/>
      <c r="R77" s="2523"/>
      <c r="S77" s="2523"/>
      <c r="T77" s="2523"/>
      <c r="U77" s="2523"/>
      <c r="V77" s="2523"/>
      <c r="W77" s="2524"/>
      <c r="X77" s="2525" t="s">
        <v>2204</v>
      </c>
      <c r="Y77" s="2523"/>
      <c r="Z77" s="2523"/>
      <c r="AA77" s="2523"/>
      <c r="AB77" s="2523"/>
      <c r="AC77" s="2523"/>
      <c r="AD77" s="2523"/>
      <c r="AE77" s="2523"/>
      <c r="AF77" s="2523"/>
      <c r="AG77" s="2523"/>
      <c r="AH77" s="2523"/>
      <c r="AI77" s="2523"/>
      <c r="AJ77" s="2523"/>
      <c r="AK77" s="2523"/>
      <c r="AL77" s="1782"/>
      <c r="AM77" s="1783"/>
      <c r="AN77" s="1784"/>
      <c r="AO77" s="1784"/>
      <c r="AP77" s="1785"/>
      <c r="AQ77" s="1785"/>
      <c r="AR77" s="1701"/>
      <c r="AS77" s="1702"/>
      <c r="AT77" s="1702"/>
      <c r="AV77" s="2526" t="s">
        <v>1688</v>
      </c>
      <c r="AW77" s="2527"/>
      <c r="AX77" s="2527"/>
      <c r="AY77" s="2527"/>
      <c r="AZ77" s="2527"/>
      <c r="BA77" s="2528"/>
      <c r="BB77" s="2529" t="s">
        <v>1757</v>
      </c>
      <c r="BE77" s="2509" t="s">
        <v>2206</v>
      </c>
      <c r="BF77" s="2500" t="s">
        <v>2207</v>
      </c>
    </row>
    <row r="78" spans="1:58" ht="31.2">
      <c r="A78" s="2512" t="s">
        <v>1288</v>
      </c>
      <c r="B78" s="2514" t="s">
        <v>1289</v>
      </c>
      <c r="C78" s="2516" t="s">
        <v>1290</v>
      </c>
      <c r="D78" s="2516" t="s">
        <v>1291</v>
      </c>
      <c r="E78" s="2518" t="s">
        <v>1292</v>
      </c>
      <c r="F78" s="2520" t="s">
        <v>2255</v>
      </c>
      <c r="G78" s="1786" t="s">
        <v>2256</v>
      </c>
      <c r="H78" s="1704">
        <v>8</v>
      </c>
      <c r="I78" s="1705" t="s">
        <v>1756</v>
      </c>
      <c r="J78" s="1787" t="s">
        <v>2257</v>
      </c>
      <c r="K78" s="1788" t="s">
        <v>1753</v>
      </c>
      <c r="L78" s="1788" t="s">
        <v>1658</v>
      </c>
      <c r="M78" s="1788" t="s">
        <v>1659</v>
      </c>
      <c r="N78" s="1788" t="s">
        <v>1660</v>
      </c>
      <c r="O78" s="1788" t="s">
        <v>1661</v>
      </c>
      <c r="P78" s="1788" t="s">
        <v>1662</v>
      </c>
      <c r="Q78" s="1788" t="s">
        <v>1663</v>
      </c>
      <c r="R78" s="1788" t="s">
        <v>1664</v>
      </c>
      <c r="S78" s="1788" t="s">
        <v>1665</v>
      </c>
      <c r="T78" s="1788" t="s">
        <v>1666</v>
      </c>
      <c r="U78" s="1788" t="s">
        <v>1667</v>
      </c>
      <c r="V78" s="1788" t="s">
        <v>1668</v>
      </c>
      <c r="W78" s="1789" t="s">
        <v>2258</v>
      </c>
      <c r="X78" s="1787" t="s">
        <v>1758</v>
      </c>
      <c r="Y78" s="1788" t="s">
        <v>2211</v>
      </c>
      <c r="Z78" s="1788" t="s">
        <v>2212</v>
      </c>
      <c r="AA78" s="1788" t="s">
        <v>2213</v>
      </c>
      <c r="AB78" s="1788" t="s">
        <v>2214</v>
      </c>
      <c r="AC78" s="1788" t="s">
        <v>2215</v>
      </c>
      <c r="AD78" s="1788" t="s">
        <v>2216</v>
      </c>
      <c r="AE78" s="1788" t="s">
        <v>2217</v>
      </c>
      <c r="AF78" s="1788" t="s">
        <v>2218</v>
      </c>
      <c r="AG78" s="1788" t="s">
        <v>2219</v>
      </c>
      <c r="AH78" s="1788" t="s">
        <v>2220</v>
      </c>
      <c r="AI78" s="1788" t="s">
        <v>2221</v>
      </c>
      <c r="AJ78" s="1788" t="s">
        <v>2222</v>
      </c>
      <c r="AK78" s="1789" t="s">
        <v>2258</v>
      </c>
      <c r="AL78" s="1790" t="s">
        <v>1296</v>
      </c>
      <c r="AM78" s="1791">
        <v>46722</v>
      </c>
      <c r="AN78" s="1792">
        <v>47088</v>
      </c>
      <c r="AO78" s="1792">
        <v>47453</v>
      </c>
      <c r="AP78" s="1793">
        <v>47818</v>
      </c>
      <c r="AQ78" s="1793" t="s">
        <v>2259</v>
      </c>
      <c r="AR78" s="1707" t="s">
        <v>2226</v>
      </c>
      <c r="AS78" s="1708" t="s">
        <v>1669</v>
      </c>
      <c r="AT78" s="1708"/>
      <c r="AV78" s="1792">
        <v>46357</v>
      </c>
      <c r="AW78" s="1792">
        <v>46722</v>
      </c>
      <c r="AX78" s="1792">
        <v>47088</v>
      </c>
      <c r="AY78" s="1792">
        <v>47453</v>
      </c>
      <c r="AZ78" s="1792">
        <v>47818</v>
      </c>
      <c r="BA78" s="1791">
        <v>48183</v>
      </c>
      <c r="BB78" s="2530"/>
      <c r="BE78" s="2510"/>
      <c r="BF78" s="2501"/>
    </row>
    <row r="79" spans="1:58">
      <c r="A79" s="2513"/>
      <c r="B79" s="2515"/>
      <c r="C79" s="2517"/>
      <c r="D79" s="2517"/>
      <c r="E79" s="2519"/>
      <c r="F79" s="2516"/>
      <c r="G79" s="1794" t="s">
        <v>2260</v>
      </c>
      <c r="H79" s="1711" t="s">
        <v>2261</v>
      </c>
      <c r="I79" s="1711" t="s">
        <v>2261</v>
      </c>
      <c r="J79" s="1795" t="s">
        <v>2260</v>
      </c>
      <c r="K79" s="1796" t="s">
        <v>1759</v>
      </c>
      <c r="L79" s="1796" t="s">
        <v>1759</v>
      </c>
      <c r="M79" s="1796" t="s">
        <v>1759</v>
      </c>
      <c r="N79" s="1796" t="s">
        <v>1759</v>
      </c>
      <c r="O79" s="1796" t="s">
        <v>1759</v>
      </c>
      <c r="P79" s="1796" t="s">
        <v>1759</v>
      </c>
      <c r="Q79" s="1796" t="s">
        <v>1759</v>
      </c>
      <c r="R79" s="1796" t="s">
        <v>1759</v>
      </c>
      <c r="S79" s="1797" t="s">
        <v>1760</v>
      </c>
      <c r="T79" s="1797" t="s">
        <v>1760</v>
      </c>
      <c r="U79" s="1797" t="s">
        <v>1760</v>
      </c>
      <c r="V79" s="1797" t="s">
        <v>1760</v>
      </c>
      <c r="W79" s="1798" t="s">
        <v>2262</v>
      </c>
      <c r="X79" s="1799" t="s">
        <v>2260</v>
      </c>
      <c r="Y79" s="1800" t="s">
        <v>2263</v>
      </c>
      <c r="Z79" s="1800" t="s">
        <v>2263</v>
      </c>
      <c r="AA79" s="1800" t="s">
        <v>2263</v>
      </c>
      <c r="AB79" s="1800" t="s">
        <v>2263</v>
      </c>
      <c r="AC79" s="1800" t="s">
        <v>2263</v>
      </c>
      <c r="AD79" s="1800" t="s">
        <v>2263</v>
      </c>
      <c r="AE79" s="1800" t="s">
        <v>2263</v>
      </c>
      <c r="AF79" s="1800" t="s">
        <v>2263</v>
      </c>
      <c r="AG79" s="1800" t="s">
        <v>2263</v>
      </c>
      <c r="AH79" s="1800" t="s">
        <v>2263</v>
      </c>
      <c r="AI79" s="1800" t="s">
        <v>2263</v>
      </c>
      <c r="AJ79" s="1800" t="s">
        <v>2263</v>
      </c>
      <c r="AK79" s="1798" t="s">
        <v>2262</v>
      </c>
      <c r="AL79" s="1801" t="s">
        <v>1304</v>
      </c>
      <c r="AM79" s="1802" t="s">
        <v>2264</v>
      </c>
      <c r="AN79" s="1803" t="s">
        <v>2264</v>
      </c>
      <c r="AO79" s="1803" t="s">
        <v>2264</v>
      </c>
      <c r="AP79" s="1804" t="s">
        <v>2264</v>
      </c>
      <c r="AQ79" s="1804" t="s">
        <v>2264</v>
      </c>
      <c r="AR79" s="1713"/>
      <c r="AS79" s="1712"/>
      <c r="AT79" s="1712"/>
      <c r="AV79" s="1803" t="s">
        <v>2265</v>
      </c>
      <c r="AW79" s="1803" t="s">
        <v>2265</v>
      </c>
      <c r="AX79" s="1803" t="s">
        <v>2265</v>
      </c>
      <c r="AY79" s="1803" t="s">
        <v>2265</v>
      </c>
      <c r="AZ79" s="1803" t="s">
        <v>2265</v>
      </c>
      <c r="BA79" s="1802" t="s">
        <v>2265</v>
      </c>
      <c r="BB79" s="1803" t="s">
        <v>2265</v>
      </c>
      <c r="BE79" s="2531"/>
      <c r="BF79" s="2511"/>
    </row>
    <row r="80" spans="1:58" s="889" customFormat="1">
      <c r="A80" s="1805" t="s">
        <v>620</v>
      </c>
      <c r="B80" s="1806" t="s">
        <v>621</v>
      </c>
      <c r="C80" s="1807">
        <v>1632393</v>
      </c>
      <c r="D80" s="1807">
        <v>1966785</v>
      </c>
      <c r="E80" s="1807">
        <v>-334392</v>
      </c>
      <c r="F80" s="1808">
        <v>749808</v>
      </c>
      <c r="G80" s="1809">
        <v>297486</v>
      </c>
      <c r="H80" s="1807">
        <v>0</v>
      </c>
      <c r="I80" s="1807">
        <v>18382</v>
      </c>
      <c r="J80" s="1809">
        <v>231260</v>
      </c>
      <c r="K80" s="1807">
        <v>5320</v>
      </c>
      <c r="L80" s="1807">
        <v>0</v>
      </c>
      <c r="M80" s="1807">
        <v>3302</v>
      </c>
      <c r="N80" s="1807">
        <v>9079</v>
      </c>
      <c r="O80" s="1807">
        <v>0</v>
      </c>
      <c r="P80" s="1807">
        <v>681</v>
      </c>
      <c r="Q80" s="1807">
        <v>0</v>
      </c>
      <c r="R80" s="1807">
        <v>0</v>
      </c>
      <c r="S80" s="1807">
        <v>2739</v>
      </c>
      <c r="T80" s="1807">
        <v>2739</v>
      </c>
      <c r="U80" s="1807">
        <v>2739</v>
      </c>
      <c r="V80" s="1807">
        <v>204661</v>
      </c>
      <c r="W80" s="1809">
        <v>981068</v>
      </c>
      <c r="X80" s="1809">
        <v>985717</v>
      </c>
      <c r="Y80" s="1807">
        <v>2966</v>
      </c>
      <c r="Z80" s="1807">
        <v>2967</v>
      </c>
      <c r="AA80" s="1807">
        <v>2966</v>
      </c>
      <c r="AB80" s="1807">
        <v>98868</v>
      </c>
      <c r="AC80" s="1807">
        <v>98868</v>
      </c>
      <c r="AD80" s="1807">
        <v>98868</v>
      </c>
      <c r="AE80" s="1807">
        <v>101835</v>
      </c>
      <c r="AF80" s="1807">
        <v>131494</v>
      </c>
      <c r="AG80" s="1807">
        <v>131495</v>
      </c>
      <c r="AH80" s="1807">
        <v>131495</v>
      </c>
      <c r="AI80" s="1807">
        <v>82061</v>
      </c>
      <c r="AJ80" s="1807">
        <v>101834</v>
      </c>
      <c r="AK80" s="1809">
        <v>1966785</v>
      </c>
      <c r="AL80" s="1810" t="s">
        <v>2266</v>
      </c>
      <c r="AM80" s="1809">
        <v>0</v>
      </c>
      <c r="AN80" s="1809">
        <v>0</v>
      </c>
      <c r="AO80" s="1809">
        <v>0</v>
      </c>
      <c r="AP80" s="1809">
        <v>0</v>
      </c>
      <c r="AQ80" s="1809">
        <v>0</v>
      </c>
      <c r="AR80" s="1811" t="s">
        <v>2266</v>
      </c>
      <c r="AS80" s="1812" t="s">
        <v>1196</v>
      </c>
      <c r="AT80" s="1813" t="s">
        <v>2267</v>
      </c>
      <c r="AV80" s="1814">
        <v>985717</v>
      </c>
      <c r="AW80" s="1815">
        <v>0</v>
      </c>
      <c r="AX80" s="1815">
        <v>0</v>
      </c>
      <c r="AY80" s="1815">
        <v>0</v>
      </c>
      <c r="AZ80" s="1815">
        <v>0</v>
      </c>
      <c r="BA80" s="1815">
        <v>0</v>
      </c>
      <c r="BB80" s="1815">
        <v>0</v>
      </c>
      <c r="BE80" s="1816">
        <v>297486</v>
      </c>
      <c r="BF80" s="1817">
        <v>688231</v>
      </c>
    </row>
    <row r="81" spans="1:58">
      <c r="A81" s="1120" t="s">
        <v>622</v>
      </c>
      <c r="B81" s="751" t="s">
        <v>623</v>
      </c>
      <c r="C81" s="948">
        <v>24780000</v>
      </c>
      <c r="D81" s="948">
        <v>16733307</v>
      </c>
      <c r="E81" s="948">
        <v>8046693</v>
      </c>
      <c r="F81" s="943">
        <v>9173068</v>
      </c>
      <c r="G81" s="1818">
        <v>550080</v>
      </c>
      <c r="H81" s="948">
        <v>103363</v>
      </c>
      <c r="I81" s="948">
        <v>862846</v>
      </c>
      <c r="J81" s="1818">
        <v>1226247</v>
      </c>
      <c r="K81" s="1115">
        <v>87648</v>
      </c>
      <c r="L81" s="947">
        <v>54483</v>
      </c>
      <c r="M81" s="947">
        <v>118385</v>
      </c>
      <c r="N81" s="947">
        <v>109807</v>
      </c>
      <c r="O81" s="947">
        <v>105946</v>
      </c>
      <c r="P81" s="947">
        <v>154834</v>
      </c>
      <c r="Q81" s="947">
        <v>128380</v>
      </c>
      <c r="R81" s="947">
        <v>103363</v>
      </c>
      <c r="S81" s="946">
        <v>88535</v>
      </c>
      <c r="T81" s="946">
        <v>91165</v>
      </c>
      <c r="U81" s="946">
        <v>80207</v>
      </c>
      <c r="V81" s="946">
        <v>103494</v>
      </c>
      <c r="W81" s="1818">
        <v>10399315</v>
      </c>
      <c r="X81" s="1818">
        <v>700238</v>
      </c>
      <c r="Y81" s="948">
        <v>152401</v>
      </c>
      <c r="Z81" s="948">
        <v>47575</v>
      </c>
      <c r="AA81" s="948">
        <v>49957</v>
      </c>
      <c r="AB81" s="948">
        <v>51149</v>
      </c>
      <c r="AC81" s="948">
        <v>51149</v>
      </c>
      <c r="AD81" s="948">
        <v>69957</v>
      </c>
      <c r="AE81" s="948">
        <v>127385</v>
      </c>
      <c r="AF81" s="948">
        <v>26133</v>
      </c>
      <c r="AG81" s="948">
        <v>26133</v>
      </c>
      <c r="AH81" s="948">
        <v>26133</v>
      </c>
      <c r="AI81" s="948">
        <v>26133</v>
      </c>
      <c r="AJ81" s="948">
        <v>46133</v>
      </c>
      <c r="AK81" s="1818">
        <v>11099553</v>
      </c>
      <c r="AL81" s="1819" t="s">
        <v>1308</v>
      </c>
      <c r="AM81" s="1818">
        <v>713085</v>
      </c>
      <c r="AN81" s="1818">
        <v>4920669</v>
      </c>
      <c r="AO81" s="1818">
        <v>0</v>
      </c>
      <c r="AP81" s="1818">
        <v>0</v>
      </c>
      <c r="AQ81" s="1818">
        <v>0</v>
      </c>
      <c r="AR81" s="1714" t="s">
        <v>1308</v>
      </c>
      <c r="AS81" s="1715" t="s">
        <v>1196</v>
      </c>
      <c r="AT81" s="949" t="s">
        <v>2232</v>
      </c>
      <c r="AV81" s="1820">
        <v>6333992</v>
      </c>
      <c r="AW81" s="1821">
        <v>5633754</v>
      </c>
      <c r="AX81" s="1821">
        <v>4920669</v>
      </c>
      <c r="AY81" s="1821">
        <v>0</v>
      </c>
      <c r="AZ81" s="1821">
        <v>0</v>
      </c>
      <c r="BA81" s="1821">
        <v>0</v>
      </c>
      <c r="BB81" s="1821">
        <v>0</v>
      </c>
      <c r="BE81" s="1718">
        <v>550080</v>
      </c>
      <c r="BF81" s="1717">
        <v>150158</v>
      </c>
    </row>
    <row r="82" spans="1:58">
      <c r="A82" s="1120" t="s">
        <v>624</v>
      </c>
      <c r="B82" s="751" t="s">
        <v>1309</v>
      </c>
      <c r="C82" s="948">
        <v>11380550</v>
      </c>
      <c r="D82" s="948">
        <v>8457888</v>
      </c>
      <c r="E82" s="948">
        <v>2922662</v>
      </c>
      <c r="F82" s="943">
        <v>4287014</v>
      </c>
      <c r="G82" s="1818">
        <v>1030943</v>
      </c>
      <c r="H82" s="948">
        <v>20388</v>
      </c>
      <c r="I82" s="948">
        <v>528827</v>
      </c>
      <c r="J82" s="1818">
        <v>710130</v>
      </c>
      <c r="K82" s="1115">
        <v>613</v>
      </c>
      <c r="L82" s="947">
        <v>40633</v>
      </c>
      <c r="M82" s="947">
        <v>55749</v>
      </c>
      <c r="N82" s="947">
        <v>1867</v>
      </c>
      <c r="O82" s="947">
        <v>29078</v>
      </c>
      <c r="P82" s="947">
        <v>377897</v>
      </c>
      <c r="Q82" s="947">
        <v>2602</v>
      </c>
      <c r="R82" s="947">
        <v>20388</v>
      </c>
      <c r="S82" s="946">
        <v>54791</v>
      </c>
      <c r="T82" s="946">
        <v>24546</v>
      </c>
      <c r="U82" s="946">
        <v>24546</v>
      </c>
      <c r="V82" s="946">
        <v>77420</v>
      </c>
      <c r="W82" s="1818">
        <v>4997144</v>
      </c>
      <c r="X82" s="1818">
        <v>1302420</v>
      </c>
      <c r="Y82" s="948">
        <v>831206</v>
      </c>
      <c r="Z82" s="948">
        <v>26206</v>
      </c>
      <c r="AA82" s="948">
        <v>61943</v>
      </c>
      <c r="AB82" s="948">
        <v>26206</v>
      </c>
      <c r="AC82" s="948">
        <v>26206</v>
      </c>
      <c r="AD82" s="948">
        <v>81943</v>
      </c>
      <c r="AE82" s="948">
        <v>26206</v>
      </c>
      <c r="AF82" s="948">
        <v>26206</v>
      </c>
      <c r="AG82" s="948">
        <v>61943</v>
      </c>
      <c r="AH82" s="948">
        <v>26206</v>
      </c>
      <c r="AI82" s="948">
        <v>26206</v>
      </c>
      <c r="AJ82" s="948">
        <v>81943</v>
      </c>
      <c r="AK82" s="1818">
        <v>6299564</v>
      </c>
      <c r="AL82" s="1819" t="s">
        <v>1308</v>
      </c>
      <c r="AM82" s="1818">
        <v>2158324</v>
      </c>
      <c r="AN82" s="1818">
        <v>0</v>
      </c>
      <c r="AO82" s="1818">
        <v>0</v>
      </c>
      <c r="AP82" s="1818">
        <v>0</v>
      </c>
      <c r="AQ82" s="1818">
        <v>0</v>
      </c>
      <c r="AR82" s="1714" t="s">
        <v>1308</v>
      </c>
      <c r="AS82" s="1715" t="s">
        <v>1196</v>
      </c>
      <c r="AT82" s="949" t="s">
        <v>2232</v>
      </c>
      <c r="AV82" s="1820">
        <v>3460744</v>
      </c>
      <c r="AW82" s="1821">
        <v>2158324</v>
      </c>
      <c r="AX82" s="1821">
        <v>0</v>
      </c>
      <c r="AY82" s="1821">
        <v>0</v>
      </c>
      <c r="AZ82" s="1821">
        <v>0</v>
      </c>
      <c r="BA82" s="1821">
        <v>0</v>
      </c>
      <c r="BB82" s="1821">
        <v>0</v>
      </c>
      <c r="BE82" s="1718">
        <v>1030943</v>
      </c>
      <c r="BF82" s="1717">
        <v>271477</v>
      </c>
    </row>
    <row r="83" spans="1:58">
      <c r="A83" s="1120" t="s">
        <v>626</v>
      </c>
      <c r="B83" s="751" t="s">
        <v>1310</v>
      </c>
      <c r="C83" s="948">
        <v>1950000</v>
      </c>
      <c r="D83" s="948">
        <v>1258917</v>
      </c>
      <c r="E83" s="948">
        <v>691083</v>
      </c>
      <c r="F83" s="943">
        <v>1242342</v>
      </c>
      <c r="G83" s="1818">
        <v>123275</v>
      </c>
      <c r="H83" s="948">
        <v>0</v>
      </c>
      <c r="I83" s="948">
        <v>16575</v>
      </c>
      <c r="J83" s="1818">
        <v>16575</v>
      </c>
      <c r="K83" s="1115">
        <v>15522</v>
      </c>
      <c r="L83" s="947">
        <v>0</v>
      </c>
      <c r="M83" s="947">
        <v>0</v>
      </c>
      <c r="N83" s="947">
        <v>0</v>
      </c>
      <c r="O83" s="947">
        <v>0</v>
      </c>
      <c r="P83" s="947">
        <v>1053</v>
      </c>
      <c r="Q83" s="947">
        <v>0</v>
      </c>
      <c r="R83" s="947">
        <v>0</v>
      </c>
      <c r="S83" s="946">
        <v>0</v>
      </c>
      <c r="T83" s="946">
        <v>0</v>
      </c>
      <c r="U83" s="946">
        <v>0</v>
      </c>
      <c r="V83" s="946">
        <v>0</v>
      </c>
      <c r="W83" s="1818">
        <v>1258917</v>
      </c>
      <c r="X83" s="1818">
        <v>0</v>
      </c>
      <c r="Y83" s="948">
        <v>0</v>
      </c>
      <c r="Z83" s="948">
        <v>0</v>
      </c>
      <c r="AA83" s="948">
        <v>0</v>
      </c>
      <c r="AB83" s="948">
        <v>0</v>
      </c>
      <c r="AC83" s="948">
        <v>0</v>
      </c>
      <c r="AD83" s="948">
        <v>0</v>
      </c>
      <c r="AE83" s="948">
        <v>0</v>
      </c>
      <c r="AF83" s="948">
        <v>0</v>
      </c>
      <c r="AG83" s="948">
        <v>0</v>
      </c>
      <c r="AH83" s="948">
        <v>0</v>
      </c>
      <c r="AI83" s="948">
        <v>0</v>
      </c>
      <c r="AJ83" s="948">
        <v>0</v>
      </c>
      <c r="AK83" s="1818">
        <v>1258917</v>
      </c>
      <c r="AL83" s="1819" t="s">
        <v>1308</v>
      </c>
      <c r="AM83" s="1818">
        <v>0</v>
      </c>
      <c r="AN83" s="1818">
        <v>0</v>
      </c>
      <c r="AO83" s="1818">
        <v>0</v>
      </c>
      <c r="AP83" s="1818">
        <v>0</v>
      </c>
      <c r="AQ83" s="1818">
        <v>0</v>
      </c>
      <c r="AR83" s="1714" t="s">
        <v>1308</v>
      </c>
      <c r="AS83" s="1715" t="s">
        <v>1196</v>
      </c>
      <c r="AT83" s="949" t="s">
        <v>2232</v>
      </c>
      <c r="AV83" s="1820">
        <v>0</v>
      </c>
      <c r="AW83" s="1821">
        <v>0</v>
      </c>
      <c r="AX83" s="1821">
        <v>0</v>
      </c>
      <c r="AY83" s="1821">
        <v>0</v>
      </c>
      <c r="AZ83" s="1821">
        <v>0</v>
      </c>
      <c r="BA83" s="1821">
        <v>0</v>
      </c>
      <c r="BB83" s="1821">
        <v>0</v>
      </c>
      <c r="BE83" s="1718">
        <v>123275</v>
      </c>
      <c r="BF83" s="1717">
        <v>-123275</v>
      </c>
    </row>
    <row r="84" spans="1:58">
      <c r="A84" s="1120" t="s">
        <v>628</v>
      </c>
      <c r="B84" s="751" t="s">
        <v>1311</v>
      </c>
      <c r="C84" s="948">
        <v>18000000</v>
      </c>
      <c r="D84" s="948">
        <v>16145608</v>
      </c>
      <c r="E84" s="948">
        <v>1854392</v>
      </c>
      <c r="F84" s="943">
        <v>7388807</v>
      </c>
      <c r="G84" s="1818">
        <v>2565446</v>
      </c>
      <c r="H84" s="948">
        <v>80501</v>
      </c>
      <c r="I84" s="948">
        <v>545758</v>
      </c>
      <c r="J84" s="1818">
        <v>1044929</v>
      </c>
      <c r="K84" s="1115">
        <v>127892</v>
      </c>
      <c r="L84" s="947">
        <v>62609</v>
      </c>
      <c r="M84" s="947">
        <v>96299</v>
      </c>
      <c r="N84" s="947">
        <v>58678</v>
      </c>
      <c r="O84" s="947">
        <v>56962</v>
      </c>
      <c r="P84" s="947">
        <v>50623</v>
      </c>
      <c r="Q84" s="947">
        <v>12194</v>
      </c>
      <c r="R84" s="947">
        <v>80501</v>
      </c>
      <c r="S84" s="946">
        <v>139380</v>
      </c>
      <c r="T84" s="946">
        <v>139928</v>
      </c>
      <c r="U84" s="946">
        <v>98288</v>
      </c>
      <c r="V84" s="946">
        <v>121575</v>
      </c>
      <c r="W84" s="1818">
        <v>8433736</v>
      </c>
      <c r="X84" s="1818">
        <v>603749</v>
      </c>
      <c r="Y84" s="948">
        <v>69016</v>
      </c>
      <c r="Z84" s="948">
        <v>45192</v>
      </c>
      <c r="AA84" s="948">
        <v>27324</v>
      </c>
      <c r="AB84" s="948">
        <v>27324</v>
      </c>
      <c r="AC84" s="948">
        <v>92841</v>
      </c>
      <c r="AD84" s="948">
        <v>83061</v>
      </c>
      <c r="AE84" s="948">
        <v>63061</v>
      </c>
      <c r="AF84" s="948">
        <v>33280</v>
      </c>
      <c r="AG84" s="948">
        <v>27324</v>
      </c>
      <c r="AH84" s="948">
        <v>29706</v>
      </c>
      <c r="AI84" s="948">
        <v>42810</v>
      </c>
      <c r="AJ84" s="948">
        <v>62810</v>
      </c>
      <c r="AK84" s="1818">
        <v>9037485</v>
      </c>
      <c r="AL84" s="1819" t="s">
        <v>1308</v>
      </c>
      <c r="AM84" s="1818">
        <v>609304</v>
      </c>
      <c r="AN84" s="1818">
        <v>537103</v>
      </c>
      <c r="AO84" s="1818">
        <v>541875</v>
      </c>
      <c r="AP84" s="1818">
        <v>709714</v>
      </c>
      <c r="AQ84" s="1818">
        <v>4710127</v>
      </c>
      <c r="AR84" s="1714" t="s">
        <v>1308</v>
      </c>
      <c r="AS84" s="1715" t="s">
        <v>1196</v>
      </c>
      <c r="AT84" s="949" t="s">
        <v>2232</v>
      </c>
      <c r="AV84" s="1820">
        <v>7711872</v>
      </c>
      <c r="AW84" s="1821">
        <v>7108123</v>
      </c>
      <c r="AX84" s="1821">
        <v>6498819</v>
      </c>
      <c r="AY84" s="1821">
        <v>5961716</v>
      </c>
      <c r="AZ84" s="1821">
        <v>5419841</v>
      </c>
      <c r="BA84" s="1821">
        <v>4710127</v>
      </c>
      <c r="BB84" s="1821">
        <v>0</v>
      </c>
      <c r="BE84" s="1718">
        <v>2565446</v>
      </c>
      <c r="BF84" s="1717">
        <v>-1961697</v>
      </c>
    </row>
    <row r="85" spans="1:58" s="889" customFormat="1">
      <c r="A85" s="1805" t="s">
        <v>631</v>
      </c>
      <c r="B85" s="1822" t="s">
        <v>2268</v>
      </c>
      <c r="C85" s="1807">
        <v>4380000</v>
      </c>
      <c r="D85" s="1807">
        <v>4575503</v>
      </c>
      <c r="E85" s="1807">
        <v>-195503</v>
      </c>
      <c r="F85" s="1808">
        <v>2704224</v>
      </c>
      <c r="G85" s="1809">
        <v>1590171</v>
      </c>
      <c r="H85" s="1807">
        <v>9420</v>
      </c>
      <c r="I85" s="1807">
        <v>237715</v>
      </c>
      <c r="J85" s="1809">
        <v>982013</v>
      </c>
      <c r="K85" s="1807">
        <v>29456</v>
      </c>
      <c r="L85" s="1807">
        <v>48377</v>
      </c>
      <c r="M85" s="1807">
        <v>54631</v>
      </c>
      <c r="N85" s="1807">
        <v>59422</v>
      </c>
      <c r="O85" s="1807">
        <v>3308</v>
      </c>
      <c r="P85" s="1807">
        <v>29960</v>
      </c>
      <c r="Q85" s="1807">
        <v>3141</v>
      </c>
      <c r="R85" s="1807">
        <v>9420</v>
      </c>
      <c r="S85" s="1807">
        <v>39449</v>
      </c>
      <c r="T85" s="1807">
        <v>239982</v>
      </c>
      <c r="U85" s="1807">
        <v>212587</v>
      </c>
      <c r="V85" s="1807">
        <v>252280</v>
      </c>
      <c r="W85" s="1809">
        <v>3686237</v>
      </c>
      <c r="X85" s="1809">
        <v>889266</v>
      </c>
      <c r="Y85" s="1807">
        <v>218939</v>
      </c>
      <c r="Z85" s="1807">
        <v>118592</v>
      </c>
      <c r="AA85" s="1807">
        <v>118592</v>
      </c>
      <c r="AB85" s="1807">
        <v>50173</v>
      </c>
      <c r="AC85" s="1807">
        <v>50174</v>
      </c>
      <c r="AD85" s="1807">
        <v>50173</v>
      </c>
      <c r="AE85" s="1807">
        <v>72980</v>
      </c>
      <c r="AF85" s="1807">
        <v>0</v>
      </c>
      <c r="AG85" s="1807">
        <v>0</v>
      </c>
      <c r="AH85" s="1807">
        <v>0</v>
      </c>
      <c r="AI85" s="1807">
        <v>0</v>
      </c>
      <c r="AJ85" s="1807">
        <v>209643</v>
      </c>
      <c r="AK85" s="1809">
        <v>4575503</v>
      </c>
      <c r="AL85" s="1810" t="s">
        <v>2266</v>
      </c>
      <c r="AM85" s="1809">
        <v>0</v>
      </c>
      <c r="AN85" s="1809">
        <v>0</v>
      </c>
      <c r="AO85" s="1809">
        <v>0</v>
      </c>
      <c r="AP85" s="1809">
        <v>0</v>
      </c>
      <c r="AQ85" s="1809">
        <v>0</v>
      </c>
      <c r="AR85" s="1811" t="s">
        <v>2266</v>
      </c>
      <c r="AS85" s="1812" t="s">
        <v>1196</v>
      </c>
      <c r="AT85" s="1813" t="s">
        <v>2267</v>
      </c>
      <c r="AV85" s="1814">
        <v>889266</v>
      </c>
      <c r="AW85" s="1815">
        <v>0</v>
      </c>
      <c r="AX85" s="1815">
        <v>0</v>
      </c>
      <c r="AY85" s="1815">
        <v>0</v>
      </c>
      <c r="AZ85" s="1815">
        <v>0</v>
      </c>
      <c r="BA85" s="1815">
        <v>0</v>
      </c>
      <c r="BB85" s="1815">
        <v>0</v>
      </c>
      <c r="BE85" s="1823">
        <v>1590171</v>
      </c>
      <c r="BF85" s="1817">
        <v>-700905</v>
      </c>
    </row>
    <row r="86" spans="1:58" s="971" customFormat="1">
      <c r="A86" s="1719" t="s">
        <v>633</v>
      </c>
      <c r="B86" s="963" t="s">
        <v>1313</v>
      </c>
      <c r="C86" s="967">
        <v>3525000</v>
      </c>
      <c r="D86" s="967">
        <v>2838696</v>
      </c>
      <c r="E86" s="967">
        <v>686304</v>
      </c>
      <c r="F86" s="981">
        <v>493498</v>
      </c>
      <c r="G86" s="1824">
        <v>241074</v>
      </c>
      <c r="H86" s="967">
        <v>4567</v>
      </c>
      <c r="I86" s="967">
        <v>96290</v>
      </c>
      <c r="J86" s="1824">
        <v>769119</v>
      </c>
      <c r="K86" s="967">
        <v>0</v>
      </c>
      <c r="L86" s="967">
        <v>3852</v>
      </c>
      <c r="M86" s="967">
        <v>45662</v>
      </c>
      <c r="N86" s="967">
        <v>33059</v>
      </c>
      <c r="O86" s="967">
        <v>0</v>
      </c>
      <c r="P86" s="967">
        <v>4834</v>
      </c>
      <c r="Q86" s="967">
        <v>4316</v>
      </c>
      <c r="R86" s="967">
        <v>4567</v>
      </c>
      <c r="S86" s="967">
        <v>39449</v>
      </c>
      <c r="T86" s="967">
        <v>286007</v>
      </c>
      <c r="U86" s="967">
        <v>280528</v>
      </c>
      <c r="V86" s="967">
        <v>66845</v>
      </c>
      <c r="W86" s="1824">
        <v>1262617</v>
      </c>
      <c r="X86" s="1824">
        <v>590560</v>
      </c>
      <c r="Y86" s="967">
        <v>0</v>
      </c>
      <c r="Z86" s="967">
        <v>0</v>
      </c>
      <c r="AA86" s="967">
        <v>166770</v>
      </c>
      <c r="AB86" s="967">
        <v>39310</v>
      </c>
      <c r="AC86" s="967">
        <v>39310</v>
      </c>
      <c r="AD86" s="967">
        <v>69310</v>
      </c>
      <c r="AE86" s="967">
        <v>39310</v>
      </c>
      <c r="AF86" s="967">
        <v>39310</v>
      </c>
      <c r="AG86" s="967">
        <v>39310</v>
      </c>
      <c r="AH86" s="967">
        <v>39310</v>
      </c>
      <c r="AI86" s="967">
        <v>39310</v>
      </c>
      <c r="AJ86" s="967">
        <v>79310</v>
      </c>
      <c r="AK86" s="1824">
        <v>1853177</v>
      </c>
      <c r="AL86" s="1825" t="s">
        <v>1314</v>
      </c>
      <c r="AM86" s="1824">
        <v>285067</v>
      </c>
      <c r="AN86" s="1824">
        <v>700452</v>
      </c>
      <c r="AO86" s="1824">
        <v>0</v>
      </c>
      <c r="AP86" s="1824">
        <v>0</v>
      </c>
      <c r="AQ86" s="1824">
        <v>0</v>
      </c>
      <c r="AR86" s="1720" t="s">
        <v>1314</v>
      </c>
      <c r="AS86" s="1721" t="s">
        <v>2233</v>
      </c>
      <c r="AT86" s="1722" t="s">
        <v>2234</v>
      </c>
      <c r="AV86" s="1826">
        <v>1576079</v>
      </c>
      <c r="AW86" s="1827">
        <v>985519</v>
      </c>
      <c r="AX86" s="1827">
        <v>700452</v>
      </c>
      <c r="AY86" s="1827">
        <v>0</v>
      </c>
      <c r="AZ86" s="1827">
        <v>0</v>
      </c>
      <c r="BA86" s="1827">
        <v>0</v>
      </c>
      <c r="BB86" s="1827">
        <v>0</v>
      </c>
      <c r="BE86" s="1724">
        <v>241074</v>
      </c>
      <c r="BF86" s="1725">
        <v>349486</v>
      </c>
    </row>
    <row r="87" spans="1:58">
      <c r="A87" s="1120" t="s">
        <v>634</v>
      </c>
      <c r="B87" s="751" t="s">
        <v>1315</v>
      </c>
      <c r="C87" s="948">
        <v>7800000</v>
      </c>
      <c r="D87" s="948">
        <v>7041372</v>
      </c>
      <c r="E87" s="948">
        <v>758628</v>
      </c>
      <c r="F87" s="943">
        <v>3329499</v>
      </c>
      <c r="G87" s="1818">
        <v>1275611</v>
      </c>
      <c r="H87" s="948">
        <v>125158</v>
      </c>
      <c r="I87" s="948">
        <v>1071413</v>
      </c>
      <c r="J87" s="1818">
        <v>1560421</v>
      </c>
      <c r="K87" s="1115">
        <v>182041</v>
      </c>
      <c r="L87" s="947">
        <v>90303</v>
      </c>
      <c r="M87" s="947">
        <v>138525</v>
      </c>
      <c r="N87" s="947">
        <v>103589</v>
      </c>
      <c r="O87" s="947">
        <v>121656</v>
      </c>
      <c r="P87" s="947">
        <v>145579</v>
      </c>
      <c r="Q87" s="947">
        <v>164562</v>
      </c>
      <c r="R87" s="947">
        <v>125158</v>
      </c>
      <c r="S87" s="946">
        <v>117252</v>
      </c>
      <c r="T87" s="946">
        <v>117252</v>
      </c>
      <c r="U87" s="946">
        <v>117252</v>
      </c>
      <c r="V87" s="946">
        <v>137252</v>
      </c>
      <c r="W87" s="1818">
        <v>4889920</v>
      </c>
      <c r="X87" s="1818">
        <v>2151452</v>
      </c>
      <c r="Y87" s="948">
        <v>119121</v>
      </c>
      <c r="Z87" s="948">
        <v>119121</v>
      </c>
      <c r="AA87" s="948">
        <v>119121</v>
      </c>
      <c r="AB87" s="948">
        <v>119121</v>
      </c>
      <c r="AC87" s="948">
        <v>119121</v>
      </c>
      <c r="AD87" s="948">
        <v>139121</v>
      </c>
      <c r="AE87" s="948">
        <v>119121</v>
      </c>
      <c r="AF87" s="948">
        <v>119121</v>
      </c>
      <c r="AG87" s="948">
        <v>119121</v>
      </c>
      <c r="AH87" s="948">
        <v>119121</v>
      </c>
      <c r="AI87" s="948">
        <v>119121</v>
      </c>
      <c r="AJ87" s="948">
        <v>821121</v>
      </c>
      <c r="AK87" s="1818">
        <v>7041372</v>
      </c>
      <c r="AL87" s="1819" t="s">
        <v>1308</v>
      </c>
      <c r="AM87" s="1818">
        <v>0</v>
      </c>
      <c r="AN87" s="1818">
        <v>0</v>
      </c>
      <c r="AO87" s="1818">
        <v>0</v>
      </c>
      <c r="AP87" s="1818">
        <v>0</v>
      </c>
      <c r="AQ87" s="1818">
        <v>0</v>
      </c>
      <c r="AR87" s="1714" t="s">
        <v>1308</v>
      </c>
      <c r="AS87" s="1714" t="s">
        <v>1196</v>
      </c>
      <c r="AT87" s="949" t="s">
        <v>2232</v>
      </c>
      <c r="AV87" s="1820">
        <v>2151452</v>
      </c>
      <c r="AW87" s="1821">
        <v>0</v>
      </c>
      <c r="AX87" s="1821">
        <v>0</v>
      </c>
      <c r="AY87" s="1821">
        <v>0</v>
      </c>
      <c r="AZ87" s="1821">
        <v>0</v>
      </c>
      <c r="BA87" s="1821">
        <v>0</v>
      </c>
      <c r="BB87" s="1821">
        <v>0</v>
      </c>
      <c r="BE87" s="1718">
        <v>1275611</v>
      </c>
      <c r="BF87" s="1717">
        <v>875841</v>
      </c>
    </row>
    <row r="88" spans="1:58">
      <c r="A88" s="1120" t="s">
        <v>636</v>
      </c>
      <c r="B88" s="751" t="s">
        <v>1316</v>
      </c>
      <c r="C88" s="948">
        <v>40013400</v>
      </c>
      <c r="D88" s="948">
        <v>26960687</v>
      </c>
      <c r="E88" s="948">
        <v>13052713</v>
      </c>
      <c r="F88" s="943">
        <v>1531375</v>
      </c>
      <c r="G88" s="1818">
        <v>4179620</v>
      </c>
      <c r="H88" s="948">
        <v>133510</v>
      </c>
      <c r="I88" s="948">
        <v>653830</v>
      </c>
      <c r="J88" s="1818">
        <v>2545368</v>
      </c>
      <c r="K88" s="1115">
        <v>34703</v>
      </c>
      <c r="L88" s="947">
        <v>19426</v>
      </c>
      <c r="M88" s="947">
        <v>46434</v>
      </c>
      <c r="N88" s="947">
        <v>83854</v>
      </c>
      <c r="O88" s="947">
        <v>82588</v>
      </c>
      <c r="P88" s="947">
        <v>61767</v>
      </c>
      <c r="Q88" s="947">
        <v>191548</v>
      </c>
      <c r="R88" s="947">
        <v>133510</v>
      </c>
      <c r="S88" s="946">
        <v>257728</v>
      </c>
      <c r="T88" s="946">
        <v>520723</v>
      </c>
      <c r="U88" s="946">
        <v>520723</v>
      </c>
      <c r="V88" s="946">
        <v>592364</v>
      </c>
      <c r="W88" s="1818">
        <v>4076743</v>
      </c>
      <c r="X88" s="1818">
        <v>2454644</v>
      </c>
      <c r="Y88" s="948">
        <v>521676</v>
      </c>
      <c r="Z88" s="948">
        <v>539545</v>
      </c>
      <c r="AA88" s="948">
        <v>491896</v>
      </c>
      <c r="AB88" s="948">
        <v>313214</v>
      </c>
      <c r="AC88" s="948">
        <v>51149</v>
      </c>
      <c r="AD88" s="948">
        <v>81149</v>
      </c>
      <c r="AE88" s="948">
        <v>51149</v>
      </c>
      <c r="AF88" s="948">
        <v>51149</v>
      </c>
      <c r="AG88" s="948">
        <v>51149</v>
      </c>
      <c r="AH88" s="948">
        <v>51149</v>
      </c>
      <c r="AI88" s="948">
        <v>51149</v>
      </c>
      <c r="AJ88" s="948">
        <v>200270</v>
      </c>
      <c r="AK88" s="1818">
        <v>6531387</v>
      </c>
      <c r="AL88" s="1819" t="s">
        <v>1308</v>
      </c>
      <c r="AM88" s="1818">
        <v>1898429</v>
      </c>
      <c r="AN88" s="1818">
        <v>964390</v>
      </c>
      <c r="AO88" s="1818">
        <v>962325</v>
      </c>
      <c r="AP88" s="1818">
        <v>1702353</v>
      </c>
      <c r="AQ88" s="1818">
        <v>14901803</v>
      </c>
      <c r="AR88" s="1714" t="s">
        <v>1308</v>
      </c>
      <c r="AS88" s="1714" t="s">
        <v>1246</v>
      </c>
      <c r="AT88" s="949" t="s">
        <v>2232</v>
      </c>
      <c r="AV88" s="1820">
        <v>22883944</v>
      </c>
      <c r="AW88" s="1821">
        <v>20429300</v>
      </c>
      <c r="AX88" s="1821">
        <v>18530871</v>
      </c>
      <c r="AY88" s="1821">
        <v>17566481</v>
      </c>
      <c r="AZ88" s="1821">
        <v>16604156</v>
      </c>
      <c r="BA88" s="1821">
        <v>14901803</v>
      </c>
      <c r="BB88" s="1821">
        <v>0</v>
      </c>
      <c r="BE88" s="1718">
        <v>4179620</v>
      </c>
      <c r="BF88" s="1717">
        <v>-1724976</v>
      </c>
    </row>
    <row r="89" spans="1:58" s="990" customFormat="1">
      <c r="A89" s="1828" t="s">
        <v>1065</v>
      </c>
      <c r="B89" s="867" t="s">
        <v>2269</v>
      </c>
      <c r="C89" s="947">
        <v>49477750</v>
      </c>
      <c r="D89" s="947">
        <v>33486571</v>
      </c>
      <c r="E89" s="947">
        <v>15991179</v>
      </c>
      <c r="F89" s="984">
        <v>695517</v>
      </c>
      <c r="G89" s="1818">
        <v>1534754</v>
      </c>
      <c r="H89" s="947">
        <v>377705</v>
      </c>
      <c r="I89" s="947">
        <v>1570351</v>
      </c>
      <c r="J89" s="1829">
        <v>2984252</v>
      </c>
      <c r="K89" s="1115">
        <v>185503</v>
      </c>
      <c r="L89" s="947">
        <v>162176</v>
      </c>
      <c r="M89" s="947">
        <v>152934</v>
      </c>
      <c r="N89" s="947">
        <v>49892</v>
      </c>
      <c r="O89" s="947">
        <v>104507</v>
      </c>
      <c r="P89" s="947">
        <v>173692</v>
      </c>
      <c r="Q89" s="947">
        <v>363942</v>
      </c>
      <c r="R89" s="947">
        <v>377705</v>
      </c>
      <c r="S89" s="946">
        <v>408950</v>
      </c>
      <c r="T89" s="946">
        <v>365118</v>
      </c>
      <c r="U89" s="946">
        <v>450590</v>
      </c>
      <c r="V89" s="946">
        <v>189243</v>
      </c>
      <c r="W89" s="1829">
        <v>3679769</v>
      </c>
      <c r="X89" s="1829">
        <v>3144069</v>
      </c>
      <c r="Y89" s="947">
        <v>420424</v>
      </c>
      <c r="Z89" s="947">
        <v>325127</v>
      </c>
      <c r="AA89" s="947">
        <v>589575</v>
      </c>
      <c r="AB89" s="947">
        <v>260801</v>
      </c>
      <c r="AC89" s="947">
        <v>248889</v>
      </c>
      <c r="AD89" s="947">
        <v>504468</v>
      </c>
      <c r="AE89" s="947">
        <v>182182</v>
      </c>
      <c r="AF89" s="947">
        <v>182182</v>
      </c>
      <c r="AG89" s="947">
        <v>96415</v>
      </c>
      <c r="AH89" s="947">
        <v>82119</v>
      </c>
      <c r="AI89" s="947">
        <v>82119</v>
      </c>
      <c r="AJ89" s="947">
        <v>169768</v>
      </c>
      <c r="AK89" s="1829">
        <v>6823838</v>
      </c>
      <c r="AL89" s="1830" t="s">
        <v>1323</v>
      </c>
      <c r="AM89" s="1829">
        <v>4029059</v>
      </c>
      <c r="AN89" s="1829">
        <v>4691725</v>
      </c>
      <c r="AO89" s="1829">
        <v>2285189</v>
      </c>
      <c r="AP89" s="1818">
        <v>1127480</v>
      </c>
      <c r="AQ89" s="1818">
        <v>14529280</v>
      </c>
      <c r="AR89" s="1731" t="s">
        <v>1323</v>
      </c>
      <c r="AS89" s="1731" t="s">
        <v>1246</v>
      </c>
      <c r="AT89" s="1732" t="s">
        <v>2237</v>
      </c>
      <c r="AV89" s="1820">
        <v>29806802</v>
      </c>
      <c r="AW89" s="1821">
        <v>26662733</v>
      </c>
      <c r="AX89" s="1821">
        <v>22633674</v>
      </c>
      <c r="AY89" s="1821">
        <v>17941949</v>
      </c>
      <c r="AZ89" s="1821">
        <v>15656760</v>
      </c>
      <c r="BA89" s="1821">
        <v>14529280</v>
      </c>
      <c r="BB89" s="1821">
        <v>0</v>
      </c>
      <c r="BE89" s="1718">
        <v>1534754</v>
      </c>
      <c r="BF89" s="1717">
        <v>1609315</v>
      </c>
    </row>
    <row r="90" spans="1:58" s="971" customFormat="1" ht="16.2">
      <c r="A90" s="1730" t="s">
        <v>1069</v>
      </c>
      <c r="B90" s="1010" t="s">
        <v>2236</v>
      </c>
      <c r="C90" s="967">
        <v>5000000</v>
      </c>
      <c r="D90" s="967">
        <v>2812703</v>
      </c>
      <c r="E90" s="967">
        <v>2187297</v>
      </c>
      <c r="F90" s="981">
        <v>1085615</v>
      </c>
      <c r="G90" s="1824">
        <v>715662</v>
      </c>
      <c r="H90" s="967">
        <v>59881</v>
      </c>
      <c r="I90" s="967">
        <v>622026</v>
      </c>
      <c r="J90" s="1824">
        <v>705307</v>
      </c>
      <c r="K90" s="967">
        <v>132332</v>
      </c>
      <c r="L90" s="967">
        <v>35620</v>
      </c>
      <c r="M90" s="967">
        <v>67455</v>
      </c>
      <c r="N90" s="967">
        <v>54383</v>
      </c>
      <c r="O90" s="967">
        <v>69799</v>
      </c>
      <c r="P90" s="967">
        <v>128332</v>
      </c>
      <c r="Q90" s="967">
        <v>74224</v>
      </c>
      <c r="R90" s="967">
        <v>59881</v>
      </c>
      <c r="S90" s="967">
        <v>48215</v>
      </c>
      <c r="T90" s="967">
        <v>35066</v>
      </c>
      <c r="U90" s="967">
        <v>0</v>
      </c>
      <c r="V90" s="967">
        <v>0</v>
      </c>
      <c r="W90" s="1824">
        <v>1790922</v>
      </c>
      <c r="X90" s="1824">
        <v>1021781</v>
      </c>
      <c r="Y90" s="967">
        <v>0</v>
      </c>
      <c r="Z90" s="967">
        <v>0</v>
      </c>
      <c r="AA90" s="967">
        <v>0</v>
      </c>
      <c r="AB90" s="967">
        <v>0</v>
      </c>
      <c r="AC90" s="967">
        <v>0</v>
      </c>
      <c r="AD90" s="967">
        <v>0</v>
      </c>
      <c r="AE90" s="967">
        <v>119121</v>
      </c>
      <c r="AF90" s="967">
        <v>119121</v>
      </c>
      <c r="AG90" s="967">
        <v>119121</v>
      </c>
      <c r="AH90" s="967">
        <v>119121</v>
      </c>
      <c r="AI90" s="967">
        <v>95297</v>
      </c>
      <c r="AJ90" s="967">
        <v>450000</v>
      </c>
      <c r="AK90" s="1824">
        <v>2812703</v>
      </c>
      <c r="AL90" s="968" t="s">
        <v>1314</v>
      </c>
      <c r="AM90" s="1824">
        <v>0</v>
      </c>
      <c r="AN90" s="1824">
        <v>0</v>
      </c>
      <c r="AO90" s="1824">
        <v>0</v>
      </c>
      <c r="AP90" s="1824">
        <v>0</v>
      </c>
      <c r="AQ90" s="1824">
        <v>0</v>
      </c>
      <c r="AR90" s="1720" t="s">
        <v>1314</v>
      </c>
      <c r="AS90" s="1721" t="s">
        <v>2233</v>
      </c>
      <c r="AT90" s="1722" t="s">
        <v>2234</v>
      </c>
      <c r="AV90" s="1826">
        <v>1021781</v>
      </c>
      <c r="AW90" s="1827">
        <v>0</v>
      </c>
      <c r="AX90" s="1827">
        <v>0</v>
      </c>
      <c r="AY90" s="1827">
        <v>0</v>
      </c>
      <c r="AZ90" s="1827">
        <v>0</v>
      </c>
      <c r="BA90" s="1827">
        <v>0</v>
      </c>
      <c r="BB90" s="1827">
        <v>0</v>
      </c>
      <c r="BE90" s="1724">
        <v>715662</v>
      </c>
      <c r="BF90" s="1725">
        <v>306119</v>
      </c>
    </row>
    <row r="91" spans="1:58" s="971" customFormat="1">
      <c r="A91" s="599" t="s">
        <v>1073</v>
      </c>
      <c r="B91" s="599" t="s">
        <v>1076</v>
      </c>
      <c r="C91" s="967">
        <v>11400000</v>
      </c>
      <c r="D91" s="967">
        <v>8045334</v>
      </c>
      <c r="E91" s="967">
        <v>3354666</v>
      </c>
      <c r="F91" s="981">
        <v>30554</v>
      </c>
      <c r="G91" s="1824">
        <v>600002</v>
      </c>
      <c r="H91" s="967">
        <v>39320</v>
      </c>
      <c r="I91" s="967">
        <v>227295</v>
      </c>
      <c r="J91" s="1824">
        <v>409232</v>
      </c>
      <c r="K91" s="967">
        <v>45587</v>
      </c>
      <c r="L91" s="967">
        <v>20609</v>
      </c>
      <c r="M91" s="967">
        <v>9762</v>
      </c>
      <c r="N91" s="967">
        <v>38301</v>
      </c>
      <c r="O91" s="967">
        <v>15949</v>
      </c>
      <c r="P91" s="967">
        <v>31642</v>
      </c>
      <c r="Q91" s="967">
        <v>26125</v>
      </c>
      <c r="R91" s="967">
        <v>39320</v>
      </c>
      <c r="S91" s="967">
        <v>52812</v>
      </c>
      <c r="T91" s="967">
        <v>36375</v>
      </c>
      <c r="U91" s="967">
        <v>36375</v>
      </c>
      <c r="V91" s="967">
        <v>56375</v>
      </c>
      <c r="W91" s="1824">
        <v>439786</v>
      </c>
      <c r="X91" s="1824">
        <v>594217</v>
      </c>
      <c r="Y91" s="967">
        <v>39236</v>
      </c>
      <c r="Z91" s="967">
        <v>39236</v>
      </c>
      <c r="AA91" s="967">
        <v>122621</v>
      </c>
      <c r="AB91" s="967">
        <v>39236</v>
      </c>
      <c r="AC91" s="967">
        <v>39236</v>
      </c>
      <c r="AD91" s="967">
        <v>59236</v>
      </c>
      <c r="AE91" s="967">
        <v>39236</v>
      </c>
      <c r="AF91" s="967">
        <v>39236</v>
      </c>
      <c r="AG91" s="967">
        <v>39236</v>
      </c>
      <c r="AH91" s="967">
        <v>39236</v>
      </c>
      <c r="AI91" s="967">
        <v>39236</v>
      </c>
      <c r="AJ91" s="967">
        <v>59236</v>
      </c>
      <c r="AK91" s="1824">
        <v>1034003</v>
      </c>
      <c r="AL91" s="968" t="s">
        <v>1314</v>
      </c>
      <c r="AM91" s="1824">
        <v>753096</v>
      </c>
      <c r="AN91" s="1824">
        <v>1220293</v>
      </c>
      <c r="AO91" s="1824">
        <v>1163262</v>
      </c>
      <c r="AP91" s="1824">
        <v>680680</v>
      </c>
      <c r="AQ91" s="1824">
        <v>3194000</v>
      </c>
      <c r="AR91" s="1825" t="s">
        <v>1314</v>
      </c>
      <c r="AS91" s="1721" t="s">
        <v>2233</v>
      </c>
      <c r="AT91" s="1722" t="s">
        <v>2234</v>
      </c>
      <c r="AV91" s="1826">
        <v>7605548</v>
      </c>
      <c r="AW91" s="1827">
        <v>7011331</v>
      </c>
      <c r="AX91" s="1827">
        <v>6258235</v>
      </c>
      <c r="AY91" s="1827">
        <v>5037942</v>
      </c>
      <c r="AZ91" s="1827">
        <v>3874680</v>
      </c>
      <c r="BA91" s="1827">
        <v>3194000</v>
      </c>
      <c r="BB91" s="1827">
        <v>0</v>
      </c>
      <c r="BE91" s="1724">
        <v>600002</v>
      </c>
      <c r="BF91" s="1725">
        <v>-5785</v>
      </c>
    </row>
    <row r="92" spans="1:58" s="971" customFormat="1">
      <c r="A92" s="865" t="s">
        <v>642</v>
      </c>
      <c r="B92" s="599" t="s">
        <v>1079</v>
      </c>
      <c r="C92" s="967">
        <v>9400000</v>
      </c>
      <c r="D92" s="967">
        <v>6304845</v>
      </c>
      <c r="E92" s="967">
        <v>3095155</v>
      </c>
      <c r="F92" s="981">
        <v>195311</v>
      </c>
      <c r="G92" s="1824"/>
      <c r="H92" s="967">
        <v>228639</v>
      </c>
      <c r="I92" s="967">
        <v>1736331</v>
      </c>
      <c r="J92" s="1824">
        <v>2385469</v>
      </c>
      <c r="K92" s="967">
        <v>192284</v>
      </c>
      <c r="L92" s="967">
        <v>168002</v>
      </c>
      <c r="M92" s="967">
        <v>248990</v>
      </c>
      <c r="N92" s="967">
        <v>175345</v>
      </c>
      <c r="O92" s="967">
        <v>215943</v>
      </c>
      <c r="P92" s="967">
        <v>296016</v>
      </c>
      <c r="Q92" s="967">
        <v>211112</v>
      </c>
      <c r="R92" s="967">
        <v>228639</v>
      </c>
      <c r="S92" s="967">
        <v>175330</v>
      </c>
      <c r="T92" s="967">
        <v>147936</v>
      </c>
      <c r="U92" s="967">
        <v>147936</v>
      </c>
      <c r="V92" s="967">
        <v>177936</v>
      </c>
      <c r="W92" s="1824">
        <v>2580780</v>
      </c>
      <c r="X92" s="1824">
        <v>3724065</v>
      </c>
      <c r="Y92" s="967">
        <v>160813</v>
      </c>
      <c r="Z92" s="967">
        <v>160813</v>
      </c>
      <c r="AA92" s="967">
        <v>160813</v>
      </c>
      <c r="AB92" s="967">
        <v>160813</v>
      </c>
      <c r="AC92" s="967">
        <v>160813</v>
      </c>
      <c r="AD92" s="967">
        <v>50000</v>
      </c>
      <c r="AE92" s="967">
        <v>0</v>
      </c>
      <c r="AF92" s="967">
        <v>0</v>
      </c>
      <c r="AG92" s="967">
        <v>0</v>
      </c>
      <c r="AH92" s="967">
        <v>0</v>
      </c>
      <c r="AI92" s="967">
        <v>0</v>
      </c>
      <c r="AJ92" s="967">
        <v>2870000</v>
      </c>
      <c r="AK92" s="1824">
        <v>6304845</v>
      </c>
      <c r="AL92" s="968" t="s">
        <v>1314</v>
      </c>
      <c r="AM92" s="1824">
        <v>0</v>
      </c>
      <c r="AN92" s="1824">
        <v>0</v>
      </c>
      <c r="AO92" s="1824">
        <v>0</v>
      </c>
      <c r="AP92" s="1824">
        <v>0</v>
      </c>
      <c r="AQ92" s="1824">
        <v>0</v>
      </c>
      <c r="AR92" s="1825" t="s">
        <v>1314</v>
      </c>
      <c r="AS92" s="1721" t="s">
        <v>2233</v>
      </c>
      <c r="AT92" s="1722" t="s">
        <v>2234</v>
      </c>
      <c r="AV92" s="1826">
        <v>3724065</v>
      </c>
      <c r="AW92" s="1827">
        <v>0</v>
      </c>
      <c r="AX92" s="1827">
        <v>0</v>
      </c>
      <c r="AY92" s="1827">
        <v>0</v>
      </c>
      <c r="AZ92" s="1827">
        <v>0</v>
      </c>
      <c r="BA92" s="1827">
        <v>0</v>
      </c>
      <c r="BB92" s="1827">
        <v>0</v>
      </c>
      <c r="BE92" s="1724"/>
      <c r="BF92" s="1725">
        <v>3724065</v>
      </c>
    </row>
    <row r="93" spans="1:58" s="971" customFormat="1">
      <c r="A93" s="865" t="s">
        <v>1080</v>
      </c>
      <c r="B93" s="599" t="s">
        <v>1247</v>
      </c>
      <c r="C93" s="967">
        <v>1330000</v>
      </c>
      <c r="D93" s="967">
        <v>575468</v>
      </c>
      <c r="E93" s="967">
        <v>754532</v>
      </c>
      <c r="F93" s="981">
        <v>0</v>
      </c>
      <c r="G93" s="1824"/>
      <c r="H93" s="967">
        <v>7849</v>
      </c>
      <c r="I93" s="967">
        <v>176468</v>
      </c>
      <c r="J93" s="1824">
        <v>575468</v>
      </c>
      <c r="K93" s="967">
        <v>0</v>
      </c>
      <c r="L93" s="967">
        <v>0</v>
      </c>
      <c r="M93" s="967">
        <v>0</v>
      </c>
      <c r="N93" s="967">
        <v>29426</v>
      </c>
      <c r="O93" s="967">
        <v>45581</v>
      </c>
      <c r="P93" s="967">
        <v>81656</v>
      </c>
      <c r="Q93" s="967">
        <v>11956</v>
      </c>
      <c r="R93" s="967">
        <v>7849</v>
      </c>
      <c r="S93" s="967">
        <v>0</v>
      </c>
      <c r="T93" s="967">
        <v>0</v>
      </c>
      <c r="U93" s="967">
        <v>0</v>
      </c>
      <c r="V93" s="967">
        <v>399000</v>
      </c>
      <c r="W93" s="1824">
        <v>575468</v>
      </c>
      <c r="X93" s="1824">
        <v>0</v>
      </c>
      <c r="Y93" s="967">
        <v>0</v>
      </c>
      <c r="Z93" s="967">
        <v>0</v>
      </c>
      <c r="AA93" s="967">
        <v>0</v>
      </c>
      <c r="AB93" s="967">
        <v>0</v>
      </c>
      <c r="AC93" s="967">
        <v>0</v>
      </c>
      <c r="AD93" s="967">
        <v>0</v>
      </c>
      <c r="AE93" s="967">
        <v>0</v>
      </c>
      <c r="AF93" s="967">
        <v>0</v>
      </c>
      <c r="AG93" s="967">
        <v>0</v>
      </c>
      <c r="AH93" s="967">
        <v>0</v>
      </c>
      <c r="AI93" s="967">
        <v>0</v>
      </c>
      <c r="AJ93" s="967">
        <v>0</v>
      </c>
      <c r="AK93" s="1824">
        <v>575468</v>
      </c>
      <c r="AL93" s="968" t="s">
        <v>1314</v>
      </c>
      <c r="AM93" s="1824">
        <v>0</v>
      </c>
      <c r="AN93" s="1824">
        <v>0</v>
      </c>
      <c r="AO93" s="1824">
        <v>0</v>
      </c>
      <c r="AP93" s="1824">
        <v>0</v>
      </c>
      <c r="AQ93" s="1824">
        <v>0</v>
      </c>
      <c r="AR93" s="1825" t="s">
        <v>1314</v>
      </c>
      <c r="AS93" s="1721" t="s">
        <v>2233</v>
      </c>
      <c r="AT93" s="1722" t="s">
        <v>2234</v>
      </c>
      <c r="AV93" s="1826">
        <v>0</v>
      </c>
      <c r="AW93" s="1827">
        <v>0</v>
      </c>
      <c r="AX93" s="1827">
        <v>0</v>
      </c>
      <c r="AY93" s="1827">
        <v>0</v>
      </c>
      <c r="AZ93" s="1827">
        <v>0</v>
      </c>
      <c r="BA93" s="1827">
        <v>0</v>
      </c>
      <c r="BB93" s="1827">
        <v>0</v>
      </c>
      <c r="BE93" s="1724"/>
      <c r="BF93" s="1725">
        <v>0</v>
      </c>
    </row>
    <row r="94" spans="1:58" s="971" customFormat="1">
      <c r="A94" s="865" t="s">
        <v>1082</v>
      </c>
      <c r="B94" s="599" t="s">
        <v>1248</v>
      </c>
      <c r="C94" s="967">
        <v>15000000</v>
      </c>
      <c r="D94" s="967">
        <v>10227649</v>
      </c>
      <c r="E94" s="967">
        <v>4772351</v>
      </c>
      <c r="F94" s="981">
        <v>0</v>
      </c>
      <c r="G94" s="1824"/>
      <c r="H94" s="967">
        <v>0</v>
      </c>
      <c r="I94" s="967">
        <v>0</v>
      </c>
      <c r="J94" s="1824">
        <v>24110</v>
      </c>
      <c r="K94" s="967">
        <v>0</v>
      </c>
      <c r="L94" s="967">
        <v>0</v>
      </c>
      <c r="M94" s="967">
        <v>0</v>
      </c>
      <c r="N94" s="967">
        <v>0</v>
      </c>
      <c r="O94" s="967">
        <v>0</v>
      </c>
      <c r="P94" s="967">
        <v>0</v>
      </c>
      <c r="Q94" s="967">
        <v>0</v>
      </c>
      <c r="R94" s="967">
        <v>0</v>
      </c>
      <c r="S94" s="967">
        <v>1096</v>
      </c>
      <c r="T94" s="967">
        <v>1096</v>
      </c>
      <c r="U94" s="967">
        <v>10959</v>
      </c>
      <c r="V94" s="967">
        <v>10959</v>
      </c>
      <c r="W94" s="1824">
        <v>24110</v>
      </c>
      <c r="X94" s="1824">
        <v>2888904</v>
      </c>
      <c r="Y94" s="967">
        <v>238242</v>
      </c>
      <c r="Z94" s="967">
        <v>238242</v>
      </c>
      <c r="AA94" s="967">
        <v>238242</v>
      </c>
      <c r="AB94" s="967">
        <v>238242</v>
      </c>
      <c r="AC94" s="967">
        <v>238242</v>
      </c>
      <c r="AD94" s="967">
        <v>238242</v>
      </c>
      <c r="AE94" s="967">
        <v>238242</v>
      </c>
      <c r="AF94" s="967">
        <v>238242</v>
      </c>
      <c r="AG94" s="967">
        <v>238242</v>
      </c>
      <c r="AH94" s="967">
        <v>238242</v>
      </c>
      <c r="AI94" s="967">
        <v>238242</v>
      </c>
      <c r="AJ94" s="967">
        <v>268242</v>
      </c>
      <c r="AK94" s="1824">
        <v>2913014</v>
      </c>
      <c r="AL94" s="968" t="s">
        <v>1314</v>
      </c>
      <c r="AM94" s="1824">
        <v>2530740</v>
      </c>
      <c r="AN94" s="1824">
        <v>818298</v>
      </c>
      <c r="AO94" s="1824">
        <v>858516</v>
      </c>
      <c r="AP94" s="1824">
        <v>2652689</v>
      </c>
      <c r="AQ94" s="1824">
        <v>454392</v>
      </c>
      <c r="AR94" s="1825" t="s">
        <v>1314</v>
      </c>
      <c r="AS94" s="1721" t="s">
        <v>2233</v>
      </c>
      <c r="AT94" s="1722" t="s">
        <v>2234</v>
      </c>
      <c r="AV94" s="1826">
        <v>10203539</v>
      </c>
      <c r="AW94" s="1827">
        <v>7314635</v>
      </c>
      <c r="AX94" s="1827">
        <v>4783895</v>
      </c>
      <c r="AY94" s="1827">
        <v>3965597</v>
      </c>
      <c r="AZ94" s="1827">
        <v>3107081</v>
      </c>
      <c r="BA94" s="1827">
        <v>454392</v>
      </c>
      <c r="BB94" s="1827">
        <v>0</v>
      </c>
      <c r="BE94" s="1724"/>
      <c r="BF94" s="1725">
        <v>2888904</v>
      </c>
    </row>
    <row r="95" spans="1:58" s="990" customFormat="1">
      <c r="A95" s="866" t="s">
        <v>1249</v>
      </c>
      <c r="B95" s="867" t="s">
        <v>1085</v>
      </c>
      <c r="C95" s="947">
        <v>14840000</v>
      </c>
      <c r="D95" s="947">
        <v>9953304</v>
      </c>
      <c r="E95" s="947">
        <v>4886696</v>
      </c>
      <c r="F95" s="984">
        <v>0</v>
      </c>
      <c r="G95" s="1829"/>
      <c r="H95" s="947">
        <v>14921</v>
      </c>
      <c r="I95" s="947">
        <v>14921</v>
      </c>
      <c r="J95" s="1829">
        <v>234083</v>
      </c>
      <c r="K95" s="947">
        <v>0</v>
      </c>
      <c r="L95" s="947">
        <v>0</v>
      </c>
      <c r="M95" s="947">
        <v>0</v>
      </c>
      <c r="N95" s="947">
        <v>0</v>
      </c>
      <c r="O95" s="947">
        <v>0</v>
      </c>
      <c r="P95" s="947">
        <v>0</v>
      </c>
      <c r="Q95" s="947">
        <v>0</v>
      </c>
      <c r="R95" s="947">
        <v>14921</v>
      </c>
      <c r="S95" s="947">
        <v>43832</v>
      </c>
      <c r="T95" s="947">
        <v>43832</v>
      </c>
      <c r="U95" s="947">
        <v>65749</v>
      </c>
      <c r="V95" s="947">
        <v>65749</v>
      </c>
      <c r="W95" s="1829">
        <v>234083</v>
      </c>
      <c r="X95" s="1829">
        <v>2531541</v>
      </c>
      <c r="Y95" s="947">
        <v>119121</v>
      </c>
      <c r="Z95" s="947">
        <v>119121</v>
      </c>
      <c r="AA95" s="947">
        <v>238242</v>
      </c>
      <c r="AB95" s="947">
        <v>238242</v>
      </c>
      <c r="AC95" s="947">
        <v>238242</v>
      </c>
      <c r="AD95" s="947">
        <v>238242</v>
      </c>
      <c r="AE95" s="947">
        <v>238242</v>
      </c>
      <c r="AF95" s="947">
        <v>238242</v>
      </c>
      <c r="AG95" s="947">
        <v>238242</v>
      </c>
      <c r="AH95" s="947">
        <v>238242</v>
      </c>
      <c r="AI95" s="947">
        <v>238242</v>
      </c>
      <c r="AJ95" s="947">
        <v>149121</v>
      </c>
      <c r="AK95" s="1829">
        <v>2765624</v>
      </c>
      <c r="AL95" s="1830" t="s">
        <v>1323</v>
      </c>
      <c r="AM95" s="1829">
        <v>2280666</v>
      </c>
      <c r="AN95" s="1829">
        <v>1606596</v>
      </c>
      <c r="AO95" s="1829">
        <v>1626275</v>
      </c>
      <c r="AP95" s="1829">
        <v>1644143</v>
      </c>
      <c r="AQ95" s="1829">
        <v>30000</v>
      </c>
      <c r="AR95" s="1731" t="s">
        <v>1323</v>
      </c>
      <c r="AS95" s="1731" t="s">
        <v>1246</v>
      </c>
      <c r="AT95" s="1732" t="s">
        <v>2237</v>
      </c>
      <c r="AV95" s="1820">
        <v>9719221</v>
      </c>
      <c r="AW95" s="1821">
        <v>7187680</v>
      </c>
      <c r="AX95" s="1821">
        <v>4907014</v>
      </c>
      <c r="AY95" s="1821">
        <v>3300418</v>
      </c>
      <c r="AZ95" s="1821">
        <v>1674143</v>
      </c>
      <c r="BA95" s="1821">
        <v>30000</v>
      </c>
      <c r="BB95" s="1821">
        <v>0</v>
      </c>
      <c r="BE95" s="1733"/>
      <c r="BF95" s="1734">
        <v>2531541</v>
      </c>
    </row>
    <row r="96" spans="1:58" s="663" customFormat="1">
      <c r="A96" s="1120" t="s">
        <v>647</v>
      </c>
      <c r="B96" s="751" t="s">
        <v>1324</v>
      </c>
      <c r="C96" s="948"/>
      <c r="D96" s="948"/>
      <c r="E96" s="948"/>
      <c r="F96" s="1735"/>
      <c r="G96" s="1818">
        <v>671141</v>
      </c>
      <c r="H96" s="948">
        <v>321</v>
      </c>
      <c r="I96" s="948">
        <v>672383</v>
      </c>
      <c r="J96" s="1818">
        <v>845522</v>
      </c>
      <c r="K96" s="948">
        <v>0</v>
      </c>
      <c r="L96" s="948">
        <v>0</v>
      </c>
      <c r="M96" s="948">
        <v>12379</v>
      </c>
      <c r="N96" s="948">
        <v>145479</v>
      </c>
      <c r="O96" s="948">
        <v>162693</v>
      </c>
      <c r="P96" s="948">
        <v>260246</v>
      </c>
      <c r="Q96" s="948">
        <v>91265</v>
      </c>
      <c r="R96" s="948">
        <v>321</v>
      </c>
      <c r="S96" s="948">
        <v>8766</v>
      </c>
      <c r="T96" s="948">
        <v>54791</v>
      </c>
      <c r="U96" s="948">
        <v>54791</v>
      </c>
      <c r="V96" s="948">
        <v>54791</v>
      </c>
      <c r="W96" s="1818">
        <v>845522</v>
      </c>
      <c r="X96" s="1818">
        <v>285888</v>
      </c>
      <c r="Y96" s="948">
        <v>23824</v>
      </c>
      <c r="Z96" s="948">
        <v>23824</v>
      </c>
      <c r="AA96" s="948">
        <v>23824</v>
      </c>
      <c r="AB96" s="948">
        <v>23824</v>
      </c>
      <c r="AC96" s="948">
        <v>23824</v>
      </c>
      <c r="AD96" s="948">
        <v>23824</v>
      </c>
      <c r="AE96" s="948">
        <v>23824</v>
      </c>
      <c r="AF96" s="948">
        <v>23824</v>
      </c>
      <c r="AG96" s="948">
        <v>23824</v>
      </c>
      <c r="AH96" s="948">
        <v>23824</v>
      </c>
      <c r="AI96" s="948">
        <v>23824</v>
      </c>
      <c r="AJ96" s="948">
        <v>23824</v>
      </c>
      <c r="AK96" s="1818">
        <v>1131410</v>
      </c>
      <c r="AL96" s="1819" t="s">
        <v>1308</v>
      </c>
      <c r="AM96" s="1818">
        <v>810222</v>
      </c>
      <c r="AN96" s="1818">
        <v>848298</v>
      </c>
      <c r="AO96" s="1818">
        <v>316840</v>
      </c>
      <c r="AP96" s="1818">
        <v>60000</v>
      </c>
      <c r="AQ96" s="1818">
        <v>60000</v>
      </c>
      <c r="AR96" s="1714" t="s">
        <v>2270</v>
      </c>
      <c r="AS96" s="1714" t="s">
        <v>2238</v>
      </c>
      <c r="AT96" s="1714" t="s">
        <v>2239</v>
      </c>
      <c r="AV96" s="1820" t="s">
        <v>866</v>
      </c>
      <c r="AW96" s="1821" t="s">
        <v>866</v>
      </c>
      <c r="AX96" s="1821" t="s">
        <v>866</v>
      </c>
      <c r="AY96" s="1821" t="s">
        <v>866</v>
      </c>
      <c r="AZ96" s="1821" t="s">
        <v>866</v>
      </c>
      <c r="BA96" s="1821" t="s">
        <v>866</v>
      </c>
      <c r="BB96" s="1821" t="s">
        <v>866</v>
      </c>
      <c r="BE96" s="1718">
        <v>671141</v>
      </c>
      <c r="BF96" s="1736">
        <v>-385253</v>
      </c>
    </row>
    <row r="97" spans="1:58" s="971" customFormat="1">
      <c r="A97" s="1730" t="s">
        <v>1092</v>
      </c>
      <c r="B97" s="1010" t="s">
        <v>1325</v>
      </c>
      <c r="C97" s="966">
        <v>52500</v>
      </c>
      <c r="D97" s="966">
        <v>39200</v>
      </c>
      <c r="E97" s="966">
        <v>13300</v>
      </c>
      <c r="F97" s="1737"/>
      <c r="G97" s="1824"/>
      <c r="H97" s="967">
        <v>0</v>
      </c>
      <c r="I97" s="967">
        <v>39200</v>
      </c>
      <c r="J97" s="1824">
        <v>39200</v>
      </c>
      <c r="K97" s="967">
        <v>0</v>
      </c>
      <c r="L97" s="967">
        <v>0</v>
      </c>
      <c r="M97" s="967">
        <v>0</v>
      </c>
      <c r="N97" s="967">
        <v>0</v>
      </c>
      <c r="O97" s="967">
        <v>39200</v>
      </c>
      <c r="P97" s="967">
        <v>0</v>
      </c>
      <c r="Q97" s="967">
        <v>0</v>
      </c>
      <c r="R97" s="967">
        <v>0</v>
      </c>
      <c r="S97" s="967">
        <v>0</v>
      </c>
      <c r="T97" s="967">
        <v>0</v>
      </c>
      <c r="U97" s="967">
        <v>0</v>
      </c>
      <c r="V97" s="967">
        <v>0</v>
      </c>
      <c r="W97" s="1824">
        <v>39200</v>
      </c>
      <c r="X97" s="1824">
        <v>0</v>
      </c>
      <c r="Y97" s="967">
        <v>0</v>
      </c>
      <c r="Z97" s="967">
        <v>0</v>
      </c>
      <c r="AA97" s="967">
        <v>0</v>
      </c>
      <c r="AB97" s="967">
        <v>0</v>
      </c>
      <c r="AC97" s="967">
        <v>0</v>
      </c>
      <c r="AD97" s="967">
        <v>0</v>
      </c>
      <c r="AE97" s="967">
        <v>0</v>
      </c>
      <c r="AF97" s="967">
        <v>0</v>
      </c>
      <c r="AG97" s="967">
        <v>0</v>
      </c>
      <c r="AH97" s="967">
        <v>0</v>
      </c>
      <c r="AI97" s="967">
        <v>0</v>
      </c>
      <c r="AJ97" s="967">
        <v>0</v>
      </c>
      <c r="AK97" s="1824">
        <v>39200</v>
      </c>
      <c r="AL97" s="968" t="s">
        <v>1314</v>
      </c>
      <c r="AM97" s="1824">
        <v>0</v>
      </c>
      <c r="AN97" s="1824">
        <v>0</v>
      </c>
      <c r="AO97" s="1824">
        <v>0</v>
      </c>
      <c r="AP97" s="1824">
        <v>0</v>
      </c>
      <c r="AQ97" s="1824">
        <v>0</v>
      </c>
      <c r="AR97" s="968" t="s">
        <v>1314</v>
      </c>
      <c r="AS97" s="1720" t="s">
        <v>1246</v>
      </c>
      <c r="AT97" s="1720" t="s">
        <v>2240</v>
      </c>
      <c r="AV97" s="1826" t="s">
        <v>866</v>
      </c>
      <c r="AW97" s="1827" t="s">
        <v>866</v>
      </c>
      <c r="AX97" s="1827" t="s">
        <v>866</v>
      </c>
      <c r="AY97" s="1827" t="s">
        <v>866</v>
      </c>
      <c r="AZ97" s="1827" t="s">
        <v>866</v>
      </c>
      <c r="BA97" s="1827" t="s">
        <v>866</v>
      </c>
      <c r="BB97" s="1827" t="s">
        <v>866</v>
      </c>
      <c r="BE97" s="1724"/>
      <c r="BF97" s="1725">
        <v>0</v>
      </c>
    </row>
    <row r="98" spans="1:58" s="1745" customFormat="1">
      <c r="A98" s="1738" t="s">
        <v>651</v>
      </c>
      <c r="B98" s="1739" t="s">
        <v>2241</v>
      </c>
      <c r="C98" s="1740"/>
      <c r="D98" s="1740"/>
      <c r="E98" s="1740"/>
      <c r="F98" s="1741"/>
      <c r="G98" s="1818">
        <v>227290</v>
      </c>
      <c r="H98" s="1740">
        <v>93219</v>
      </c>
      <c r="I98" s="1740">
        <v>367169</v>
      </c>
      <c r="J98" s="1831">
        <v>479490</v>
      </c>
      <c r="K98" s="1115">
        <v>5319</v>
      </c>
      <c r="L98" s="947">
        <v>0</v>
      </c>
      <c r="M98" s="947">
        <v>92977</v>
      </c>
      <c r="N98" s="947">
        <v>125778</v>
      </c>
      <c r="O98" s="947">
        <v>19783</v>
      </c>
      <c r="P98" s="947">
        <v>16641</v>
      </c>
      <c r="Q98" s="947">
        <v>13452</v>
      </c>
      <c r="R98" s="947">
        <v>93219</v>
      </c>
      <c r="S98" s="946">
        <v>57530</v>
      </c>
      <c r="T98" s="946">
        <v>21916</v>
      </c>
      <c r="U98" s="946">
        <v>21916</v>
      </c>
      <c r="V98" s="946">
        <v>10959</v>
      </c>
      <c r="W98" s="1831">
        <v>479490</v>
      </c>
      <c r="X98" s="1831">
        <v>714732</v>
      </c>
      <c r="Y98" s="1740">
        <v>59561</v>
      </c>
      <c r="Z98" s="1740">
        <v>59561</v>
      </c>
      <c r="AA98" s="1740">
        <v>59561</v>
      </c>
      <c r="AB98" s="1740">
        <v>59561</v>
      </c>
      <c r="AC98" s="1740">
        <v>59561</v>
      </c>
      <c r="AD98" s="1740">
        <v>59561</v>
      </c>
      <c r="AE98" s="1740">
        <v>59561</v>
      </c>
      <c r="AF98" s="1740">
        <v>59561</v>
      </c>
      <c r="AG98" s="1740">
        <v>59561</v>
      </c>
      <c r="AH98" s="1740">
        <v>59561</v>
      </c>
      <c r="AI98" s="1740">
        <v>59561</v>
      </c>
      <c r="AJ98" s="1740">
        <v>59561</v>
      </c>
      <c r="AK98" s="1831">
        <v>1194222</v>
      </c>
      <c r="AL98" s="1832" t="s">
        <v>2103</v>
      </c>
      <c r="AM98" s="1831">
        <v>300088</v>
      </c>
      <c r="AN98" s="1831">
        <v>240431</v>
      </c>
      <c r="AO98" s="1831">
        <v>0</v>
      </c>
      <c r="AP98" s="1818">
        <v>0</v>
      </c>
      <c r="AQ98" s="1818">
        <v>0</v>
      </c>
      <c r="AR98" s="1744" t="s">
        <v>2242</v>
      </c>
      <c r="AS98" s="1744" t="s">
        <v>2243</v>
      </c>
      <c r="AT98" s="1744" t="s">
        <v>2244</v>
      </c>
      <c r="AV98" s="1820" t="s">
        <v>866</v>
      </c>
      <c r="AW98" s="1821" t="s">
        <v>866</v>
      </c>
      <c r="AX98" s="1821" t="s">
        <v>866</v>
      </c>
      <c r="AY98" s="1821" t="s">
        <v>866</v>
      </c>
      <c r="AZ98" s="1821" t="s">
        <v>866</v>
      </c>
      <c r="BA98" s="1821" t="s">
        <v>866</v>
      </c>
      <c r="BB98" s="1821" t="s">
        <v>866</v>
      </c>
      <c r="BE98" s="1718">
        <v>227290</v>
      </c>
      <c r="BF98" s="1717">
        <v>487442</v>
      </c>
    </row>
    <row r="99" spans="1:58" s="990" customFormat="1">
      <c r="A99" s="1746" t="s">
        <v>1251</v>
      </c>
      <c r="B99" s="867" t="s">
        <v>1672</v>
      </c>
      <c r="C99" s="947">
        <v>0</v>
      </c>
      <c r="D99" s="947">
        <v>0</v>
      </c>
      <c r="E99" s="947">
        <v>0</v>
      </c>
      <c r="F99" s="984">
        <v>0</v>
      </c>
      <c r="G99" s="1829">
        <v>4590825</v>
      </c>
      <c r="H99" s="947">
        <v>0</v>
      </c>
      <c r="I99" s="947">
        <v>0</v>
      </c>
      <c r="J99" s="1829">
        <v>0</v>
      </c>
      <c r="K99" s="947">
        <v>0</v>
      </c>
      <c r="L99" s="947">
        <v>0</v>
      </c>
      <c r="M99" s="947">
        <v>0</v>
      </c>
      <c r="N99" s="947">
        <v>0</v>
      </c>
      <c r="O99" s="947">
        <v>0</v>
      </c>
      <c r="P99" s="947">
        <v>0</v>
      </c>
      <c r="Q99" s="947">
        <v>0</v>
      </c>
      <c r="R99" s="947">
        <v>0</v>
      </c>
      <c r="S99" s="947">
        <v>0</v>
      </c>
      <c r="T99" s="947">
        <v>0</v>
      </c>
      <c r="U99" s="947">
        <v>0</v>
      </c>
      <c r="V99" s="947">
        <v>0</v>
      </c>
      <c r="W99" s="1829">
        <v>0</v>
      </c>
      <c r="X99" s="1829">
        <v>0</v>
      </c>
      <c r="Y99" s="947">
        <v>0</v>
      </c>
      <c r="Z99" s="947">
        <v>0</v>
      </c>
      <c r="AA99" s="947">
        <v>0</v>
      </c>
      <c r="AB99" s="947">
        <v>0</v>
      </c>
      <c r="AC99" s="947">
        <v>0</v>
      </c>
      <c r="AD99" s="947">
        <v>0</v>
      </c>
      <c r="AE99" s="947">
        <v>0</v>
      </c>
      <c r="AF99" s="947">
        <v>0</v>
      </c>
      <c r="AG99" s="947">
        <v>0</v>
      </c>
      <c r="AH99" s="947">
        <v>0</v>
      </c>
      <c r="AI99" s="947">
        <v>0</v>
      </c>
      <c r="AJ99" s="947">
        <v>0</v>
      </c>
      <c r="AK99" s="1829">
        <v>0</v>
      </c>
      <c r="AL99" s="1830" t="s">
        <v>1323</v>
      </c>
      <c r="AM99" s="1829">
        <v>0</v>
      </c>
      <c r="AN99" s="1829">
        <v>0</v>
      </c>
      <c r="AO99" s="1829">
        <v>0</v>
      </c>
      <c r="AP99" s="1829">
        <v>0</v>
      </c>
      <c r="AQ99" s="1829">
        <v>0</v>
      </c>
      <c r="AR99" s="1731" t="s">
        <v>1323</v>
      </c>
      <c r="AS99" s="1731" t="s">
        <v>1673</v>
      </c>
      <c r="AT99" s="1732" t="s">
        <v>2237</v>
      </c>
      <c r="AV99" s="1820">
        <v>0</v>
      </c>
      <c r="AW99" s="1821">
        <v>0</v>
      </c>
      <c r="AX99" s="1821">
        <v>0</v>
      </c>
      <c r="AY99" s="1821">
        <v>0</v>
      </c>
      <c r="AZ99" s="1821">
        <v>0</v>
      </c>
      <c r="BA99" s="1821">
        <v>0</v>
      </c>
      <c r="BB99" s="1821">
        <v>0</v>
      </c>
      <c r="BE99" s="1733">
        <v>3248550</v>
      </c>
      <c r="BF99" s="1734">
        <v>-3248550</v>
      </c>
    </row>
    <row r="100" spans="1:58" s="990" customFormat="1">
      <c r="A100" s="1746" t="s">
        <v>656</v>
      </c>
      <c r="B100" s="867" t="s">
        <v>1674</v>
      </c>
      <c r="C100" s="947">
        <v>0</v>
      </c>
      <c r="D100" s="947">
        <v>0</v>
      </c>
      <c r="E100" s="947">
        <v>0</v>
      </c>
      <c r="F100" s="984">
        <v>0</v>
      </c>
      <c r="G100" s="1829">
        <v>0</v>
      </c>
      <c r="H100" s="947">
        <v>0</v>
      </c>
      <c r="I100" s="947">
        <v>0</v>
      </c>
      <c r="J100" s="1829">
        <v>0</v>
      </c>
      <c r="K100" s="947">
        <v>0</v>
      </c>
      <c r="L100" s="947">
        <v>0</v>
      </c>
      <c r="M100" s="947">
        <v>0</v>
      </c>
      <c r="N100" s="947">
        <v>0</v>
      </c>
      <c r="O100" s="947">
        <v>0</v>
      </c>
      <c r="P100" s="947">
        <v>0</v>
      </c>
      <c r="Q100" s="947">
        <v>0</v>
      </c>
      <c r="R100" s="947">
        <v>0</v>
      </c>
      <c r="S100" s="947">
        <v>0</v>
      </c>
      <c r="T100" s="947">
        <v>0</v>
      </c>
      <c r="U100" s="947">
        <v>0</v>
      </c>
      <c r="V100" s="947">
        <v>0</v>
      </c>
      <c r="W100" s="1829">
        <v>0</v>
      </c>
      <c r="X100" s="1829">
        <v>0</v>
      </c>
      <c r="Y100" s="947">
        <v>0</v>
      </c>
      <c r="Z100" s="947">
        <v>0</v>
      </c>
      <c r="AA100" s="947">
        <v>0</v>
      </c>
      <c r="AB100" s="947">
        <v>0</v>
      </c>
      <c r="AC100" s="947">
        <v>0</v>
      </c>
      <c r="AD100" s="947">
        <v>0</v>
      </c>
      <c r="AE100" s="947">
        <v>0</v>
      </c>
      <c r="AF100" s="947">
        <v>0</v>
      </c>
      <c r="AG100" s="947">
        <v>0</v>
      </c>
      <c r="AH100" s="947">
        <v>0</v>
      </c>
      <c r="AI100" s="947">
        <v>0</v>
      </c>
      <c r="AJ100" s="947">
        <v>0</v>
      </c>
      <c r="AK100" s="1829">
        <v>0</v>
      </c>
      <c r="AL100" s="1830" t="s">
        <v>1323</v>
      </c>
      <c r="AM100" s="1829">
        <v>0</v>
      </c>
      <c r="AN100" s="1829">
        <v>0</v>
      </c>
      <c r="AO100" s="1829">
        <v>0</v>
      </c>
      <c r="AP100" s="1829">
        <v>0</v>
      </c>
      <c r="AQ100" s="1829">
        <v>0</v>
      </c>
      <c r="AR100" s="1731" t="s">
        <v>1323</v>
      </c>
      <c r="AS100" s="1731" t="s">
        <v>1673</v>
      </c>
      <c r="AT100" s="1732" t="s">
        <v>2237</v>
      </c>
      <c r="AV100" s="1820">
        <v>0</v>
      </c>
      <c r="AW100" s="1821">
        <v>0</v>
      </c>
      <c r="AX100" s="1821">
        <v>0</v>
      </c>
      <c r="AY100" s="1821">
        <v>0</v>
      </c>
      <c r="AZ100" s="1821">
        <v>0</v>
      </c>
      <c r="BA100" s="1821">
        <v>0</v>
      </c>
      <c r="BB100" s="1821">
        <v>0</v>
      </c>
      <c r="BE100" s="1733"/>
      <c r="BF100" s="1734">
        <v>0</v>
      </c>
    </row>
    <row r="101" spans="1:58" s="990" customFormat="1">
      <c r="A101" s="1746" t="s">
        <v>657</v>
      </c>
      <c r="B101" s="867" t="s">
        <v>2245</v>
      </c>
      <c r="C101" s="947">
        <v>109000000</v>
      </c>
      <c r="D101" s="947">
        <v>72632285</v>
      </c>
      <c r="E101" s="947">
        <v>36367715</v>
      </c>
      <c r="F101" s="984">
        <v>0</v>
      </c>
      <c r="G101" s="1829">
        <v>0</v>
      </c>
      <c r="H101" s="947">
        <v>0</v>
      </c>
      <c r="I101" s="947">
        <v>0</v>
      </c>
      <c r="J101" s="1829">
        <v>0</v>
      </c>
      <c r="K101" s="947">
        <v>0</v>
      </c>
      <c r="L101" s="947">
        <v>0</v>
      </c>
      <c r="M101" s="947">
        <v>0</v>
      </c>
      <c r="N101" s="947">
        <v>0</v>
      </c>
      <c r="O101" s="947">
        <v>0</v>
      </c>
      <c r="P101" s="947">
        <v>0</v>
      </c>
      <c r="Q101" s="947">
        <v>0</v>
      </c>
      <c r="R101" s="947">
        <v>0</v>
      </c>
      <c r="S101" s="947">
        <v>0</v>
      </c>
      <c r="T101" s="947">
        <v>0</v>
      </c>
      <c r="U101" s="947">
        <v>0</v>
      </c>
      <c r="V101" s="947">
        <v>0</v>
      </c>
      <c r="W101" s="1829">
        <v>0</v>
      </c>
      <c r="X101" s="1829">
        <v>4288356</v>
      </c>
      <c r="Y101" s="947">
        <v>0</v>
      </c>
      <c r="Z101" s="947">
        <v>0</v>
      </c>
      <c r="AA101" s="947">
        <v>0</v>
      </c>
      <c r="AB101" s="947">
        <v>119121</v>
      </c>
      <c r="AC101" s="947">
        <v>357363</v>
      </c>
      <c r="AD101" s="947">
        <v>357363</v>
      </c>
      <c r="AE101" s="947">
        <v>357363</v>
      </c>
      <c r="AF101" s="947">
        <v>476484</v>
      </c>
      <c r="AG101" s="947">
        <v>595605</v>
      </c>
      <c r="AH101" s="947">
        <v>595605</v>
      </c>
      <c r="AI101" s="947">
        <v>714726</v>
      </c>
      <c r="AJ101" s="947">
        <v>714726</v>
      </c>
      <c r="AK101" s="1829">
        <v>4288356</v>
      </c>
      <c r="AL101" s="1830" t="s">
        <v>1323</v>
      </c>
      <c r="AM101" s="1829">
        <v>6251850</v>
      </c>
      <c r="AN101" s="1829">
        <v>6569150</v>
      </c>
      <c r="AO101" s="1829">
        <v>6904300</v>
      </c>
      <c r="AP101" s="1829">
        <v>7258500</v>
      </c>
      <c r="AQ101" s="1829">
        <v>41360129</v>
      </c>
      <c r="AR101" s="1731" t="s">
        <v>1323</v>
      </c>
      <c r="AS101" s="1731" t="s">
        <v>1676</v>
      </c>
      <c r="AT101" s="1732" t="s">
        <v>2237</v>
      </c>
      <c r="AV101" s="1833">
        <v>0</v>
      </c>
      <c r="AW101" s="1834">
        <v>68343929</v>
      </c>
      <c r="AX101" s="1834">
        <v>62092079</v>
      </c>
      <c r="AY101" s="1834">
        <v>55522929</v>
      </c>
      <c r="AZ101" s="1834">
        <v>48618629</v>
      </c>
      <c r="BA101" s="1834">
        <v>41360129</v>
      </c>
      <c r="BB101" s="1834">
        <v>0</v>
      </c>
      <c r="BE101" s="1733"/>
      <c r="BF101" s="1734">
        <v>4288356</v>
      </c>
    </row>
    <row r="102" spans="1:58">
      <c r="A102" s="1749" t="s">
        <v>659</v>
      </c>
      <c r="B102" s="1147" t="s">
        <v>1677</v>
      </c>
      <c r="C102" s="1835">
        <v>76500000</v>
      </c>
      <c r="D102" s="1835">
        <v>51343045</v>
      </c>
      <c r="E102" s="1835">
        <v>25156955</v>
      </c>
      <c r="F102" s="1836">
        <v>0</v>
      </c>
      <c r="G102" s="1837">
        <v>0</v>
      </c>
      <c r="H102" s="1835">
        <v>0</v>
      </c>
      <c r="I102" s="1835">
        <v>0</v>
      </c>
      <c r="J102" s="1837">
        <v>0</v>
      </c>
      <c r="K102" s="1115">
        <v>0</v>
      </c>
      <c r="L102" s="947">
        <v>0</v>
      </c>
      <c r="M102" s="947">
        <v>0</v>
      </c>
      <c r="N102" s="947">
        <v>0</v>
      </c>
      <c r="O102" s="947">
        <v>0</v>
      </c>
      <c r="P102" s="947">
        <v>0</v>
      </c>
      <c r="Q102" s="947">
        <v>0</v>
      </c>
      <c r="R102" s="947">
        <v>0</v>
      </c>
      <c r="S102" s="946">
        <v>0</v>
      </c>
      <c r="T102" s="946">
        <v>0</v>
      </c>
      <c r="U102" s="946">
        <v>0</v>
      </c>
      <c r="V102" s="946">
        <v>0</v>
      </c>
      <c r="W102" s="1837">
        <v>0</v>
      </c>
      <c r="X102" s="1837">
        <v>0</v>
      </c>
      <c r="Y102" s="1835">
        <v>0</v>
      </c>
      <c r="Z102" s="1835">
        <v>0</v>
      </c>
      <c r="AA102" s="1835">
        <v>0</v>
      </c>
      <c r="AB102" s="1835">
        <v>0</v>
      </c>
      <c r="AC102" s="1835">
        <v>0</v>
      </c>
      <c r="AD102" s="1835">
        <v>0</v>
      </c>
      <c r="AE102" s="1835">
        <v>0</v>
      </c>
      <c r="AF102" s="1835">
        <v>0</v>
      </c>
      <c r="AG102" s="1835">
        <v>0</v>
      </c>
      <c r="AH102" s="1835">
        <v>0</v>
      </c>
      <c r="AI102" s="1835">
        <v>0</v>
      </c>
      <c r="AJ102" s="1835">
        <v>0</v>
      </c>
      <c r="AK102" s="1837">
        <v>0</v>
      </c>
      <c r="AL102" s="1838" t="s">
        <v>2271</v>
      </c>
      <c r="AM102" s="1818">
        <v>3265925</v>
      </c>
      <c r="AN102" s="1818">
        <v>3424575</v>
      </c>
      <c r="AO102" s="1818">
        <v>4262580</v>
      </c>
      <c r="AP102" s="1818">
        <v>4435100</v>
      </c>
      <c r="AQ102" s="1818">
        <v>35954865</v>
      </c>
      <c r="AR102" s="1839" t="s">
        <v>2271</v>
      </c>
      <c r="AS102" s="1839" t="s">
        <v>1678</v>
      </c>
      <c r="AT102" s="1840" t="s">
        <v>2272</v>
      </c>
      <c r="AU102" s="1841"/>
      <c r="AV102" s="1820">
        <v>0</v>
      </c>
      <c r="AW102" s="1821">
        <v>0</v>
      </c>
      <c r="AX102" s="1821">
        <v>48077120</v>
      </c>
      <c r="AY102" s="1821">
        <v>44652545</v>
      </c>
      <c r="AZ102" s="1821">
        <v>40389965</v>
      </c>
      <c r="BA102" s="1821">
        <v>35954865</v>
      </c>
      <c r="BB102" s="1821">
        <v>0</v>
      </c>
      <c r="BE102" s="1772"/>
      <c r="BF102" s="1717">
        <v>0</v>
      </c>
    </row>
    <row r="103" spans="1:58">
      <c r="A103" s="1749" t="s">
        <v>661</v>
      </c>
      <c r="B103" s="1147" t="s">
        <v>1679</v>
      </c>
      <c r="C103" s="1835">
        <v>77000000</v>
      </c>
      <c r="D103" s="1835">
        <v>51899975</v>
      </c>
      <c r="E103" s="1835">
        <v>25100025</v>
      </c>
      <c r="F103" s="1836"/>
      <c r="G103" s="1837">
        <v>0</v>
      </c>
      <c r="H103" s="1835">
        <v>0</v>
      </c>
      <c r="I103" s="1835">
        <v>0</v>
      </c>
      <c r="J103" s="1837">
        <v>0</v>
      </c>
      <c r="K103" s="1115">
        <v>0</v>
      </c>
      <c r="L103" s="947">
        <v>0</v>
      </c>
      <c r="M103" s="947">
        <v>0</v>
      </c>
      <c r="N103" s="947">
        <v>0</v>
      </c>
      <c r="O103" s="947">
        <v>0</v>
      </c>
      <c r="P103" s="947">
        <v>0</v>
      </c>
      <c r="Q103" s="947">
        <v>0</v>
      </c>
      <c r="R103" s="947">
        <v>0</v>
      </c>
      <c r="S103" s="946">
        <v>0</v>
      </c>
      <c r="T103" s="946">
        <v>0</v>
      </c>
      <c r="U103" s="946">
        <v>0</v>
      </c>
      <c r="V103" s="946">
        <v>0</v>
      </c>
      <c r="W103" s="1837">
        <v>0</v>
      </c>
      <c r="X103" s="1837">
        <v>0</v>
      </c>
      <c r="Y103" s="1835">
        <v>0</v>
      </c>
      <c r="Z103" s="1835">
        <v>0</v>
      </c>
      <c r="AA103" s="1835">
        <v>0</v>
      </c>
      <c r="AB103" s="1835">
        <v>0</v>
      </c>
      <c r="AC103" s="1835">
        <v>0</v>
      </c>
      <c r="AD103" s="1835">
        <v>0</v>
      </c>
      <c r="AE103" s="1835">
        <v>0</v>
      </c>
      <c r="AF103" s="1835">
        <v>0</v>
      </c>
      <c r="AG103" s="1835">
        <v>0</v>
      </c>
      <c r="AH103" s="1835">
        <v>0</v>
      </c>
      <c r="AI103" s="1835">
        <v>0</v>
      </c>
      <c r="AJ103" s="1835">
        <v>0</v>
      </c>
      <c r="AK103" s="1837">
        <v>0</v>
      </c>
      <c r="AL103" s="1838" t="s">
        <v>2271</v>
      </c>
      <c r="AM103" s="1818">
        <v>0</v>
      </c>
      <c r="AN103" s="1818">
        <v>2667660</v>
      </c>
      <c r="AO103" s="1818">
        <v>4262580</v>
      </c>
      <c r="AP103" s="1818">
        <v>4435100</v>
      </c>
      <c r="AQ103" s="1818">
        <v>40534635</v>
      </c>
      <c r="AR103" s="1839" t="s">
        <v>2271</v>
      </c>
      <c r="AS103" s="1839" t="s">
        <v>1680</v>
      </c>
      <c r="AT103" s="1840" t="s">
        <v>2272</v>
      </c>
      <c r="AU103" s="1841"/>
      <c r="AV103" s="1820">
        <v>0</v>
      </c>
      <c r="AW103" s="1821">
        <v>0</v>
      </c>
      <c r="AX103" s="1821">
        <v>0</v>
      </c>
      <c r="AY103" s="1821">
        <v>49232315</v>
      </c>
      <c r="AZ103" s="1821">
        <v>44969735</v>
      </c>
      <c r="BA103" s="1821">
        <v>40534635</v>
      </c>
      <c r="BB103" s="1821">
        <v>0</v>
      </c>
      <c r="BE103" s="1772"/>
      <c r="BF103" s="1717"/>
    </row>
    <row r="104" spans="1:58">
      <c r="A104" s="1749" t="s">
        <v>663</v>
      </c>
      <c r="B104" s="1147" t="s">
        <v>1681</v>
      </c>
      <c r="C104" s="1835">
        <v>77500000</v>
      </c>
      <c r="D104" s="1835">
        <v>52205495</v>
      </c>
      <c r="E104" s="1835">
        <v>25294505</v>
      </c>
      <c r="F104" s="1836"/>
      <c r="G104" s="1837">
        <v>0</v>
      </c>
      <c r="H104" s="1835">
        <v>0</v>
      </c>
      <c r="I104" s="1835">
        <v>0</v>
      </c>
      <c r="J104" s="1837">
        <v>0</v>
      </c>
      <c r="K104" s="1115">
        <v>0</v>
      </c>
      <c r="L104" s="947">
        <v>0</v>
      </c>
      <c r="M104" s="947">
        <v>0</v>
      </c>
      <c r="N104" s="947">
        <v>0</v>
      </c>
      <c r="O104" s="947">
        <v>0</v>
      </c>
      <c r="P104" s="947">
        <v>0</v>
      </c>
      <c r="Q104" s="947">
        <v>0</v>
      </c>
      <c r="R104" s="947">
        <v>0</v>
      </c>
      <c r="S104" s="946">
        <v>0</v>
      </c>
      <c r="T104" s="946">
        <v>0</v>
      </c>
      <c r="U104" s="946">
        <v>0</v>
      </c>
      <c r="V104" s="946">
        <v>0</v>
      </c>
      <c r="W104" s="1837">
        <v>0</v>
      </c>
      <c r="X104" s="1837">
        <v>0</v>
      </c>
      <c r="Y104" s="1835">
        <v>0</v>
      </c>
      <c r="Z104" s="1835">
        <v>0</v>
      </c>
      <c r="AA104" s="1835">
        <v>0</v>
      </c>
      <c r="AB104" s="1835">
        <v>0</v>
      </c>
      <c r="AC104" s="1835">
        <v>0</v>
      </c>
      <c r="AD104" s="1835">
        <v>0</v>
      </c>
      <c r="AE104" s="1835">
        <v>0</v>
      </c>
      <c r="AF104" s="1835">
        <v>0</v>
      </c>
      <c r="AG104" s="1835">
        <v>0</v>
      </c>
      <c r="AH104" s="1835">
        <v>0</v>
      </c>
      <c r="AI104" s="1835">
        <v>0</v>
      </c>
      <c r="AJ104" s="1835">
        <v>0</v>
      </c>
      <c r="AK104" s="1837">
        <v>0</v>
      </c>
      <c r="AL104" s="1838" t="s">
        <v>2271</v>
      </c>
      <c r="AM104" s="1818">
        <v>0</v>
      </c>
      <c r="AN104" s="1818">
        <v>0</v>
      </c>
      <c r="AO104" s="1818">
        <v>4182580</v>
      </c>
      <c r="AP104" s="1818">
        <v>4435100</v>
      </c>
      <c r="AQ104" s="1818">
        <v>43587815</v>
      </c>
      <c r="AR104" s="1839" t="s">
        <v>2271</v>
      </c>
      <c r="AS104" s="1839" t="s">
        <v>1682</v>
      </c>
      <c r="AT104" s="1840" t="s">
        <v>2272</v>
      </c>
      <c r="AU104" s="1841"/>
      <c r="AV104" s="1820">
        <v>0</v>
      </c>
      <c r="AW104" s="1821">
        <v>0</v>
      </c>
      <c r="AX104" s="1821">
        <v>0</v>
      </c>
      <c r="AY104" s="1821">
        <v>0</v>
      </c>
      <c r="AZ104" s="1821">
        <v>48022915</v>
      </c>
      <c r="BA104" s="1821">
        <v>43587815</v>
      </c>
      <c r="BB104" s="1821">
        <v>0</v>
      </c>
      <c r="BE104" s="1772"/>
      <c r="BF104" s="1717"/>
    </row>
    <row r="105" spans="1:58">
      <c r="A105" s="1749" t="s">
        <v>665</v>
      </c>
      <c r="B105" s="1147" t="s">
        <v>1683</v>
      </c>
      <c r="C105" s="1835">
        <v>78000000</v>
      </c>
      <c r="D105" s="1835">
        <v>52560130</v>
      </c>
      <c r="E105" s="1835">
        <v>25439870</v>
      </c>
      <c r="F105" s="1836">
        <v>0</v>
      </c>
      <c r="G105" s="1837">
        <v>0</v>
      </c>
      <c r="H105" s="1835">
        <v>0</v>
      </c>
      <c r="I105" s="1835">
        <v>0</v>
      </c>
      <c r="J105" s="1837">
        <v>0</v>
      </c>
      <c r="K105" s="1115">
        <v>0</v>
      </c>
      <c r="L105" s="947">
        <v>0</v>
      </c>
      <c r="M105" s="947">
        <v>0</v>
      </c>
      <c r="N105" s="947">
        <v>0</v>
      </c>
      <c r="O105" s="947">
        <v>0</v>
      </c>
      <c r="P105" s="947">
        <v>0</v>
      </c>
      <c r="Q105" s="947">
        <v>0</v>
      </c>
      <c r="R105" s="947">
        <v>0</v>
      </c>
      <c r="S105" s="946">
        <v>0</v>
      </c>
      <c r="T105" s="946">
        <v>0</v>
      </c>
      <c r="U105" s="946">
        <v>0</v>
      </c>
      <c r="V105" s="946">
        <v>0</v>
      </c>
      <c r="W105" s="1837">
        <v>0</v>
      </c>
      <c r="X105" s="1837">
        <v>0</v>
      </c>
      <c r="Y105" s="1835">
        <v>0</v>
      </c>
      <c r="Z105" s="1835">
        <v>0</v>
      </c>
      <c r="AA105" s="1835">
        <v>0</v>
      </c>
      <c r="AB105" s="1835">
        <v>0</v>
      </c>
      <c r="AC105" s="1835">
        <v>0</v>
      </c>
      <c r="AD105" s="1835">
        <v>0</v>
      </c>
      <c r="AE105" s="1835">
        <v>0</v>
      </c>
      <c r="AF105" s="1835">
        <v>0</v>
      </c>
      <c r="AG105" s="1835">
        <v>0</v>
      </c>
      <c r="AH105" s="1835">
        <v>0</v>
      </c>
      <c r="AI105" s="1835">
        <v>0</v>
      </c>
      <c r="AJ105" s="1835">
        <v>0</v>
      </c>
      <c r="AK105" s="1837">
        <v>0</v>
      </c>
      <c r="AL105" s="1838" t="s">
        <v>2271</v>
      </c>
      <c r="AM105" s="1818">
        <v>0</v>
      </c>
      <c r="AN105" s="1818">
        <v>0</v>
      </c>
      <c r="AO105" s="1818">
        <v>0</v>
      </c>
      <c r="AP105" s="1818">
        <v>3669250</v>
      </c>
      <c r="AQ105" s="1818">
        <v>48890880</v>
      </c>
      <c r="AR105" s="1839" t="s">
        <v>2271</v>
      </c>
      <c r="AS105" s="1839" t="s">
        <v>1684</v>
      </c>
      <c r="AT105" s="1840" t="s">
        <v>2272</v>
      </c>
      <c r="AU105" s="1841"/>
      <c r="AV105" s="1820">
        <v>0</v>
      </c>
      <c r="AW105" s="1821">
        <v>0</v>
      </c>
      <c r="AX105" s="1821">
        <v>0</v>
      </c>
      <c r="AY105" s="1821">
        <v>0</v>
      </c>
      <c r="AZ105" s="1821">
        <v>0</v>
      </c>
      <c r="BA105" s="1821">
        <v>48890880</v>
      </c>
      <c r="BB105" s="1821">
        <v>0</v>
      </c>
      <c r="BE105" s="1773"/>
      <c r="BF105" s="1717">
        <v>0</v>
      </c>
    </row>
    <row r="106" spans="1:58">
      <c r="A106" s="1764"/>
      <c r="B106" s="1764" t="s">
        <v>1689</v>
      </c>
      <c r="C106" s="1110">
        <v>328961593</v>
      </c>
      <c r="D106" s="1110">
        <v>230056122</v>
      </c>
      <c r="E106" s="1110">
        <v>98905471</v>
      </c>
      <c r="F106" s="1110">
        <v>32906632</v>
      </c>
      <c r="G106" s="1110">
        <v>20193380</v>
      </c>
      <c r="H106" s="1110">
        <v>1298762</v>
      </c>
      <c r="I106" s="1110">
        <v>9457780</v>
      </c>
      <c r="J106" s="1110">
        <v>17768195</v>
      </c>
      <c r="K106" s="1765">
        <v>1044220</v>
      </c>
      <c r="L106" s="1113">
        <v>706090</v>
      </c>
      <c r="M106" s="1113">
        <v>1143484</v>
      </c>
      <c r="N106" s="1113">
        <v>1077959</v>
      </c>
      <c r="O106" s="1113">
        <v>1072993</v>
      </c>
      <c r="P106" s="1113">
        <v>1815453</v>
      </c>
      <c r="Q106" s="1113">
        <v>1298819</v>
      </c>
      <c r="R106" s="1113">
        <v>1298762</v>
      </c>
      <c r="S106" s="1111">
        <v>1535854</v>
      </c>
      <c r="T106" s="1111">
        <v>2128472</v>
      </c>
      <c r="U106" s="1111">
        <v>2125186</v>
      </c>
      <c r="V106" s="1111">
        <v>2520903</v>
      </c>
      <c r="W106" s="1110">
        <v>50674827</v>
      </c>
      <c r="X106" s="1110">
        <v>28871599</v>
      </c>
      <c r="Y106" s="1110">
        <v>2976546</v>
      </c>
      <c r="Z106" s="1110">
        <v>1865122</v>
      </c>
      <c r="AA106" s="1110">
        <v>2471447</v>
      </c>
      <c r="AB106" s="1110">
        <v>1865205</v>
      </c>
      <c r="AC106" s="1110">
        <v>1894988</v>
      </c>
      <c r="AD106" s="1110">
        <v>2204518</v>
      </c>
      <c r="AE106" s="1110">
        <v>1858818</v>
      </c>
      <c r="AF106" s="1110">
        <v>1803585</v>
      </c>
      <c r="AG106" s="1110">
        <v>1866721</v>
      </c>
      <c r="AH106" s="1110">
        <v>1819070</v>
      </c>
      <c r="AI106" s="1110">
        <v>1878037</v>
      </c>
      <c r="AJ106" s="1110">
        <v>6367542</v>
      </c>
      <c r="AK106" s="1110">
        <v>79546426</v>
      </c>
      <c r="AL106" s="1842"/>
      <c r="AM106" s="1110">
        <v>25885855</v>
      </c>
      <c r="AN106" s="1110">
        <v>29209640</v>
      </c>
      <c r="AO106" s="1110">
        <v>27366322</v>
      </c>
      <c r="AP106" s="1110">
        <v>32810109</v>
      </c>
      <c r="AQ106" s="1110">
        <v>248207926</v>
      </c>
      <c r="AR106" s="1766"/>
      <c r="AS106" s="1766"/>
      <c r="AT106" s="1766"/>
      <c r="AV106" s="1110">
        <v>108074022</v>
      </c>
      <c r="AW106" s="1110">
        <v>152835328</v>
      </c>
      <c r="AX106" s="1110">
        <v>179402828</v>
      </c>
      <c r="AY106" s="1110">
        <v>203181892</v>
      </c>
      <c r="AZ106" s="1110">
        <v>228337905</v>
      </c>
      <c r="BA106" s="1110">
        <v>248147926</v>
      </c>
      <c r="BB106" s="1110">
        <v>0</v>
      </c>
      <c r="BD106" s="889" t="s">
        <v>1685</v>
      </c>
      <c r="BE106" s="1843">
        <v>18851105</v>
      </c>
      <c r="BF106" s="1843">
        <v>10020494</v>
      </c>
    </row>
    <row r="107" spans="1:58" s="971" customFormat="1">
      <c r="A107" s="1719" t="s">
        <v>667</v>
      </c>
      <c r="B107" s="963" t="s">
        <v>1334</v>
      </c>
      <c r="C107" s="967">
        <v>11112000</v>
      </c>
      <c r="D107" s="967">
        <v>7070420</v>
      </c>
      <c r="E107" s="967">
        <v>4041580</v>
      </c>
      <c r="F107" s="981">
        <v>7070420</v>
      </c>
      <c r="G107" s="1824">
        <v>0</v>
      </c>
      <c r="H107" s="967">
        <v>0</v>
      </c>
      <c r="I107" s="967">
        <v>0</v>
      </c>
      <c r="J107" s="1824">
        <v>0</v>
      </c>
      <c r="K107" s="967">
        <v>0</v>
      </c>
      <c r="L107" s="967">
        <v>0</v>
      </c>
      <c r="M107" s="967">
        <v>0</v>
      </c>
      <c r="N107" s="967">
        <v>0</v>
      </c>
      <c r="O107" s="967">
        <v>0</v>
      </c>
      <c r="P107" s="967">
        <v>0</v>
      </c>
      <c r="Q107" s="967">
        <v>0</v>
      </c>
      <c r="R107" s="967">
        <v>0</v>
      </c>
      <c r="S107" s="967">
        <v>0</v>
      </c>
      <c r="T107" s="967">
        <v>0</v>
      </c>
      <c r="U107" s="967">
        <v>0</v>
      </c>
      <c r="V107" s="967">
        <v>0</v>
      </c>
      <c r="W107" s="1824">
        <v>7070420</v>
      </c>
      <c r="X107" s="1824">
        <v>0</v>
      </c>
      <c r="Y107" s="967">
        <v>0</v>
      </c>
      <c r="Z107" s="967">
        <v>0</v>
      </c>
      <c r="AA107" s="967">
        <v>0</v>
      </c>
      <c r="AB107" s="967">
        <v>0</v>
      </c>
      <c r="AC107" s="967">
        <v>0</v>
      </c>
      <c r="AD107" s="967">
        <v>0</v>
      </c>
      <c r="AE107" s="967">
        <v>0</v>
      </c>
      <c r="AF107" s="967">
        <v>0</v>
      </c>
      <c r="AG107" s="967">
        <v>0</v>
      </c>
      <c r="AH107" s="967">
        <v>0</v>
      </c>
      <c r="AI107" s="967">
        <v>0</v>
      </c>
      <c r="AJ107" s="967">
        <v>0</v>
      </c>
      <c r="AK107" s="1824">
        <v>7070420</v>
      </c>
      <c r="AL107" s="1825" t="s">
        <v>1314</v>
      </c>
      <c r="AM107" s="1824">
        <v>0</v>
      </c>
      <c r="AN107" s="1824">
        <v>0</v>
      </c>
      <c r="AO107" s="1824">
        <v>0</v>
      </c>
      <c r="AP107" s="1824">
        <v>0</v>
      </c>
      <c r="AQ107" s="1824">
        <v>0</v>
      </c>
      <c r="AR107" s="1720" t="s">
        <v>1314</v>
      </c>
      <c r="AS107" s="1768" t="s">
        <v>2248</v>
      </c>
      <c r="AT107" s="1722" t="s">
        <v>2234</v>
      </c>
      <c r="AV107" s="1826">
        <v>0</v>
      </c>
      <c r="AW107" s="1827">
        <v>0</v>
      </c>
      <c r="AX107" s="1827">
        <v>0</v>
      </c>
      <c r="AY107" s="1827">
        <v>0</v>
      </c>
      <c r="AZ107" s="1827">
        <v>0</v>
      </c>
      <c r="BA107" s="1827">
        <v>0</v>
      </c>
      <c r="BB107" s="1827">
        <v>0</v>
      </c>
      <c r="BE107" s="1724">
        <v>0</v>
      </c>
      <c r="BF107" s="1725">
        <v>0</v>
      </c>
    </row>
    <row r="108" spans="1:58" s="889" customFormat="1">
      <c r="A108" s="1805" t="s">
        <v>668</v>
      </c>
      <c r="B108" s="1822" t="s">
        <v>2273</v>
      </c>
      <c r="C108" s="1807">
        <v>7820000</v>
      </c>
      <c r="D108" s="1807">
        <v>8635953</v>
      </c>
      <c r="E108" s="1807">
        <v>-815953</v>
      </c>
      <c r="F108" s="1808">
        <v>7431809</v>
      </c>
      <c r="G108" s="1809">
        <v>253440</v>
      </c>
      <c r="H108" s="1807">
        <v>34137</v>
      </c>
      <c r="I108" s="1807">
        <v>521704</v>
      </c>
      <c r="J108" s="1809">
        <v>852436</v>
      </c>
      <c r="K108" s="1807">
        <v>192504</v>
      </c>
      <c r="L108" s="1807">
        <v>57483</v>
      </c>
      <c r="M108" s="1807">
        <v>59287</v>
      </c>
      <c r="N108" s="1807">
        <v>48140</v>
      </c>
      <c r="O108" s="1807">
        <v>25173</v>
      </c>
      <c r="P108" s="1807">
        <v>65990</v>
      </c>
      <c r="Q108" s="1807">
        <v>38990</v>
      </c>
      <c r="R108" s="1807">
        <v>34137</v>
      </c>
      <c r="S108" s="1807">
        <v>44387</v>
      </c>
      <c r="T108" s="1807">
        <v>47103</v>
      </c>
      <c r="U108" s="1807">
        <v>98917</v>
      </c>
      <c r="V108" s="1807">
        <v>140325</v>
      </c>
      <c r="W108" s="1809">
        <v>8284245</v>
      </c>
      <c r="X108" s="1809">
        <v>157355</v>
      </c>
      <c r="Y108" s="1807">
        <v>98058</v>
      </c>
      <c r="Z108" s="1807">
        <v>21395</v>
      </c>
      <c r="AA108" s="1807">
        <v>30755</v>
      </c>
      <c r="AB108" s="1807">
        <v>0</v>
      </c>
      <c r="AC108" s="1807">
        <v>0</v>
      </c>
      <c r="AD108" s="1807">
        <v>0</v>
      </c>
      <c r="AE108" s="1807">
        <v>0</v>
      </c>
      <c r="AF108" s="1807">
        <v>0</v>
      </c>
      <c r="AG108" s="1807">
        <v>0</v>
      </c>
      <c r="AH108" s="1807">
        <v>7147</v>
      </c>
      <c r="AI108" s="1807">
        <v>0</v>
      </c>
      <c r="AJ108" s="1807">
        <v>0</v>
      </c>
      <c r="AK108" s="1809">
        <v>8441600</v>
      </c>
      <c r="AL108" s="1810" t="s">
        <v>2266</v>
      </c>
      <c r="AM108" s="1844">
        <v>0</v>
      </c>
      <c r="AN108" s="1809">
        <v>0</v>
      </c>
      <c r="AO108" s="1809">
        <v>0</v>
      </c>
      <c r="AP108" s="1809">
        <v>0</v>
      </c>
      <c r="AQ108" s="1809">
        <v>194353</v>
      </c>
      <c r="AR108" s="1811" t="s">
        <v>2266</v>
      </c>
      <c r="AS108" s="1811" t="s">
        <v>1196</v>
      </c>
      <c r="AT108" s="1813" t="s">
        <v>2267</v>
      </c>
      <c r="AV108" s="1814">
        <v>351708</v>
      </c>
      <c r="AW108" s="1815">
        <v>194353</v>
      </c>
      <c r="AX108" s="1815">
        <v>194353</v>
      </c>
      <c r="AY108" s="1815">
        <v>194353</v>
      </c>
      <c r="AZ108" s="1815">
        <v>194353</v>
      </c>
      <c r="BA108" s="1815">
        <v>194353</v>
      </c>
      <c r="BB108" s="1815">
        <v>0</v>
      </c>
      <c r="BE108" s="1823">
        <v>253440</v>
      </c>
      <c r="BF108" s="1817">
        <v>-96085</v>
      </c>
    </row>
    <row r="109" spans="1:58">
      <c r="A109" s="1120" t="s">
        <v>670</v>
      </c>
      <c r="B109" s="751" t="s">
        <v>1336</v>
      </c>
      <c r="C109" s="948">
        <v>4030000</v>
      </c>
      <c r="D109" s="948">
        <v>2390732</v>
      </c>
      <c r="E109" s="948">
        <v>1639268</v>
      </c>
      <c r="F109" s="943">
        <v>1731812</v>
      </c>
      <c r="G109" s="1818">
        <v>444891</v>
      </c>
      <c r="H109" s="948">
        <v>92951</v>
      </c>
      <c r="I109" s="948">
        <v>379515</v>
      </c>
      <c r="J109" s="1818">
        <v>515837</v>
      </c>
      <c r="K109" s="1115">
        <v>45389</v>
      </c>
      <c r="L109" s="947">
        <v>16445</v>
      </c>
      <c r="M109" s="947">
        <v>35304</v>
      </c>
      <c r="N109" s="947">
        <v>19605</v>
      </c>
      <c r="O109" s="947">
        <v>40775</v>
      </c>
      <c r="P109" s="947">
        <v>60264</v>
      </c>
      <c r="Q109" s="947">
        <v>68782</v>
      </c>
      <c r="R109" s="947">
        <v>92951</v>
      </c>
      <c r="S109" s="946">
        <v>22837</v>
      </c>
      <c r="T109" s="946">
        <v>29542</v>
      </c>
      <c r="U109" s="946">
        <v>30955</v>
      </c>
      <c r="V109" s="946">
        <v>52988</v>
      </c>
      <c r="W109" s="1818">
        <v>2247649</v>
      </c>
      <c r="X109" s="1818">
        <v>81261</v>
      </c>
      <c r="Y109" s="948">
        <v>30540</v>
      </c>
      <c r="Z109" s="948">
        <v>16757</v>
      </c>
      <c r="AA109" s="948">
        <v>33964</v>
      </c>
      <c r="AB109" s="948">
        <v>0</v>
      </c>
      <c r="AC109" s="948">
        <v>0</v>
      </c>
      <c r="AD109" s="948">
        <v>0</v>
      </c>
      <c r="AE109" s="948">
        <v>0</v>
      </c>
      <c r="AF109" s="948">
        <v>0</v>
      </c>
      <c r="AG109" s="948">
        <v>0</v>
      </c>
      <c r="AH109" s="948">
        <v>0</v>
      </c>
      <c r="AI109" s="948">
        <v>0</v>
      </c>
      <c r="AJ109" s="948">
        <v>0</v>
      </c>
      <c r="AK109" s="1818">
        <v>2328910</v>
      </c>
      <c r="AL109" s="1819" t="s">
        <v>1308</v>
      </c>
      <c r="AM109" s="1818">
        <v>0</v>
      </c>
      <c r="AN109" s="1818">
        <v>0</v>
      </c>
      <c r="AO109" s="1818">
        <v>0</v>
      </c>
      <c r="AP109" s="1818">
        <v>0</v>
      </c>
      <c r="AQ109" s="1818">
        <v>61822</v>
      </c>
      <c r="AR109" s="1714" t="s">
        <v>1308</v>
      </c>
      <c r="AS109" s="1714" t="s">
        <v>1196</v>
      </c>
      <c r="AT109" s="949" t="s">
        <v>2232</v>
      </c>
      <c r="AV109" s="1820">
        <v>143083</v>
      </c>
      <c r="AW109" s="1821">
        <v>61822</v>
      </c>
      <c r="AX109" s="1821">
        <v>61822</v>
      </c>
      <c r="AY109" s="1821">
        <v>61822</v>
      </c>
      <c r="AZ109" s="1821">
        <v>61822</v>
      </c>
      <c r="BA109" s="1821">
        <v>61822</v>
      </c>
      <c r="BB109" s="1821">
        <v>0</v>
      </c>
      <c r="BE109" s="1718">
        <v>444891</v>
      </c>
      <c r="BF109" s="1717">
        <v>-363630</v>
      </c>
    </row>
    <row r="110" spans="1:58" s="971" customFormat="1">
      <c r="A110" s="1719" t="s">
        <v>672</v>
      </c>
      <c r="B110" s="963" t="s">
        <v>1337</v>
      </c>
      <c r="C110" s="967">
        <v>5150000</v>
      </c>
      <c r="D110" s="967">
        <v>3686233</v>
      </c>
      <c r="E110" s="967">
        <v>1463767</v>
      </c>
      <c r="F110" s="981">
        <v>329900</v>
      </c>
      <c r="G110" s="1824">
        <v>806498</v>
      </c>
      <c r="H110" s="967">
        <v>2086</v>
      </c>
      <c r="I110" s="967">
        <v>43188</v>
      </c>
      <c r="J110" s="1824">
        <v>71579</v>
      </c>
      <c r="K110" s="967">
        <v>975</v>
      </c>
      <c r="L110" s="967">
        <v>30816</v>
      </c>
      <c r="M110" s="967">
        <v>1746</v>
      </c>
      <c r="N110" s="967">
        <v>1257</v>
      </c>
      <c r="O110" s="967">
        <v>1257</v>
      </c>
      <c r="P110" s="967">
        <v>3858</v>
      </c>
      <c r="Q110" s="967">
        <v>1193</v>
      </c>
      <c r="R110" s="967">
        <v>2086</v>
      </c>
      <c r="S110" s="967">
        <v>4997</v>
      </c>
      <c r="T110" s="967">
        <v>4561</v>
      </c>
      <c r="U110" s="967">
        <v>4561</v>
      </c>
      <c r="V110" s="967">
        <v>14272</v>
      </c>
      <c r="W110" s="1824">
        <v>401479</v>
      </c>
      <c r="X110" s="1824">
        <v>1452998</v>
      </c>
      <c r="Y110" s="967">
        <v>110698</v>
      </c>
      <c r="Z110" s="967">
        <v>78471</v>
      </c>
      <c r="AA110" s="967">
        <v>136239</v>
      </c>
      <c r="AB110" s="967">
        <v>114541</v>
      </c>
      <c r="AC110" s="967">
        <v>144844</v>
      </c>
      <c r="AD110" s="967">
        <v>125665</v>
      </c>
      <c r="AE110" s="967">
        <v>121249</v>
      </c>
      <c r="AF110" s="967">
        <v>122096</v>
      </c>
      <c r="AG110" s="967">
        <v>111508</v>
      </c>
      <c r="AH110" s="967">
        <v>119401</v>
      </c>
      <c r="AI110" s="967">
        <v>120690</v>
      </c>
      <c r="AJ110" s="967">
        <v>147596</v>
      </c>
      <c r="AK110" s="1824">
        <v>1854477</v>
      </c>
      <c r="AL110" s="1825" t="s">
        <v>1314</v>
      </c>
      <c r="AM110" s="1824">
        <v>540275</v>
      </c>
      <c r="AN110" s="1824">
        <v>690987</v>
      </c>
      <c r="AO110" s="1824">
        <v>0</v>
      </c>
      <c r="AP110" s="1824">
        <v>0</v>
      </c>
      <c r="AQ110" s="1824">
        <v>600494</v>
      </c>
      <c r="AR110" s="1720" t="s">
        <v>1314</v>
      </c>
      <c r="AS110" s="1768" t="s">
        <v>2248</v>
      </c>
      <c r="AT110" s="1722" t="s">
        <v>2234</v>
      </c>
      <c r="AV110" s="1826">
        <v>3284754</v>
      </c>
      <c r="AW110" s="1827">
        <v>1831756</v>
      </c>
      <c r="AX110" s="1827">
        <v>1291481</v>
      </c>
      <c r="AY110" s="1827">
        <v>600494</v>
      </c>
      <c r="AZ110" s="1827">
        <v>600494</v>
      </c>
      <c r="BA110" s="1827">
        <v>600494</v>
      </c>
      <c r="BB110" s="1827">
        <v>0</v>
      </c>
      <c r="BE110" s="1724">
        <v>806498</v>
      </c>
      <c r="BF110" s="1725">
        <v>646500</v>
      </c>
    </row>
    <row r="111" spans="1:58">
      <c r="A111" s="1120" t="s">
        <v>673</v>
      </c>
      <c r="B111" s="751" t="s">
        <v>2274</v>
      </c>
      <c r="C111" s="948">
        <v>19200000</v>
      </c>
      <c r="D111" s="948">
        <v>12357744</v>
      </c>
      <c r="E111" s="948">
        <v>6842256</v>
      </c>
      <c r="F111" s="943">
        <v>6422371</v>
      </c>
      <c r="G111" s="1818">
        <v>3477587</v>
      </c>
      <c r="H111" s="948">
        <v>147837</v>
      </c>
      <c r="I111" s="948">
        <v>2113745</v>
      </c>
      <c r="J111" s="1818">
        <v>3129106</v>
      </c>
      <c r="K111" s="1115">
        <v>205932</v>
      </c>
      <c r="L111" s="947">
        <v>1073018</v>
      </c>
      <c r="M111" s="947">
        <v>180907</v>
      </c>
      <c r="N111" s="947">
        <v>108703</v>
      </c>
      <c r="O111" s="947">
        <v>112807</v>
      </c>
      <c r="P111" s="947">
        <v>157857</v>
      </c>
      <c r="Q111" s="947">
        <v>126684</v>
      </c>
      <c r="R111" s="947">
        <v>147837</v>
      </c>
      <c r="S111" s="946">
        <v>188563</v>
      </c>
      <c r="T111" s="946">
        <v>322687</v>
      </c>
      <c r="U111" s="946">
        <v>206528</v>
      </c>
      <c r="V111" s="946">
        <v>297583</v>
      </c>
      <c r="W111" s="1818">
        <v>9551477</v>
      </c>
      <c r="X111" s="1818">
        <v>1778629</v>
      </c>
      <c r="Y111" s="948">
        <v>121213</v>
      </c>
      <c r="Z111" s="948">
        <v>79142</v>
      </c>
      <c r="AA111" s="948">
        <v>159582</v>
      </c>
      <c r="AB111" s="948">
        <v>125579</v>
      </c>
      <c r="AC111" s="948">
        <v>145545</v>
      </c>
      <c r="AD111" s="948">
        <v>126366</v>
      </c>
      <c r="AE111" s="948">
        <v>121950</v>
      </c>
      <c r="AF111" s="948">
        <v>122866</v>
      </c>
      <c r="AG111" s="948">
        <v>112278</v>
      </c>
      <c r="AH111" s="948">
        <v>249549</v>
      </c>
      <c r="AI111" s="948">
        <v>197680</v>
      </c>
      <c r="AJ111" s="948">
        <v>216879</v>
      </c>
      <c r="AK111" s="1818">
        <v>11330106</v>
      </c>
      <c r="AL111" s="1819" t="s">
        <v>1308</v>
      </c>
      <c r="AM111" s="1818">
        <v>685029</v>
      </c>
      <c r="AN111" s="1818">
        <v>0</v>
      </c>
      <c r="AO111" s="1818">
        <v>0</v>
      </c>
      <c r="AP111" s="1818">
        <v>0</v>
      </c>
      <c r="AQ111" s="1818">
        <v>342609</v>
      </c>
      <c r="AR111" s="1714" t="s">
        <v>1308</v>
      </c>
      <c r="AS111" s="1714" t="s">
        <v>1196</v>
      </c>
      <c r="AT111" s="949" t="s">
        <v>2232</v>
      </c>
      <c r="AV111" s="1820">
        <v>2806267</v>
      </c>
      <c r="AW111" s="1821">
        <v>1027638</v>
      </c>
      <c r="AX111" s="1821">
        <v>342609</v>
      </c>
      <c r="AY111" s="1821">
        <v>342609</v>
      </c>
      <c r="AZ111" s="1821">
        <v>342609</v>
      </c>
      <c r="BA111" s="1821">
        <v>342609</v>
      </c>
      <c r="BB111" s="1821">
        <v>0</v>
      </c>
      <c r="BE111" s="1718">
        <v>3477587</v>
      </c>
      <c r="BF111" s="1717">
        <v>-1698958</v>
      </c>
    </row>
    <row r="112" spans="1:58">
      <c r="A112" s="1120" t="s">
        <v>675</v>
      </c>
      <c r="B112" s="751" t="s">
        <v>2275</v>
      </c>
      <c r="C112" s="948">
        <v>4940000</v>
      </c>
      <c r="D112" s="948">
        <v>3200000</v>
      </c>
      <c r="E112" s="948">
        <v>1740000</v>
      </c>
      <c r="F112" s="943">
        <v>1849895</v>
      </c>
      <c r="G112" s="1818">
        <v>919896</v>
      </c>
      <c r="H112" s="948">
        <v>108868</v>
      </c>
      <c r="I112" s="948">
        <v>739761</v>
      </c>
      <c r="J112" s="1818">
        <v>1076571</v>
      </c>
      <c r="K112" s="1115">
        <v>61275</v>
      </c>
      <c r="L112" s="947">
        <v>81764</v>
      </c>
      <c r="M112" s="947">
        <v>124096</v>
      </c>
      <c r="N112" s="947">
        <v>64186</v>
      </c>
      <c r="O112" s="947">
        <v>64250</v>
      </c>
      <c r="P112" s="947">
        <v>144968</v>
      </c>
      <c r="Q112" s="947">
        <v>90354</v>
      </c>
      <c r="R112" s="947">
        <v>108868</v>
      </c>
      <c r="S112" s="946">
        <v>99204</v>
      </c>
      <c r="T112" s="946">
        <v>98768</v>
      </c>
      <c r="U112" s="946">
        <v>103478</v>
      </c>
      <c r="V112" s="946">
        <v>35360</v>
      </c>
      <c r="W112" s="1818">
        <v>2926466</v>
      </c>
      <c r="X112" s="1818">
        <v>7267</v>
      </c>
      <c r="Y112" s="948">
        <v>1006</v>
      </c>
      <c r="Z112" s="948">
        <v>1006</v>
      </c>
      <c r="AA112" s="948">
        <v>1051</v>
      </c>
      <c r="AB112" s="948">
        <v>1051</v>
      </c>
      <c r="AC112" s="948">
        <v>1051</v>
      </c>
      <c r="AD112" s="948">
        <v>1051</v>
      </c>
      <c r="AE112" s="948">
        <v>1051</v>
      </c>
      <c r="AF112" s="948">
        <v>0</v>
      </c>
      <c r="AG112" s="948">
        <v>0</v>
      </c>
      <c r="AH112" s="948">
        <v>0</v>
      </c>
      <c r="AI112" s="948">
        <v>0</v>
      </c>
      <c r="AJ112" s="948">
        <v>0</v>
      </c>
      <c r="AK112" s="1818">
        <v>2933733</v>
      </c>
      <c r="AL112" s="1819" t="s">
        <v>1308</v>
      </c>
      <c r="AM112" s="1818">
        <v>0</v>
      </c>
      <c r="AN112" s="1818">
        <v>0</v>
      </c>
      <c r="AO112" s="1818">
        <v>0</v>
      </c>
      <c r="AP112" s="1818">
        <v>0</v>
      </c>
      <c r="AQ112" s="1818">
        <v>266267</v>
      </c>
      <c r="AR112" s="1714" t="s">
        <v>2108</v>
      </c>
      <c r="AS112" s="1714" t="s">
        <v>1196</v>
      </c>
      <c r="AT112" s="949" t="s">
        <v>2232</v>
      </c>
      <c r="AV112" s="1820">
        <v>273534</v>
      </c>
      <c r="AW112" s="1821">
        <v>266267</v>
      </c>
      <c r="AX112" s="1821">
        <v>266267</v>
      </c>
      <c r="AY112" s="1821">
        <v>266267</v>
      </c>
      <c r="AZ112" s="1821">
        <v>266267</v>
      </c>
      <c r="BA112" s="1821">
        <v>266267</v>
      </c>
      <c r="BB112" s="1821">
        <v>0</v>
      </c>
      <c r="BE112" s="1718">
        <v>919896</v>
      </c>
      <c r="BF112" s="1717">
        <v>-912629</v>
      </c>
    </row>
    <row r="113" spans="1:58">
      <c r="A113" s="1120" t="s">
        <v>677</v>
      </c>
      <c r="B113" s="751" t="s">
        <v>1340</v>
      </c>
      <c r="C113" s="948">
        <v>31186000</v>
      </c>
      <c r="D113" s="948">
        <v>16578194</v>
      </c>
      <c r="E113" s="948">
        <v>14607806</v>
      </c>
      <c r="F113" s="943">
        <v>11292695</v>
      </c>
      <c r="G113" s="1818">
        <v>7043099</v>
      </c>
      <c r="H113" s="948">
        <v>332659</v>
      </c>
      <c r="I113" s="948">
        <v>2695214</v>
      </c>
      <c r="J113" s="1818">
        <v>4029827</v>
      </c>
      <c r="K113" s="1115">
        <v>393020</v>
      </c>
      <c r="L113" s="947">
        <v>257885</v>
      </c>
      <c r="M113" s="947">
        <v>372522</v>
      </c>
      <c r="N113" s="947">
        <v>319772</v>
      </c>
      <c r="O113" s="947">
        <v>268750</v>
      </c>
      <c r="P113" s="947">
        <v>414034</v>
      </c>
      <c r="Q113" s="947">
        <v>336572</v>
      </c>
      <c r="R113" s="947">
        <v>332659</v>
      </c>
      <c r="S113" s="946">
        <v>292338</v>
      </c>
      <c r="T113" s="946">
        <v>290587</v>
      </c>
      <c r="U113" s="946">
        <v>314139</v>
      </c>
      <c r="V113" s="946">
        <v>437549</v>
      </c>
      <c r="W113" s="1818">
        <v>15322522</v>
      </c>
      <c r="X113" s="1818">
        <v>932535</v>
      </c>
      <c r="Y113" s="948">
        <v>322584</v>
      </c>
      <c r="Z113" s="948">
        <v>150407</v>
      </c>
      <c r="AA113" s="948">
        <v>273880</v>
      </c>
      <c r="AB113" s="948">
        <v>65309</v>
      </c>
      <c r="AC113" s="948">
        <v>64109</v>
      </c>
      <c r="AD113" s="948">
        <v>33503</v>
      </c>
      <c r="AE113" s="948">
        <v>3503</v>
      </c>
      <c r="AF113" s="948">
        <v>3848</v>
      </c>
      <c r="AG113" s="948">
        <v>3848</v>
      </c>
      <c r="AH113" s="948">
        <v>3848</v>
      </c>
      <c r="AI113" s="948">
        <v>3848</v>
      </c>
      <c r="AJ113" s="948">
        <v>3848</v>
      </c>
      <c r="AK113" s="1818">
        <v>16255057</v>
      </c>
      <c r="AL113" s="1819" t="s">
        <v>1308</v>
      </c>
      <c r="AM113" s="1818">
        <v>86722</v>
      </c>
      <c r="AN113" s="1818">
        <v>0</v>
      </c>
      <c r="AO113" s="1818">
        <v>0</v>
      </c>
      <c r="AP113" s="1818">
        <v>0</v>
      </c>
      <c r="AQ113" s="1818">
        <v>236415</v>
      </c>
      <c r="AR113" s="1714" t="s">
        <v>1308</v>
      </c>
      <c r="AS113" s="1714" t="s">
        <v>1196</v>
      </c>
      <c r="AT113" s="949" t="s">
        <v>2232</v>
      </c>
      <c r="AV113" s="1820">
        <v>1255672</v>
      </c>
      <c r="AW113" s="1821">
        <v>323137</v>
      </c>
      <c r="AX113" s="1821">
        <v>236415</v>
      </c>
      <c r="AY113" s="1821">
        <v>236415</v>
      </c>
      <c r="AZ113" s="1821">
        <v>236415</v>
      </c>
      <c r="BA113" s="1821">
        <v>236415</v>
      </c>
      <c r="BB113" s="1821">
        <v>0</v>
      </c>
      <c r="BE113" s="1718">
        <v>7043099</v>
      </c>
      <c r="BF113" s="1717">
        <v>-6110564</v>
      </c>
    </row>
    <row r="114" spans="1:58">
      <c r="A114" s="1120" t="s">
        <v>678</v>
      </c>
      <c r="B114" s="751" t="s">
        <v>1341</v>
      </c>
      <c r="C114" s="948">
        <v>2200000</v>
      </c>
      <c r="D114" s="948">
        <v>1681852</v>
      </c>
      <c r="E114" s="948">
        <v>518148</v>
      </c>
      <c r="F114" s="943">
        <v>1517663</v>
      </c>
      <c r="G114" s="1818">
        <v>15126</v>
      </c>
      <c r="H114" s="948">
        <v>23545</v>
      </c>
      <c r="I114" s="948">
        <v>164189</v>
      </c>
      <c r="J114" s="1818">
        <v>164189</v>
      </c>
      <c r="K114" s="1115">
        <v>16786</v>
      </c>
      <c r="L114" s="947">
        <v>20084</v>
      </c>
      <c r="M114" s="947">
        <v>3597</v>
      </c>
      <c r="N114" s="947">
        <v>2398</v>
      </c>
      <c r="O114" s="947">
        <v>26397</v>
      </c>
      <c r="P114" s="947">
        <v>42272</v>
      </c>
      <c r="Q114" s="947">
        <v>29110</v>
      </c>
      <c r="R114" s="947">
        <v>23545</v>
      </c>
      <c r="S114" s="946">
        <v>0</v>
      </c>
      <c r="T114" s="946">
        <v>0</v>
      </c>
      <c r="U114" s="946">
        <v>0</v>
      </c>
      <c r="V114" s="946">
        <v>0</v>
      </c>
      <c r="W114" s="1818">
        <v>1681852</v>
      </c>
      <c r="X114" s="1818">
        <v>0</v>
      </c>
      <c r="Y114" s="948">
        <v>0</v>
      </c>
      <c r="Z114" s="948">
        <v>0</v>
      </c>
      <c r="AA114" s="948">
        <v>0</v>
      </c>
      <c r="AB114" s="948">
        <v>0</v>
      </c>
      <c r="AC114" s="948">
        <v>0</v>
      </c>
      <c r="AD114" s="948">
        <v>0</v>
      </c>
      <c r="AE114" s="948">
        <v>0</v>
      </c>
      <c r="AF114" s="948">
        <v>0</v>
      </c>
      <c r="AG114" s="948">
        <v>0</v>
      </c>
      <c r="AH114" s="948">
        <v>0</v>
      </c>
      <c r="AI114" s="948">
        <v>0</v>
      </c>
      <c r="AJ114" s="948">
        <v>0</v>
      </c>
      <c r="AK114" s="1818">
        <v>1681852</v>
      </c>
      <c r="AL114" s="1819" t="s">
        <v>1308</v>
      </c>
      <c r="AM114" s="1818">
        <v>0</v>
      </c>
      <c r="AN114" s="1818">
        <v>0</v>
      </c>
      <c r="AO114" s="1818">
        <v>0</v>
      </c>
      <c r="AP114" s="1818">
        <v>0</v>
      </c>
      <c r="AQ114" s="1818">
        <v>0</v>
      </c>
      <c r="AR114" s="1714" t="s">
        <v>1308</v>
      </c>
      <c r="AS114" s="1714" t="s">
        <v>1196</v>
      </c>
      <c r="AT114" s="949" t="s">
        <v>2232</v>
      </c>
      <c r="AV114" s="1820">
        <v>0</v>
      </c>
      <c r="AW114" s="1821">
        <v>0</v>
      </c>
      <c r="AX114" s="1821">
        <v>0</v>
      </c>
      <c r="AY114" s="1821">
        <v>0</v>
      </c>
      <c r="AZ114" s="1821">
        <v>0</v>
      </c>
      <c r="BA114" s="1821">
        <v>0</v>
      </c>
      <c r="BB114" s="1821">
        <v>0</v>
      </c>
      <c r="BE114" s="1718">
        <v>15126</v>
      </c>
      <c r="BF114" s="1717">
        <v>-15126</v>
      </c>
    </row>
    <row r="115" spans="1:58">
      <c r="A115" s="1120" t="s">
        <v>680</v>
      </c>
      <c r="B115" s="751" t="s">
        <v>1342</v>
      </c>
      <c r="C115" s="948">
        <v>3125000</v>
      </c>
      <c r="D115" s="948">
        <v>2550964</v>
      </c>
      <c r="E115" s="948">
        <v>574036</v>
      </c>
      <c r="F115" s="943">
        <v>1745102</v>
      </c>
      <c r="G115" s="1818">
        <v>188296</v>
      </c>
      <c r="H115" s="948">
        <v>52377</v>
      </c>
      <c r="I115" s="948">
        <v>322849</v>
      </c>
      <c r="J115" s="1818">
        <v>521609</v>
      </c>
      <c r="K115" s="1115">
        <v>59296</v>
      </c>
      <c r="L115" s="947">
        <v>28335</v>
      </c>
      <c r="M115" s="947">
        <v>35606</v>
      </c>
      <c r="N115" s="947">
        <v>45950</v>
      </c>
      <c r="O115" s="947">
        <v>32112</v>
      </c>
      <c r="P115" s="947">
        <v>38945</v>
      </c>
      <c r="Q115" s="947">
        <v>30228</v>
      </c>
      <c r="R115" s="947">
        <v>52377</v>
      </c>
      <c r="S115" s="946">
        <v>47103</v>
      </c>
      <c r="T115" s="946">
        <v>50384</v>
      </c>
      <c r="U115" s="946">
        <v>49459</v>
      </c>
      <c r="V115" s="946">
        <v>51814</v>
      </c>
      <c r="W115" s="1818">
        <v>2266711</v>
      </c>
      <c r="X115" s="1818">
        <v>0</v>
      </c>
      <c r="Y115" s="948">
        <v>0</v>
      </c>
      <c r="Z115" s="948">
        <v>0</v>
      </c>
      <c r="AA115" s="948">
        <v>0</v>
      </c>
      <c r="AB115" s="948">
        <v>0</v>
      </c>
      <c r="AC115" s="948">
        <v>0</v>
      </c>
      <c r="AD115" s="948">
        <v>0</v>
      </c>
      <c r="AE115" s="948">
        <v>0</v>
      </c>
      <c r="AF115" s="948">
        <v>0</v>
      </c>
      <c r="AG115" s="948">
        <v>0</v>
      </c>
      <c r="AH115" s="948">
        <v>0</v>
      </c>
      <c r="AI115" s="948">
        <v>0</v>
      </c>
      <c r="AJ115" s="948">
        <v>0</v>
      </c>
      <c r="AK115" s="1818">
        <v>2266711</v>
      </c>
      <c r="AL115" s="1819" t="s">
        <v>1308</v>
      </c>
      <c r="AM115" s="1818">
        <v>0</v>
      </c>
      <c r="AN115" s="1818">
        <v>0</v>
      </c>
      <c r="AO115" s="1818">
        <v>0</v>
      </c>
      <c r="AP115" s="1818">
        <v>0</v>
      </c>
      <c r="AQ115" s="1818">
        <v>284253</v>
      </c>
      <c r="AR115" s="1714" t="s">
        <v>1308</v>
      </c>
      <c r="AS115" s="1714" t="s">
        <v>1196</v>
      </c>
      <c r="AT115" s="949" t="s">
        <v>2232</v>
      </c>
      <c r="AV115" s="1820">
        <v>284253</v>
      </c>
      <c r="AW115" s="1821">
        <v>284253</v>
      </c>
      <c r="AX115" s="1821">
        <v>284253</v>
      </c>
      <c r="AY115" s="1821">
        <v>284253</v>
      </c>
      <c r="AZ115" s="1821">
        <v>284253</v>
      </c>
      <c r="BA115" s="1821">
        <v>284253</v>
      </c>
      <c r="BB115" s="1821">
        <v>0</v>
      </c>
      <c r="BE115" s="1718">
        <v>188296</v>
      </c>
      <c r="BF115" s="1717">
        <v>-188296</v>
      </c>
    </row>
    <row r="116" spans="1:58">
      <c r="A116" s="1120" t="s">
        <v>682</v>
      </c>
      <c r="B116" s="751" t="s">
        <v>1343</v>
      </c>
      <c r="C116" s="948">
        <v>2042000</v>
      </c>
      <c r="D116" s="948">
        <v>1088331</v>
      </c>
      <c r="E116" s="948">
        <v>953669</v>
      </c>
      <c r="F116" s="943">
        <v>689945</v>
      </c>
      <c r="G116" s="1818">
        <v>173349</v>
      </c>
      <c r="H116" s="948">
        <v>30645</v>
      </c>
      <c r="I116" s="948">
        <v>191062</v>
      </c>
      <c r="J116" s="1818">
        <v>209903</v>
      </c>
      <c r="K116" s="1115">
        <v>30852</v>
      </c>
      <c r="L116" s="947">
        <v>22535</v>
      </c>
      <c r="M116" s="947">
        <v>49961</v>
      </c>
      <c r="N116" s="947">
        <v>36939</v>
      </c>
      <c r="O116" s="947">
        <v>9223</v>
      </c>
      <c r="P116" s="947">
        <v>10907</v>
      </c>
      <c r="Q116" s="947">
        <v>0</v>
      </c>
      <c r="R116" s="947">
        <v>30645</v>
      </c>
      <c r="S116" s="946">
        <v>0</v>
      </c>
      <c r="T116" s="946">
        <v>18841</v>
      </c>
      <c r="U116" s="946">
        <v>0</v>
      </c>
      <c r="V116" s="946">
        <v>0</v>
      </c>
      <c r="W116" s="1818">
        <v>899848</v>
      </c>
      <c r="X116" s="1818">
        <v>0</v>
      </c>
      <c r="Y116" s="948">
        <v>0</v>
      </c>
      <c r="Z116" s="948">
        <v>0</v>
      </c>
      <c r="AA116" s="948">
        <v>0</v>
      </c>
      <c r="AB116" s="948">
        <v>0</v>
      </c>
      <c r="AC116" s="948">
        <v>0</v>
      </c>
      <c r="AD116" s="948">
        <v>0</v>
      </c>
      <c r="AE116" s="948">
        <v>0</v>
      </c>
      <c r="AF116" s="948">
        <v>0</v>
      </c>
      <c r="AG116" s="948">
        <v>0</v>
      </c>
      <c r="AH116" s="948">
        <v>0</v>
      </c>
      <c r="AI116" s="948">
        <v>0</v>
      </c>
      <c r="AJ116" s="948">
        <v>0</v>
      </c>
      <c r="AK116" s="1818">
        <v>899848</v>
      </c>
      <c r="AL116" s="1819" t="s">
        <v>1308</v>
      </c>
      <c r="AM116" s="1818">
        <v>0</v>
      </c>
      <c r="AN116" s="1818">
        <v>0</v>
      </c>
      <c r="AO116" s="1818">
        <v>0</v>
      </c>
      <c r="AP116" s="1818">
        <v>0</v>
      </c>
      <c r="AQ116" s="1818">
        <v>188483</v>
      </c>
      <c r="AR116" s="1714" t="s">
        <v>1308</v>
      </c>
      <c r="AS116" s="1714" t="s">
        <v>1196</v>
      </c>
      <c r="AT116" s="949" t="s">
        <v>2232</v>
      </c>
      <c r="AV116" s="1820">
        <v>188483</v>
      </c>
      <c r="AW116" s="1821">
        <v>188483</v>
      </c>
      <c r="AX116" s="1821">
        <v>188483</v>
      </c>
      <c r="AY116" s="1821">
        <v>188483</v>
      </c>
      <c r="AZ116" s="1821">
        <v>188483</v>
      </c>
      <c r="BA116" s="1821">
        <v>188483</v>
      </c>
      <c r="BB116" s="1821">
        <v>0</v>
      </c>
      <c r="BE116" s="1718">
        <v>173349</v>
      </c>
      <c r="BF116" s="1717">
        <v>-173349</v>
      </c>
    </row>
    <row r="117" spans="1:58">
      <c r="A117" s="1120" t="s">
        <v>684</v>
      </c>
      <c r="B117" s="751" t="s">
        <v>2095</v>
      </c>
      <c r="C117" s="948">
        <v>2202000</v>
      </c>
      <c r="D117" s="948">
        <v>1089400</v>
      </c>
      <c r="E117" s="948">
        <v>1112600</v>
      </c>
      <c r="F117" s="943">
        <v>719787</v>
      </c>
      <c r="G117" s="1818">
        <v>165295</v>
      </c>
      <c r="H117" s="948">
        <v>20903</v>
      </c>
      <c r="I117" s="948">
        <v>369613</v>
      </c>
      <c r="J117" s="1818">
        <v>369613</v>
      </c>
      <c r="K117" s="1115">
        <v>34226</v>
      </c>
      <c r="L117" s="947">
        <v>7426</v>
      </c>
      <c r="M117" s="947">
        <v>64511</v>
      </c>
      <c r="N117" s="947">
        <v>74282</v>
      </c>
      <c r="O117" s="947">
        <v>19390</v>
      </c>
      <c r="P117" s="947">
        <v>42292</v>
      </c>
      <c r="Q117" s="947">
        <v>106583</v>
      </c>
      <c r="R117" s="947">
        <v>20903</v>
      </c>
      <c r="S117" s="946">
        <v>0</v>
      </c>
      <c r="T117" s="946">
        <v>0</v>
      </c>
      <c r="U117" s="946">
        <v>0</v>
      </c>
      <c r="V117" s="946">
        <v>0</v>
      </c>
      <c r="W117" s="1818">
        <v>1089400</v>
      </c>
      <c r="X117" s="1818">
        <v>0</v>
      </c>
      <c r="Y117" s="948">
        <v>0</v>
      </c>
      <c r="Z117" s="948">
        <v>0</v>
      </c>
      <c r="AA117" s="948">
        <v>0</v>
      </c>
      <c r="AB117" s="948">
        <v>0</v>
      </c>
      <c r="AC117" s="948">
        <v>0</v>
      </c>
      <c r="AD117" s="948">
        <v>0</v>
      </c>
      <c r="AE117" s="948">
        <v>0</v>
      </c>
      <c r="AF117" s="948">
        <v>0</v>
      </c>
      <c r="AG117" s="948">
        <v>0</v>
      </c>
      <c r="AH117" s="948">
        <v>0</v>
      </c>
      <c r="AI117" s="948">
        <v>0</v>
      </c>
      <c r="AJ117" s="948">
        <v>0</v>
      </c>
      <c r="AK117" s="1818">
        <v>1089400</v>
      </c>
      <c r="AL117" s="1819" t="s">
        <v>1308</v>
      </c>
      <c r="AM117" s="1818">
        <v>0</v>
      </c>
      <c r="AN117" s="1818">
        <v>0</v>
      </c>
      <c r="AO117" s="1818">
        <v>0</v>
      </c>
      <c r="AP117" s="1818">
        <v>0</v>
      </c>
      <c r="AQ117" s="1818">
        <v>0</v>
      </c>
      <c r="AR117" s="1714" t="s">
        <v>1308</v>
      </c>
      <c r="AS117" s="1714" t="s">
        <v>1196</v>
      </c>
      <c r="AT117" s="949" t="s">
        <v>2232</v>
      </c>
      <c r="AV117" s="1820">
        <v>0</v>
      </c>
      <c r="AW117" s="1821">
        <v>0</v>
      </c>
      <c r="AX117" s="1821">
        <v>0</v>
      </c>
      <c r="AY117" s="1821">
        <v>0</v>
      </c>
      <c r="AZ117" s="1821">
        <v>0</v>
      </c>
      <c r="BA117" s="1821">
        <v>0</v>
      </c>
      <c r="BB117" s="1821">
        <v>0</v>
      </c>
      <c r="BE117" s="1718">
        <v>165295</v>
      </c>
      <c r="BF117" s="1717">
        <v>-165295</v>
      </c>
    </row>
    <row r="118" spans="1:58">
      <c r="A118" s="1120" t="s">
        <v>686</v>
      </c>
      <c r="B118" s="751" t="s">
        <v>2276</v>
      </c>
      <c r="C118" s="948">
        <v>3365000</v>
      </c>
      <c r="D118" s="948">
        <v>1792862</v>
      </c>
      <c r="E118" s="948">
        <v>1572138</v>
      </c>
      <c r="F118" s="943">
        <v>1508325</v>
      </c>
      <c r="G118" s="1818">
        <v>209928</v>
      </c>
      <c r="H118" s="948">
        <v>35671</v>
      </c>
      <c r="I118" s="948">
        <v>145060</v>
      </c>
      <c r="J118" s="1818">
        <v>237685</v>
      </c>
      <c r="K118" s="1115">
        <v>5868</v>
      </c>
      <c r="L118" s="947">
        <v>14891</v>
      </c>
      <c r="M118" s="947">
        <v>49594</v>
      </c>
      <c r="N118" s="947">
        <v>6965</v>
      </c>
      <c r="O118" s="947">
        <v>11585</v>
      </c>
      <c r="P118" s="947">
        <v>8140</v>
      </c>
      <c r="Q118" s="947">
        <v>12346</v>
      </c>
      <c r="R118" s="947">
        <v>35671</v>
      </c>
      <c r="S118" s="946">
        <v>29542</v>
      </c>
      <c r="T118" s="946">
        <v>20121</v>
      </c>
      <c r="U118" s="946">
        <v>21063</v>
      </c>
      <c r="V118" s="946">
        <v>21899</v>
      </c>
      <c r="W118" s="1818">
        <v>1746010</v>
      </c>
      <c r="X118" s="1818">
        <v>7267</v>
      </c>
      <c r="Y118" s="948">
        <v>1006</v>
      </c>
      <c r="Z118" s="948">
        <v>1006</v>
      </c>
      <c r="AA118" s="948">
        <v>1051</v>
      </c>
      <c r="AB118" s="948">
        <v>1051</v>
      </c>
      <c r="AC118" s="948">
        <v>1051</v>
      </c>
      <c r="AD118" s="948">
        <v>1051</v>
      </c>
      <c r="AE118" s="948">
        <v>1051</v>
      </c>
      <c r="AF118" s="948">
        <v>0</v>
      </c>
      <c r="AG118" s="948">
        <v>0</v>
      </c>
      <c r="AH118" s="948">
        <v>0</v>
      </c>
      <c r="AI118" s="948">
        <v>0</v>
      </c>
      <c r="AJ118" s="948">
        <v>0</v>
      </c>
      <c r="AK118" s="1818">
        <v>1753277</v>
      </c>
      <c r="AL118" s="1819" t="s">
        <v>1308</v>
      </c>
      <c r="AM118" s="1818">
        <v>0</v>
      </c>
      <c r="AN118" s="1818">
        <v>0</v>
      </c>
      <c r="AO118" s="1818">
        <v>0</v>
      </c>
      <c r="AP118" s="1818">
        <v>0</v>
      </c>
      <c r="AQ118" s="1818">
        <v>39585</v>
      </c>
      <c r="AR118" s="1714" t="s">
        <v>1308</v>
      </c>
      <c r="AS118" s="1714" t="s">
        <v>1196</v>
      </c>
      <c r="AT118" s="949" t="s">
        <v>2232</v>
      </c>
      <c r="AV118" s="1820">
        <v>46852</v>
      </c>
      <c r="AW118" s="1821">
        <v>39585</v>
      </c>
      <c r="AX118" s="1821">
        <v>39585</v>
      </c>
      <c r="AY118" s="1821">
        <v>39585</v>
      </c>
      <c r="AZ118" s="1821">
        <v>39585</v>
      </c>
      <c r="BA118" s="1821">
        <v>39585</v>
      </c>
      <c r="BB118" s="1821">
        <v>0</v>
      </c>
      <c r="BE118" s="1718">
        <v>209928</v>
      </c>
      <c r="BF118" s="1717">
        <v>-202661</v>
      </c>
    </row>
    <row r="119" spans="1:58" s="971" customFormat="1">
      <c r="A119" s="1730" t="s">
        <v>688</v>
      </c>
      <c r="B119" s="1010" t="s">
        <v>2277</v>
      </c>
      <c r="C119" s="967">
        <v>3047620</v>
      </c>
      <c r="D119" s="967">
        <v>1250140</v>
      </c>
      <c r="E119" s="967">
        <v>1797480</v>
      </c>
      <c r="F119" s="981">
        <v>1242314</v>
      </c>
      <c r="G119" s="1824">
        <v>37518</v>
      </c>
      <c r="H119" s="967">
        <v>0</v>
      </c>
      <c r="I119" s="967">
        <v>7826</v>
      </c>
      <c r="J119" s="1824">
        <v>7826</v>
      </c>
      <c r="K119" s="967">
        <v>975</v>
      </c>
      <c r="L119" s="967">
        <v>975</v>
      </c>
      <c r="M119" s="967">
        <v>975</v>
      </c>
      <c r="N119" s="967">
        <v>1257</v>
      </c>
      <c r="O119" s="967">
        <v>1257</v>
      </c>
      <c r="P119" s="967">
        <v>1194</v>
      </c>
      <c r="Q119" s="967">
        <v>1193</v>
      </c>
      <c r="R119" s="967">
        <v>0</v>
      </c>
      <c r="S119" s="967">
        <v>0</v>
      </c>
      <c r="T119" s="967">
        <v>0</v>
      </c>
      <c r="U119" s="967">
        <v>0</v>
      </c>
      <c r="V119" s="967">
        <v>0</v>
      </c>
      <c r="W119" s="1824">
        <v>1250140</v>
      </c>
      <c r="X119" s="1824">
        <v>0</v>
      </c>
      <c r="Y119" s="967">
        <v>0</v>
      </c>
      <c r="Z119" s="967">
        <v>0</v>
      </c>
      <c r="AA119" s="967">
        <v>0</v>
      </c>
      <c r="AB119" s="967">
        <v>0</v>
      </c>
      <c r="AC119" s="967">
        <v>0</v>
      </c>
      <c r="AD119" s="967">
        <v>0</v>
      </c>
      <c r="AE119" s="967">
        <v>0</v>
      </c>
      <c r="AF119" s="967">
        <v>0</v>
      </c>
      <c r="AG119" s="967">
        <v>0</v>
      </c>
      <c r="AH119" s="967">
        <v>0</v>
      </c>
      <c r="AI119" s="967">
        <v>0</v>
      </c>
      <c r="AJ119" s="967">
        <v>0</v>
      </c>
      <c r="AK119" s="1824">
        <v>1250140</v>
      </c>
      <c r="AL119" s="968" t="s">
        <v>1314</v>
      </c>
      <c r="AM119" s="1824">
        <v>0</v>
      </c>
      <c r="AN119" s="1824">
        <v>0</v>
      </c>
      <c r="AO119" s="1824">
        <v>0</v>
      </c>
      <c r="AP119" s="1824">
        <v>0</v>
      </c>
      <c r="AQ119" s="1824">
        <v>0</v>
      </c>
      <c r="AR119" s="1720" t="s">
        <v>1314</v>
      </c>
      <c r="AS119" s="1768" t="s">
        <v>2248</v>
      </c>
      <c r="AT119" s="1722" t="s">
        <v>2234</v>
      </c>
      <c r="AV119" s="1826">
        <v>0</v>
      </c>
      <c r="AW119" s="1827">
        <v>0</v>
      </c>
      <c r="AX119" s="1827">
        <v>0</v>
      </c>
      <c r="AY119" s="1827">
        <v>0</v>
      </c>
      <c r="AZ119" s="1827">
        <v>0</v>
      </c>
      <c r="BA119" s="1827">
        <v>0</v>
      </c>
      <c r="BB119" s="1827">
        <v>0</v>
      </c>
      <c r="BE119" s="1724">
        <v>37518</v>
      </c>
      <c r="BF119" s="1725">
        <v>-37518</v>
      </c>
    </row>
    <row r="120" spans="1:58" s="663" customFormat="1">
      <c r="A120" s="1120" t="s">
        <v>690</v>
      </c>
      <c r="B120" s="751" t="s">
        <v>2278</v>
      </c>
      <c r="C120" s="948">
        <v>36177000</v>
      </c>
      <c r="D120" s="948">
        <v>28979864</v>
      </c>
      <c r="E120" s="948">
        <v>7197136</v>
      </c>
      <c r="F120" s="943">
        <v>1765598</v>
      </c>
      <c r="G120" s="1818">
        <v>7396512</v>
      </c>
      <c r="H120" s="948">
        <v>131119</v>
      </c>
      <c r="I120" s="948">
        <v>5288556</v>
      </c>
      <c r="J120" s="1818">
        <v>7047570</v>
      </c>
      <c r="K120" s="1115">
        <v>75015</v>
      </c>
      <c r="L120" s="947">
        <v>46962</v>
      </c>
      <c r="M120" s="947">
        <v>1641163</v>
      </c>
      <c r="N120" s="947">
        <v>48044</v>
      </c>
      <c r="O120" s="947">
        <v>277023</v>
      </c>
      <c r="P120" s="947">
        <v>1613959</v>
      </c>
      <c r="Q120" s="947">
        <v>1455271</v>
      </c>
      <c r="R120" s="947">
        <v>131119</v>
      </c>
      <c r="S120" s="948">
        <v>173993</v>
      </c>
      <c r="T120" s="948">
        <v>176388</v>
      </c>
      <c r="U120" s="948">
        <v>1083315</v>
      </c>
      <c r="V120" s="948">
        <v>325318</v>
      </c>
      <c r="W120" s="1818">
        <v>8813168</v>
      </c>
      <c r="X120" s="1818">
        <v>6432711</v>
      </c>
      <c r="Y120" s="948">
        <v>304571</v>
      </c>
      <c r="Z120" s="948">
        <v>199332</v>
      </c>
      <c r="AA120" s="948">
        <v>1515676</v>
      </c>
      <c r="AB120" s="948">
        <v>725044</v>
      </c>
      <c r="AC120" s="948">
        <v>370497</v>
      </c>
      <c r="AD120" s="948">
        <v>378424</v>
      </c>
      <c r="AE120" s="948">
        <v>755017</v>
      </c>
      <c r="AF120" s="948">
        <v>357768</v>
      </c>
      <c r="AG120" s="948">
        <v>307297</v>
      </c>
      <c r="AH120" s="948">
        <v>723079</v>
      </c>
      <c r="AI120" s="948">
        <v>353552</v>
      </c>
      <c r="AJ120" s="948">
        <v>442454</v>
      </c>
      <c r="AK120" s="1818">
        <v>15245879</v>
      </c>
      <c r="AL120" s="1819" t="s">
        <v>1308</v>
      </c>
      <c r="AM120" s="1818">
        <v>7164174</v>
      </c>
      <c r="AN120" s="1818">
        <v>5228358</v>
      </c>
      <c r="AO120" s="1818">
        <v>1169252</v>
      </c>
      <c r="AP120" s="1818">
        <v>0</v>
      </c>
      <c r="AQ120" s="1818">
        <v>172201</v>
      </c>
      <c r="AR120" s="1714" t="s">
        <v>1308</v>
      </c>
      <c r="AS120" s="1714" t="s">
        <v>1246</v>
      </c>
      <c r="AT120" s="949" t="s">
        <v>2232</v>
      </c>
      <c r="AV120" s="1820">
        <v>20166696</v>
      </c>
      <c r="AW120" s="1821">
        <v>13733985</v>
      </c>
      <c r="AX120" s="1821">
        <v>6569811</v>
      </c>
      <c r="AY120" s="1821">
        <v>1341453</v>
      </c>
      <c r="AZ120" s="1821">
        <v>172201</v>
      </c>
      <c r="BA120" s="1821">
        <v>172201</v>
      </c>
      <c r="BB120" s="1821">
        <v>0</v>
      </c>
      <c r="BE120" s="1718">
        <v>7396512</v>
      </c>
      <c r="BF120" s="1736">
        <v>-963801</v>
      </c>
    </row>
    <row r="121" spans="1:58" s="663" customFormat="1">
      <c r="A121" s="1120" t="s">
        <v>692</v>
      </c>
      <c r="B121" s="751" t="s">
        <v>2279</v>
      </c>
      <c r="C121" s="948">
        <v>1910000</v>
      </c>
      <c r="D121" s="948">
        <v>1274592</v>
      </c>
      <c r="E121" s="948">
        <v>635408</v>
      </c>
      <c r="F121" s="943">
        <v>630479</v>
      </c>
      <c r="G121" s="1818">
        <v>360330</v>
      </c>
      <c r="H121" s="948">
        <v>48520</v>
      </c>
      <c r="I121" s="948">
        <v>313630</v>
      </c>
      <c r="J121" s="1818">
        <v>467174</v>
      </c>
      <c r="K121" s="1115">
        <v>29660</v>
      </c>
      <c r="L121" s="947">
        <v>21418</v>
      </c>
      <c r="M121" s="947">
        <v>22706</v>
      </c>
      <c r="N121" s="947">
        <v>49132</v>
      </c>
      <c r="O121" s="947">
        <v>58209</v>
      </c>
      <c r="P121" s="947">
        <v>52872</v>
      </c>
      <c r="Q121" s="947">
        <v>31113</v>
      </c>
      <c r="R121" s="947">
        <v>48520</v>
      </c>
      <c r="S121" s="948">
        <v>39817</v>
      </c>
      <c r="T121" s="948">
        <v>49237</v>
      </c>
      <c r="U121" s="948">
        <v>31809</v>
      </c>
      <c r="V121" s="948">
        <v>32681</v>
      </c>
      <c r="W121" s="1818">
        <v>1097653</v>
      </c>
      <c r="X121" s="1818">
        <v>56886</v>
      </c>
      <c r="Y121" s="948">
        <v>1677</v>
      </c>
      <c r="Z121" s="948">
        <v>1677</v>
      </c>
      <c r="AA121" s="948">
        <v>1752</v>
      </c>
      <c r="AB121" s="948">
        <v>1752</v>
      </c>
      <c r="AC121" s="948">
        <v>16904</v>
      </c>
      <c r="AD121" s="948">
        <v>11752</v>
      </c>
      <c r="AE121" s="948">
        <v>1752</v>
      </c>
      <c r="AF121" s="948">
        <v>1924</v>
      </c>
      <c r="AG121" s="948">
        <v>1924</v>
      </c>
      <c r="AH121" s="948">
        <v>1924</v>
      </c>
      <c r="AI121" s="948">
        <v>1924</v>
      </c>
      <c r="AJ121" s="948">
        <v>11924</v>
      </c>
      <c r="AK121" s="1818">
        <v>1154539</v>
      </c>
      <c r="AL121" s="1819" t="s">
        <v>1308</v>
      </c>
      <c r="AM121" s="1818">
        <v>10496</v>
      </c>
      <c r="AN121" s="1818">
        <v>0</v>
      </c>
      <c r="AO121" s="1818">
        <v>0</v>
      </c>
      <c r="AP121" s="1818">
        <v>0</v>
      </c>
      <c r="AQ121" s="1818">
        <v>109557</v>
      </c>
      <c r="AR121" s="1714" t="s">
        <v>1308</v>
      </c>
      <c r="AS121" s="1714" t="s">
        <v>1246</v>
      </c>
      <c r="AT121" s="949" t="s">
        <v>2232</v>
      </c>
      <c r="AV121" s="1820">
        <v>176939</v>
      </c>
      <c r="AW121" s="1821">
        <v>120053</v>
      </c>
      <c r="AX121" s="1821">
        <v>109557</v>
      </c>
      <c r="AY121" s="1821">
        <v>109557</v>
      </c>
      <c r="AZ121" s="1821">
        <v>109557</v>
      </c>
      <c r="BA121" s="1821">
        <v>109557</v>
      </c>
      <c r="BB121" s="1821">
        <v>0</v>
      </c>
      <c r="BE121" s="1718">
        <v>360330</v>
      </c>
      <c r="BF121" s="1736">
        <v>-303444</v>
      </c>
    </row>
    <row r="122" spans="1:58" s="663" customFormat="1">
      <c r="A122" s="1120" t="s">
        <v>1159</v>
      </c>
      <c r="B122" s="751" t="s">
        <v>2280</v>
      </c>
      <c r="C122" s="948">
        <v>3969500</v>
      </c>
      <c r="D122" s="948">
        <v>2705044</v>
      </c>
      <c r="E122" s="948">
        <v>1264456</v>
      </c>
      <c r="F122" s="943">
        <v>502419</v>
      </c>
      <c r="G122" s="1818">
        <v>1256067</v>
      </c>
      <c r="H122" s="948">
        <v>75431</v>
      </c>
      <c r="I122" s="948">
        <v>668763</v>
      </c>
      <c r="J122" s="1818">
        <v>992234</v>
      </c>
      <c r="K122" s="1115">
        <v>96710</v>
      </c>
      <c r="L122" s="947">
        <v>68942</v>
      </c>
      <c r="M122" s="947">
        <v>90513</v>
      </c>
      <c r="N122" s="947">
        <v>44427</v>
      </c>
      <c r="O122" s="947">
        <v>77049</v>
      </c>
      <c r="P122" s="947">
        <v>145518</v>
      </c>
      <c r="Q122" s="947">
        <v>70173</v>
      </c>
      <c r="R122" s="947">
        <v>75431</v>
      </c>
      <c r="S122" s="948">
        <v>51674</v>
      </c>
      <c r="T122" s="948">
        <v>51238</v>
      </c>
      <c r="U122" s="948">
        <v>103052</v>
      </c>
      <c r="V122" s="948">
        <v>117507</v>
      </c>
      <c r="W122" s="1818">
        <v>1494653</v>
      </c>
      <c r="X122" s="1818">
        <v>1128723</v>
      </c>
      <c r="Y122" s="948">
        <v>110363</v>
      </c>
      <c r="Z122" s="948">
        <v>62385</v>
      </c>
      <c r="AA122" s="948">
        <v>135889</v>
      </c>
      <c r="AB122" s="948">
        <v>114191</v>
      </c>
      <c r="AC122" s="948">
        <v>129343</v>
      </c>
      <c r="AD122" s="948">
        <v>125315</v>
      </c>
      <c r="AE122" s="948">
        <v>120899</v>
      </c>
      <c r="AF122" s="948">
        <v>121712</v>
      </c>
      <c r="AG122" s="948">
        <v>61901</v>
      </c>
      <c r="AH122" s="948">
        <v>69794</v>
      </c>
      <c r="AI122" s="948">
        <v>66161</v>
      </c>
      <c r="AJ122" s="948">
        <v>10770</v>
      </c>
      <c r="AK122" s="1818">
        <v>2623376</v>
      </c>
      <c r="AL122" s="1819" t="s">
        <v>1308</v>
      </c>
      <c r="AM122" s="1818">
        <v>22381</v>
      </c>
      <c r="AN122" s="1818">
        <v>0</v>
      </c>
      <c r="AO122" s="1818">
        <v>0</v>
      </c>
      <c r="AP122" s="1818">
        <v>0</v>
      </c>
      <c r="AQ122" s="1818">
        <v>59287</v>
      </c>
      <c r="AR122" s="1714" t="s">
        <v>1308</v>
      </c>
      <c r="AS122" s="1714" t="s">
        <v>1246</v>
      </c>
      <c r="AT122" s="949" t="s">
        <v>2232</v>
      </c>
      <c r="AV122" s="1820">
        <v>1210391</v>
      </c>
      <c r="AW122" s="1821">
        <v>81668</v>
      </c>
      <c r="AX122" s="1821">
        <v>59287</v>
      </c>
      <c r="AY122" s="1821">
        <v>59287</v>
      </c>
      <c r="AZ122" s="1821">
        <v>59287</v>
      </c>
      <c r="BA122" s="1821">
        <v>59287</v>
      </c>
      <c r="BB122" s="1821">
        <v>0</v>
      </c>
      <c r="BE122" s="1718">
        <v>1256067</v>
      </c>
      <c r="BF122" s="1736">
        <v>-127344</v>
      </c>
    </row>
    <row r="123" spans="1:58" s="663" customFormat="1">
      <c r="A123" s="1120" t="s">
        <v>1162</v>
      </c>
      <c r="B123" s="751" t="s">
        <v>2281</v>
      </c>
      <c r="C123" s="948">
        <v>2655000</v>
      </c>
      <c r="D123" s="948">
        <v>1823753</v>
      </c>
      <c r="E123" s="948">
        <v>831247</v>
      </c>
      <c r="F123" s="943">
        <v>171224</v>
      </c>
      <c r="G123" s="1818">
        <v>0</v>
      </c>
      <c r="H123" s="948">
        <v>85510</v>
      </c>
      <c r="I123" s="948">
        <v>627286</v>
      </c>
      <c r="J123" s="1818">
        <v>970966</v>
      </c>
      <c r="K123" s="1115">
        <v>53841</v>
      </c>
      <c r="L123" s="947">
        <v>38801</v>
      </c>
      <c r="M123" s="947">
        <v>77009</v>
      </c>
      <c r="N123" s="947">
        <v>139188</v>
      </c>
      <c r="O123" s="947">
        <v>79240</v>
      </c>
      <c r="P123" s="947">
        <v>83824</v>
      </c>
      <c r="Q123" s="947">
        <v>69873</v>
      </c>
      <c r="R123" s="947">
        <v>85510</v>
      </c>
      <c r="S123" s="948">
        <v>97924</v>
      </c>
      <c r="T123" s="948">
        <v>88067</v>
      </c>
      <c r="U123" s="948">
        <v>82415</v>
      </c>
      <c r="V123" s="948">
        <v>75274</v>
      </c>
      <c r="W123" s="1818">
        <v>1142190</v>
      </c>
      <c r="X123" s="1818">
        <v>667470</v>
      </c>
      <c r="Y123" s="948">
        <v>70313</v>
      </c>
      <c r="Z123" s="948">
        <v>53838</v>
      </c>
      <c r="AA123" s="948">
        <v>89903</v>
      </c>
      <c r="AB123" s="948">
        <v>72143</v>
      </c>
      <c r="AC123" s="948">
        <v>78204</v>
      </c>
      <c r="AD123" s="948">
        <v>83267</v>
      </c>
      <c r="AE123" s="948">
        <v>66053</v>
      </c>
      <c r="AF123" s="948">
        <v>32487</v>
      </c>
      <c r="AG123" s="948">
        <v>29534</v>
      </c>
      <c r="AH123" s="948">
        <v>37427</v>
      </c>
      <c r="AI123" s="948">
        <v>21658</v>
      </c>
      <c r="AJ123" s="948">
        <v>32643</v>
      </c>
      <c r="AK123" s="1818">
        <v>1809660</v>
      </c>
      <c r="AL123" s="1819" t="s">
        <v>1308</v>
      </c>
      <c r="AM123" s="1818">
        <v>0</v>
      </c>
      <c r="AN123" s="1818">
        <v>0</v>
      </c>
      <c r="AO123" s="1818">
        <v>0</v>
      </c>
      <c r="AP123" s="1818">
        <v>0</v>
      </c>
      <c r="AQ123" s="1818">
        <v>14093</v>
      </c>
      <c r="AR123" s="1714" t="s">
        <v>1308</v>
      </c>
      <c r="AS123" s="1714" t="s">
        <v>1246</v>
      </c>
      <c r="AT123" s="949" t="s">
        <v>2232</v>
      </c>
      <c r="AV123" s="1820">
        <v>681563</v>
      </c>
      <c r="AW123" s="1821">
        <v>14093</v>
      </c>
      <c r="AX123" s="1821">
        <v>14093</v>
      </c>
      <c r="AY123" s="1821">
        <v>14093</v>
      </c>
      <c r="AZ123" s="1821">
        <v>14093</v>
      </c>
      <c r="BA123" s="1821">
        <v>14093</v>
      </c>
      <c r="BB123" s="1821">
        <v>0</v>
      </c>
      <c r="BE123" s="1718">
        <v>0</v>
      </c>
      <c r="BF123" s="1736">
        <v>667470</v>
      </c>
    </row>
    <row r="124" spans="1:58" s="663" customFormat="1">
      <c r="A124" s="1150" t="s">
        <v>1261</v>
      </c>
      <c r="B124" s="1149" t="s">
        <v>1166</v>
      </c>
      <c r="C124" s="948">
        <v>2588000</v>
      </c>
      <c r="D124" s="948">
        <v>1778000</v>
      </c>
      <c r="E124" s="948">
        <v>810000</v>
      </c>
      <c r="F124" s="943">
        <v>0</v>
      </c>
      <c r="G124" s="1818">
        <v>0</v>
      </c>
      <c r="H124" s="948">
        <v>49974</v>
      </c>
      <c r="I124" s="948">
        <v>348603</v>
      </c>
      <c r="J124" s="1818">
        <v>689760</v>
      </c>
      <c r="K124" s="1115">
        <v>975</v>
      </c>
      <c r="L124" s="947">
        <v>975</v>
      </c>
      <c r="M124" s="947">
        <v>975</v>
      </c>
      <c r="N124" s="947">
        <v>48481</v>
      </c>
      <c r="O124" s="947">
        <v>108399</v>
      </c>
      <c r="P124" s="947">
        <v>64866</v>
      </c>
      <c r="Q124" s="947">
        <v>73958</v>
      </c>
      <c r="R124" s="947">
        <v>49974</v>
      </c>
      <c r="S124" s="948">
        <v>80362</v>
      </c>
      <c r="T124" s="948">
        <v>79926</v>
      </c>
      <c r="U124" s="948">
        <v>83695</v>
      </c>
      <c r="V124" s="948">
        <v>97174</v>
      </c>
      <c r="W124" s="1818">
        <v>689760</v>
      </c>
      <c r="X124" s="1818">
        <v>605407</v>
      </c>
      <c r="Y124" s="948">
        <v>110698</v>
      </c>
      <c r="Z124" s="948">
        <v>78471</v>
      </c>
      <c r="AA124" s="948">
        <v>136239</v>
      </c>
      <c r="AB124" s="948">
        <v>114541</v>
      </c>
      <c r="AC124" s="948">
        <v>129693</v>
      </c>
      <c r="AD124" s="948">
        <v>11051</v>
      </c>
      <c r="AE124" s="948">
        <v>1051</v>
      </c>
      <c r="AF124" s="948">
        <v>1154</v>
      </c>
      <c r="AG124" s="948">
        <v>1154</v>
      </c>
      <c r="AH124" s="948">
        <v>9047</v>
      </c>
      <c r="AI124" s="948">
        <v>1154</v>
      </c>
      <c r="AJ124" s="948">
        <v>11154</v>
      </c>
      <c r="AK124" s="1818">
        <v>1295167</v>
      </c>
      <c r="AL124" s="1819" t="s">
        <v>1308</v>
      </c>
      <c r="AM124" s="1818">
        <v>0</v>
      </c>
      <c r="AN124" s="1818">
        <v>0</v>
      </c>
      <c r="AO124" s="1818">
        <v>0</v>
      </c>
      <c r="AP124" s="1818">
        <v>0</v>
      </c>
      <c r="AQ124" s="1818">
        <v>482833</v>
      </c>
      <c r="AR124" s="1714" t="s">
        <v>1308</v>
      </c>
      <c r="AS124" s="1714" t="s">
        <v>1246</v>
      </c>
      <c r="AT124" s="949" t="s">
        <v>2232</v>
      </c>
      <c r="AV124" s="1820">
        <v>1088240</v>
      </c>
      <c r="AW124" s="1821">
        <v>482833</v>
      </c>
      <c r="AX124" s="1821">
        <v>482833</v>
      </c>
      <c r="AY124" s="1821">
        <v>482833</v>
      </c>
      <c r="AZ124" s="1821">
        <v>482833</v>
      </c>
      <c r="BA124" s="1821">
        <v>482833</v>
      </c>
      <c r="BB124" s="1821">
        <v>0</v>
      </c>
      <c r="BE124" s="1718"/>
      <c r="BF124" s="1736"/>
    </row>
    <row r="125" spans="1:58" s="663" customFormat="1" ht="16.2">
      <c r="A125" s="1150" t="s">
        <v>1262</v>
      </c>
      <c r="B125" s="1151" t="s">
        <v>2282</v>
      </c>
      <c r="C125" s="948">
        <v>4070040</v>
      </c>
      <c r="D125" s="948">
        <v>3406000</v>
      </c>
      <c r="E125" s="948">
        <v>664040</v>
      </c>
      <c r="F125" s="943">
        <v>0</v>
      </c>
      <c r="G125" s="1818">
        <v>0</v>
      </c>
      <c r="H125" s="948">
        <v>85744</v>
      </c>
      <c r="I125" s="948">
        <v>297617</v>
      </c>
      <c r="J125" s="1818">
        <v>568591</v>
      </c>
      <c r="K125" s="1115">
        <v>0</v>
      </c>
      <c r="L125" s="947">
        <v>0</v>
      </c>
      <c r="M125" s="947">
        <v>64157</v>
      </c>
      <c r="N125" s="947">
        <v>63929</v>
      </c>
      <c r="O125" s="947">
        <v>4042</v>
      </c>
      <c r="P125" s="947">
        <v>13734</v>
      </c>
      <c r="Q125" s="947">
        <v>66011</v>
      </c>
      <c r="R125" s="947">
        <v>85744</v>
      </c>
      <c r="S125" s="948">
        <v>99204</v>
      </c>
      <c r="T125" s="948">
        <v>51664</v>
      </c>
      <c r="U125" s="948">
        <v>54020</v>
      </c>
      <c r="V125" s="948">
        <v>66086</v>
      </c>
      <c r="W125" s="1818">
        <v>568591</v>
      </c>
      <c r="X125" s="1818">
        <v>1691648</v>
      </c>
      <c r="Y125" s="948">
        <v>110698</v>
      </c>
      <c r="Z125" s="948">
        <v>78471</v>
      </c>
      <c r="AA125" s="948">
        <v>203500</v>
      </c>
      <c r="AB125" s="948">
        <v>176346</v>
      </c>
      <c r="AC125" s="948">
        <v>191498</v>
      </c>
      <c r="AD125" s="948">
        <v>188595</v>
      </c>
      <c r="AE125" s="948">
        <v>121249</v>
      </c>
      <c r="AF125" s="948">
        <v>122096</v>
      </c>
      <c r="AG125" s="948">
        <v>111508</v>
      </c>
      <c r="AH125" s="948">
        <v>119401</v>
      </c>
      <c r="AI125" s="948">
        <v>120690</v>
      </c>
      <c r="AJ125" s="948">
        <v>147596</v>
      </c>
      <c r="AK125" s="1818">
        <v>2260239</v>
      </c>
      <c r="AL125" s="1819" t="s">
        <v>1308</v>
      </c>
      <c r="AM125" s="1818">
        <v>278009</v>
      </c>
      <c r="AN125" s="1818">
        <v>28822</v>
      </c>
      <c r="AO125" s="1818">
        <v>0</v>
      </c>
      <c r="AP125" s="1818">
        <v>0</v>
      </c>
      <c r="AQ125" s="1818">
        <v>838930</v>
      </c>
      <c r="AR125" s="1714" t="s">
        <v>1308</v>
      </c>
      <c r="AS125" s="1714" t="s">
        <v>1246</v>
      </c>
      <c r="AT125" s="949" t="s">
        <v>2232</v>
      </c>
      <c r="AV125" s="1820">
        <v>2837409</v>
      </c>
      <c r="AW125" s="1821">
        <v>1145761</v>
      </c>
      <c r="AX125" s="1821">
        <v>867752</v>
      </c>
      <c r="AY125" s="1821">
        <v>838930</v>
      </c>
      <c r="AZ125" s="1821">
        <v>838930</v>
      </c>
      <c r="BA125" s="1821">
        <v>838930</v>
      </c>
      <c r="BB125" s="1821">
        <v>0</v>
      </c>
      <c r="BE125" s="1718"/>
      <c r="BF125" s="1736"/>
    </row>
    <row r="126" spans="1:58" s="663" customFormat="1">
      <c r="A126" s="1150" t="s">
        <v>1263</v>
      </c>
      <c r="B126" s="1151" t="s">
        <v>1172</v>
      </c>
      <c r="C126" s="948">
        <v>11482667</v>
      </c>
      <c r="D126" s="948">
        <v>8018707</v>
      </c>
      <c r="E126" s="948">
        <v>3463960</v>
      </c>
      <c r="F126" s="943">
        <v>0</v>
      </c>
      <c r="G126" s="1818">
        <v>0</v>
      </c>
      <c r="H126" s="948">
        <v>97837</v>
      </c>
      <c r="I126" s="948">
        <v>435393</v>
      </c>
      <c r="J126" s="1818">
        <v>635926</v>
      </c>
      <c r="K126" s="1115">
        <v>0</v>
      </c>
      <c r="L126" s="947">
        <v>0</v>
      </c>
      <c r="M126" s="947">
        <v>0</v>
      </c>
      <c r="N126" s="947">
        <v>0</v>
      </c>
      <c r="O126" s="947">
        <v>128758</v>
      </c>
      <c r="P126" s="947">
        <v>121991</v>
      </c>
      <c r="Q126" s="947">
        <v>86807</v>
      </c>
      <c r="R126" s="947">
        <v>97837</v>
      </c>
      <c r="S126" s="948">
        <v>47103</v>
      </c>
      <c r="T126" s="948">
        <v>47103</v>
      </c>
      <c r="U126" s="948">
        <v>49459</v>
      </c>
      <c r="V126" s="948">
        <v>56868</v>
      </c>
      <c r="W126" s="1818">
        <v>635926</v>
      </c>
      <c r="X126" s="1818">
        <v>1474436</v>
      </c>
      <c r="Y126" s="948">
        <v>111369</v>
      </c>
      <c r="Z126" s="948">
        <v>79142</v>
      </c>
      <c r="AA126" s="948">
        <v>136940</v>
      </c>
      <c r="AB126" s="948">
        <v>115242</v>
      </c>
      <c r="AC126" s="948">
        <v>130394</v>
      </c>
      <c r="AD126" s="948">
        <v>136366</v>
      </c>
      <c r="AE126" s="948">
        <v>121950</v>
      </c>
      <c r="AF126" s="948">
        <v>122866</v>
      </c>
      <c r="AG126" s="948">
        <v>112278</v>
      </c>
      <c r="AH126" s="948">
        <v>128063</v>
      </c>
      <c r="AI126" s="948">
        <v>121460</v>
      </c>
      <c r="AJ126" s="948">
        <v>158366</v>
      </c>
      <c r="AK126" s="1818">
        <v>2110362</v>
      </c>
      <c r="AL126" s="1819" t="s">
        <v>1308</v>
      </c>
      <c r="AM126" s="1818">
        <v>1522567</v>
      </c>
      <c r="AN126" s="1818">
        <v>1596953</v>
      </c>
      <c r="AO126" s="1818">
        <v>230296</v>
      </c>
      <c r="AP126" s="1818">
        <v>0</v>
      </c>
      <c r="AQ126" s="1818">
        <v>2558529</v>
      </c>
      <c r="AR126" s="1714" t="s">
        <v>1308</v>
      </c>
      <c r="AS126" s="1714" t="s">
        <v>1246</v>
      </c>
      <c r="AT126" s="949" t="s">
        <v>2232</v>
      </c>
      <c r="AV126" s="1820">
        <v>7382781</v>
      </c>
      <c r="AW126" s="1821">
        <v>5908345</v>
      </c>
      <c r="AX126" s="1821">
        <v>4385778</v>
      </c>
      <c r="AY126" s="1821">
        <v>2788825</v>
      </c>
      <c r="AZ126" s="1821">
        <v>2558529</v>
      </c>
      <c r="BA126" s="1821">
        <v>2558529</v>
      </c>
      <c r="BB126" s="1821">
        <v>0</v>
      </c>
      <c r="BE126" s="1718"/>
      <c r="BF126" s="1736"/>
    </row>
    <row r="127" spans="1:58" s="663" customFormat="1">
      <c r="A127" s="866" t="s">
        <v>1264</v>
      </c>
      <c r="B127" s="867" t="s">
        <v>1175</v>
      </c>
      <c r="C127" s="948">
        <v>1960000</v>
      </c>
      <c r="D127" s="948">
        <v>1402700</v>
      </c>
      <c r="E127" s="948">
        <v>557300</v>
      </c>
      <c r="F127" s="943">
        <v>0</v>
      </c>
      <c r="G127" s="1818"/>
      <c r="H127" s="948">
        <v>19348</v>
      </c>
      <c r="I127" s="948">
        <v>80974</v>
      </c>
      <c r="J127" s="1818">
        <v>276453</v>
      </c>
      <c r="K127" s="1115">
        <v>0</v>
      </c>
      <c r="L127" s="947">
        <v>0</v>
      </c>
      <c r="M127" s="947">
        <v>0</v>
      </c>
      <c r="N127" s="947">
        <v>0</v>
      </c>
      <c r="O127" s="947">
        <v>0</v>
      </c>
      <c r="P127" s="947">
        <v>0</v>
      </c>
      <c r="Q127" s="947">
        <v>61626</v>
      </c>
      <c r="R127" s="947">
        <v>19348</v>
      </c>
      <c r="S127" s="948">
        <v>47103</v>
      </c>
      <c r="T127" s="948">
        <v>47103</v>
      </c>
      <c r="U127" s="948">
        <v>49459</v>
      </c>
      <c r="V127" s="948">
        <v>51814</v>
      </c>
      <c r="W127" s="1818">
        <v>276453</v>
      </c>
      <c r="X127" s="1818">
        <v>388819</v>
      </c>
      <c r="Y127" s="948">
        <v>60469</v>
      </c>
      <c r="Z127" s="948">
        <v>31503</v>
      </c>
      <c r="AA127" s="948">
        <v>67260</v>
      </c>
      <c r="AB127" s="948">
        <v>61806</v>
      </c>
      <c r="AC127" s="948">
        <v>76958</v>
      </c>
      <c r="AD127" s="948">
        <v>72930</v>
      </c>
      <c r="AE127" s="948">
        <v>0</v>
      </c>
      <c r="AF127" s="948">
        <v>0</v>
      </c>
      <c r="AG127" s="948">
        <v>0</v>
      </c>
      <c r="AH127" s="948">
        <v>7893</v>
      </c>
      <c r="AI127" s="948">
        <v>0</v>
      </c>
      <c r="AJ127" s="948">
        <v>10000</v>
      </c>
      <c r="AK127" s="1818">
        <v>665272</v>
      </c>
      <c r="AL127" s="1819" t="s">
        <v>1308</v>
      </c>
      <c r="AM127" s="1818">
        <v>123616</v>
      </c>
      <c r="AN127" s="1818">
        <v>0</v>
      </c>
      <c r="AO127" s="1818">
        <v>0</v>
      </c>
      <c r="AP127" s="1818">
        <v>0</v>
      </c>
      <c r="AQ127" s="1818">
        <v>613812</v>
      </c>
      <c r="AR127" s="1714" t="s">
        <v>1308</v>
      </c>
      <c r="AS127" s="1714" t="s">
        <v>1246</v>
      </c>
      <c r="AT127" s="949" t="s">
        <v>2232</v>
      </c>
      <c r="AV127" s="1820">
        <v>1126247</v>
      </c>
      <c r="AW127" s="1821">
        <v>737428</v>
      </c>
      <c r="AX127" s="1821">
        <v>613812</v>
      </c>
      <c r="AY127" s="1821">
        <v>613812</v>
      </c>
      <c r="AZ127" s="1821">
        <v>613812</v>
      </c>
      <c r="BA127" s="1821">
        <v>613812</v>
      </c>
      <c r="BB127" s="1821">
        <v>0</v>
      </c>
      <c r="BE127" s="1718"/>
      <c r="BF127" s="1736"/>
    </row>
    <row r="128" spans="1:58" s="663" customFormat="1">
      <c r="A128" s="1120" t="s">
        <v>705</v>
      </c>
      <c r="B128" s="751" t="s">
        <v>2249</v>
      </c>
      <c r="C128" s="948"/>
      <c r="D128" s="948"/>
      <c r="E128" s="948"/>
      <c r="F128" s="1735"/>
      <c r="G128" s="1818">
        <v>0</v>
      </c>
      <c r="H128" s="948">
        <v>21351</v>
      </c>
      <c r="I128" s="948">
        <v>365186</v>
      </c>
      <c r="J128" s="1818">
        <v>365186</v>
      </c>
      <c r="K128" s="948">
        <v>6253</v>
      </c>
      <c r="L128" s="948">
        <v>3621</v>
      </c>
      <c r="M128" s="948">
        <v>35726</v>
      </c>
      <c r="N128" s="948">
        <v>54813</v>
      </c>
      <c r="O128" s="948">
        <v>60552</v>
      </c>
      <c r="P128" s="948">
        <v>142313</v>
      </c>
      <c r="Q128" s="948">
        <v>40557</v>
      </c>
      <c r="R128" s="948">
        <v>21351</v>
      </c>
      <c r="S128" s="948">
        <v>0</v>
      </c>
      <c r="T128" s="948">
        <v>0</v>
      </c>
      <c r="U128" s="948">
        <v>0</v>
      </c>
      <c r="V128" s="948">
        <v>0</v>
      </c>
      <c r="W128" s="1818">
        <v>365186</v>
      </c>
      <c r="X128" s="1818">
        <v>994018</v>
      </c>
      <c r="Y128" s="948">
        <v>219383</v>
      </c>
      <c r="Z128" s="948">
        <v>186432</v>
      </c>
      <c r="AA128" s="948">
        <v>247734</v>
      </c>
      <c r="AB128" s="948">
        <v>226979</v>
      </c>
      <c r="AC128" s="948">
        <v>113490</v>
      </c>
      <c r="AD128" s="948">
        <v>0</v>
      </c>
      <c r="AE128" s="948">
        <v>0</v>
      </c>
      <c r="AF128" s="948">
        <v>0</v>
      </c>
      <c r="AG128" s="948">
        <v>0</v>
      </c>
      <c r="AH128" s="948">
        <v>0</v>
      </c>
      <c r="AI128" s="948">
        <v>0</v>
      </c>
      <c r="AJ128" s="948">
        <v>0</v>
      </c>
      <c r="AK128" s="1818">
        <v>1359204</v>
      </c>
      <c r="AL128" s="1819" t="s">
        <v>1308</v>
      </c>
      <c r="AM128" s="1818">
        <v>0</v>
      </c>
      <c r="AN128" s="1818">
        <v>0</v>
      </c>
      <c r="AO128" s="1818">
        <v>0</v>
      </c>
      <c r="AP128" s="1818">
        <v>0</v>
      </c>
      <c r="AQ128" s="1818">
        <v>0</v>
      </c>
      <c r="AR128" s="1714" t="s">
        <v>2270</v>
      </c>
      <c r="AS128" s="1714" t="s">
        <v>2238</v>
      </c>
      <c r="AT128" s="1714" t="s">
        <v>2239</v>
      </c>
      <c r="AV128" s="1820" t="s">
        <v>866</v>
      </c>
      <c r="AW128" s="1821" t="s">
        <v>866</v>
      </c>
      <c r="AX128" s="1821" t="s">
        <v>866</v>
      </c>
      <c r="AY128" s="1821" t="s">
        <v>866</v>
      </c>
      <c r="AZ128" s="1821" t="s">
        <v>866</v>
      </c>
      <c r="BA128" s="1821" t="s">
        <v>866</v>
      </c>
      <c r="BB128" s="1821" t="s">
        <v>866</v>
      </c>
      <c r="BE128" s="1718"/>
      <c r="BF128" s="1736">
        <v>994018</v>
      </c>
    </row>
    <row r="129" spans="1:60" s="1745" customFormat="1">
      <c r="A129" s="1738" t="s">
        <v>707</v>
      </c>
      <c r="B129" s="1739" t="s">
        <v>2250</v>
      </c>
      <c r="C129" s="1740"/>
      <c r="D129" s="1740"/>
      <c r="E129" s="1740"/>
      <c r="F129" s="1735"/>
      <c r="G129" s="1818">
        <v>99481</v>
      </c>
      <c r="H129" s="1740">
        <v>184000</v>
      </c>
      <c r="I129" s="1740">
        <v>921123</v>
      </c>
      <c r="J129" s="1831">
        <v>1534380</v>
      </c>
      <c r="K129" s="1115">
        <v>162778</v>
      </c>
      <c r="L129" s="947">
        <v>136338</v>
      </c>
      <c r="M129" s="947">
        <v>111053</v>
      </c>
      <c r="N129" s="947">
        <v>111389</v>
      </c>
      <c r="O129" s="947">
        <v>71614</v>
      </c>
      <c r="P129" s="947">
        <v>44806</v>
      </c>
      <c r="Q129" s="947">
        <v>99145</v>
      </c>
      <c r="R129" s="947">
        <v>184000</v>
      </c>
      <c r="S129" s="946">
        <v>97924</v>
      </c>
      <c r="T129" s="946">
        <v>97488</v>
      </c>
      <c r="U129" s="946">
        <v>204394</v>
      </c>
      <c r="V129" s="946">
        <v>213451</v>
      </c>
      <c r="W129" s="1831">
        <v>1534380</v>
      </c>
      <c r="X129" s="1831">
        <v>150353</v>
      </c>
      <c r="Y129" s="1740">
        <v>0</v>
      </c>
      <c r="Z129" s="1740">
        <v>0</v>
      </c>
      <c r="AA129" s="1740">
        <v>0</v>
      </c>
      <c r="AB129" s="1740">
        <v>0</v>
      </c>
      <c r="AC129" s="1740">
        <v>0</v>
      </c>
      <c r="AD129" s="1740">
        <v>20000</v>
      </c>
      <c r="AE129" s="1740">
        <v>0</v>
      </c>
      <c r="AF129" s="1740">
        <v>0</v>
      </c>
      <c r="AG129" s="1740">
        <v>0</v>
      </c>
      <c r="AH129" s="1740">
        <v>110353</v>
      </c>
      <c r="AI129" s="1740">
        <v>0</v>
      </c>
      <c r="AJ129" s="1740">
        <v>20000</v>
      </c>
      <c r="AK129" s="1831">
        <v>1684733</v>
      </c>
      <c r="AL129" s="1832" t="s">
        <v>2103</v>
      </c>
      <c r="AM129" s="1818">
        <v>0</v>
      </c>
      <c r="AN129" s="1818">
        <v>0</v>
      </c>
      <c r="AO129" s="1818">
        <v>0</v>
      </c>
      <c r="AP129" s="1818">
        <v>0</v>
      </c>
      <c r="AQ129" s="1818">
        <v>0</v>
      </c>
      <c r="AR129" s="1744" t="s">
        <v>2242</v>
      </c>
      <c r="AS129" s="1744" t="s">
        <v>2243</v>
      </c>
      <c r="AT129" s="1744" t="s">
        <v>2244</v>
      </c>
      <c r="AV129" s="1820" t="s">
        <v>866</v>
      </c>
      <c r="AW129" s="1821" t="s">
        <v>866</v>
      </c>
      <c r="AX129" s="1821" t="s">
        <v>866</v>
      </c>
      <c r="AY129" s="1821" t="s">
        <v>866</v>
      </c>
      <c r="AZ129" s="1821" t="s">
        <v>866</v>
      </c>
      <c r="BA129" s="1821" t="s">
        <v>866</v>
      </c>
      <c r="BB129" s="1821" t="s">
        <v>866</v>
      </c>
      <c r="BE129" s="1718">
        <v>99481</v>
      </c>
      <c r="BF129" s="1717">
        <v>50872</v>
      </c>
      <c r="BG129" s="872"/>
      <c r="BH129" s="872"/>
    </row>
    <row r="130" spans="1:60" s="990" customFormat="1">
      <c r="A130" s="630" t="s">
        <v>710</v>
      </c>
      <c r="B130" s="867" t="s">
        <v>1265</v>
      </c>
      <c r="C130" s="947">
        <v>0</v>
      </c>
      <c r="D130" s="947">
        <v>0</v>
      </c>
      <c r="E130" s="947">
        <v>0</v>
      </c>
      <c r="F130" s="984">
        <v>0</v>
      </c>
      <c r="G130" s="1829">
        <v>3819162</v>
      </c>
      <c r="H130" s="947">
        <v>0</v>
      </c>
      <c r="I130" s="947">
        <v>0</v>
      </c>
      <c r="J130" s="1829">
        <v>0</v>
      </c>
      <c r="K130" s="947">
        <v>0</v>
      </c>
      <c r="L130" s="947">
        <v>0</v>
      </c>
      <c r="M130" s="947">
        <v>0</v>
      </c>
      <c r="N130" s="947">
        <v>0</v>
      </c>
      <c r="O130" s="947">
        <v>0</v>
      </c>
      <c r="P130" s="947">
        <v>0</v>
      </c>
      <c r="Q130" s="947">
        <v>0</v>
      </c>
      <c r="R130" s="947">
        <v>0</v>
      </c>
      <c r="S130" s="947">
        <v>0</v>
      </c>
      <c r="T130" s="947">
        <v>0</v>
      </c>
      <c r="U130" s="947">
        <v>0</v>
      </c>
      <c r="V130" s="947">
        <v>0</v>
      </c>
      <c r="W130" s="1829">
        <v>0</v>
      </c>
      <c r="X130" s="1829">
        <v>0</v>
      </c>
      <c r="Y130" s="947">
        <v>0</v>
      </c>
      <c r="Z130" s="947">
        <v>0</v>
      </c>
      <c r="AA130" s="947">
        <v>0</v>
      </c>
      <c r="AB130" s="947">
        <v>0</v>
      </c>
      <c r="AC130" s="947">
        <v>0</v>
      </c>
      <c r="AD130" s="947">
        <v>0</v>
      </c>
      <c r="AE130" s="947">
        <v>0</v>
      </c>
      <c r="AF130" s="947">
        <v>0</v>
      </c>
      <c r="AG130" s="947">
        <v>0</v>
      </c>
      <c r="AH130" s="947">
        <v>0</v>
      </c>
      <c r="AI130" s="947">
        <v>0</v>
      </c>
      <c r="AJ130" s="947">
        <v>0</v>
      </c>
      <c r="AK130" s="1829">
        <v>0</v>
      </c>
      <c r="AL130" s="1830" t="s">
        <v>1323</v>
      </c>
      <c r="AM130" s="1829">
        <v>0</v>
      </c>
      <c r="AN130" s="1829">
        <v>0</v>
      </c>
      <c r="AO130" s="1829">
        <v>0</v>
      </c>
      <c r="AP130" s="1829">
        <v>0</v>
      </c>
      <c r="AQ130" s="1829">
        <v>0</v>
      </c>
      <c r="AR130" s="1731" t="s">
        <v>1323</v>
      </c>
      <c r="AS130" s="1731" t="s">
        <v>1673</v>
      </c>
      <c r="AT130" s="1732" t="s">
        <v>2237</v>
      </c>
      <c r="AV130" s="1820">
        <v>0</v>
      </c>
      <c r="AW130" s="1821">
        <v>0</v>
      </c>
      <c r="AX130" s="1821">
        <v>0</v>
      </c>
      <c r="AY130" s="1821">
        <v>0</v>
      </c>
      <c r="AZ130" s="1821">
        <v>0</v>
      </c>
      <c r="BA130" s="1821">
        <v>0</v>
      </c>
      <c r="BB130" s="1821">
        <v>0</v>
      </c>
      <c r="BE130" s="1733">
        <v>2587736</v>
      </c>
      <c r="BF130" s="1734">
        <v>-2587736</v>
      </c>
    </row>
    <row r="131" spans="1:60" s="990" customFormat="1">
      <c r="A131" s="630" t="s">
        <v>712</v>
      </c>
      <c r="B131" s="867" t="s">
        <v>1265</v>
      </c>
      <c r="C131" s="947">
        <v>0</v>
      </c>
      <c r="D131" s="947">
        <v>0</v>
      </c>
      <c r="E131" s="947">
        <v>0</v>
      </c>
      <c r="F131" s="984">
        <v>0</v>
      </c>
      <c r="G131" s="1829">
        <v>0</v>
      </c>
      <c r="H131" s="947">
        <v>0</v>
      </c>
      <c r="I131" s="947">
        <v>0</v>
      </c>
      <c r="J131" s="1829">
        <v>0</v>
      </c>
      <c r="K131" s="947">
        <v>0</v>
      </c>
      <c r="L131" s="947">
        <v>0</v>
      </c>
      <c r="M131" s="947">
        <v>0</v>
      </c>
      <c r="N131" s="947">
        <v>0</v>
      </c>
      <c r="O131" s="947">
        <v>0</v>
      </c>
      <c r="P131" s="947">
        <v>0</v>
      </c>
      <c r="Q131" s="947">
        <v>0</v>
      </c>
      <c r="R131" s="947">
        <v>0</v>
      </c>
      <c r="S131" s="947">
        <v>0</v>
      </c>
      <c r="T131" s="947">
        <v>0</v>
      </c>
      <c r="U131" s="947">
        <v>0</v>
      </c>
      <c r="V131" s="947">
        <v>0</v>
      </c>
      <c r="W131" s="1829">
        <v>0</v>
      </c>
      <c r="X131" s="1829">
        <v>0</v>
      </c>
      <c r="Y131" s="947">
        <v>0</v>
      </c>
      <c r="Z131" s="947">
        <v>0</v>
      </c>
      <c r="AA131" s="947">
        <v>0</v>
      </c>
      <c r="AB131" s="947">
        <v>0</v>
      </c>
      <c r="AC131" s="947">
        <v>0</v>
      </c>
      <c r="AD131" s="947">
        <v>0</v>
      </c>
      <c r="AE131" s="947">
        <v>0</v>
      </c>
      <c r="AF131" s="947">
        <v>0</v>
      </c>
      <c r="AG131" s="947">
        <v>0</v>
      </c>
      <c r="AH131" s="947">
        <v>0</v>
      </c>
      <c r="AI131" s="947">
        <v>0</v>
      </c>
      <c r="AJ131" s="947">
        <v>0</v>
      </c>
      <c r="AK131" s="1829">
        <v>0</v>
      </c>
      <c r="AL131" s="1830" t="s">
        <v>1323</v>
      </c>
      <c r="AM131" s="1829">
        <v>0</v>
      </c>
      <c r="AN131" s="1829">
        <v>0</v>
      </c>
      <c r="AO131" s="1829">
        <v>0</v>
      </c>
      <c r="AP131" s="1829">
        <v>0</v>
      </c>
      <c r="AQ131" s="1829">
        <v>0</v>
      </c>
      <c r="AR131" s="1731" t="s">
        <v>1323</v>
      </c>
      <c r="AS131" s="1731" t="s">
        <v>1673</v>
      </c>
      <c r="AT131" s="1732" t="s">
        <v>2237</v>
      </c>
      <c r="AV131" s="1820">
        <v>0</v>
      </c>
      <c r="AW131" s="1821">
        <v>0</v>
      </c>
      <c r="AX131" s="1821">
        <v>0</v>
      </c>
      <c r="AY131" s="1821">
        <v>0</v>
      </c>
      <c r="AZ131" s="1821">
        <v>0</v>
      </c>
      <c r="BA131" s="1821">
        <v>0</v>
      </c>
      <c r="BB131" s="1821">
        <v>0</v>
      </c>
      <c r="BE131" s="1733"/>
      <c r="BF131" s="1734">
        <v>0</v>
      </c>
    </row>
    <row r="132" spans="1:60" s="990" customFormat="1">
      <c r="A132" s="630" t="s">
        <v>713</v>
      </c>
      <c r="B132" s="867" t="s">
        <v>1266</v>
      </c>
      <c r="C132" s="947">
        <v>45715000</v>
      </c>
      <c r="D132" s="947">
        <v>33162551</v>
      </c>
      <c r="E132" s="947">
        <v>12552449</v>
      </c>
      <c r="F132" s="984">
        <v>0</v>
      </c>
      <c r="G132" s="1829">
        <v>0</v>
      </c>
      <c r="H132" s="947">
        <v>0</v>
      </c>
      <c r="I132" s="947">
        <v>0</v>
      </c>
      <c r="J132" s="1829">
        <v>0</v>
      </c>
      <c r="K132" s="947">
        <v>0</v>
      </c>
      <c r="L132" s="947">
        <v>0</v>
      </c>
      <c r="M132" s="947">
        <v>0</v>
      </c>
      <c r="N132" s="947">
        <v>0</v>
      </c>
      <c r="O132" s="947">
        <v>0</v>
      </c>
      <c r="P132" s="947">
        <v>0</v>
      </c>
      <c r="Q132" s="947">
        <v>0</v>
      </c>
      <c r="R132" s="947">
        <v>0</v>
      </c>
      <c r="S132" s="947">
        <v>0</v>
      </c>
      <c r="T132" s="947">
        <v>0</v>
      </c>
      <c r="U132" s="947">
        <v>0</v>
      </c>
      <c r="V132" s="947">
        <v>0</v>
      </c>
      <c r="W132" s="1829">
        <v>0</v>
      </c>
      <c r="X132" s="1829">
        <v>9112650</v>
      </c>
      <c r="Y132" s="947">
        <v>173514</v>
      </c>
      <c r="Z132" s="947">
        <v>96570</v>
      </c>
      <c r="AA132" s="947">
        <v>375104</v>
      </c>
      <c r="AB132" s="947">
        <v>570951</v>
      </c>
      <c r="AC132" s="947">
        <v>882610</v>
      </c>
      <c r="AD132" s="947">
        <v>854118</v>
      </c>
      <c r="AE132" s="947">
        <v>965086</v>
      </c>
      <c r="AF132" s="947">
        <v>971386</v>
      </c>
      <c r="AG132" s="947">
        <v>997029</v>
      </c>
      <c r="AH132" s="947">
        <v>886675</v>
      </c>
      <c r="AI132" s="947">
        <v>1079677</v>
      </c>
      <c r="AJ132" s="947">
        <v>1259930</v>
      </c>
      <c r="AK132" s="1829">
        <v>9112650</v>
      </c>
      <c r="AL132" s="1830" t="s">
        <v>1323</v>
      </c>
      <c r="AM132" s="1829">
        <v>8115267</v>
      </c>
      <c r="AN132" s="1829">
        <v>9219793</v>
      </c>
      <c r="AO132" s="1829">
        <v>4186987</v>
      </c>
      <c r="AP132" s="1829">
        <v>2527854</v>
      </c>
      <c r="AQ132" s="1829">
        <v>0</v>
      </c>
      <c r="AR132" s="1731" t="s">
        <v>1323</v>
      </c>
      <c r="AS132" s="1731" t="s">
        <v>1676</v>
      </c>
      <c r="AT132" s="1732" t="s">
        <v>2237</v>
      </c>
      <c r="AV132" s="1833">
        <v>0</v>
      </c>
      <c r="AW132" s="1834">
        <v>24049901</v>
      </c>
      <c r="AX132" s="1834">
        <v>15934634</v>
      </c>
      <c r="AY132" s="1834">
        <v>6714841</v>
      </c>
      <c r="AZ132" s="1834">
        <v>2527854</v>
      </c>
      <c r="BA132" s="1834">
        <v>0</v>
      </c>
      <c r="BB132" s="1834">
        <v>0</v>
      </c>
      <c r="BE132" s="1733"/>
      <c r="BF132" s="1734">
        <v>9112650</v>
      </c>
    </row>
    <row r="133" spans="1:60" s="1757" customFormat="1">
      <c r="A133" s="1148" t="s">
        <v>715</v>
      </c>
      <c r="B133" s="1147" t="s">
        <v>1267</v>
      </c>
      <c r="C133" s="1750">
        <v>37129000</v>
      </c>
      <c r="D133" s="1750">
        <v>26962211</v>
      </c>
      <c r="E133" s="1750">
        <v>10166789</v>
      </c>
      <c r="F133" s="1751">
        <v>0</v>
      </c>
      <c r="G133" s="1845">
        <v>0</v>
      </c>
      <c r="H133" s="1750">
        <v>0</v>
      </c>
      <c r="I133" s="1750">
        <v>0</v>
      </c>
      <c r="J133" s="1845">
        <v>0</v>
      </c>
      <c r="K133" s="1750">
        <v>0</v>
      </c>
      <c r="L133" s="1750">
        <v>0</v>
      </c>
      <c r="M133" s="1750">
        <v>0</v>
      </c>
      <c r="N133" s="1750">
        <v>0</v>
      </c>
      <c r="O133" s="1750">
        <v>0</v>
      </c>
      <c r="P133" s="1750">
        <v>0</v>
      </c>
      <c r="Q133" s="1750">
        <v>0</v>
      </c>
      <c r="R133" s="1750">
        <v>0</v>
      </c>
      <c r="S133" s="1750">
        <v>0</v>
      </c>
      <c r="T133" s="1750">
        <v>0</v>
      </c>
      <c r="U133" s="1750">
        <v>0</v>
      </c>
      <c r="V133" s="1750">
        <v>0</v>
      </c>
      <c r="W133" s="1845">
        <v>0</v>
      </c>
      <c r="X133" s="1845">
        <v>0</v>
      </c>
      <c r="Y133" s="1750">
        <v>0</v>
      </c>
      <c r="Z133" s="1750">
        <v>0</v>
      </c>
      <c r="AA133" s="1750">
        <v>0</v>
      </c>
      <c r="AB133" s="1750">
        <v>0</v>
      </c>
      <c r="AC133" s="1750">
        <v>0</v>
      </c>
      <c r="AD133" s="1750">
        <v>0</v>
      </c>
      <c r="AE133" s="1750">
        <v>0</v>
      </c>
      <c r="AF133" s="1750">
        <v>0</v>
      </c>
      <c r="AG133" s="1750">
        <v>0</v>
      </c>
      <c r="AH133" s="1750">
        <v>0</v>
      </c>
      <c r="AI133" s="1750">
        <v>0</v>
      </c>
      <c r="AJ133" s="1750">
        <v>0</v>
      </c>
      <c r="AK133" s="1845">
        <v>0</v>
      </c>
      <c r="AL133" s="1819" t="s">
        <v>1308</v>
      </c>
      <c r="AM133" s="1818">
        <v>8413388</v>
      </c>
      <c r="AN133" s="1818">
        <v>5644786</v>
      </c>
      <c r="AO133" s="1818">
        <v>6988689</v>
      </c>
      <c r="AP133" s="1818">
        <v>5845348</v>
      </c>
      <c r="AQ133" s="1818">
        <v>70000</v>
      </c>
      <c r="AR133" s="1714" t="s">
        <v>1308</v>
      </c>
      <c r="AS133" s="1714" t="s">
        <v>1678</v>
      </c>
      <c r="AT133" s="949" t="s">
        <v>2232</v>
      </c>
      <c r="AV133" s="1820">
        <v>0</v>
      </c>
      <c r="AW133" s="1821">
        <v>0</v>
      </c>
      <c r="AX133" s="1821">
        <v>18548823</v>
      </c>
      <c r="AY133" s="1821">
        <v>12904037</v>
      </c>
      <c r="AZ133" s="1821">
        <v>5915348</v>
      </c>
      <c r="BA133" s="1821">
        <v>70000</v>
      </c>
      <c r="BB133" s="1821">
        <v>0</v>
      </c>
      <c r="BE133" s="1758"/>
      <c r="BF133" s="1759">
        <v>0</v>
      </c>
    </row>
    <row r="134" spans="1:60" s="1757" customFormat="1">
      <c r="A134" s="1148" t="s">
        <v>717</v>
      </c>
      <c r="B134" s="1147" t="s">
        <v>1268</v>
      </c>
      <c r="C134" s="1750">
        <v>37036000</v>
      </c>
      <c r="D134" s="1750">
        <v>26836315</v>
      </c>
      <c r="E134" s="1750">
        <v>10199685</v>
      </c>
      <c r="F134" s="1751">
        <v>0</v>
      </c>
      <c r="G134" s="1845">
        <v>0</v>
      </c>
      <c r="H134" s="1750">
        <v>0</v>
      </c>
      <c r="I134" s="1750">
        <v>0</v>
      </c>
      <c r="J134" s="1845">
        <v>0</v>
      </c>
      <c r="K134" s="1750">
        <v>0</v>
      </c>
      <c r="L134" s="1750">
        <v>0</v>
      </c>
      <c r="M134" s="1750">
        <v>0</v>
      </c>
      <c r="N134" s="1750">
        <v>0</v>
      </c>
      <c r="O134" s="1750">
        <v>0</v>
      </c>
      <c r="P134" s="1750">
        <v>0</v>
      </c>
      <c r="Q134" s="1750">
        <v>0</v>
      </c>
      <c r="R134" s="1750">
        <v>0</v>
      </c>
      <c r="S134" s="1750">
        <v>0</v>
      </c>
      <c r="T134" s="1750">
        <v>0</v>
      </c>
      <c r="U134" s="1750">
        <v>0</v>
      </c>
      <c r="V134" s="1750">
        <v>0</v>
      </c>
      <c r="W134" s="1845">
        <v>0</v>
      </c>
      <c r="X134" s="1845">
        <v>0</v>
      </c>
      <c r="Y134" s="1750">
        <v>0</v>
      </c>
      <c r="Z134" s="1750">
        <v>0</v>
      </c>
      <c r="AA134" s="1750">
        <v>0</v>
      </c>
      <c r="AB134" s="1750">
        <v>0</v>
      </c>
      <c r="AC134" s="1750">
        <v>0</v>
      </c>
      <c r="AD134" s="1750">
        <v>0</v>
      </c>
      <c r="AE134" s="1750">
        <v>0</v>
      </c>
      <c r="AF134" s="1750">
        <v>0</v>
      </c>
      <c r="AG134" s="1750">
        <v>0</v>
      </c>
      <c r="AH134" s="1750">
        <v>0</v>
      </c>
      <c r="AI134" s="1750">
        <v>0</v>
      </c>
      <c r="AJ134" s="1750">
        <v>0</v>
      </c>
      <c r="AK134" s="1845">
        <v>0</v>
      </c>
      <c r="AL134" s="1819" t="s">
        <v>1308</v>
      </c>
      <c r="AM134" s="1818">
        <v>0</v>
      </c>
      <c r="AN134" s="1818">
        <v>5560576</v>
      </c>
      <c r="AO134" s="1818">
        <v>7288688</v>
      </c>
      <c r="AP134" s="1818">
        <v>7258684</v>
      </c>
      <c r="AQ134" s="1818">
        <v>6728367</v>
      </c>
      <c r="AR134" s="1714" t="s">
        <v>1308</v>
      </c>
      <c r="AS134" s="1714" t="s">
        <v>1680</v>
      </c>
      <c r="AT134" s="949" t="s">
        <v>2232</v>
      </c>
      <c r="AV134" s="1820">
        <v>0</v>
      </c>
      <c r="AW134" s="1821">
        <v>0</v>
      </c>
      <c r="AX134" s="1821">
        <v>0</v>
      </c>
      <c r="AY134" s="1821">
        <v>21275739</v>
      </c>
      <c r="AZ134" s="1821">
        <v>13987051</v>
      </c>
      <c r="BA134" s="1821">
        <v>6728367</v>
      </c>
      <c r="BB134" s="1821">
        <v>0</v>
      </c>
      <c r="BE134" s="1769"/>
      <c r="BF134" s="1759">
        <v>0</v>
      </c>
    </row>
    <row r="135" spans="1:60" s="1757" customFormat="1">
      <c r="A135" s="1148" t="s">
        <v>719</v>
      </c>
      <c r="B135" s="1147" t="s">
        <v>1269</v>
      </c>
      <c r="C135" s="1750">
        <v>39667000</v>
      </c>
      <c r="D135" s="1750">
        <v>29105591</v>
      </c>
      <c r="E135" s="1750">
        <v>10561409</v>
      </c>
      <c r="F135" s="1751"/>
      <c r="G135" s="1845">
        <v>0</v>
      </c>
      <c r="H135" s="1750">
        <v>0</v>
      </c>
      <c r="I135" s="1750">
        <v>0</v>
      </c>
      <c r="J135" s="1845">
        <v>0</v>
      </c>
      <c r="K135" s="1750">
        <v>0</v>
      </c>
      <c r="L135" s="1750">
        <v>0</v>
      </c>
      <c r="M135" s="1750">
        <v>0</v>
      </c>
      <c r="N135" s="1750">
        <v>0</v>
      </c>
      <c r="O135" s="1750">
        <v>0</v>
      </c>
      <c r="P135" s="1750">
        <v>0</v>
      </c>
      <c r="Q135" s="1750">
        <v>0</v>
      </c>
      <c r="R135" s="1750">
        <v>0</v>
      </c>
      <c r="S135" s="1750">
        <v>0</v>
      </c>
      <c r="T135" s="1750">
        <v>0</v>
      </c>
      <c r="U135" s="1750">
        <v>0</v>
      </c>
      <c r="V135" s="1750">
        <v>0</v>
      </c>
      <c r="W135" s="1845">
        <v>0</v>
      </c>
      <c r="X135" s="1845">
        <v>0</v>
      </c>
      <c r="Y135" s="1750">
        <v>0</v>
      </c>
      <c r="Z135" s="1750">
        <v>0</v>
      </c>
      <c r="AA135" s="1750">
        <v>0</v>
      </c>
      <c r="AB135" s="1750">
        <v>0</v>
      </c>
      <c r="AC135" s="1750">
        <v>0</v>
      </c>
      <c r="AD135" s="1750">
        <v>0</v>
      </c>
      <c r="AE135" s="1750">
        <v>0</v>
      </c>
      <c r="AF135" s="1750">
        <v>0</v>
      </c>
      <c r="AG135" s="1750">
        <v>0</v>
      </c>
      <c r="AH135" s="1750">
        <v>0</v>
      </c>
      <c r="AI135" s="1750">
        <v>0</v>
      </c>
      <c r="AJ135" s="1750">
        <v>0</v>
      </c>
      <c r="AK135" s="1845">
        <v>0</v>
      </c>
      <c r="AL135" s="1819" t="s">
        <v>1308</v>
      </c>
      <c r="AM135" s="1818">
        <v>0</v>
      </c>
      <c r="AN135" s="1818">
        <v>0</v>
      </c>
      <c r="AO135" s="1818">
        <v>8548364</v>
      </c>
      <c r="AP135" s="1818">
        <v>7558684</v>
      </c>
      <c r="AQ135" s="1818">
        <v>12998543</v>
      </c>
      <c r="AR135" s="1714" t="s">
        <v>1308</v>
      </c>
      <c r="AS135" s="1714" t="s">
        <v>1682</v>
      </c>
      <c r="AT135" s="949" t="s">
        <v>2232</v>
      </c>
      <c r="AV135" s="1820">
        <v>0</v>
      </c>
      <c r="AW135" s="1821">
        <v>0</v>
      </c>
      <c r="AX135" s="1821">
        <v>0</v>
      </c>
      <c r="AY135" s="1821">
        <v>0</v>
      </c>
      <c r="AZ135" s="1821">
        <v>20557227</v>
      </c>
      <c r="BA135" s="1821">
        <v>12998543</v>
      </c>
      <c r="BB135" s="1821">
        <v>0</v>
      </c>
      <c r="BE135" s="1769"/>
      <c r="BF135" s="1759">
        <v>0</v>
      </c>
    </row>
    <row r="136" spans="1:60" s="1757" customFormat="1">
      <c r="A136" s="1148" t="s">
        <v>721</v>
      </c>
      <c r="B136" s="1147" t="s">
        <v>1270</v>
      </c>
      <c r="C136" s="1750">
        <v>42374000</v>
      </c>
      <c r="D136" s="1750">
        <v>30695265</v>
      </c>
      <c r="E136" s="1750">
        <v>11678735</v>
      </c>
      <c r="F136" s="1751"/>
      <c r="G136" s="1845">
        <v>0</v>
      </c>
      <c r="H136" s="1750">
        <v>0</v>
      </c>
      <c r="I136" s="1750">
        <v>0</v>
      </c>
      <c r="J136" s="1845">
        <v>0</v>
      </c>
      <c r="K136" s="1750">
        <v>0</v>
      </c>
      <c r="L136" s="1750">
        <v>0</v>
      </c>
      <c r="M136" s="1750">
        <v>0</v>
      </c>
      <c r="N136" s="1750">
        <v>0</v>
      </c>
      <c r="O136" s="1750">
        <v>0</v>
      </c>
      <c r="P136" s="1750">
        <v>0</v>
      </c>
      <c r="Q136" s="1750">
        <v>0</v>
      </c>
      <c r="R136" s="1750">
        <v>0</v>
      </c>
      <c r="S136" s="1750">
        <v>0</v>
      </c>
      <c r="T136" s="1750">
        <v>0</v>
      </c>
      <c r="U136" s="1750">
        <v>0</v>
      </c>
      <c r="V136" s="1750">
        <v>0</v>
      </c>
      <c r="W136" s="1845">
        <v>0</v>
      </c>
      <c r="X136" s="1845">
        <v>0</v>
      </c>
      <c r="Y136" s="1750">
        <v>0</v>
      </c>
      <c r="Z136" s="1750">
        <v>0</v>
      </c>
      <c r="AA136" s="1750">
        <v>0</v>
      </c>
      <c r="AB136" s="1750">
        <v>0</v>
      </c>
      <c r="AC136" s="1750">
        <v>0</v>
      </c>
      <c r="AD136" s="1750">
        <v>0</v>
      </c>
      <c r="AE136" s="1750">
        <v>0</v>
      </c>
      <c r="AF136" s="1750">
        <v>0</v>
      </c>
      <c r="AG136" s="1750">
        <v>0</v>
      </c>
      <c r="AH136" s="1750">
        <v>0</v>
      </c>
      <c r="AI136" s="1750">
        <v>0</v>
      </c>
      <c r="AJ136" s="1750">
        <v>0</v>
      </c>
      <c r="AK136" s="1845">
        <v>0</v>
      </c>
      <c r="AL136" s="1819" t="s">
        <v>1308</v>
      </c>
      <c r="AM136" s="1818">
        <v>0</v>
      </c>
      <c r="AN136" s="1818">
        <v>0</v>
      </c>
      <c r="AO136" s="1818">
        <v>0</v>
      </c>
      <c r="AP136" s="1818">
        <v>6065348</v>
      </c>
      <c r="AQ136" s="1818">
        <v>24629917</v>
      </c>
      <c r="AR136" s="1714" t="s">
        <v>1308</v>
      </c>
      <c r="AS136" s="1714" t="s">
        <v>1684</v>
      </c>
      <c r="AT136" s="949" t="s">
        <v>2232</v>
      </c>
      <c r="AV136" s="1846"/>
      <c r="AW136" s="1847"/>
      <c r="AX136" s="1847"/>
      <c r="AY136" s="1847"/>
      <c r="AZ136" s="1847"/>
      <c r="BA136" s="1847">
        <v>24629917</v>
      </c>
      <c r="BB136" s="1847">
        <v>0</v>
      </c>
      <c r="BE136" s="1769"/>
      <c r="BF136" s="1759">
        <v>0</v>
      </c>
    </row>
    <row r="137" spans="1:60">
      <c r="A137" s="1120"/>
      <c r="B137" s="751"/>
      <c r="C137" s="948"/>
      <c r="D137" s="948"/>
      <c r="E137" s="948"/>
      <c r="F137" s="943"/>
      <c r="G137" s="1818"/>
      <c r="H137" s="1835">
        <v>0</v>
      </c>
      <c r="I137" s="1835">
        <v>0</v>
      </c>
      <c r="J137" s="1837">
        <v>0</v>
      </c>
      <c r="K137" s="946">
        <v>0</v>
      </c>
      <c r="L137" s="946">
        <v>0</v>
      </c>
      <c r="M137" s="947">
        <v>0</v>
      </c>
      <c r="N137" s="947">
        <v>0</v>
      </c>
      <c r="O137" s="947">
        <v>0</v>
      </c>
      <c r="P137" s="947">
        <v>0</v>
      </c>
      <c r="Q137" s="947">
        <v>0</v>
      </c>
      <c r="R137" s="947">
        <v>0</v>
      </c>
      <c r="S137" s="946">
        <v>0</v>
      </c>
      <c r="T137" s="946">
        <v>0</v>
      </c>
      <c r="U137" s="946">
        <v>0</v>
      </c>
      <c r="V137" s="946">
        <v>0</v>
      </c>
      <c r="W137" s="1837">
        <v>0</v>
      </c>
      <c r="X137" s="1837">
        <v>0</v>
      </c>
      <c r="Y137" s="1835">
        <v>0</v>
      </c>
      <c r="Z137" s="1835">
        <v>0</v>
      </c>
      <c r="AA137" s="1835">
        <v>0</v>
      </c>
      <c r="AB137" s="1835">
        <v>0</v>
      </c>
      <c r="AC137" s="1835">
        <v>0</v>
      </c>
      <c r="AD137" s="1835">
        <v>0</v>
      </c>
      <c r="AE137" s="1835">
        <v>0</v>
      </c>
      <c r="AF137" s="1835">
        <v>0</v>
      </c>
      <c r="AG137" s="1835">
        <v>0</v>
      </c>
      <c r="AH137" s="1835">
        <v>0</v>
      </c>
      <c r="AI137" s="1835">
        <v>0</v>
      </c>
      <c r="AJ137" s="1835">
        <v>0</v>
      </c>
      <c r="AK137" s="1837">
        <v>0</v>
      </c>
      <c r="AL137" s="1819" t="s">
        <v>1308</v>
      </c>
      <c r="AM137" s="1818">
        <v>0</v>
      </c>
      <c r="AN137" s="1818">
        <v>0</v>
      </c>
      <c r="AO137" s="1818">
        <v>0</v>
      </c>
      <c r="AP137" s="1818">
        <v>0</v>
      </c>
      <c r="AQ137" s="1818">
        <v>0</v>
      </c>
      <c r="AR137" s="1714"/>
      <c r="AS137" s="1714"/>
      <c r="AT137" s="949"/>
      <c r="AU137" s="1841"/>
      <c r="AV137" s="1833"/>
      <c r="AW137" s="1834"/>
      <c r="AX137" s="1834"/>
      <c r="AY137" s="1834">
        <v>0</v>
      </c>
      <c r="AZ137" s="1834">
        <v>0</v>
      </c>
      <c r="BA137" s="1821">
        <v>0</v>
      </c>
      <c r="BB137" s="1821">
        <v>0</v>
      </c>
      <c r="BE137" s="1772"/>
      <c r="BF137" s="1717">
        <v>0</v>
      </c>
    </row>
    <row r="138" spans="1:60">
      <c r="A138" s="1120"/>
      <c r="B138" s="751"/>
      <c r="C138" s="948"/>
      <c r="D138" s="948"/>
      <c r="E138" s="948"/>
      <c r="F138" s="943"/>
      <c r="G138" s="1818"/>
      <c r="H138" s="948"/>
      <c r="I138" s="948"/>
      <c r="J138" s="1818"/>
      <c r="K138" s="948"/>
      <c r="L138" s="948"/>
      <c r="M138" s="948"/>
      <c r="N138" s="948"/>
      <c r="O138" s="948"/>
      <c r="P138" s="948"/>
      <c r="Q138" s="948"/>
      <c r="R138" s="948"/>
      <c r="S138" s="948"/>
      <c r="T138" s="948"/>
      <c r="U138" s="948"/>
      <c r="V138" s="948"/>
      <c r="W138" s="1818"/>
      <c r="X138" s="1818"/>
      <c r="Y138" s="948"/>
      <c r="Z138" s="948"/>
      <c r="AA138" s="948"/>
      <c r="AB138" s="948"/>
      <c r="AC138" s="948"/>
      <c r="AD138" s="948"/>
      <c r="AE138" s="948"/>
      <c r="AF138" s="948"/>
      <c r="AG138" s="948"/>
      <c r="AH138" s="948"/>
      <c r="AI138" s="948"/>
      <c r="AJ138" s="948"/>
      <c r="AK138" s="1818"/>
      <c r="AL138" s="1819"/>
      <c r="AM138" s="1818"/>
      <c r="AN138" s="1818"/>
      <c r="AO138" s="1818"/>
      <c r="AP138" s="1818"/>
      <c r="AQ138" s="1818"/>
      <c r="AR138" s="1714"/>
      <c r="AS138" s="1715"/>
      <c r="AT138" s="991"/>
      <c r="AV138" s="1821"/>
      <c r="AW138" s="1821"/>
      <c r="AX138" s="1821"/>
      <c r="AY138" s="1821"/>
      <c r="AZ138" s="1821"/>
      <c r="BA138" s="1821">
        <v>0</v>
      </c>
      <c r="BB138" s="1821">
        <v>0</v>
      </c>
      <c r="BE138" s="1772"/>
      <c r="BF138" s="1717">
        <v>0</v>
      </c>
    </row>
    <row r="139" spans="1:60">
      <c r="A139" s="1120"/>
      <c r="B139" s="751"/>
      <c r="C139" s="948"/>
      <c r="D139" s="948"/>
      <c r="E139" s="948"/>
      <c r="F139" s="943"/>
      <c r="G139" s="1818"/>
      <c r="H139" s="948"/>
      <c r="I139" s="948"/>
      <c r="J139" s="1818"/>
      <c r="K139" s="948"/>
      <c r="L139" s="948"/>
      <c r="M139" s="948"/>
      <c r="N139" s="948"/>
      <c r="O139" s="948"/>
      <c r="P139" s="948"/>
      <c r="Q139" s="948"/>
      <c r="R139" s="948"/>
      <c r="S139" s="948"/>
      <c r="T139" s="948"/>
      <c r="U139" s="948"/>
      <c r="V139" s="948"/>
      <c r="W139" s="1818"/>
      <c r="X139" s="1818"/>
      <c r="Y139" s="948"/>
      <c r="Z139" s="948"/>
      <c r="AA139" s="948"/>
      <c r="AB139" s="948"/>
      <c r="AC139" s="948"/>
      <c r="AD139" s="948"/>
      <c r="AE139" s="948"/>
      <c r="AF139" s="948"/>
      <c r="AG139" s="948"/>
      <c r="AH139" s="948"/>
      <c r="AI139" s="948"/>
      <c r="AJ139" s="948"/>
      <c r="AK139" s="1818"/>
      <c r="AL139" s="1819"/>
      <c r="AM139" s="1818"/>
      <c r="AN139" s="1818"/>
      <c r="AO139" s="1818"/>
      <c r="AP139" s="1818"/>
      <c r="AQ139" s="1818"/>
      <c r="AR139" s="1714"/>
      <c r="AS139" s="1715"/>
      <c r="AT139" s="991"/>
      <c r="AV139" s="1821"/>
      <c r="AW139" s="1821"/>
      <c r="AX139" s="1821"/>
      <c r="AY139" s="1821"/>
      <c r="AZ139" s="1821"/>
      <c r="BA139" s="1821">
        <v>0</v>
      </c>
      <c r="BB139" s="1821">
        <v>0</v>
      </c>
      <c r="BE139" s="1772"/>
      <c r="BF139" s="1717">
        <v>0</v>
      </c>
    </row>
    <row r="140" spans="1:60">
      <c r="A140" s="1848"/>
      <c r="B140" s="751"/>
      <c r="C140" s="948"/>
      <c r="D140" s="948"/>
      <c r="E140" s="948">
        <v>0</v>
      </c>
      <c r="F140" s="1044">
        <v>0</v>
      </c>
      <c r="G140" s="1818"/>
      <c r="H140" s="948">
        <v>0</v>
      </c>
      <c r="I140" s="948">
        <v>0</v>
      </c>
      <c r="J140" s="1818">
        <v>0</v>
      </c>
      <c r="K140" s="948"/>
      <c r="L140" s="948"/>
      <c r="M140" s="948"/>
      <c r="N140" s="948"/>
      <c r="O140" s="948"/>
      <c r="P140" s="948"/>
      <c r="Q140" s="948"/>
      <c r="R140" s="948"/>
      <c r="S140" s="948"/>
      <c r="T140" s="948"/>
      <c r="U140" s="948"/>
      <c r="V140" s="948"/>
      <c r="W140" s="1818">
        <v>0</v>
      </c>
      <c r="X140" s="1818">
        <v>0</v>
      </c>
      <c r="Y140" s="948">
        <v>0</v>
      </c>
      <c r="Z140" s="948">
        <v>0</v>
      </c>
      <c r="AA140" s="948">
        <v>0</v>
      </c>
      <c r="AB140" s="948">
        <v>0</v>
      </c>
      <c r="AC140" s="948">
        <v>0</v>
      </c>
      <c r="AD140" s="948">
        <v>0</v>
      </c>
      <c r="AE140" s="948">
        <v>0</v>
      </c>
      <c r="AF140" s="948">
        <v>0</v>
      </c>
      <c r="AG140" s="948">
        <v>0</v>
      </c>
      <c r="AH140" s="948">
        <v>0</v>
      </c>
      <c r="AI140" s="948">
        <v>0</v>
      </c>
      <c r="AJ140" s="948">
        <v>0</v>
      </c>
      <c r="AK140" s="1818">
        <v>0</v>
      </c>
      <c r="AL140" s="1819"/>
      <c r="AM140" s="1818">
        <v>0</v>
      </c>
      <c r="AN140" s="1818">
        <v>0</v>
      </c>
      <c r="AO140" s="1818">
        <v>0</v>
      </c>
      <c r="AP140" s="1818">
        <v>0</v>
      </c>
      <c r="AQ140" s="1818"/>
      <c r="AR140" s="1714" t="s">
        <v>1308</v>
      </c>
      <c r="AS140" s="1714" t="s">
        <v>1196</v>
      </c>
      <c r="AT140" s="991"/>
      <c r="AV140" s="1831">
        <v>0</v>
      </c>
      <c r="AW140" s="1831"/>
      <c r="AX140" s="1831"/>
      <c r="AY140" s="1831">
        <v>0</v>
      </c>
      <c r="AZ140" s="1821">
        <v>0</v>
      </c>
      <c r="BA140" s="1821">
        <v>0</v>
      </c>
      <c r="BB140" s="1821">
        <v>0</v>
      </c>
      <c r="BE140" s="1773"/>
      <c r="BF140" s="1717">
        <v>0</v>
      </c>
    </row>
    <row r="141" spans="1:60">
      <c r="A141" s="1108"/>
      <c r="B141" s="1108" t="s">
        <v>1690</v>
      </c>
      <c r="C141" s="1110">
        <v>209946827</v>
      </c>
      <c r="D141" s="1110">
        <v>145924036</v>
      </c>
      <c r="E141" s="1110">
        <v>64022791</v>
      </c>
      <c r="F141" s="1110">
        <v>46621758</v>
      </c>
      <c r="G141" s="1110">
        <v>26666475</v>
      </c>
      <c r="H141" s="1110">
        <v>1680513</v>
      </c>
      <c r="I141" s="1110">
        <v>17040857</v>
      </c>
      <c r="J141" s="1110">
        <v>24734421</v>
      </c>
      <c r="K141" s="1110">
        <v>1472330</v>
      </c>
      <c r="L141" s="1110">
        <v>1928714</v>
      </c>
      <c r="M141" s="1110">
        <v>3021408</v>
      </c>
      <c r="N141" s="1110">
        <v>1288857</v>
      </c>
      <c r="O141" s="1110">
        <v>1477862</v>
      </c>
      <c r="P141" s="1110">
        <v>3274604</v>
      </c>
      <c r="Q141" s="1110">
        <v>2896569</v>
      </c>
      <c r="R141" s="1110">
        <v>1680513</v>
      </c>
      <c r="S141" s="1110">
        <v>1464075</v>
      </c>
      <c r="T141" s="1110">
        <v>1570808</v>
      </c>
      <c r="U141" s="1110">
        <v>2570718</v>
      </c>
      <c r="V141" s="1110">
        <v>2087963</v>
      </c>
      <c r="W141" s="1110">
        <v>71356179</v>
      </c>
      <c r="X141" s="1110">
        <v>27120433</v>
      </c>
      <c r="Y141" s="1110">
        <v>1958160</v>
      </c>
      <c r="Z141" s="1110">
        <v>1216005</v>
      </c>
      <c r="AA141" s="1110">
        <v>3546519</v>
      </c>
      <c r="AB141" s="1110">
        <v>2486526</v>
      </c>
      <c r="AC141" s="1110">
        <v>2476191</v>
      </c>
      <c r="AD141" s="1110">
        <v>2169454</v>
      </c>
      <c r="AE141" s="1110">
        <v>2401861</v>
      </c>
      <c r="AF141" s="1110">
        <v>1980203</v>
      </c>
      <c r="AG141" s="1110">
        <v>1850259</v>
      </c>
      <c r="AH141" s="1110">
        <v>2473601</v>
      </c>
      <c r="AI141" s="1110">
        <v>2088494</v>
      </c>
      <c r="AJ141" s="1110">
        <v>2473160</v>
      </c>
      <c r="AK141" s="1110">
        <v>98476612</v>
      </c>
      <c r="AL141" s="1842">
        <v>0</v>
      </c>
      <c r="AM141" s="1110">
        <v>26961924</v>
      </c>
      <c r="AN141" s="1110">
        <v>27970275</v>
      </c>
      <c r="AO141" s="1110">
        <v>28412276</v>
      </c>
      <c r="AP141" s="1110">
        <v>29255918</v>
      </c>
      <c r="AQ141" s="1110">
        <v>51490350</v>
      </c>
      <c r="AR141" s="1110"/>
      <c r="AS141" s="1110"/>
      <c r="AT141" s="1110"/>
      <c r="AV141" s="1110">
        <v>43304872</v>
      </c>
      <c r="AW141" s="1110">
        <v>50491361</v>
      </c>
      <c r="AX141" s="1110">
        <v>50491648</v>
      </c>
      <c r="AY141" s="1110">
        <v>49357688</v>
      </c>
      <c r="AZ141" s="1110">
        <v>50051003</v>
      </c>
      <c r="BA141" s="1110">
        <v>51490350</v>
      </c>
      <c r="BB141" s="1110">
        <v>0</v>
      </c>
      <c r="BD141" s="889" t="s">
        <v>1685</v>
      </c>
      <c r="BE141" s="1843">
        <v>25435049</v>
      </c>
      <c r="BF141" s="1843">
        <v>-2474926</v>
      </c>
    </row>
    <row r="142" spans="1:60">
      <c r="A142" s="1120" t="s">
        <v>1686</v>
      </c>
      <c r="B142" s="751" t="s">
        <v>2251</v>
      </c>
      <c r="C142" s="948"/>
      <c r="D142" s="948"/>
      <c r="E142" s="948"/>
      <c r="F142" s="948"/>
      <c r="G142" s="948"/>
      <c r="H142" s="948">
        <v>0</v>
      </c>
      <c r="I142" s="948">
        <v>0</v>
      </c>
      <c r="J142" s="1831">
        <v>0</v>
      </c>
      <c r="K142" s="948"/>
      <c r="L142" s="948"/>
      <c r="M142" s="948"/>
      <c r="N142" s="948"/>
      <c r="O142" s="948"/>
      <c r="P142" s="948"/>
      <c r="Q142" s="948"/>
      <c r="R142" s="948"/>
      <c r="S142" s="948"/>
      <c r="T142" s="948"/>
      <c r="U142" s="948"/>
      <c r="V142" s="948"/>
      <c r="W142" s="1818">
        <v>0</v>
      </c>
      <c r="X142" s="1818">
        <v>0</v>
      </c>
      <c r="Y142" s="948"/>
      <c r="Z142" s="948"/>
      <c r="AA142" s="948"/>
      <c r="AB142" s="948"/>
      <c r="AC142" s="948"/>
      <c r="AD142" s="948"/>
      <c r="AE142" s="948"/>
      <c r="AF142" s="948"/>
      <c r="AG142" s="948"/>
      <c r="AH142" s="948"/>
      <c r="AI142" s="948"/>
      <c r="AJ142" s="948"/>
      <c r="AK142" s="948"/>
      <c r="AL142" s="959"/>
      <c r="AM142" s="991"/>
      <c r="AN142" s="991"/>
      <c r="AO142" s="991"/>
      <c r="AP142" s="991"/>
      <c r="AQ142" s="991"/>
      <c r="AR142" s="1774" t="s">
        <v>1308</v>
      </c>
      <c r="AS142" s="1775" t="s">
        <v>1687</v>
      </c>
      <c r="AT142" s="1109"/>
      <c r="AV142" s="1110"/>
      <c r="AW142" s="1110"/>
      <c r="AX142" s="1110"/>
      <c r="AY142" s="1110"/>
      <c r="AZ142" s="1110"/>
      <c r="BA142" s="1110"/>
      <c r="BB142" s="1110"/>
    </row>
    <row r="143" spans="1:60">
      <c r="A143" s="1776"/>
      <c r="B143" s="1776" t="s">
        <v>1357</v>
      </c>
      <c r="C143" s="1777">
        <v>538908420</v>
      </c>
      <c r="D143" s="1777">
        <v>375980158</v>
      </c>
      <c r="E143" s="1777">
        <v>162928262</v>
      </c>
      <c r="F143" s="1777">
        <v>79528390</v>
      </c>
      <c r="G143" s="1777">
        <v>46859855</v>
      </c>
      <c r="H143" s="1777">
        <v>2979275</v>
      </c>
      <c r="I143" s="1777">
        <v>26498637</v>
      </c>
      <c r="J143" s="1777">
        <v>42502616</v>
      </c>
      <c r="K143" s="1777">
        <v>2516550</v>
      </c>
      <c r="L143" s="1777">
        <v>2634804</v>
      </c>
      <c r="M143" s="1777">
        <v>4164892</v>
      </c>
      <c r="N143" s="1777">
        <v>2366816</v>
      </c>
      <c r="O143" s="1777">
        <v>2550855</v>
      </c>
      <c r="P143" s="1777">
        <v>5090057</v>
      </c>
      <c r="Q143" s="1777">
        <v>4195388</v>
      </c>
      <c r="R143" s="1777">
        <v>2979275</v>
      </c>
      <c r="S143" s="1777">
        <v>2999929</v>
      </c>
      <c r="T143" s="1777">
        <v>3699280</v>
      </c>
      <c r="U143" s="1777">
        <v>4695904</v>
      </c>
      <c r="V143" s="1777">
        <v>4608866</v>
      </c>
      <c r="W143" s="1777">
        <v>122031006</v>
      </c>
      <c r="X143" s="1777">
        <v>55992032</v>
      </c>
      <c r="Y143" s="1777">
        <v>4934706</v>
      </c>
      <c r="Z143" s="1777">
        <v>3081127</v>
      </c>
      <c r="AA143" s="1777">
        <v>6017966</v>
      </c>
      <c r="AB143" s="1777">
        <v>4351731</v>
      </c>
      <c r="AC143" s="1777">
        <v>4371179</v>
      </c>
      <c r="AD143" s="1777">
        <v>4373972</v>
      </c>
      <c r="AE143" s="1777">
        <v>4260679</v>
      </c>
      <c r="AF143" s="1777">
        <v>3783788</v>
      </c>
      <c r="AG143" s="1777">
        <v>3716980</v>
      </c>
      <c r="AH143" s="1777">
        <v>4292671</v>
      </c>
      <c r="AI143" s="1777">
        <v>3966531</v>
      </c>
      <c r="AJ143" s="1777">
        <v>8840702</v>
      </c>
      <c r="AK143" s="1777">
        <v>178023038</v>
      </c>
      <c r="AL143" s="1849">
        <v>0</v>
      </c>
      <c r="AM143" s="1777">
        <v>52847779</v>
      </c>
      <c r="AN143" s="1777">
        <v>57179915</v>
      </c>
      <c r="AO143" s="1777">
        <v>55778598</v>
      </c>
      <c r="AP143" s="1777">
        <v>62066027</v>
      </c>
      <c r="AQ143" s="1777">
        <v>299698276</v>
      </c>
      <c r="AR143" s="1779"/>
      <c r="AS143" s="1780" t="s">
        <v>1272</v>
      </c>
      <c r="AT143" s="1779"/>
      <c r="AV143" s="1777">
        <v>151378894</v>
      </c>
      <c r="AW143" s="1777">
        <v>203326689</v>
      </c>
      <c r="AX143" s="1777">
        <v>229894476</v>
      </c>
      <c r="AY143" s="1777">
        <v>252539580</v>
      </c>
      <c r="AZ143" s="1777">
        <v>278388908</v>
      </c>
      <c r="BA143" s="1777">
        <v>299638276</v>
      </c>
      <c r="BB143" s="1777">
        <v>0</v>
      </c>
      <c r="BD143" s="889" t="s">
        <v>1685</v>
      </c>
      <c r="BE143" s="1777">
        <v>44286154</v>
      </c>
      <c r="BF143" s="1777">
        <v>7545568</v>
      </c>
    </row>
    <row r="144" spans="1:60">
      <c r="C144" s="956">
        <v>0</v>
      </c>
      <c r="D144" s="956">
        <v>0</v>
      </c>
      <c r="E144" s="956">
        <v>0</v>
      </c>
      <c r="F144" s="956"/>
      <c r="G144" s="956">
        <v>0</v>
      </c>
      <c r="H144" s="956"/>
      <c r="I144" s="956"/>
      <c r="J144" s="1850">
        <v>0</v>
      </c>
      <c r="K144" s="956">
        <v>0</v>
      </c>
      <c r="L144" s="956">
        <v>0</v>
      </c>
      <c r="M144" s="956">
        <v>0</v>
      </c>
      <c r="N144" s="956">
        <v>0</v>
      </c>
      <c r="O144" s="956">
        <v>0</v>
      </c>
      <c r="P144" s="956">
        <v>0</v>
      </c>
      <c r="Q144" s="956">
        <v>0</v>
      </c>
      <c r="R144" s="956">
        <v>0</v>
      </c>
      <c r="S144" s="956">
        <v>0</v>
      </c>
      <c r="T144" s="956">
        <v>0</v>
      </c>
      <c r="U144" s="956">
        <v>0</v>
      </c>
      <c r="V144" s="956">
        <v>0</v>
      </c>
      <c r="W144" s="1850">
        <v>0</v>
      </c>
      <c r="X144" s="956">
        <v>0</v>
      </c>
      <c r="Y144" s="956">
        <v>0</v>
      </c>
      <c r="Z144" s="956">
        <v>0</v>
      </c>
      <c r="AA144" s="956">
        <v>0</v>
      </c>
      <c r="AB144" s="956">
        <v>0</v>
      </c>
      <c r="AC144" s="956">
        <v>0</v>
      </c>
      <c r="AD144" s="956">
        <v>0</v>
      </c>
      <c r="AE144" s="956">
        <v>0</v>
      </c>
      <c r="AF144" s="956">
        <v>0</v>
      </c>
      <c r="AG144" s="956">
        <v>0</v>
      </c>
      <c r="AH144" s="956">
        <v>0</v>
      </c>
      <c r="AI144" s="956">
        <v>0</v>
      </c>
      <c r="AJ144" s="956">
        <v>0</v>
      </c>
      <c r="AK144" s="956">
        <v>0</v>
      </c>
      <c r="AL144" s="956">
        <v>0</v>
      </c>
      <c r="AM144" s="956">
        <v>0</v>
      </c>
      <c r="AN144" s="956">
        <v>0</v>
      </c>
      <c r="AO144" s="956">
        <v>0</v>
      </c>
      <c r="AP144" s="956">
        <v>0</v>
      </c>
      <c r="AQ144" s="956">
        <v>0</v>
      </c>
      <c r="AR144" s="956"/>
      <c r="AS144" s="956"/>
      <c r="AT144" s="956"/>
      <c r="AV144" s="956">
        <v>0</v>
      </c>
      <c r="AW144" s="956">
        <v>0</v>
      </c>
      <c r="AX144" s="956">
        <v>0</v>
      </c>
      <c r="AY144" s="956">
        <v>0</v>
      </c>
      <c r="AZ144" s="956">
        <v>0</v>
      </c>
      <c r="BA144" s="956">
        <v>0</v>
      </c>
      <c r="BB144" s="956">
        <v>0</v>
      </c>
    </row>
    <row r="145" spans="1:58">
      <c r="J145" s="692">
        <v>0</v>
      </c>
      <c r="AV145" s="956">
        <v>0</v>
      </c>
      <c r="AW145" s="956">
        <v>0</v>
      </c>
      <c r="AX145" s="956">
        <v>0</v>
      </c>
      <c r="AY145" s="956">
        <v>0</v>
      </c>
      <c r="AZ145" s="956">
        <v>0</v>
      </c>
      <c r="BA145" s="956">
        <v>0</v>
      </c>
      <c r="BB145" s="956">
        <v>0</v>
      </c>
    </row>
    <row r="146" spans="1:58">
      <c r="AU146" s="872" t="s">
        <v>1761</v>
      </c>
      <c r="AV146" s="956">
        <v>0</v>
      </c>
      <c r="AW146" s="956">
        <v>0</v>
      </c>
      <c r="AX146" s="956">
        <v>0</v>
      </c>
      <c r="AY146" s="956">
        <v>0</v>
      </c>
      <c r="AZ146" s="956">
        <v>0</v>
      </c>
      <c r="BA146" s="956">
        <v>0</v>
      </c>
      <c r="BB146" s="956">
        <v>0</v>
      </c>
    </row>
    <row r="147" spans="1:58">
      <c r="AV147" s="956"/>
      <c r="AW147" s="956"/>
      <c r="AX147" s="956"/>
      <c r="AY147" s="956"/>
      <c r="AZ147" s="956"/>
    </row>
    <row r="149" spans="1:58">
      <c r="K149" s="1851" t="s">
        <v>2283</v>
      </c>
      <c r="L149" s="1851"/>
    </row>
    <row r="150" spans="1:58" ht="33.75" customHeight="1">
      <c r="A150" s="2538" t="s">
        <v>2284</v>
      </c>
      <c r="B150" s="2539"/>
      <c r="C150" s="2539"/>
      <c r="D150" s="2539"/>
      <c r="E150" s="2539"/>
      <c r="F150" s="1852"/>
      <c r="G150" s="2540" t="s">
        <v>2285</v>
      </c>
      <c r="H150" s="2540"/>
      <c r="I150" s="2540"/>
      <c r="J150" s="2540"/>
      <c r="K150" s="2540"/>
      <c r="L150" s="2540"/>
      <c r="M150" s="2540"/>
      <c r="N150" s="2540"/>
      <c r="O150" s="2540"/>
      <c r="P150" s="2540"/>
      <c r="Q150" s="2540"/>
      <c r="R150" s="2540"/>
      <c r="S150" s="2540"/>
      <c r="T150" s="2540"/>
      <c r="U150" s="2540"/>
      <c r="V150" s="2540"/>
      <c r="W150" s="2541"/>
      <c r="X150" s="2542" t="s">
        <v>2286</v>
      </c>
      <c r="Y150" s="2540"/>
      <c r="Z150" s="2540"/>
      <c r="AA150" s="2540"/>
      <c r="AB150" s="2540"/>
      <c r="AC150" s="2540"/>
      <c r="AD150" s="2540"/>
      <c r="AE150" s="2540"/>
      <c r="AF150" s="2540"/>
      <c r="AG150" s="2540"/>
      <c r="AH150" s="2540"/>
      <c r="AI150" s="2540"/>
      <c r="AJ150" s="2540"/>
      <c r="AK150" s="2541"/>
      <c r="AL150" s="1853"/>
      <c r="AM150" s="1854"/>
      <c r="AN150" s="1855"/>
      <c r="AO150" s="1855"/>
      <c r="AP150" s="1856"/>
      <c r="AQ150" s="1856"/>
      <c r="AR150" s="1701"/>
      <c r="AS150" s="1702"/>
      <c r="AT150" s="1702"/>
      <c r="AV150" s="2543" t="s">
        <v>1688</v>
      </c>
      <c r="AW150" s="2544"/>
      <c r="AX150" s="2544"/>
      <c r="AY150" s="2544"/>
      <c r="AZ150" s="2544"/>
      <c r="BA150" s="2544"/>
      <c r="BB150" s="1857"/>
      <c r="BE150" s="2509" t="s">
        <v>2206</v>
      </c>
      <c r="BF150" s="2500" t="s">
        <v>2207</v>
      </c>
    </row>
    <row r="151" spans="1:58" ht="31.2">
      <c r="A151" s="2532" t="s">
        <v>1288</v>
      </c>
      <c r="B151" s="2534" t="s">
        <v>1289</v>
      </c>
      <c r="C151" s="2536" t="s">
        <v>1691</v>
      </c>
      <c r="D151" s="2536" t="s">
        <v>1692</v>
      </c>
      <c r="E151" s="2545" t="s">
        <v>1693</v>
      </c>
      <c r="F151" s="2547" t="s">
        <v>2287</v>
      </c>
      <c r="G151" s="1859" t="s">
        <v>2288</v>
      </c>
      <c r="H151" s="1704">
        <v>8</v>
      </c>
      <c r="I151" s="1705" t="s">
        <v>1756</v>
      </c>
      <c r="J151" s="1858" t="s">
        <v>2289</v>
      </c>
      <c r="K151" s="1860" t="s">
        <v>2211</v>
      </c>
      <c r="L151" s="1860" t="s">
        <v>1658</v>
      </c>
      <c r="M151" s="1860" t="s">
        <v>1659</v>
      </c>
      <c r="N151" s="1860" t="s">
        <v>1660</v>
      </c>
      <c r="O151" s="1860" t="s">
        <v>1661</v>
      </c>
      <c r="P151" s="1860" t="s">
        <v>1662</v>
      </c>
      <c r="Q151" s="1860" t="s">
        <v>1663</v>
      </c>
      <c r="R151" s="1860" t="s">
        <v>1664</v>
      </c>
      <c r="S151" s="1860" t="s">
        <v>1665</v>
      </c>
      <c r="T151" s="1860" t="s">
        <v>1666</v>
      </c>
      <c r="U151" s="1860" t="s">
        <v>1667</v>
      </c>
      <c r="V151" s="1860" t="s">
        <v>1668</v>
      </c>
      <c r="W151" s="1861" t="s">
        <v>2223</v>
      </c>
      <c r="X151" s="1862" t="s">
        <v>1758</v>
      </c>
      <c r="Y151" s="1860" t="s">
        <v>2211</v>
      </c>
      <c r="Z151" s="1860" t="s">
        <v>2212</v>
      </c>
      <c r="AA151" s="1860" t="s">
        <v>2213</v>
      </c>
      <c r="AB151" s="1860" t="s">
        <v>2214</v>
      </c>
      <c r="AC151" s="1860" t="s">
        <v>2215</v>
      </c>
      <c r="AD151" s="1860" t="s">
        <v>2216</v>
      </c>
      <c r="AE151" s="1860" t="s">
        <v>2217</v>
      </c>
      <c r="AF151" s="1860" t="s">
        <v>2218</v>
      </c>
      <c r="AG151" s="1860" t="s">
        <v>2219</v>
      </c>
      <c r="AH151" s="1860" t="s">
        <v>2220</v>
      </c>
      <c r="AI151" s="1860" t="s">
        <v>2221</v>
      </c>
      <c r="AJ151" s="1860" t="s">
        <v>2222</v>
      </c>
      <c r="AK151" s="1863" t="s">
        <v>2225</v>
      </c>
      <c r="AL151" s="1864" t="s">
        <v>1694</v>
      </c>
      <c r="AM151" s="1865">
        <v>47118</v>
      </c>
      <c r="AN151" s="1866">
        <v>47483</v>
      </c>
      <c r="AO151" s="1866">
        <v>47848</v>
      </c>
      <c r="AP151" s="1867">
        <v>48213</v>
      </c>
      <c r="AQ151" s="1867" t="s">
        <v>2205</v>
      </c>
      <c r="AR151" s="1707" t="s">
        <v>2226</v>
      </c>
      <c r="AS151" s="1708" t="s">
        <v>1669</v>
      </c>
      <c r="AT151" s="1708"/>
      <c r="AV151" s="1865">
        <v>46357</v>
      </c>
      <c r="AW151" s="1865">
        <v>46722</v>
      </c>
      <c r="AX151" s="1865">
        <v>47088</v>
      </c>
      <c r="AY151" s="1865">
        <v>47453</v>
      </c>
      <c r="AZ151" s="1865">
        <v>47818</v>
      </c>
      <c r="BA151" s="1865">
        <v>48183</v>
      </c>
      <c r="BB151" s="1866" t="s">
        <v>1757</v>
      </c>
      <c r="BE151" s="2510"/>
      <c r="BF151" s="2501"/>
    </row>
    <row r="152" spans="1:58">
      <c r="A152" s="2533"/>
      <c r="B152" s="2535"/>
      <c r="C152" s="2537"/>
      <c r="D152" s="2537"/>
      <c r="E152" s="2546"/>
      <c r="F152" s="2536"/>
      <c r="G152" s="1868" t="s">
        <v>2290</v>
      </c>
      <c r="H152" s="1711" t="s">
        <v>2291</v>
      </c>
      <c r="I152" s="1711" t="s">
        <v>2291</v>
      </c>
      <c r="J152" s="1869" t="s">
        <v>2292</v>
      </c>
      <c r="K152" s="1870" t="s">
        <v>2228</v>
      </c>
      <c r="L152" s="1870" t="s">
        <v>1759</v>
      </c>
      <c r="M152" s="1870" t="s">
        <v>1759</v>
      </c>
      <c r="N152" s="1870" t="s">
        <v>1759</v>
      </c>
      <c r="O152" s="1870" t="s">
        <v>1759</v>
      </c>
      <c r="P152" s="1870" t="s">
        <v>1759</v>
      </c>
      <c r="Q152" s="1870" t="s">
        <v>1759</v>
      </c>
      <c r="R152" s="1870" t="s">
        <v>1759</v>
      </c>
      <c r="S152" s="1871" t="s">
        <v>1760</v>
      </c>
      <c r="T152" s="1871" t="s">
        <v>1760</v>
      </c>
      <c r="U152" s="1871" t="s">
        <v>1760</v>
      </c>
      <c r="V152" s="1871" t="s">
        <v>1760</v>
      </c>
      <c r="W152" s="1872" t="s">
        <v>1695</v>
      </c>
      <c r="X152" s="1873" t="s">
        <v>2293</v>
      </c>
      <c r="Y152" s="1874" t="s">
        <v>2294</v>
      </c>
      <c r="Z152" s="1874" t="s">
        <v>2294</v>
      </c>
      <c r="AA152" s="1874" t="s">
        <v>2294</v>
      </c>
      <c r="AB152" s="1874" t="s">
        <v>2294</v>
      </c>
      <c r="AC152" s="1874" t="s">
        <v>2294</v>
      </c>
      <c r="AD152" s="1874" t="s">
        <v>2294</v>
      </c>
      <c r="AE152" s="1874" t="s">
        <v>2294</v>
      </c>
      <c r="AF152" s="1874" t="s">
        <v>2294</v>
      </c>
      <c r="AG152" s="1874" t="s">
        <v>2294</v>
      </c>
      <c r="AH152" s="1874" t="s">
        <v>2294</v>
      </c>
      <c r="AI152" s="1874" t="s">
        <v>2294</v>
      </c>
      <c r="AJ152" s="1874" t="s">
        <v>2294</v>
      </c>
      <c r="AK152" s="1868" t="s">
        <v>1695</v>
      </c>
      <c r="AL152" s="1875" t="s">
        <v>2295</v>
      </c>
      <c r="AM152" s="1876" t="s">
        <v>1696</v>
      </c>
      <c r="AN152" s="1877" t="s">
        <v>1696</v>
      </c>
      <c r="AO152" s="1877" t="s">
        <v>1696</v>
      </c>
      <c r="AP152" s="1878" t="s">
        <v>1696</v>
      </c>
      <c r="AQ152" s="1878" t="s">
        <v>1696</v>
      </c>
      <c r="AR152" s="1713"/>
      <c r="AS152" s="1712"/>
      <c r="AT152" s="1712"/>
      <c r="AV152" s="1876" t="s">
        <v>2296</v>
      </c>
      <c r="AW152" s="1877" t="s">
        <v>2296</v>
      </c>
      <c r="AX152" s="1877" t="s">
        <v>2296</v>
      </c>
      <c r="AY152" s="1878" t="s">
        <v>2296</v>
      </c>
      <c r="AZ152" s="1876" t="s">
        <v>2296</v>
      </c>
      <c r="BA152" s="1876" t="s">
        <v>2296</v>
      </c>
      <c r="BB152" s="1877" t="s">
        <v>2296</v>
      </c>
      <c r="BE152" s="2531"/>
      <c r="BF152" s="2511"/>
    </row>
    <row r="153" spans="1:58" s="663" customFormat="1">
      <c r="A153" s="1120" t="s">
        <v>620</v>
      </c>
      <c r="B153" s="574" t="s">
        <v>621</v>
      </c>
      <c r="C153" s="991">
        <v>1632393</v>
      </c>
      <c r="D153" s="991">
        <v>1966785</v>
      </c>
      <c r="E153" s="991">
        <v>-334392</v>
      </c>
      <c r="F153" s="1086">
        <v>797585</v>
      </c>
      <c r="G153" s="1879">
        <v>-212486</v>
      </c>
      <c r="H153" s="948">
        <v>0</v>
      </c>
      <c r="I153" s="948">
        <v>-18382</v>
      </c>
      <c r="J153" s="1879">
        <v>-1131977</v>
      </c>
      <c r="K153" s="1115">
        <v>-5320</v>
      </c>
      <c r="L153" s="947">
        <v>0</v>
      </c>
      <c r="M153" s="947">
        <v>-3302</v>
      </c>
      <c r="N153" s="947">
        <v>-9079</v>
      </c>
      <c r="O153" s="947">
        <v>0</v>
      </c>
      <c r="P153" s="947">
        <v>-681</v>
      </c>
      <c r="Q153" s="947">
        <v>0</v>
      </c>
      <c r="R153" s="947">
        <v>0</v>
      </c>
      <c r="S153" s="946">
        <v>-2739</v>
      </c>
      <c r="T153" s="946">
        <v>-2739</v>
      </c>
      <c r="U153" s="946">
        <v>-2739</v>
      </c>
      <c r="V153" s="946">
        <v>-1105378</v>
      </c>
      <c r="W153" s="1880">
        <v>-334392</v>
      </c>
      <c r="X153" s="1879">
        <v>0</v>
      </c>
      <c r="Y153" s="948">
        <v>0</v>
      </c>
      <c r="Z153" s="948">
        <v>0</v>
      </c>
      <c r="AA153" s="948">
        <v>0</v>
      </c>
      <c r="AB153" s="948">
        <v>0</v>
      </c>
      <c r="AC153" s="948">
        <v>0</v>
      </c>
      <c r="AD153" s="948">
        <v>0</v>
      </c>
      <c r="AE153" s="948">
        <v>0</v>
      </c>
      <c r="AF153" s="948">
        <v>0</v>
      </c>
      <c r="AG153" s="948">
        <v>0</v>
      </c>
      <c r="AH153" s="948">
        <v>0</v>
      </c>
      <c r="AI153" s="948">
        <v>0</v>
      </c>
      <c r="AJ153" s="948">
        <v>0</v>
      </c>
      <c r="AK153" s="1879">
        <v>-334392</v>
      </c>
      <c r="AL153" s="1881" t="s">
        <v>1308</v>
      </c>
      <c r="AM153" s="948">
        <v>0</v>
      </c>
      <c r="AN153" s="948">
        <v>0</v>
      </c>
      <c r="AO153" s="948">
        <v>0</v>
      </c>
      <c r="AP153" s="948">
        <v>0</v>
      </c>
      <c r="AQ153" s="948">
        <v>0</v>
      </c>
      <c r="AR153" s="1714" t="s">
        <v>1308</v>
      </c>
      <c r="AS153" s="1715" t="s">
        <v>1196</v>
      </c>
      <c r="AT153" s="949" t="s">
        <v>2232</v>
      </c>
      <c r="AV153" s="1882">
        <v>0</v>
      </c>
      <c r="AW153" s="1879">
        <v>0</v>
      </c>
      <c r="AX153" s="1879">
        <v>0</v>
      </c>
      <c r="AY153" s="1879">
        <v>0</v>
      </c>
      <c r="AZ153" s="1879">
        <v>0</v>
      </c>
      <c r="BA153" s="1879">
        <v>0</v>
      </c>
      <c r="BB153" s="1879">
        <v>0</v>
      </c>
      <c r="BE153" s="1716">
        <v>-212486</v>
      </c>
      <c r="BF153" s="1716">
        <v>212486</v>
      </c>
    </row>
    <row r="154" spans="1:58" s="663" customFormat="1">
      <c r="A154" s="1120" t="s">
        <v>622</v>
      </c>
      <c r="B154" s="751" t="s">
        <v>623</v>
      </c>
      <c r="C154" s="991">
        <v>24780000</v>
      </c>
      <c r="D154" s="991">
        <v>16733307</v>
      </c>
      <c r="E154" s="991">
        <v>8046693</v>
      </c>
      <c r="F154" s="1086">
        <v>7254932</v>
      </c>
      <c r="G154" s="1879">
        <v>244920</v>
      </c>
      <c r="H154" s="948">
        <v>-103363</v>
      </c>
      <c r="I154" s="948">
        <v>-862846</v>
      </c>
      <c r="J154" s="1879">
        <v>-2254122</v>
      </c>
      <c r="K154" s="1115">
        <v>-87648</v>
      </c>
      <c r="L154" s="947">
        <v>-54483</v>
      </c>
      <c r="M154" s="947">
        <v>-118385</v>
      </c>
      <c r="N154" s="947">
        <v>-109807</v>
      </c>
      <c r="O154" s="947">
        <v>-105946</v>
      </c>
      <c r="P154" s="947">
        <v>-154834</v>
      </c>
      <c r="Q154" s="947">
        <v>-128380</v>
      </c>
      <c r="R154" s="947">
        <v>-103363</v>
      </c>
      <c r="S154" s="946">
        <v>-88535</v>
      </c>
      <c r="T154" s="946">
        <v>-91165</v>
      </c>
      <c r="U154" s="946">
        <v>189793</v>
      </c>
      <c r="V154" s="946">
        <v>-1401369</v>
      </c>
      <c r="W154" s="1880">
        <v>5000810</v>
      </c>
      <c r="X154" s="1879">
        <v>336730</v>
      </c>
      <c r="Y154" s="948">
        <v>73287</v>
      </c>
      <c r="Z154" s="948">
        <v>22878</v>
      </c>
      <c r="AA154" s="948">
        <v>24023</v>
      </c>
      <c r="AB154" s="948">
        <v>24596</v>
      </c>
      <c r="AC154" s="948">
        <v>24597</v>
      </c>
      <c r="AD154" s="948">
        <v>33641</v>
      </c>
      <c r="AE154" s="948">
        <v>61256</v>
      </c>
      <c r="AF154" s="948">
        <v>12567</v>
      </c>
      <c r="AG154" s="948">
        <v>12567</v>
      </c>
      <c r="AH154" s="948">
        <v>12567</v>
      </c>
      <c r="AI154" s="948">
        <v>12567</v>
      </c>
      <c r="AJ154" s="948">
        <v>22184</v>
      </c>
      <c r="AK154" s="1879">
        <v>5337540</v>
      </c>
      <c r="AL154" s="1881" t="s">
        <v>1308</v>
      </c>
      <c r="AM154" s="948">
        <v>342907</v>
      </c>
      <c r="AN154" s="948">
        <v>2366246</v>
      </c>
      <c r="AO154" s="948">
        <v>0</v>
      </c>
      <c r="AP154" s="948">
        <v>0</v>
      </c>
      <c r="AQ154" s="948">
        <v>0</v>
      </c>
      <c r="AR154" s="1714" t="s">
        <v>1308</v>
      </c>
      <c r="AS154" s="1715" t="s">
        <v>1196</v>
      </c>
      <c r="AT154" s="949" t="s">
        <v>2232</v>
      </c>
      <c r="AV154" s="1882">
        <v>3045883</v>
      </c>
      <c r="AW154" s="1879">
        <v>2709153</v>
      </c>
      <c r="AX154" s="1879">
        <v>2366246</v>
      </c>
      <c r="AY154" s="1879">
        <v>0</v>
      </c>
      <c r="AZ154" s="1879">
        <v>0</v>
      </c>
      <c r="BA154" s="1879">
        <v>0</v>
      </c>
      <c r="BB154" s="1879">
        <v>0</v>
      </c>
      <c r="BE154" s="1718">
        <v>244920</v>
      </c>
      <c r="BF154" s="1718">
        <v>91810</v>
      </c>
    </row>
    <row r="155" spans="1:58" s="663" customFormat="1">
      <c r="A155" s="1120" t="s">
        <v>624</v>
      </c>
      <c r="B155" s="751" t="s">
        <v>1309</v>
      </c>
      <c r="C155" s="991">
        <v>11380550</v>
      </c>
      <c r="D155" s="991">
        <v>8457888</v>
      </c>
      <c r="E155" s="991">
        <v>2922662</v>
      </c>
      <c r="F155" s="1086">
        <v>2484504</v>
      </c>
      <c r="G155" s="1879">
        <v>619057</v>
      </c>
      <c r="H155" s="948">
        <v>54612</v>
      </c>
      <c r="I155" s="948">
        <v>671173</v>
      </c>
      <c r="J155" s="1879">
        <v>-757718</v>
      </c>
      <c r="K155" s="1115">
        <v>74387</v>
      </c>
      <c r="L155" s="947">
        <v>34367</v>
      </c>
      <c r="M155" s="947">
        <v>19251</v>
      </c>
      <c r="N155" s="947">
        <v>673133</v>
      </c>
      <c r="O155" s="947">
        <v>45922</v>
      </c>
      <c r="P155" s="947">
        <v>-302897</v>
      </c>
      <c r="Q155" s="947">
        <v>72398</v>
      </c>
      <c r="R155" s="947">
        <v>54612</v>
      </c>
      <c r="S155" s="946">
        <v>20209</v>
      </c>
      <c r="T155" s="946">
        <v>50454</v>
      </c>
      <c r="U155" s="946">
        <v>125454</v>
      </c>
      <c r="V155" s="946">
        <v>-1625008</v>
      </c>
      <c r="W155" s="1880">
        <v>1726786</v>
      </c>
      <c r="X155" s="1879">
        <v>450057</v>
      </c>
      <c r="Y155" s="948">
        <v>287227</v>
      </c>
      <c r="Z155" s="948">
        <v>9056</v>
      </c>
      <c r="AA155" s="948">
        <v>21404</v>
      </c>
      <c r="AB155" s="948">
        <v>9056</v>
      </c>
      <c r="AC155" s="948">
        <v>9056</v>
      </c>
      <c r="AD155" s="948">
        <v>28315</v>
      </c>
      <c r="AE155" s="948">
        <v>9056</v>
      </c>
      <c r="AF155" s="948">
        <v>9056</v>
      </c>
      <c r="AG155" s="948">
        <v>21404</v>
      </c>
      <c r="AH155" s="948">
        <v>9056</v>
      </c>
      <c r="AI155" s="948">
        <v>9055</v>
      </c>
      <c r="AJ155" s="948">
        <v>28316</v>
      </c>
      <c r="AK155" s="1879">
        <v>2176843</v>
      </c>
      <c r="AL155" s="1881" t="s">
        <v>1308</v>
      </c>
      <c r="AM155" s="948">
        <v>745819</v>
      </c>
      <c r="AN155" s="948">
        <v>0</v>
      </c>
      <c r="AO155" s="948">
        <v>0</v>
      </c>
      <c r="AP155" s="948">
        <v>0</v>
      </c>
      <c r="AQ155" s="948">
        <v>0</v>
      </c>
      <c r="AR155" s="1714" t="s">
        <v>1308</v>
      </c>
      <c r="AS155" s="1715" t="s">
        <v>1196</v>
      </c>
      <c r="AT155" s="949" t="s">
        <v>2232</v>
      </c>
      <c r="AV155" s="1882">
        <v>1195876</v>
      </c>
      <c r="AW155" s="1879">
        <v>745819</v>
      </c>
      <c r="AX155" s="1879">
        <v>0</v>
      </c>
      <c r="AY155" s="1879">
        <v>0</v>
      </c>
      <c r="AZ155" s="1879">
        <v>0</v>
      </c>
      <c r="BA155" s="1879">
        <v>0</v>
      </c>
      <c r="BB155" s="1879">
        <v>0</v>
      </c>
      <c r="BE155" s="1718">
        <v>619057</v>
      </c>
      <c r="BF155" s="1718">
        <v>-169000</v>
      </c>
    </row>
    <row r="156" spans="1:58" s="663" customFormat="1">
      <c r="A156" s="1120" t="s">
        <v>626</v>
      </c>
      <c r="B156" s="751" t="s">
        <v>1310</v>
      </c>
      <c r="C156" s="991">
        <v>1950000</v>
      </c>
      <c r="D156" s="991">
        <v>1258917</v>
      </c>
      <c r="E156" s="991">
        <v>691083</v>
      </c>
      <c r="F156" s="1086">
        <v>707658</v>
      </c>
      <c r="G156" s="1879">
        <v>-123275</v>
      </c>
      <c r="H156" s="948">
        <v>0</v>
      </c>
      <c r="I156" s="948">
        <v>-16575</v>
      </c>
      <c r="J156" s="1879">
        <v>-16575</v>
      </c>
      <c r="K156" s="1115">
        <v>-15522</v>
      </c>
      <c r="L156" s="947">
        <v>0</v>
      </c>
      <c r="M156" s="947">
        <v>0</v>
      </c>
      <c r="N156" s="947">
        <v>0</v>
      </c>
      <c r="O156" s="947">
        <v>0</v>
      </c>
      <c r="P156" s="947">
        <v>-1053</v>
      </c>
      <c r="Q156" s="947">
        <v>0</v>
      </c>
      <c r="R156" s="947">
        <v>0</v>
      </c>
      <c r="S156" s="946">
        <v>0</v>
      </c>
      <c r="T156" s="946">
        <v>0</v>
      </c>
      <c r="U156" s="946">
        <v>0</v>
      </c>
      <c r="V156" s="946">
        <v>0</v>
      </c>
      <c r="W156" s="1880">
        <v>691083</v>
      </c>
      <c r="X156" s="1879">
        <v>0</v>
      </c>
      <c r="Y156" s="948">
        <v>0</v>
      </c>
      <c r="Z156" s="948">
        <v>0</v>
      </c>
      <c r="AA156" s="948">
        <v>0</v>
      </c>
      <c r="AB156" s="948">
        <v>0</v>
      </c>
      <c r="AC156" s="948">
        <v>0</v>
      </c>
      <c r="AD156" s="948">
        <v>0</v>
      </c>
      <c r="AE156" s="948">
        <v>0</v>
      </c>
      <c r="AF156" s="948">
        <v>0</v>
      </c>
      <c r="AG156" s="948">
        <v>0</v>
      </c>
      <c r="AH156" s="948">
        <v>0</v>
      </c>
      <c r="AI156" s="948">
        <v>0</v>
      </c>
      <c r="AJ156" s="948">
        <v>0</v>
      </c>
      <c r="AK156" s="1879">
        <v>691083</v>
      </c>
      <c r="AL156" s="1881" t="s">
        <v>1308</v>
      </c>
      <c r="AM156" s="948">
        <v>0</v>
      </c>
      <c r="AN156" s="948">
        <v>0</v>
      </c>
      <c r="AO156" s="948">
        <v>0</v>
      </c>
      <c r="AP156" s="948">
        <v>0</v>
      </c>
      <c r="AQ156" s="948">
        <v>0</v>
      </c>
      <c r="AR156" s="1714" t="s">
        <v>1308</v>
      </c>
      <c r="AS156" s="1715" t="s">
        <v>1196</v>
      </c>
      <c r="AT156" s="949" t="s">
        <v>2232</v>
      </c>
      <c r="AV156" s="1882">
        <v>0</v>
      </c>
      <c r="AW156" s="1879">
        <v>0</v>
      </c>
      <c r="AX156" s="1879">
        <v>0</v>
      </c>
      <c r="AY156" s="1879">
        <v>0</v>
      </c>
      <c r="AZ156" s="1879">
        <v>0</v>
      </c>
      <c r="BA156" s="1879">
        <v>0</v>
      </c>
      <c r="BB156" s="1879">
        <v>0</v>
      </c>
      <c r="BE156" s="1718">
        <v>-123275</v>
      </c>
      <c r="BF156" s="1718">
        <v>123275</v>
      </c>
    </row>
    <row r="157" spans="1:58" s="663" customFormat="1">
      <c r="A157" s="1120" t="s">
        <v>628</v>
      </c>
      <c r="B157" s="751" t="s">
        <v>1311</v>
      </c>
      <c r="C157" s="991">
        <v>18000000</v>
      </c>
      <c r="D157" s="991">
        <v>16145608</v>
      </c>
      <c r="E157" s="991">
        <v>1854392</v>
      </c>
      <c r="F157" s="1086">
        <v>2961193</v>
      </c>
      <c r="G157" s="1879">
        <v>-783446</v>
      </c>
      <c r="H157" s="948">
        <v>-50501</v>
      </c>
      <c r="I157" s="948">
        <v>645242</v>
      </c>
      <c r="J157" s="1879">
        <v>-1992542</v>
      </c>
      <c r="K157" s="1115">
        <v>-97892</v>
      </c>
      <c r="L157" s="947">
        <v>-32609</v>
      </c>
      <c r="M157" s="947">
        <v>233701</v>
      </c>
      <c r="N157" s="947">
        <v>349322</v>
      </c>
      <c r="O157" s="947">
        <v>-26962</v>
      </c>
      <c r="P157" s="947">
        <v>-20623</v>
      </c>
      <c r="Q157" s="947">
        <v>290806</v>
      </c>
      <c r="R157" s="947">
        <v>-50501</v>
      </c>
      <c r="S157" s="946">
        <v>-109380</v>
      </c>
      <c r="T157" s="946">
        <v>163072</v>
      </c>
      <c r="U157" s="946">
        <v>-68288</v>
      </c>
      <c r="V157" s="946">
        <v>-2623188</v>
      </c>
      <c r="W157" s="1880">
        <v>968651</v>
      </c>
      <c r="X157" s="1879">
        <v>69343</v>
      </c>
      <c r="Y157" s="948">
        <v>7926</v>
      </c>
      <c r="Z157" s="948">
        <v>5191</v>
      </c>
      <c r="AA157" s="948">
        <v>3138</v>
      </c>
      <c r="AB157" s="948">
        <v>3138</v>
      </c>
      <c r="AC157" s="948">
        <v>10664</v>
      </c>
      <c r="AD157" s="948">
        <v>9540</v>
      </c>
      <c r="AE157" s="948">
        <v>7242</v>
      </c>
      <c r="AF157" s="948">
        <v>3823</v>
      </c>
      <c r="AG157" s="948">
        <v>3138</v>
      </c>
      <c r="AH157" s="948">
        <v>3412</v>
      </c>
      <c r="AI157" s="948">
        <v>4917</v>
      </c>
      <c r="AJ157" s="948">
        <v>7214</v>
      </c>
      <c r="AK157" s="1879">
        <v>1037994</v>
      </c>
      <c r="AL157" s="1881" t="s">
        <v>1308</v>
      </c>
      <c r="AM157" s="948">
        <v>69981</v>
      </c>
      <c r="AN157" s="948">
        <v>61688</v>
      </c>
      <c r="AO157" s="948">
        <v>62237</v>
      </c>
      <c r="AP157" s="948">
        <v>81514</v>
      </c>
      <c r="AQ157" s="948">
        <v>540978</v>
      </c>
      <c r="AR157" s="1714" t="s">
        <v>1308</v>
      </c>
      <c r="AS157" s="1715" t="s">
        <v>1196</v>
      </c>
      <c r="AT157" s="949" t="s">
        <v>2232</v>
      </c>
      <c r="AV157" s="1882">
        <v>885741</v>
      </c>
      <c r="AW157" s="1879">
        <v>816398</v>
      </c>
      <c r="AX157" s="1879">
        <v>746417</v>
      </c>
      <c r="AY157" s="1879">
        <v>684729</v>
      </c>
      <c r="AZ157" s="1879">
        <v>622492</v>
      </c>
      <c r="BA157" s="1879">
        <v>540978</v>
      </c>
      <c r="BB157" s="1879">
        <v>0</v>
      </c>
      <c r="BE157" s="1718">
        <v>-783446</v>
      </c>
      <c r="BF157" s="1718">
        <v>852789</v>
      </c>
    </row>
    <row r="158" spans="1:58" s="663" customFormat="1">
      <c r="A158" s="1120" t="s">
        <v>631</v>
      </c>
      <c r="B158" s="751" t="s">
        <v>1312</v>
      </c>
      <c r="C158" s="991">
        <v>4380000</v>
      </c>
      <c r="D158" s="991">
        <v>4575503</v>
      </c>
      <c r="E158" s="991">
        <v>-195503</v>
      </c>
      <c r="F158" s="1086">
        <v>910776</v>
      </c>
      <c r="G158" s="1879">
        <v>-825171</v>
      </c>
      <c r="H158" s="948">
        <v>-9420</v>
      </c>
      <c r="I158" s="948">
        <v>-237715</v>
      </c>
      <c r="J158" s="1879">
        <v>-1106279</v>
      </c>
      <c r="K158" s="1115">
        <v>-29456</v>
      </c>
      <c r="L158" s="947">
        <v>-48377</v>
      </c>
      <c r="M158" s="947">
        <v>-54631</v>
      </c>
      <c r="N158" s="947">
        <v>-59422</v>
      </c>
      <c r="O158" s="947">
        <v>-3308</v>
      </c>
      <c r="P158" s="947">
        <v>-29960</v>
      </c>
      <c r="Q158" s="947">
        <v>-3141</v>
      </c>
      <c r="R158" s="947">
        <v>-9420</v>
      </c>
      <c r="S158" s="946">
        <v>-39449</v>
      </c>
      <c r="T158" s="946">
        <v>-239982</v>
      </c>
      <c r="U158" s="946">
        <v>-212587</v>
      </c>
      <c r="V158" s="946">
        <v>-376546</v>
      </c>
      <c r="W158" s="1880">
        <v>-195503</v>
      </c>
      <c r="X158" s="1879">
        <v>0</v>
      </c>
      <c r="Y158" s="948">
        <v>0</v>
      </c>
      <c r="Z158" s="948">
        <v>0</v>
      </c>
      <c r="AA158" s="948">
        <v>0</v>
      </c>
      <c r="AB158" s="948">
        <v>0</v>
      </c>
      <c r="AC158" s="948">
        <v>0</v>
      </c>
      <c r="AD158" s="948">
        <v>0</v>
      </c>
      <c r="AE158" s="948">
        <v>0</v>
      </c>
      <c r="AF158" s="948">
        <v>0</v>
      </c>
      <c r="AG158" s="948">
        <v>0</v>
      </c>
      <c r="AH158" s="948">
        <v>0</v>
      </c>
      <c r="AI158" s="948">
        <v>0</v>
      </c>
      <c r="AJ158" s="948">
        <v>0</v>
      </c>
      <c r="AK158" s="1879">
        <v>-195503</v>
      </c>
      <c r="AL158" s="1881" t="s">
        <v>1308</v>
      </c>
      <c r="AM158" s="948">
        <v>0</v>
      </c>
      <c r="AN158" s="948">
        <v>0</v>
      </c>
      <c r="AO158" s="948">
        <v>0</v>
      </c>
      <c r="AP158" s="948">
        <v>0</v>
      </c>
      <c r="AQ158" s="948">
        <v>0</v>
      </c>
      <c r="AR158" s="1714" t="s">
        <v>1308</v>
      </c>
      <c r="AS158" s="1715" t="s">
        <v>1196</v>
      </c>
      <c r="AT158" s="949" t="s">
        <v>2232</v>
      </c>
      <c r="AV158" s="1882">
        <v>0</v>
      </c>
      <c r="AW158" s="1879">
        <v>0</v>
      </c>
      <c r="AX158" s="1879">
        <v>0</v>
      </c>
      <c r="AY158" s="1879">
        <v>0</v>
      </c>
      <c r="AZ158" s="1879">
        <v>0</v>
      </c>
      <c r="BA158" s="1879">
        <v>0</v>
      </c>
      <c r="BB158" s="1879">
        <v>0</v>
      </c>
      <c r="BE158" s="1718">
        <v>-825171</v>
      </c>
      <c r="BF158" s="1718">
        <v>825171</v>
      </c>
    </row>
    <row r="159" spans="1:58" s="971" customFormat="1">
      <c r="A159" s="1719" t="s">
        <v>633</v>
      </c>
      <c r="B159" s="963" t="s">
        <v>1313</v>
      </c>
      <c r="C159" s="993">
        <v>3525000</v>
      </c>
      <c r="D159" s="993">
        <v>2838696</v>
      </c>
      <c r="E159" s="993">
        <v>686304</v>
      </c>
      <c r="F159" s="1883">
        <v>-493498</v>
      </c>
      <c r="G159" s="1884">
        <v>1375926</v>
      </c>
      <c r="H159" s="967">
        <v>-4567</v>
      </c>
      <c r="I159" s="967">
        <v>-96290</v>
      </c>
      <c r="J159" s="1884">
        <v>798758</v>
      </c>
      <c r="K159" s="967">
        <v>0</v>
      </c>
      <c r="L159" s="967">
        <v>-3852</v>
      </c>
      <c r="M159" s="967">
        <v>-45662</v>
      </c>
      <c r="N159" s="967">
        <v>-33059</v>
      </c>
      <c r="O159" s="967">
        <v>0</v>
      </c>
      <c r="P159" s="967">
        <v>-4834</v>
      </c>
      <c r="Q159" s="967">
        <v>-4316</v>
      </c>
      <c r="R159" s="967">
        <v>-4567</v>
      </c>
      <c r="S159" s="967">
        <v>-39449</v>
      </c>
      <c r="T159" s="967">
        <v>-286007</v>
      </c>
      <c r="U159" s="967">
        <v>-280528</v>
      </c>
      <c r="V159" s="967">
        <v>1501032</v>
      </c>
      <c r="W159" s="1885">
        <v>305260</v>
      </c>
      <c r="X159" s="1884">
        <v>142778</v>
      </c>
      <c r="Y159" s="967">
        <v>0</v>
      </c>
      <c r="Z159" s="967">
        <v>0</v>
      </c>
      <c r="AA159" s="967">
        <v>40319</v>
      </c>
      <c r="AB159" s="967">
        <v>9504</v>
      </c>
      <c r="AC159" s="967">
        <v>9504</v>
      </c>
      <c r="AD159" s="967">
        <v>16757</v>
      </c>
      <c r="AE159" s="967">
        <v>9504</v>
      </c>
      <c r="AF159" s="967">
        <v>9503</v>
      </c>
      <c r="AG159" s="967">
        <v>9504</v>
      </c>
      <c r="AH159" s="967">
        <v>9504</v>
      </c>
      <c r="AI159" s="967">
        <v>9504</v>
      </c>
      <c r="AJ159" s="967">
        <v>19175</v>
      </c>
      <c r="AK159" s="1884">
        <v>448038</v>
      </c>
      <c r="AL159" s="1886" t="s">
        <v>1314</v>
      </c>
      <c r="AM159" s="967">
        <v>68920</v>
      </c>
      <c r="AN159" s="967">
        <v>169346</v>
      </c>
      <c r="AO159" s="967">
        <v>0</v>
      </c>
      <c r="AP159" s="967">
        <v>0</v>
      </c>
      <c r="AQ159" s="967">
        <v>0</v>
      </c>
      <c r="AR159" s="1720" t="s">
        <v>1314</v>
      </c>
      <c r="AS159" s="1721" t="s">
        <v>2233</v>
      </c>
      <c r="AT159" s="1722" t="s">
        <v>2234</v>
      </c>
      <c r="AV159" s="1887">
        <v>381044</v>
      </c>
      <c r="AW159" s="1884">
        <v>238266</v>
      </c>
      <c r="AX159" s="1884">
        <v>169346</v>
      </c>
      <c r="AY159" s="1884">
        <v>0</v>
      </c>
      <c r="AZ159" s="1884">
        <v>0</v>
      </c>
      <c r="BA159" s="1884">
        <v>0</v>
      </c>
      <c r="BB159" s="1884">
        <v>0</v>
      </c>
      <c r="BE159" s="1724">
        <v>1375926</v>
      </c>
      <c r="BF159" s="1724">
        <v>-1233148</v>
      </c>
    </row>
    <row r="160" spans="1:58" s="663" customFormat="1">
      <c r="A160" s="1120" t="s">
        <v>634</v>
      </c>
      <c r="B160" s="751" t="s">
        <v>1315</v>
      </c>
      <c r="C160" s="991">
        <v>7800000</v>
      </c>
      <c r="D160" s="991">
        <v>7041372</v>
      </c>
      <c r="E160" s="991">
        <v>758628</v>
      </c>
      <c r="F160" s="1086">
        <v>855501</v>
      </c>
      <c r="G160" s="1879">
        <v>164389</v>
      </c>
      <c r="H160" s="948">
        <v>34842</v>
      </c>
      <c r="I160" s="948">
        <v>208587</v>
      </c>
      <c r="J160" s="1879">
        <v>-328668</v>
      </c>
      <c r="K160" s="1115">
        <v>-22041</v>
      </c>
      <c r="L160" s="947">
        <v>69697</v>
      </c>
      <c r="M160" s="947">
        <v>21475</v>
      </c>
      <c r="N160" s="947">
        <v>56411</v>
      </c>
      <c r="O160" s="947">
        <v>38344</v>
      </c>
      <c r="P160" s="947">
        <v>14421</v>
      </c>
      <c r="Q160" s="947">
        <v>-4562</v>
      </c>
      <c r="R160" s="947">
        <v>34842</v>
      </c>
      <c r="S160" s="946">
        <v>-117252</v>
      </c>
      <c r="T160" s="946">
        <v>-117252</v>
      </c>
      <c r="U160" s="946">
        <v>-37252</v>
      </c>
      <c r="V160" s="946">
        <v>-265499</v>
      </c>
      <c r="W160" s="1880">
        <v>526833</v>
      </c>
      <c r="X160" s="1879">
        <v>231795</v>
      </c>
      <c r="Y160" s="948">
        <v>12834</v>
      </c>
      <c r="Z160" s="948">
        <v>12834</v>
      </c>
      <c r="AA160" s="948">
        <v>12834</v>
      </c>
      <c r="AB160" s="948">
        <v>12834</v>
      </c>
      <c r="AC160" s="948">
        <v>12834</v>
      </c>
      <c r="AD160" s="948">
        <v>14989</v>
      </c>
      <c r="AE160" s="948">
        <v>12834</v>
      </c>
      <c r="AF160" s="948">
        <v>12834</v>
      </c>
      <c r="AG160" s="948">
        <v>12834</v>
      </c>
      <c r="AH160" s="948">
        <v>12834</v>
      </c>
      <c r="AI160" s="948">
        <v>12834</v>
      </c>
      <c r="AJ160" s="948">
        <v>88466</v>
      </c>
      <c r="AK160" s="1879">
        <v>758628</v>
      </c>
      <c r="AL160" s="1881" t="s">
        <v>1308</v>
      </c>
      <c r="AM160" s="948">
        <v>0</v>
      </c>
      <c r="AN160" s="948">
        <v>0</v>
      </c>
      <c r="AO160" s="948">
        <v>0</v>
      </c>
      <c r="AP160" s="948">
        <v>0</v>
      </c>
      <c r="AQ160" s="948">
        <v>0</v>
      </c>
      <c r="AR160" s="1714" t="s">
        <v>1308</v>
      </c>
      <c r="AS160" s="1714" t="s">
        <v>1196</v>
      </c>
      <c r="AT160" s="949" t="s">
        <v>2232</v>
      </c>
      <c r="AV160" s="1882">
        <v>231795</v>
      </c>
      <c r="AW160" s="1879">
        <v>0</v>
      </c>
      <c r="AX160" s="1879">
        <v>0</v>
      </c>
      <c r="AY160" s="1879">
        <v>0</v>
      </c>
      <c r="AZ160" s="1879">
        <v>0</v>
      </c>
      <c r="BA160" s="1879">
        <v>0</v>
      </c>
      <c r="BB160" s="1879">
        <v>0</v>
      </c>
      <c r="BE160" s="1718">
        <v>164389</v>
      </c>
      <c r="BF160" s="1718">
        <v>67406</v>
      </c>
    </row>
    <row r="161" spans="1:58" s="663" customFormat="1">
      <c r="A161" s="1120" t="s">
        <v>636</v>
      </c>
      <c r="B161" s="751" t="s">
        <v>1316</v>
      </c>
      <c r="C161" s="991">
        <v>40013400</v>
      </c>
      <c r="D161" s="991">
        <v>26960687</v>
      </c>
      <c r="E161" s="991">
        <v>13052713</v>
      </c>
      <c r="F161" s="1086">
        <v>4486625</v>
      </c>
      <c r="G161" s="1879">
        <v>2120380</v>
      </c>
      <c r="H161" s="948">
        <v>-133510</v>
      </c>
      <c r="I161" s="948">
        <v>196170</v>
      </c>
      <c r="J161" s="1879">
        <v>-2512916</v>
      </c>
      <c r="K161" s="1115">
        <v>-34703</v>
      </c>
      <c r="L161" s="947">
        <v>150574</v>
      </c>
      <c r="M161" s="947">
        <v>-46434</v>
      </c>
      <c r="N161" s="947">
        <v>86146</v>
      </c>
      <c r="O161" s="947">
        <v>87412</v>
      </c>
      <c r="P161" s="947">
        <v>108233</v>
      </c>
      <c r="Q161" s="947">
        <v>-21548</v>
      </c>
      <c r="R161" s="947">
        <v>-133510</v>
      </c>
      <c r="S161" s="946">
        <v>-87728</v>
      </c>
      <c r="T161" s="946">
        <v>4277</v>
      </c>
      <c r="U161" s="946">
        <v>4277</v>
      </c>
      <c r="V161" s="946">
        <v>-2629912</v>
      </c>
      <c r="W161" s="1880">
        <v>1973709</v>
      </c>
      <c r="X161" s="1879">
        <v>1188388</v>
      </c>
      <c r="Y161" s="948">
        <v>252564</v>
      </c>
      <c r="Z161" s="948">
        <v>261214</v>
      </c>
      <c r="AA161" s="948">
        <v>238146</v>
      </c>
      <c r="AB161" s="948">
        <v>151639</v>
      </c>
      <c r="AC161" s="948">
        <v>24764</v>
      </c>
      <c r="AD161" s="948">
        <v>39287</v>
      </c>
      <c r="AE161" s="948">
        <v>24763</v>
      </c>
      <c r="AF161" s="948">
        <v>24763</v>
      </c>
      <c r="AG161" s="948">
        <v>24764</v>
      </c>
      <c r="AH161" s="948">
        <v>24763</v>
      </c>
      <c r="AI161" s="948">
        <v>24763</v>
      </c>
      <c r="AJ161" s="948">
        <v>96958</v>
      </c>
      <c r="AK161" s="1879">
        <v>3162097</v>
      </c>
      <c r="AL161" s="1881" t="s">
        <v>1308</v>
      </c>
      <c r="AM161" s="948">
        <v>919103</v>
      </c>
      <c r="AN161" s="948">
        <v>466899</v>
      </c>
      <c r="AO161" s="948">
        <v>465899</v>
      </c>
      <c r="AP161" s="948">
        <v>824175</v>
      </c>
      <c r="AQ161" s="948">
        <v>7214540</v>
      </c>
      <c r="AR161" s="1714" t="s">
        <v>1308</v>
      </c>
      <c r="AS161" s="1714" t="s">
        <v>1246</v>
      </c>
      <c r="AT161" s="949" t="s">
        <v>2232</v>
      </c>
      <c r="AV161" s="1882">
        <v>11079004</v>
      </c>
      <c r="AW161" s="1879">
        <v>9890616</v>
      </c>
      <c r="AX161" s="1879">
        <v>8971513</v>
      </c>
      <c r="AY161" s="1879">
        <v>8504614</v>
      </c>
      <c r="AZ161" s="1879">
        <v>8038715</v>
      </c>
      <c r="BA161" s="1879">
        <v>7214540</v>
      </c>
      <c r="BB161" s="1879">
        <v>0</v>
      </c>
      <c r="BE161" s="1718">
        <v>2120380</v>
      </c>
      <c r="BF161" s="1718">
        <v>-931992</v>
      </c>
    </row>
    <row r="162" spans="1:58" s="990" customFormat="1">
      <c r="A162" s="1828" t="s">
        <v>1065</v>
      </c>
      <c r="B162" s="867" t="s">
        <v>2269</v>
      </c>
      <c r="C162" s="1104">
        <v>49477750</v>
      </c>
      <c r="D162" s="1104">
        <v>33486571</v>
      </c>
      <c r="E162" s="1104">
        <v>15991179</v>
      </c>
      <c r="F162" s="1086">
        <v>790733</v>
      </c>
      <c r="G162" s="1888">
        <v>6341246</v>
      </c>
      <c r="H162" s="947">
        <v>-217705</v>
      </c>
      <c r="I162" s="947">
        <v>-167851</v>
      </c>
      <c r="J162" s="1888">
        <v>966504</v>
      </c>
      <c r="K162" s="1115">
        <v>-25503</v>
      </c>
      <c r="L162" s="947">
        <v>120324</v>
      </c>
      <c r="M162" s="947">
        <v>7066</v>
      </c>
      <c r="N162" s="947">
        <v>110108</v>
      </c>
      <c r="O162" s="947">
        <v>55493</v>
      </c>
      <c r="P162" s="947">
        <v>-13692</v>
      </c>
      <c r="Q162" s="947">
        <v>-203942</v>
      </c>
      <c r="R162" s="947">
        <v>-217705</v>
      </c>
      <c r="S162" s="946">
        <v>-248950</v>
      </c>
      <c r="T162" s="946">
        <v>-205118</v>
      </c>
      <c r="U162" s="946">
        <v>1459410</v>
      </c>
      <c r="V162" s="946">
        <v>129013</v>
      </c>
      <c r="W162" s="1889">
        <v>1757237</v>
      </c>
      <c r="X162" s="1888">
        <v>1501419</v>
      </c>
      <c r="Y162" s="947">
        <v>200769</v>
      </c>
      <c r="Z162" s="947">
        <v>155262</v>
      </c>
      <c r="AA162" s="947">
        <v>281545</v>
      </c>
      <c r="AB162" s="947">
        <v>124543</v>
      </c>
      <c r="AC162" s="947">
        <v>118855</v>
      </c>
      <c r="AD162" s="947">
        <v>240903</v>
      </c>
      <c r="AE162" s="947">
        <v>87000</v>
      </c>
      <c r="AF162" s="947">
        <v>86999</v>
      </c>
      <c r="AG162" s="947">
        <v>46042</v>
      </c>
      <c r="AH162" s="947">
        <v>39215</v>
      </c>
      <c r="AI162" s="947">
        <v>39215</v>
      </c>
      <c r="AJ162" s="947">
        <v>81071</v>
      </c>
      <c r="AK162" s="1888">
        <v>3258656</v>
      </c>
      <c r="AL162" s="1890" t="s">
        <v>1323</v>
      </c>
      <c r="AM162" s="947">
        <v>1924037</v>
      </c>
      <c r="AN162" s="947">
        <v>2240487</v>
      </c>
      <c r="AO162" s="947">
        <v>1091269</v>
      </c>
      <c r="AP162" s="947">
        <v>538417</v>
      </c>
      <c r="AQ162" s="948">
        <v>6938313</v>
      </c>
      <c r="AR162" s="1731" t="s">
        <v>1323</v>
      </c>
      <c r="AS162" s="1731" t="s">
        <v>1246</v>
      </c>
      <c r="AT162" s="1732" t="s">
        <v>2237</v>
      </c>
      <c r="AV162" s="1882">
        <v>14233942</v>
      </c>
      <c r="AW162" s="1879">
        <v>12732523</v>
      </c>
      <c r="AX162" s="1879">
        <v>10808486</v>
      </c>
      <c r="AY162" s="1879">
        <v>8567999</v>
      </c>
      <c r="AZ162" s="1879">
        <v>7476730</v>
      </c>
      <c r="BA162" s="1879">
        <v>6938313</v>
      </c>
      <c r="BB162" s="1879">
        <v>0</v>
      </c>
      <c r="BE162" s="1718">
        <v>6341246</v>
      </c>
      <c r="BF162" s="1718">
        <v>-4839827</v>
      </c>
    </row>
    <row r="163" spans="1:58" s="971" customFormat="1" ht="16.2">
      <c r="A163" s="1730" t="s">
        <v>1069</v>
      </c>
      <c r="B163" s="1010" t="s">
        <v>2236</v>
      </c>
      <c r="C163" s="993">
        <v>5000000</v>
      </c>
      <c r="D163" s="993">
        <v>2812703</v>
      </c>
      <c r="E163" s="993">
        <v>2187297</v>
      </c>
      <c r="F163" s="1883">
        <v>2114385</v>
      </c>
      <c r="G163" s="1884">
        <v>1084338</v>
      </c>
      <c r="H163" s="967">
        <v>-59881</v>
      </c>
      <c r="I163" s="967">
        <v>177974</v>
      </c>
      <c r="J163" s="1884">
        <v>-721675</v>
      </c>
      <c r="K163" s="967">
        <v>-132332</v>
      </c>
      <c r="L163" s="967">
        <v>-35620</v>
      </c>
      <c r="M163" s="967">
        <v>-67455</v>
      </c>
      <c r="N163" s="967">
        <v>-54383</v>
      </c>
      <c r="O163" s="967">
        <v>730201</v>
      </c>
      <c r="P163" s="967">
        <v>-128332</v>
      </c>
      <c r="Q163" s="967">
        <v>-74224</v>
      </c>
      <c r="R163" s="967">
        <v>-59881</v>
      </c>
      <c r="S163" s="967">
        <v>-48215</v>
      </c>
      <c r="T163" s="967">
        <v>154934</v>
      </c>
      <c r="U163" s="967">
        <v>0</v>
      </c>
      <c r="V163" s="967">
        <v>-1006368</v>
      </c>
      <c r="W163" s="1885">
        <v>1392710</v>
      </c>
      <c r="X163" s="1884">
        <v>794587</v>
      </c>
      <c r="Y163" s="967">
        <v>0</v>
      </c>
      <c r="Z163" s="967">
        <v>0</v>
      </c>
      <c r="AA163" s="967">
        <v>0</v>
      </c>
      <c r="AB163" s="967">
        <v>0</v>
      </c>
      <c r="AC163" s="967">
        <v>0</v>
      </c>
      <c r="AD163" s="967">
        <v>0</v>
      </c>
      <c r="AE163" s="967">
        <v>92634</v>
      </c>
      <c r="AF163" s="967">
        <v>92634</v>
      </c>
      <c r="AG163" s="967">
        <v>92635</v>
      </c>
      <c r="AH163" s="967">
        <v>92634</v>
      </c>
      <c r="AI163" s="967">
        <v>74108</v>
      </c>
      <c r="AJ163" s="967">
        <v>349942</v>
      </c>
      <c r="AK163" s="1884">
        <v>2187297</v>
      </c>
      <c r="AL163" s="968" t="s">
        <v>1314</v>
      </c>
      <c r="AM163" s="967">
        <v>0</v>
      </c>
      <c r="AN163" s="967">
        <v>0</v>
      </c>
      <c r="AO163" s="967">
        <v>0</v>
      </c>
      <c r="AP163" s="967">
        <v>0</v>
      </c>
      <c r="AQ163" s="967">
        <v>0</v>
      </c>
      <c r="AR163" s="1720" t="s">
        <v>1314</v>
      </c>
      <c r="AS163" s="1721" t="s">
        <v>2233</v>
      </c>
      <c r="AT163" s="1722" t="s">
        <v>2234</v>
      </c>
      <c r="AV163" s="1887">
        <v>794587</v>
      </c>
      <c r="AW163" s="1884">
        <v>0</v>
      </c>
      <c r="AX163" s="1884">
        <v>0</v>
      </c>
      <c r="AY163" s="1884">
        <v>0</v>
      </c>
      <c r="AZ163" s="1884">
        <v>0</v>
      </c>
      <c r="BA163" s="1884">
        <v>0</v>
      </c>
      <c r="BB163" s="1884">
        <v>0</v>
      </c>
      <c r="BE163" s="1724">
        <v>1084338</v>
      </c>
      <c r="BF163" s="1724">
        <v>-289751</v>
      </c>
    </row>
    <row r="164" spans="1:58" s="971" customFormat="1">
      <c r="A164" s="599" t="s">
        <v>1073</v>
      </c>
      <c r="B164" s="599" t="s">
        <v>1076</v>
      </c>
      <c r="C164" s="993">
        <v>11400000</v>
      </c>
      <c r="D164" s="993">
        <v>8045334</v>
      </c>
      <c r="E164" s="993">
        <v>3354666</v>
      </c>
      <c r="F164" s="1883">
        <v>2249446</v>
      </c>
      <c r="G164" s="1884">
        <v>539998</v>
      </c>
      <c r="H164" s="967">
        <v>-39320</v>
      </c>
      <c r="I164" s="967">
        <v>-227295</v>
      </c>
      <c r="J164" s="1884">
        <v>-2066068</v>
      </c>
      <c r="K164" s="967">
        <v>-45587</v>
      </c>
      <c r="L164" s="967">
        <v>-20609</v>
      </c>
      <c r="M164" s="967">
        <v>-9762</v>
      </c>
      <c r="N164" s="967">
        <v>-38301</v>
      </c>
      <c r="O164" s="967">
        <v>-15949</v>
      </c>
      <c r="P164" s="967">
        <v>-31642</v>
      </c>
      <c r="Q164" s="967">
        <v>-26125</v>
      </c>
      <c r="R164" s="967">
        <v>-39320</v>
      </c>
      <c r="S164" s="967">
        <v>-52812</v>
      </c>
      <c r="T164" s="967">
        <v>-36375</v>
      </c>
      <c r="U164" s="967">
        <v>-36375</v>
      </c>
      <c r="V164" s="967">
        <v>-1713211</v>
      </c>
      <c r="W164" s="1885">
        <v>183378</v>
      </c>
      <c r="X164" s="1884">
        <v>247771</v>
      </c>
      <c r="Y164" s="967">
        <v>16360</v>
      </c>
      <c r="Z164" s="967">
        <v>16360</v>
      </c>
      <c r="AA164" s="967">
        <v>51130</v>
      </c>
      <c r="AB164" s="967">
        <v>16360</v>
      </c>
      <c r="AC164" s="967">
        <v>16360</v>
      </c>
      <c r="AD164" s="967">
        <v>24700</v>
      </c>
      <c r="AE164" s="967">
        <v>16360</v>
      </c>
      <c r="AF164" s="967">
        <v>16360</v>
      </c>
      <c r="AG164" s="967">
        <v>16360</v>
      </c>
      <c r="AH164" s="967">
        <v>16361</v>
      </c>
      <c r="AI164" s="967">
        <v>16360</v>
      </c>
      <c r="AJ164" s="967">
        <v>24700</v>
      </c>
      <c r="AK164" s="1884">
        <v>431149</v>
      </c>
      <c r="AL164" s="968" t="s">
        <v>1314</v>
      </c>
      <c r="AM164" s="967">
        <v>314018</v>
      </c>
      <c r="AN164" s="967">
        <v>508826</v>
      </c>
      <c r="AO164" s="967">
        <v>485046</v>
      </c>
      <c r="AP164" s="967">
        <v>283824</v>
      </c>
      <c r="AQ164" s="967">
        <v>1331803</v>
      </c>
      <c r="AR164" s="968" t="s">
        <v>1314</v>
      </c>
      <c r="AS164" s="1721" t="s">
        <v>2233</v>
      </c>
      <c r="AT164" s="1722" t="s">
        <v>2234</v>
      </c>
      <c r="AV164" s="1887">
        <v>3171288</v>
      </c>
      <c r="AW164" s="1884">
        <v>2923517</v>
      </c>
      <c r="AX164" s="1884">
        <v>2609499</v>
      </c>
      <c r="AY164" s="1884">
        <v>2100673</v>
      </c>
      <c r="AZ164" s="1884">
        <v>1615627</v>
      </c>
      <c r="BA164" s="1884">
        <v>1331803</v>
      </c>
      <c r="BB164" s="1884">
        <v>0</v>
      </c>
      <c r="BE164" s="1724">
        <v>539998</v>
      </c>
      <c r="BF164" s="1724">
        <v>-292227</v>
      </c>
    </row>
    <row r="165" spans="1:58" s="971" customFormat="1">
      <c r="A165" s="865" t="s">
        <v>642</v>
      </c>
      <c r="B165" s="599" t="s">
        <v>1079</v>
      </c>
      <c r="C165" s="993">
        <v>9400000</v>
      </c>
      <c r="D165" s="993">
        <v>6304845</v>
      </c>
      <c r="E165" s="993">
        <v>3095155</v>
      </c>
      <c r="F165" s="1883">
        <v>-195311</v>
      </c>
      <c r="G165" s="1884">
        <v>0</v>
      </c>
      <c r="H165" s="967">
        <v>1087361</v>
      </c>
      <c r="I165" s="967">
        <v>519669</v>
      </c>
      <c r="J165" s="1884">
        <v>1462260</v>
      </c>
      <c r="K165" s="967">
        <v>-192284</v>
      </c>
      <c r="L165" s="967">
        <v>-168002</v>
      </c>
      <c r="M165" s="967">
        <v>691010</v>
      </c>
      <c r="N165" s="967">
        <v>-175345</v>
      </c>
      <c r="O165" s="967">
        <v>-215943</v>
      </c>
      <c r="P165" s="967">
        <v>-296016</v>
      </c>
      <c r="Q165" s="967">
        <v>-211112</v>
      </c>
      <c r="R165" s="967">
        <v>1087361</v>
      </c>
      <c r="S165" s="967">
        <v>-175330</v>
      </c>
      <c r="T165" s="967">
        <v>-147936</v>
      </c>
      <c r="U165" s="967">
        <v>-147936</v>
      </c>
      <c r="V165" s="967">
        <v>1413793</v>
      </c>
      <c r="W165" s="1885">
        <v>1266949</v>
      </c>
      <c r="X165" s="1884">
        <v>1828206</v>
      </c>
      <c r="Y165" s="967">
        <v>78945</v>
      </c>
      <c r="Z165" s="967">
        <v>78946</v>
      </c>
      <c r="AA165" s="967">
        <v>78946</v>
      </c>
      <c r="AB165" s="967">
        <v>78946</v>
      </c>
      <c r="AC165" s="967">
        <v>78946</v>
      </c>
      <c r="AD165" s="967">
        <v>24545</v>
      </c>
      <c r="AE165" s="967">
        <v>0</v>
      </c>
      <c r="AF165" s="967">
        <v>0</v>
      </c>
      <c r="AG165" s="967">
        <v>0</v>
      </c>
      <c r="AH165" s="967">
        <v>0</v>
      </c>
      <c r="AI165" s="967">
        <v>0</v>
      </c>
      <c r="AJ165" s="967">
        <v>1408932</v>
      </c>
      <c r="AK165" s="1884">
        <v>3095155</v>
      </c>
      <c r="AL165" s="968" t="s">
        <v>1314</v>
      </c>
      <c r="AM165" s="967">
        <v>0</v>
      </c>
      <c r="AN165" s="967">
        <v>0</v>
      </c>
      <c r="AO165" s="967">
        <v>0</v>
      </c>
      <c r="AP165" s="967">
        <v>0</v>
      </c>
      <c r="AQ165" s="967">
        <v>0</v>
      </c>
      <c r="AR165" s="968" t="s">
        <v>1314</v>
      </c>
      <c r="AS165" s="1721" t="s">
        <v>2233</v>
      </c>
      <c r="AT165" s="1722" t="s">
        <v>2234</v>
      </c>
      <c r="AV165" s="1887">
        <v>1828206</v>
      </c>
      <c r="AW165" s="1884">
        <v>0</v>
      </c>
      <c r="AX165" s="1884">
        <v>0</v>
      </c>
      <c r="AY165" s="1884">
        <v>0</v>
      </c>
      <c r="AZ165" s="1884">
        <v>0</v>
      </c>
      <c r="BA165" s="1884">
        <v>0</v>
      </c>
      <c r="BB165" s="1884">
        <v>0</v>
      </c>
      <c r="BE165" s="1724"/>
      <c r="BF165" s="1724">
        <v>1828206</v>
      </c>
    </row>
    <row r="166" spans="1:58" s="971" customFormat="1">
      <c r="A166" s="865" t="s">
        <v>1080</v>
      </c>
      <c r="B166" s="599" t="s">
        <v>1247</v>
      </c>
      <c r="C166" s="993">
        <v>1330000</v>
      </c>
      <c r="D166" s="993">
        <v>575468</v>
      </c>
      <c r="E166" s="993">
        <v>754532</v>
      </c>
      <c r="F166" s="1883">
        <v>0</v>
      </c>
      <c r="G166" s="1884">
        <v>0</v>
      </c>
      <c r="H166" s="967">
        <v>-7849</v>
      </c>
      <c r="I166" s="967">
        <v>-176468</v>
      </c>
      <c r="J166" s="1884">
        <v>754532</v>
      </c>
      <c r="K166" s="967">
        <v>0</v>
      </c>
      <c r="L166" s="967">
        <v>0</v>
      </c>
      <c r="M166" s="967">
        <v>0</v>
      </c>
      <c r="N166" s="967">
        <v>-29426</v>
      </c>
      <c r="O166" s="967">
        <v>-45581</v>
      </c>
      <c r="P166" s="967">
        <v>-81656</v>
      </c>
      <c r="Q166" s="967">
        <v>-11956</v>
      </c>
      <c r="R166" s="967">
        <v>-7849</v>
      </c>
      <c r="S166" s="967">
        <v>1200000</v>
      </c>
      <c r="T166" s="967">
        <v>130000</v>
      </c>
      <c r="U166" s="967">
        <v>0</v>
      </c>
      <c r="V166" s="967">
        <v>-399000</v>
      </c>
      <c r="W166" s="1885">
        <v>754532</v>
      </c>
      <c r="X166" s="1884">
        <v>0</v>
      </c>
      <c r="Y166" s="967">
        <v>0</v>
      </c>
      <c r="Z166" s="967">
        <v>0</v>
      </c>
      <c r="AA166" s="967">
        <v>0</v>
      </c>
      <c r="AB166" s="967">
        <v>0</v>
      </c>
      <c r="AC166" s="967">
        <v>0</v>
      </c>
      <c r="AD166" s="967">
        <v>0</v>
      </c>
      <c r="AE166" s="967">
        <v>0</v>
      </c>
      <c r="AF166" s="967">
        <v>0</v>
      </c>
      <c r="AG166" s="967">
        <v>0</v>
      </c>
      <c r="AH166" s="967">
        <v>0</v>
      </c>
      <c r="AI166" s="967">
        <v>0</v>
      </c>
      <c r="AJ166" s="967">
        <v>0</v>
      </c>
      <c r="AK166" s="1884">
        <v>754532</v>
      </c>
      <c r="AL166" s="968" t="s">
        <v>1314</v>
      </c>
      <c r="AM166" s="967">
        <v>0</v>
      </c>
      <c r="AN166" s="967">
        <v>0</v>
      </c>
      <c r="AO166" s="967">
        <v>0</v>
      </c>
      <c r="AP166" s="967">
        <v>0</v>
      </c>
      <c r="AQ166" s="967">
        <v>0</v>
      </c>
      <c r="AR166" s="968" t="s">
        <v>1314</v>
      </c>
      <c r="AS166" s="1721" t="s">
        <v>2233</v>
      </c>
      <c r="AT166" s="1722" t="s">
        <v>2234</v>
      </c>
      <c r="AV166" s="1887">
        <v>0</v>
      </c>
      <c r="AW166" s="1884">
        <v>0</v>
      </c>
      <c r="AX166" s="1884">
        <v>0</v>
      </c>
      <c r="AY166" s="1884">
        <v>0</v>
      </c>
      <c r="AZ166" s="1884">
        <v>0</v>
      </c>
      <c r="BA166" s="1884">
        <v>0</v>
      </c>
      <c r="BB166" s="1884">
        <v>0</v>
      </c>
      <c r="BE166" s="1724"/>
      <c r="BF166" s="1724">
        <v>0</v>
      </c>
    </row>
    <row r="167" spans="1:58" s="971" customFormat="1">
      <c r="A167" s="865" t="s">
        <v>1082</v>
      </c>
      <c r="B167" s="599" t="s">
        <v>1248</v>
      </c>
      <c r="C167" s="993">
        <v>15000000</v>
      </c>
      <c r="D167" s="993">
        <v>10227649</v>
      </c>
      <c r="E167" s="993">
        <v>4772351</v>
      </c>
      <c r="F167" s="1883">
        <v>0</v>
      </c>
      <c r="G167" s="1884">
        <v>0</v>
      </c>
      <c r="H167" s="967">
        <v>0</v>
      </c>
      <c r="I167" s="967">
        <v>0</v>
      </c>
      <c r="J167" s="1884">
        <v>11250</v>
      </c>
      <c r="K167" s="967">
        <v>0</v>
      </c>
      <c r="L167" s="967">
        <v>0</v>
      </c>
      <c r="M167" s="967">
        <v>0</v>
      </c>
      <c r="N167" s="967">
        <v>0</v>
      </c>
      <c r="O167" s="967">
        <v>0</v>
      </c>
      <c r="P167" s="967">
        <v>0</v>
      </c>
      <c r="Q167" s="967">
        <v>0</v>
      </c>
      <c r="R167" s="967">
        <v>0</v>
      </c>
      <c r="S167" s="967">
        <v>-1096</v>
      </c>
      <c r="T167" s="967">
        <v>-1096</v>
      </c>
      <c r="U167" s="967">
        <v>-10959</v>
      </c>
      <c r="V167" s="967">
        <v>24401</v>
      </c>
      <c r="W167" s="1885">
        <v>11250</v>
      </c>
      <c r="X167" s="1884">
        <v>1347999</v>
      </c>
      <c r="Y167" s="967">
        <v>111167</v>
      </c>
      <c r="Z167" s="967">
        <v>111167</v>
      </c>
      <c r="AA167" s="967">
        <v>111166</v>
      </c>
      <c r="AB167" s="967">
        <v>111167</v>
      </c>
      <c r="AC167" s="967">
        <v>111167</v>
      </c>
      <c r="AD167" s="967">
        <v>111167</v>
      </c>
      <c r="AE167" s="967">
        <v>111166</v>
      </c>
      <c r="AF167" s="967">
        <v>111167</v>
      </c>
      <c r="AG167" s="967">
        <v>111167</v>
      </c>
      <c r="AH167" s="967">
        <v>111166</v>
      </c>
      <c r="AI167" s="967">
        <v>111167</v>
      </c>
      <c r="AJ167" s="967">
        <v>125165</v>
      </c>
      <c r="AK167" s="1884">
        <v>1359249</v>
      </c>
      <c r="AL167" s="968" t="s">
        <v>1314</v>
      </c>
      <c r="AM167" s="967">
        <v>1180876</v>
      </c>
      <c r="AN167" s="967">
        <v>381828</v>
      </c>
      <c r="AO167" s="967">
        <v>400595</v>
      </c>
      <c r="AP167" s="967">
        <v>1237778</v>
      </c>
      <c r="AQ167" s="967">
        <v>212025</v>
      </c>
      <c r="AR167" s="968" t="s">
        <v>1314</v>
      </c>
      <c r="AS167" s="1721" t="s">
        <v>2233</v>
      </c>
      <c r="AT167" s="1722" t="s">
        <v>2234</v>
      </c>
      <c r="AV167" s="1887">
        <v>4761101</v>
      </c>
      <c r="AW167" s="1884">
        <v>3413102</v>
      </c>
      <c r="AX167" s="1884">
        <v>2232226</v>
      </c>
      <c r="AY167" s="1884">
        <v>1850398</v>
      </c>
      <c r="AZ167" s="1884">
        <v>1449803</v>
      </c>
      <c r="BA167" s="1884">
        <v>212025</v>
      </c>
      <c r="BB167" s="1884">
        <v>0</v>
      </c>
      <c r="BE167" s="1724"/>
      <c r="BF167" s="1724">
        <v>1347999</v>
      </c>
    </row>
    <row r="168" spans="1:58" s="990" customFormat="1">
      <c r="A168" s="866" t="s">
        <v>1249</v>
      </c>
      <c r="B168" s="867" t="s">
        <v>1085</v>
      </c>
      <c r="C168" s="1104">
        <v>14840000</v>
      </c>
      <c r="D168" s="1104">
        <v>9953304</v>
      </c>
      <c r="E168" s="1104">
        <v>4886696</v>
      </c>
      <c r="F168" s="1086">
        <v>0</v>
      </c>
      <c r="G168" s="1888">
        <v>0</v>
      </c>
      <c r="H168" s="947">
        <v>-14921</v>
      </c>
      <c r="I168" s="947">
        <v>-14921</v>
      </c>
      <c r="J168" s="1888">
        <v>114926</v>
      </c>
      <c r="K168" s="947">
        <v>0</v>
      </c>
      <c r="L168" s="947">
        <v>0</v>
      </c>
      <c r="M168" s="947">
        <v>0</v>
      </c>
      <c r="N168" s="947">
        <v>0</v>
      </c>
      <c r="O168" s="947">
        <v>0</v>
      </c>
      <c r="P168" s="947">
        <v>0</v>
      </c>
      <c r="Q168" s="947">
        <v>0</v>
      </c>
      <c r="R168" s="947">
        <v>-14921</v>
      </c>
      <c r="S168" s="947">
        <v>-43832</v>
      </c>
      <c r="T168" s="947">
        <v>-43832</v>
      </c>
      <c r="U168" s="947">
        <v>-65749</v>
      </c>
      <c r="V168" s="947">
        <v>283260</v>
      </c>
      <c r="W168" s="1889">
        <v>114926</v>
      </c>
      <c r="X168" s="1888">
        <v>1242891</v>
      </c>
      <c r="Y168" s="947">
        <v>58484</v>
      </c>
      <c r="Z168" s="947">
        <v>58484</v>
      </c>
      <c r="AA168" s="947">
        <v>116968</v>
      </c>
      <c r="AB168" s="947">
        <v>116967</v>
      </c>
      <c r="AC168" s="947">
        <v>116968</v>
      </c>
      <c r="AD168" s="947">
        <v>116968</v>
      </c>
      <c r="AE168" s="947">
        <v>116968</v>
      </c>
      <c r="AF168" s="947">
        <v>116968</v>
      </c>
      <c r="AG168" s="947">
        <v>116967</v>
      </c>
      <c r="AH168" s="947">
        <v>116968</v>
      </c>
      <c r="AI168" s="947">
        <v>116968</v>
      </c>
      <c r="AJ168" s="947">
        <v>73213</v>
      </c>
      <c r="AK168" s="1888">
        <v>1357817</v>
      </c>
      <c r="AL168" s="1890" t="s">
        <v>1323</v>
      </c>
      <c r="AM168" s="947">
        <v>1119721</v>
      </c>
      <c r="AN168" s="947">
        <v>788778</v>
      </c>
      <c r="AO168" s="947">
        <v>798439</v>
      </c>
      <c r="AP168" s="947">
        <v>807212</v>
      </c>
      <c r="AQ168" s="947">
        <v>14729</v>
      </c>
      <c r="AR168" s="1731" t="s">
        <v>1323</v>
      </c>
      <c r="AS168" s="1731" t="s">
        <v>1246</v>
      </c>
      <c r="AT168" s="1732" t="s">
        <v>2237</v>
      </c>
      <c r="AV168" s="1882">
        <v>4771770</v>
      </c>
      <c r="AW168" s="1879">
        <v>3528879</v>
      </c>
      <c r="AX168" s="1879">
        <v>2409158</v>
      </c>
      <c r="AY168" s="1879">
        <v>1620380</v>
      </c>
      <c r="AZ168" s="1879">
        <v>821941</v>
      </c>
      <c r="BA168" s="1879">
        <v>14729</v>
      </c>
      <c r="BB168" s="1879">
        <v>0</v>
      </c>
      <c r="BE168" s="1733"/>
      <c r="BF168" s="1733">
        <v>1242891</v>
      </c>
    </row>
    <row r="169" spans="1:58" s="663" customFormat="1">
      <c r="A169" s="1120" t="s">
        <v>647</v>
      </c>
      <c r="B169" s="751" t="s">
        <v>1324</v>
      </c>
      <c r="C169" s="991"/>
      <c r="D169" s="991"/>
      <c r="E169" s="991"/>
      <c r="F169" s="1891"/>
      <c r="G169" s="1879">
        <v>378859</v>
      </c>
      <c r="H169" s="948">
        <v>-321</v>
      </c>
      <c r="I169" s="948">
        <v>-672383</v>
      </c>
      <c r="J169" s="1879">
        <v>-58022</v>
      </c>
      <c r="K169" s="948">
        <v>0</v>
      </c>
      <c r="L169" s="948">
        <v>0</v>
      </c>
      <c r="M169" s="948">
        <v>-12379</v>
      </c>
      <c r="N169" s="948">
        <v>-145479</v>
      </c>
      <c r="O169" s="948">
        <v>-162693</v>
      </c>
      <c r="P169" s="948">
        <v>-260246</v>
      </c>
      <c r="Q169" s="948">
        <v>-91265</v>
      </c>
      <c r="R169" s="948">
        <v>-321</v>
      </c>
      <c r="S169" s="948">
        <v>691234</v>
      </c>
      <c r="T169" s="948">
        <v>-54791</v>
      </c>
      <c r="U169" s="948">
        <v>-54791</v>
      </c>
      <c r="V169" s="948">
        <v>32709</v>
      </c>
      <c r="W169" s="1880">
        <v>-58022</v>
      </c>
      <c r="X169" s="1879">
        <v>68112</v>
      </c>
      <c r="Y169" s="948">
        <v>5676</v>
      </c>
      <c r="Z169" s="948">
        <v>5676</v>
      </c>
      <c r="AA169" s="948">
        <v>5676</v>
      </c>
      <c r="AB169" s="948">
        <v>5676</v>
      </c>
      <c r="AC169" s="948">
        <v>5676</v>
      </c>
      <c r="AD169" s="948">
        <v>5676</v>
      </c>
      <c r="AE169" s="948">
        <v>5676</v>
      </c>
      <c r="AF169" s="948">
        <v>5676</v>
      </c>
      <c r="AG169" s="948">
        <v>5676</v>
      </c>
      <c r="AH169" s="948">
        <v>5676</v>
      </c>
      <c r="AI169" s="948">
        <v>5676</v>
      </c>
      <c r="AJ169" s="948">
        <v>5676</v>
      </c>
      <c r="AK169" s="1879">
        <v>10090</v>
      </c>
      <c r="AL169" s="1881" t="s">
        <v>1308</v>
      </c>
      <c r="AM169" s="948">
        <v>239778</v>
      </c>
      <c r="AN169" s="948">
        <v>261702</v>
      </c>
      <c r="AO169" s="948">
        <v>1280660</v>
      </c>
      <c r="AP169" s="948">
        <v>-60000</v>
      </c>
      <c r="AQ169" s="948">
        <v>-60000</v>
      </c>
      <c r="AR169" s="1714" t="s">
        <v>2270</v>
      </c>
      <c r="AS169" s="1714" t="s">
        <v>2238</v>
      </c>
      <c r="AT169" s="1714" t="s">
        <v>2239</v>
      </c>
      <c r="AV169" s="1882" t="s">
        <v>866</v>
      </c>
      <c r="AW169" s="1879" t="s">
        <v>866</v>
      </c>
      <c r="AX169" s="1879" t="s">
        <v>866</v>
      </c>
      <c r="AY169" s="1879" t="s">
        <v>866</v>
      </c>
      <c r="AZ169" s="1879" t="s">
        <v>866</v>
      </c>
      <c r="BA169" s="1879" t="s">
        <v>866</v>
      </c>
      <c r="BB169" s="1879" t="s">
        <v>866</v>
      </c>
      <c r="BE169" s="1718">
        <v>378859</v>
      </c>
      <c r="BF169" s="1718">
        <v>-310747</v>
      </c>
    </row>
    <row r="170" spans="1:58" s="971" customFormat="1">
      <c r="A170" s="1730" t="s">
        <v>1092</v>
      </c>
      <c r="B170" s="1010" t="s">
        <v>1325</v>
      </c>
      <c r="C170" s="969">
        <v>52500</v>
      </c>
      <c r="D170" s="969">
        <v>39200</v>
      </c>
      <c r="E170" s="969">
        <v>13300</v>
      </c>
      <c r="F170" s="1892"/>
      <c r="G170" s="1884"/>
      <c r="H170" s="967">
        <v>0</v>
      </c>
      <c r="I170" s="967">
        <v>13300</v>
      </c>
      <c r="J170" s="1884">
        <v>13300</v>
      </c>
      <c r="K170" s="967">
        <v>0</v>
      </c>
      <c r="L170" s="967">
        <v>0</v>
      </c>
      <c r="M170" s="967">
        <v>0</v>
      </c>
      <c r="N170" s="967">
        <v>0</v>
      </c>
      <c r="O170" s="967">
        <v>-39200</v>
      </c>
      <c r="P170" s="967">
        <v>52500</v>
      </c>
      <c r="Q170" s="967">
        <v>0</v>
      </c>
      <c r="R170" s="967">
        <v>0</v>
      </c>
      <c r="S170" s="967">
        <v>0</v>
      </c>
      <c r="T170" s="967">
        <v>0</v>
      </c>
      <c r="U170" s="967">
        <v>0</v>
      </c>
      <c r="V170" s="967">
        <v>0</v>
      </c>
      <c r="W170" s="1885">
        <v>13300</v>
      </c>
      <c r="X170" s="1884">
        <v>0</v>
      </c>
      <c r="Y170" s="967">
        <v>0</v>
      </c>
      <c r="Z170" s="967">
        <v>0</v>
      </c>
      <c r="AA170" s="967">
        <v>0</v>
      </c>
      <c r="AB170" s="967">
        <v>0</v>
      </c>
      <c r="AC170" s="967">
        <v>0</v>
      </c>
      <c r="AD170" s="967">
        <v>0</v>
      </c>
      <c r="AE170" s="967">
        <v>0</v>
      </c>
      <c r="AF170" s="967">
        <v>0</v>
      </c>
      <c r="AG170" s="967">
        <v>0</v>
      </c>
      <c r="AH170" s="967">
        <v>0</v>
      </c>
      <c r="AI170" s="967">
        <v>0</v>
      </c>
      <c r="AJ170" s="967">
        <v>0</v>
      </c>
      <c r="AK170" s="1884">
        <v>13300</v>
      </c>
      <c r="AL170" s="968" t="s">
        <v>1314</v>
      </c>
      <c r="AM170" s="967">
        <v>0</v>
      </c>
      <c r="AN170" s="967">
        <v>0</v>
      </c>
      <c r="AO170" s="967">
        <v>0</v>
      </c>
      <c r="AP170" s="967">
        <v>0</v>
      </c>
      <c r="AQ170" s="967">
        <v>0</v>
      </c>
      <c r="AR170" s="968" t="s">
        <v>1314</v>
      </c>
      <c r="AS170" s="1720" t="s">
        <v>1246</v>
      </c>
      <c r="AT170" s="1720" t="s">
        <v>2240</v>
      </c>
      <c r="AV170" s="1887" t="s">
        <v>866</v>
      </c>
      <c r="AW170" s="1884" t="s">
        <v>866</v>
      </c>
      <c r="AX170" s="1884" t="s">
        <v>866</v>
      </c>
      <c r="AY170" s="1884" t="s">
        <v>866</v>
      </c>
      <c r="AZ170" s="1884" t="s">
        <v>866</v>
      </c>
      <c r="BA170" s="1884" t="s">
        <v>866</v>
      </c>
      <c r="BB170" s="1884" t="s">
        <v>866</v>
      </c>
      <c r="BE170" s="1724"/>
      <c r="BF170" s="1724">
        <v>0</v>
      </c>
    </row>
    <row r="171" spans="1:58" s="1745" customFormat="1">
      <c r="A171" s="1738" t="s">
        <v>651</v>
      </c>
      <c r="B171" s="1739" t="s">
        <v>2241</v>
      </c>
      <c r="C171" s="1893"/>
      <c r="D171" s="1893"/>
      <c r="E171" s="1893"/>
      <c r="F171" s="1891"/>
      <c r="G171" s="1894">
        <v>972710</v>
      </c>
      <c r="H171" s="1740">
        <v>-93219</v>
      </c>
      <c r="I171" s="1740">
        <v>-367169</v>
      </c>
      <c r="J171" s="1894">
        <v>720510</v>
      </c>
      <c r="K171" s="1115">
        <v>-5319</v>
      </c>
      <c r="L171" s="947">
        <v>0</v>
      </c>
      <c r="M171" s="947">
        <v>-92977</v>
      </c>
      <c r="N171" s="947">
        <v>-125778</v>
      </c>
      <c r="O171" s="947">
        <v>-19783</v>
      </c>
      <c r="P171" s="947">
        <v>-16641</v>
      </c>
      <c r="Q171" s="947">
        <v>-13452</v>
      </c>
      <c r="R171" s="947">
        <v>-93219</v>
      </c>
      <c r="S171" s="946">
        <v>-57530</v>
      </c>
      <c r="T171" s="946">
        <v>-21916</v>
      </c>
      <c r="U171" s="946">
        <v>-21916</v>
      </c>
      <c r="V171" s="946">
        <v>1189041</v>
      </c>
      <c r="W171" s="1895">
        <v>720510</v>
      </c>
      <c r="X171" s="1894">
        <v>485268</v>
      </c>
      <c r="Y171" s="1740">
        <v>-59561</v>
      </c>
      <c r="Z171" s="1740">
        <v>-59561</v>
      </c>
      <c r="AA171" s="1740">
        <v>-59561</v>
      </c>
      <c r="AB171" s="1740">
        <v>-59561</v>
      </c>
      <c r="AC171" s="1740">
        <v>-59561</v>
      </c>
      <c r="AD171" s="1740">
        <v>-59561</v>
      </c>
      <c r="AE171" s="1740">
        <v>-59561</v>
      </c>
      <c r="AF171" s="1740">
        <v>-59561</v>
      </c>
      <c r="AG171" s="1740">
        <v>-59561</v>
      </c>
      <c r="AH171" s="1740">
        <v>-59561</v>
      </c>
      <c r="AI171" s="1740">
        <v>-59561</v>
      </c>
      <c r="AJ171" s="1740">
        <v>1140439</v>
      </c>
      <c r="AK171" s="1894">
        <v>1205778</v>
      </c>
      <c r="AL171" s="1896" t="s">
        <v>2103</v>
      </c>
      <c r="AM171" s="1740">
        <v>119912</v>
      </c>
      <c r="AN171" s="1740">
        <v>581069</v>
      </c>
      <c r="AO171" s="1740">
        <v>0</v>
      </c>
      <c r="AP171" s="1740">
        <v>0</v>
      </c>
      <c r="AQ171" s="948">
        <v>0</v>
      </c>
      <c r="AR171" s="1744" t="s">
        <v>2242</v>
      </c>
      <c r="AS171" s="1744" t="s">
        <v>2243</v>
      </c>
      <c r="AT171" s="1744" t="s">
        <v>2244</v>
      </c>
      <c r="AV171" s="1882" t="s">
        <v>866</v>
      </c>
      <c r="AW171" s="1879" t="s">
        <v>866</v>
      </c>
      <c r="AX171" s="1879" t="s">
        <v>866</v>
      </c>
      <c r="AY171" s="1879" t="s">
        <v>866</v>
      </c>
      <c r="AZ171" s="1879" t="s">
        <v>866</v>
      </c>
      <c r="BA171" s="1879" t="s">
        <v>866</v>
      </c>
      <c r="BB171" s="1879" t="s">
        <v>866</v>
      </c>
      <c r="BE171" s="1718">
        <v>972710</v>
      </c>
      <c r="BF171" s="1718">
        <v>-487442</v>
      </c>
    </row>
    <row r="172" spans="1:58" s="990" customFormat="1">
      <c r="A172" s="1746" t="s">
        <v>1251</v>
      </c>
      <c r="B172" s="867" t="s">
        <v>1672</v>
      </c>
      <c r="C172" s="1104">
        <v>0</v>
      </c>
      <c r="D172" s="1104">
        <v>0</v>
      </c>
      <c r="E172" s="1104">
        <v>0</v>
      </c>
      <c r="F172" s="1897">
        <v>0</v>
      </c>
      <c r="G172" s="1888">
        <v>-1350825</v>
      </c>
      <c r="H172" s="947">
        <v>0</v>
      </c>
      <c r="I172" s="947">
        <v>0</v>
      </c>
      <c r="J172" s="1888">
        <v>0</v>
      </c>
      <c r="K172" s="947">
        <v>0</v>
      </c>
      <c r="L172" s="947">
        <v>0</v>
      </c>
      <c r="M172" s="947">
        <v>0</v>
      </c>
      <c r="N172" s="947">
        <v>0</v>
      </c>
      <c r="O172" s="947">
        <v>0</v>
      </c>
      <c r="P172" s="947">
        <v>0</v>
      </c>
      <c r="Q172" s="947">
        <v>0</v>
      </c>
      <c r="R172" s="947">
        <v>0</v>
      </c>
      <c r="S172" s="947">
        <v>0</v>
      </c>
      <c r="T172" s="947">
        <v>0</v>
      </c>
      <c r="U172" s="947">
        <v>0</v>
      </c>
      <c r="V172" s="947">
        <v>0</v>
      </c>
      <c r="W172" s="1889">
        <v>0</v>
      </c>
      <c r="X172" s="1888">
        <v>0</v>
      </c>
      <c r="Y172" s="947">
        <v>0</v>
      </c>
      <c r="Z172" s="947">
        <v>0</v>
      </c>
      <c r="AA172" s="947">
        <v>0</v>
      </c>
      <c r="AB172" s="947">
        <v>0</v>
      </c>
      <c r="AC172" s="947">
        <v>0</v>
      </c>
      <c r="AD172" s="947">
        <v>0</v>
      </c>
      <c r="AE172" s="947">
        <v>0</v>
      </c>
      <c r="AF172" s="947">
        <v>0</v>
      </c>
      <c r="AG172" s="947">
        <v>0</v>
      </c>
      <c r="AH172" s="947">
        <v>0</v>
      </c>
      <c r="AI172" s="947">
        <v>0</v>
      </c>
      <c r="AJ172" s="947">
        <v>0</v>
      </c>
      <c r="AK172" s="1888">
        <v>0</v>
      </c>
      <c r="AL172" s="1890" t="s">
        <v>1323</v>
      </c>
      <c r="AM172" s="947">
        <v>0</v>
      </c>
      <c r="AN172" s="947">
        <v>0</v>
      </c>
      <c r="AO172" s="947">
        <v>0</v>
      </c>
      <c r="AP172" s="947">
        <v>0</v>
      </c>
      <c r="AQ172" s="947">
        <v>0</v>
      </c>
      <c r="AR172" s="1731" t="s">
        <v>1323</v>
      </c>
      <c r="AS172" s="1731" t="s">
        <v>1697</v>
      </c>
      <c r="AT172" s="1732" t="s">
        <v>2237</v>
      </c>
      <c r="AV172" s="1882">
        <v>0</v>
      </c>
      <c r="AW172" s="1879">
        <v>0</v>
      </c>
      <c r="AX172" s="1879">
        <v>0</v>
      </c>
      <c r="AY172" s="1879">
        <v>0</v>
      </c>
      <c r="AZ172" s="1879">
        <v>0</v>
      </c>
      <c r="BA172" s="1879">
        <v>0</v>
      </c>
      <c r="BB172" s="1879">
        <v>0</v>
      </c>
      <c r="BE172" s="1733"/>
      <c r="BF172" s="1733">
        <v>0</v>
      </c>
    </row>
    <row r="173" spans="1:58" s="990" customFormat="1">
      <c r="A173" s="1746" t="s">
        <v>656</v>
      </c>
      <c r="B173" s="867" t="s">
        <v>1674</v>
      </c>
      <c r="C173" s="1104">
        <v>0</v>
      </c>
      <c r="D173" s="1104">
        <v>0</v>
      </c>
      <c r="E173" s="1104">
        <v>0</v>
      </c>
      <c r="F173" s="1897">
        <v>0</v>
      </c>
      <c r="G173" s="1888">
        <v>0</v>
      </c>
      <c r="H173" s="947">
        <v>0</v>
      </c>
      <c r="I173" s="947">
        <v>0</v>
      </c>
      <c r="J173" s="1888">
        <v>0</v>
      </c>
      <c r="K173" s="947">
        <v>0</v>
      </c>
      <c r="L173" s="947">
        <v>0</v>
      </c>
      <c r="M173" s="947">
        <v>0</v>
      </c>
      <c r="N173" s="947">
        <v>0</v>
      </c>
      <c r="O173" s="947">
        <v>0</v>
      </c>
      <c r="P173" s="947">
        <v>0</v>
      </c>
      <c r="Q173" s="947">
        <v>0</v>
      </c>
      <c r="R173" s="947">
        <v>0</v>
      </c>
      <c r="S173" s="947">
        <v>0</v>
      </c>
      <c r="T173" s="947">
        <v>0</v>
      </c>
      <c r="U173" s="947">
        <v>0</v>
      </c>
      <c r="V173" s="947">
        <v>0</v>
      </c>
      <c r="W173" s="1889">
        <v>0</v>
      </c>
      <c r="X173" s="1888">
        <v>0</v>
      </c>
      <c r="Y173" s="947">
        <v>0</v>
      </c>
      <c r="Z173" s="947">
        <v>0</v>
      </c>
      <c r="AA173" s="947">
        <v>0</v>
      </c>
      <c r="AB173" s="947">
        <v>0</v>
      </c>
      <c r="AC173" s="947">
        <v>0</v>
      </c>
      <c r="AD173" s="947">
        <v>0</v>
      </c>
      <c r="AE173" s="947">
        <v>0</v>
      </c>
      <c r="AF173" s="947">
        <v>0</v>
      </c>
      <c r="AG173" s="947">
        <v>0</v>
      </c>
      <c r="AH173" s="947">
        <v>0</v>
      </c>
      <c r="AI173" s="947">
        <v>0</v>
      </c>
      <c r="AJ173" s="947">
        <v>0</v>
      </c>
      <c r="AK173" s="1888">
        <v>0</v>
      </c>
      <c r="AL173" s="1890" t="s">
        <v>1323</v>
      </c>
      <c r="AM173" s="947">
        <v>0</v>
      </c>
      <c r="AN173" s="947">
        <v>0</v>
      </c>
      <c r="AO173" s="947">
        <v>0</v>
      </c>
      <c r="AP173" s="947">
        <v>0</v>
      </c>
      <c r="AQ173" s="947">
        <v>0</v>
      </c>
      <c r="AR173" s="1731" t="s">
        <v>1323</v>
      </c>
      <c r="AS173" s="1731" t="s">
        <v>1697</v>
      </c>
      <c r="AT173" s="1732" t="s">
        <v>2237</v>
      </c>
      <c r="AV173" s="1882">
        <v>0</v>
      </c>
      <c r="AW173" s="1879">
        <v>0</v>
      </c>
      <c r="AX173" s="1879">
        <v>0</v>
      </c>
      <c r="AY173" s="1879">
        <v>0</v>
      </c>
      <c r="AZ173" s="1879">
        <v>0</v>
      </c>
      <c r="BA173" s="1879">
        <v>0</v>
      </c>
      <c r="BB173" s="1879">
        <v>0</v>
      </c>
      <c r="BE173" s="1733">
        <v>197725</v>
      </c>
      <c r="BF173" s="1733">
        <v>-197725</v>
      </c>
    </row>
    <row r="174" spans="1:58" s="990" customFormat="1">
      <c r="A174" s="1746" t="s">
        <v>657</v>
      </c>
      <c r="B174" s="867" t="s">
        <v>1675</v>
      </c>
      <c r="C174" s="1104">
        <v>109000000</v>
      </c>
      <c r="D174" s="1104">
        <v>72632285</v>
      </c>
      <c r="E174" s="1104">
        <v>36367715</v>
      </c>
      <c r="F174" s="1897">
        <v>0</v>
      </c>
      <c r="G174" s="1888">
        <v>0</v>
      </c>
      <c r="H174" s="947">
        <v>0</v>
      </c>
      <c r="I174" s="947">
        <v>0</v>
      </c>
      <c r="J174" s="1888">
        <v>0</v>
      </c>
      <c r="K174" s="947">
        <v>0</v>
      </c>
      <c r="L174" s="947">
        <v>0</v>
      </c>
      <c r="M174" s="947">
        <v>0</v>
      </c>
      <c r="N174" s="947">
        <v>0</v>
      </c>
      <c r="O174" s="947">
        <v>0</v>
      </c>
      <c r="P174" s="947">
        <v>0</v>
      </c>
      <c r="Q174" s="947">
        <v>0</v>
      </c>
      <c r="R174" s="947">
        <v>0</v>
      </c>
      <c r="S174" s="947">
        <v>0</v>
      </c>
      <c r="T174" s="947">
        <v>0</v>
      </c>
      <c r="U174" s="947">
        <v>0</v>
      </c>
      <c r="V174" s="947">
        <v>0</v>
      </c>
      <c r="W174" s="1889">
        <v>0</v>
      </c>
      <c r="X174" s="1888">
        <v>2147223</v>
      </c>
      <c r="Y174" s="947">
        <v>0</v>
      </c>
      <c r="Z174" s="947">
        <v>0</v>
      </c>
      <c r="AA174" s="947">
        <v>0</v>
      </c>
      <c r="AB174" s="947">
        <v>59645</v>
      </c>
      <c r="AC174" s="947">
        <v>178935</v>
      </c>
      <c r="AD174" s="947">
        <v>178936</v>
      </c>
      <c r="AE174" s="947">
        <v>178935</v>
      </c>
      <c r="AF174" s="947">
        <v>-476484</v>
      </c>
      <c r="AG174" s="947">
        <v>-595605</v>
      </c>
      <c r="AH174" s="947">
        <v>1907120</v>
      </c>
      <c r="AI174" s="947">
        <v>357870</v>
      </c>
      <c r="AJ174" s="947">
        <v>357871</v>
      </c>
      <c r="AK174" s="1888">
        <v>2147223</v>
      </c>
      <c r="AL174" s="1890" t="s">
        <v>2271</v>
      </c>
      <c r="AM174" s="947">
        <v>3130364</v>
      </c>
      <c r="AN174" s="947">
        <v>3289239</v>
      </c>
      <c r="AO174" s="947">
        <v>3457053</v>
      </c>
      <c r="AP174" s="947">
        <v>3634404</v>
      </c>
      <c r="AQ174" s="947">
        <v>20709432</v>
      </c>
      <c r="AR174" s="1731" t="s">
        <v>2271</v>
      </c>
      <c r="AS174" s="1731" t="s">
        <v>2297</v>
      </c>
      <c r="AT174" s="1732" t="s">
        <v>2272</v>
      </c>
      <c r="AV174" s="1882">
        <v>0</v>
      </c>
      <c r="AW174" s="1879">
        <v>34220492</v>
      </c>
      <c r="AX174" s="1879">
        <v>31090128</v>
      </c>
      <c r="AY174" s="1879">
        <v>27800889</v>
      </c>
      <c r="AZ174" s="1879">
        <v>24343836</v>
      </c>
      <c r="BA174" s="1879">
        <v>20709432</v>
      </c>
      <c r="BB174" s="1879">
        <v>0</v>
      </c>
      <c r="BE174" s="1733">
        <v>-1548550</v>
      </c>
      <c r="BF174" s="1733">
        <v>3695773</v>
      </c>
    </row>
    <row r="175" spans="1:58" s="1841" customFormat="1">
      <c r="A175" s="1749" t="s">
        <v>659</v>
      </c>
      <c r="B175" s="1147" t="s">
        <v>1677</v>
      </c>
      <c r="C175" s="1898">
        <v>76500000</v>
      </c>
      <c r="D175" s="1898">
        <v>51343045</v>
      </c>
      <c r="E175" s="1898">
        <v>25156955</v>
      </c>
      <c r="F175" s="1086">
        <v>0</v>
      </c>
      <c r="G175" s="1899">
        <v>0</v>
      </c>
      <c r="H175" s="1835">
        <v>0</v>
      </c>
      <c r="I175" s="1835">
        <v>0</v>
      </c>
      <c r="J175" s="1899">
        <v>0</v>
      </c>
      <c r="K175" s="1115">
        <v>0</v>
      </c>
      <c r="L175" s="946">
        <v>0</v>
      </c>
      <c r="M175" s="947">
        <v>0</v>
      </c>
      <c r="N175" s="947">
        <v>0</v>
      </c>
      <c r="O175" s="947">
        <v>0</v>
      </c>
      <c r="P175" s="947">
        <v>0</v>
      </c>
      <c r="Q175" s="947">
        <v>0</v>
      </c>
      <c r="R175" s="947">
        <v>0</v>
      </c>
      <c r="S175" s="946">
        <v>0</v>
      </c>
      <c r="T175" s="946">
        <v>0</v>
      </c>
      <c r="U175" s="946">
        <v>0</v>
      </c>
      <c r="V175" s="946">
        <v>0</v>
      </c>
      <c r="W175" s="1900">
        <v>0</v>
      </c>
      <c r="X175" s="1899">
        <v>0</v>
      </c>
      <c r="Y175" s="1835">
        <v>0</v>
      </c>
      <c r="Z175" s="1835">
        <v>0</v>
      </c>
      <c r="AA175" s="1835">
        <v>0</v>
      </c>
      <c r="AB175" s="1835">
        <v>0</v>
      </c>
      <c r="AC175" s="1835">
        <v>0</v>
      </c>
      <c r="AD175" s="1835">
        <v>0</v>
      </c>
      <c r="AE175" s="1835">
        <v>0</v>
      </c>
      <c r="AF175" s="1835">
        <v>0</v>
      </c>
      <c r="AG175" s="1835">
        <v>0</v>
      </c>
      <c r="AH175" s="1835">
        <v>0</v>
      </c>
      <c r="AI175" s="1835">
        <v>0</v>
      </c>
      <c r="AJ175" s="1835">
        <v>0</v>
      </c>
      <c r="AK175" s="1899">
        <v>0</v>
      </c>
      <c r="AL175" s="1901" t="s">
        <v>2271</v>
      </c>
      <c r="AM175" s="1835">
        <v>1600231</v>
      </c>
      <c r="AN175" s="1835">
        <v>1677966</v>
      </c>
      <c r="AO175" s="1835">
        <v>2088570</v>
      </c>
      <c r="AP175" s="1835">
        <v>2173100</v>
      </c>
      <c r="AQ175" s="948">
        <v>17617088</v>
      </c>
      <c r="AR175" s="1839" t="s">
        <v>2271</v>
      </c>
      <c r="AS175" s="1731" t="s">
        <v>1678</v>
      </c>
      <c r="AT175" s="1840" t="s">
        <v>2272</v>
      </c>
      <c r="AV175" s="1882">
        <v>0</v>
      </c>
      <c r="AW175" s="1879">
        <v>0</v>
      </c>
      <c r="AX175" s="1879">
        <v>23556724</v>
      </c>
      <c r="AY175" s="1879">
        <v>21878758</v>
      </c>
      <c r="AZ175" s="1879">
        <v>19790188</v>
      </c>
      <c r="BA175" s="1879">
        <v>17617088</v>
      </c>
      <c r="BB175" s="1879">
        <v>0</v>
      </c>
      <c r="BE175" s="1718"/>
      <c r="BF175" s="1718">
        <v>0</v>
      </c>
    </row>
    <row r="176" spans="1:58" s="1841" customFormat="1">
      <c r="A176" s="1749" t="s">
        <v>661</v>
      </c>
      <c r="B176" s="1147" t="s">
        <v>1679</v>
      </c>
      <c r="C176" s="1898">
        <v>77000000</v>
      </c>
      <c r="D176" s="1898">
        <v>51899975</v>
      </c>
      <c r="E176" s="1898">
        <v>25100025</v>
      </c>
      <c r="F176" s="1086">
        <v>0</v>
      </c>
      <c r="G176" s="1899">
        <v>0</v>
      </c>
      <c r="H176" s="1835">
        <v>0</v>
      </c>
      <c r="I176" s="1835">
        <v>0</v>
      </c>
      <c r="J176" s="1899">
        <v>0</v>
      </c>
      <c r="K176" s="1115">
        <v>0</v>
      </c>
      <c r="L176" s="946">
        <v>0</v>
      </c>
      <c r="M176" s="947">
        <v>0</v>
      </c>
      <c r="N176" s="947">
        <v>0</v>
      </c>
      <c r="O176" s="947">
        <v>0</v>
      </c>
      <c r="P176" s="947">
        <v>0</v>
      </c>
      <c r="Q176" s="947">
        <v>0</v>
      </c>
      <c r="R176" s="947">
        <v>0</v>
      </c>
      <c r="S176" s="946">
        <v>0</v>
      </c>
      <c r="T176" s="946">
        <v>0</v>
      </c>
      <c r="U176" s="946">
        <v>0</v>
      </c>
      <c r="V176" s="946">
        <v>0</v>
      </c>
      <c r="W176" s="1900">
        <v>0</v>
      </c>
      <c r="X176" s="1899">
        <v>0</v>
      </c>
      <c r="Y176" s="1835">
        <v>0</v>
      </c>
      <c r="Z176" s="1835">
        <v>0</v>
      </c>
      <c r="AA176" s="1835">
        <v>0</v>
      </c>
      <c r="AB176" s="1835">
        <v>0</v>
      </c>
      <c r="AC176" s="1835">
        <v>0</v>
      </c>
      <c r="AD176" s="1835">
        <v>0</v>
      </c>
      <c r="AE176" s="1835">
        <v>0</v>
      </c>
      <c r="AF176" s="1835">
        <v>0</v>
      </c>
      <c r="AG176" s="1835">
        <v>0</v>
      </c>
      <c r="AH176" s="1835">
        <v>0</v>
      </c>
      <c r="AI176" s="1835">
        <v>0</v>
      </c>
      <c r="AJ176" s="1835">
        <v>0</v>
      </c>
      <c r="AK176" s="1899">
        <v>0</v>
      </c>
      <c r="AL176" s="1901" t="s">
        <v>2271</v>
      </c>
      <c r="AM176" s="1835">
        <v>0</v>
      </c>
      <c r="AN176" s="1835">
        <v>1290142</v>
      </c>
      <c r="AO176" s="1835">
        <v>2061482</v>
      </c>
      <c r="AP176" s="1835">
        <v>2144917</v>
      </c>
      <c r="AQ176" s="948">
        <v>19603484</v>
      </c>
      <c r="AR176" s="1839" t="s">
        <v>2271</v>
      </c>
      <c r="AS176" s="1731" t="s">
        <v>1680</v>
      </c>
      <c r="AT176" s="1840" t="s">
        <v>2272</v>
      </c>
      <c r="AV176" s="1882">
        <v>0</v>
      </c>
      <c r="AW176" s="1879">
        <v>0</v>
      </c>
      <c r="AX176" s="1879">
        <v>0</v>
      </c>
      <c r="AY176" s="1879">
        <v>23809883</v>
      </c>
      <c r="AZ176" s="1879">
        <v>21748401</v>
      </c>
      <c r="BA176" s="1879">
        <v>19603484</v>
      </c>
      <c r="BB176" s="1879">
        <v>0</v>
      </c>
      <c r="BE176" s="1902"/>
      <c r="BF176" s="1902">
        <v>0</v>
      </c>
    </row>
    <row r="177" spans="1:58">
      <c r="A177" s="1749" t="s">
        <v>663</v>
      </c>
      <c r="B177" s="1147" t="s">
        <v>1681</v>
      </c>
      <c r="C177" s="1898">
        <v>77500000</v>
      </c>
      <c r="D177" s="1898">
        <v>52205495</v>
      </c>
      <c r="E177" s="1898">
        <v>25294505</v>
      </c>
      <c r="F177" s="1086">
        <v>0</v>
      </c>
      <c r="G177" s="1899">
        <v>0</v>
      </c>
      <c r="H177" s="1835">
        <v>0</v>
      </c>
      <c r="I177" s="1835">
        <v>0</v>
      </c>
      <c r="J177" s="1899">
        <v>0</v>
      </c>
      <c r="K177" s="1115">
        <v>0</v>
      </c>
      <c r="L177" s="946">
        <v>0</v>
      </c>
      <c r="M177" s="947">
        <v>0</v>
      </c>
      <c r="N177" s="947">
        <v>0</v>
      </c>
      <c r="O177" s="947">
        <v>0</v>
      </c>
      <c r="P177" s="947">
        <v>0</v>
      </c>
      <c r="Q177" s="947">
        <v>0</v>
      </c>
      <c r="R177" s="947">
        <v>0</v>
      </c>
      <c r="S177" s="946">
        <v>0</v>
      </c>
      <c r="T177" s="946">
        <v>0</v>
      </c>
      <c r="U177" s="946">
        <v>0</v>
      </c>
      <c r="V177" s="946">
        <v>0</v>
      </c>
      <c r="W177" s="1900">
        <v>0</v>
      </c>
      <c r="X177" s="1899">
        <v>0</v>
      </c>
      <c r="Y177" s="1835">
        <v>0</v>
      </c>
      <c r="Z177" s="1835">
        <v>0</v>
      </c>
      <c r="AA177" s="1835">
        <v>0</v>
      </c>
      <c r="AB177" s="1835">
        <v>0</v>
      </c>
      <c r="AC177" s="1835">
        <v>0</v>
      </c>
      <c r="AD177" s="1835">
        <v>0</v>
      </c>
      <c r="AE177" s="1835">
        <v>0</v>
      </c>
      <c r="AF177" s="1835">
        <v>0</v>
      </c>
      <c r="AG177" s="1835">
        <v>0</v>
      </c>
      <c r="AH177" s="1835">
        <v>0</v>
      </c>
      <c r="AI177" s="1835">
        <v>0</v>
      </c>
      <c r="AJ177" s="1835">
        <v>0</v>
      </c>
      <c r="AK177" s="1899">
        <v>0</v>
      </c>
      <c r="AL177" s="1901" t="s">
        <v>2271</v>
      </c>
      <c r="AM177" s="1835">
        <v>0</v>
      </c>
      <c r="AN177" s="1835">
        <v>0</v>
      </c>
      <c r="AO177" s="1835">
        <v>2026536</v>
      </c>
      <c r="AP177" s="1835">
        <v>2148886</v>
      </c>
      <c r="AQ177" s="948">
        <v>21119083</v>
      </c>
      <c r="AR177" s="1839" t="s">
        <v>2271</v>
      </c>
      <c r="AS177" s="1731" t="s">
        <v>1682</v>
      </c>
      <c r="AT177" s="1840" t="s">
        <v>2272</v>
      </c>
      <c r="AU177" s="1841"/>
      <c r="AV177" s="1882">
        <v>0</v>
      </c>
      <c r="AW177" s="1879">
        <v>0</v>
      </c>
      <c r="AX177" s="1879">
        <v>0</v>
      </c>
      <c r="AY177" s="1879">
        <v>0</v>
      </c>
      <c r="AZ177" s="1879">
        <v>23267969</v>
      </c>
      <c r="BA177" s="1879">
        <v>21119083</v>
      </c>
      <c r="BB177" s="1879">
        <v>0</v>
      </c>
      <c r="BE177" s="1772"/>
      <c r="BF177" s="1772">
        <v>0</v>
      </c>
    </row>
    <row r="178" spans="1:58">
      <c r="A178" s="1749" t="s">
        <v>665</v>
      </c>
      <c r="B178" s="1147" t="s">
        <v>1683</v>
      </c>
      <c r="C178" s="1898">
        <v>78000000</v>
      </c>
      <c r="D178" s="1898">
        <v>52560130</v>
      </c>
      <c r="E178" s="1898">
        <v>25439870</v>
      </c>
      <c r="F178" s="1903">
        <v>0</v>
      </c>
      <c r="G178" s="1899">
        <v>0</v>
      </c>
      <c r="H178" s="1835">
        <v>0</v>
      </c>
      <c r="I178" s="1835">
        <v>0</v>
      </c>
      <c r="J178" s="1899">
        <v>0</v>
      </c>
      <c r="K178" s="1115">
        <v>0</v>
      </c>
      <c r="L178" s="947">
        <v>0</v>
      </c>
      <c r="M178" s="947">
        <v>0</v>
      </c>
      <c r="N178" s="947">
        <v>0</v>
      </c>
      <c r="O178" s="947">
        <v>0</v>
      </c>
      <c r="P178" s="947">
        <v>0</v>
      </c>
      <c r="Q178" s="947">
        <v>0</v>
      </c>
      <c r="R178" s="947">
        <v>0</v>
      </c>
      <c r="S178" s="947">
        <v>0</v>
      </c>
      <c r="T178" s="947">
        <v>0</v>
      </c>
      <c r="U178" s="947">
        <v>0</v>
      </c>
      <c r="V178" s="947">
        <v>0</v>
      </c>
      <c r="W178" s="1900">
        <v>0</v>
      </c>
      <c r="X178" s="1899">
        <v>0</v>
      </c>
      <c r="Y178" s="1835">
        <v>0</v>
      </c>
      <c r="Z178" s="1835">
        <v>0</v>
      </c>
      <c r="AA178" s="1835">
        <v>0</v>
      </c>
      <c r="AB178" s="1835">
        <v>0</v>
      </c>
      <c r="AC178" s="1835">
        <v>0</v>
      </c>
      <c r="AD178" s="1835">
        <v>0</v>
      </c>
      <c r="AE178" s="1835">
        <v>0</v>
      </c>
      <c r="AF178" s="1835">
        <v>0</v>
      </c>
      <c r="AG178" s="1835">
        <v>0</v>
      </c>
      <c r="AH178" s="1835">
        <v>0</v>
      </c>
      <c r="AI178" s="1835">
        <v>0</v>
      </c>
      <c r="AJ178" s="1835">
        <v>0</v>
      </c>
      <c r="AK178" s="1899">
        <v>0</v>
      </c>
      <c r="AL178" s="1901" t="s">
        <v>2271</v>
      </c>
      <c r="AM178" s="1835">
        <v>0</v>
      </c>
      <c r="AN178" s="1835">
        <v>0</v>
      </c>
      <c r="AO178" s="1835">
        <v>0</v>
      </c>
      <c r="AP178" s="1835">
        <v>1775971</v>
      </c>
      <c r="AQ178" s="948">
        <v>23663899</v>
      </c>
      <c r="AR178" s="1839" t="s">
        <v>2271</v>
      </c>
      <c r="AS178" s="1731" t="s">
        <v>1684</v>
      </c>
      <c r="AT178" s="1840" t="s">
        <v>2272</v>
      </c>
      <c r="AU178" s="1841"/>
      <c r="AV178" s="1882">
        <v>0</v>
      </c>
      <c r="AW178" s="1879">
        <v>0</v>
      </c>
      <c r="AX178" s="1879">
        <v>0</v>
      </c>
      <c r="AY178" s="1879">
        <v>0</v>
      </c>
      <c r="AZ178" s="1879">
        <v>0</v>
      </c>
      <c r="BA178" s="1879">
        <v>23663899</v>
      </c>
      <c r="BB178" s="1879">
        <v>0</v>
      </c>
      <c r="BE178" s="1773"/>
      <c r="BF178" s="1773">
        <v>0</v>
      </c>
    </row>
    <row r="179" spans="1:58">
      <c r="A179" s="1904"/>
      <c r="B179" s="1905"/>
      <c r="C179" s="1898"/>
      <c r="D179" s="1898"/>
      <c r="E179" s="1898"/>
      <c r="F179" s="1903"/>
      <c r="G179" s="1899"/>
      <c r="H179" s="1835"/>
      <c r="I179" s="1835"/>
      <c r="J179" s="1899"/>
      <c r="K179" s="1115"/>
      <c r="L179" s="947"/>
      <c r="M179" s="947"/>
      <c r="N179" s="947"/>
      <c r="O179" s="947"/>
      <c r="P179" s="947"/>
      <c r="Q179" s="947"/>
      <c r="R179" s="947"/>
      <c r="S179" s="947"/>
      <c r="T179" s="947"/>
      <c r="U179" s="947"/>
      <c r="V179" s="947"/>
      <c r="W179" s="1900"/>
      <c r="X179" s="1906"/>
      <c r="Y179" s="1835"/>
      <c r="Z179" s="1835"/>
      <c r="AA179" s="1835"/>
      <c r="AB179" s="1835"/>
      <c r="AC179" s="1835"/>
      <c r="AD179" s="1835"/>
      <c r="AE179" s="1835"/>
      <c r="AF179" s="1835"/>
      <c r="AG179" s="1835"/>
      <c r="AH179" s="1835"/>
      <c r="AI179" s="1835"/>
      <c r="AJ179" s="1835"/>
      <c r="AK179" s="1899"/>
      <c r="AL179" s="1901"/>
      <c r="AM179" s="1835"/>
      <c r="AN179" s="1835"/>
      <c r="AO179" s="1835"/>
      <c r="AP179" s="1835"/>
      <c r="AQ179" s="948"/>
      <c r="AR179" s="1839" t="s">
        <v>2271</v>
      </c>
      <c r="AS179" s="1731"/>
      <c r="AT179" s="1840" t="s">
        <v>2272</v>
      </c>
      <c r="AU179" s="1841"/>
      <c r="AV179" s="1882"/>
      <c r="AW179" s="1879"/>
      <c r="AX179" s="1879"/>
      <c r="AY179" s="1879"/>
      <c r="AZ179" s="1879"/>
      <c r="BA179" s="1879"/>
      <c r="BB179" s="1879"/>
      <c r="BE179" s="1773"/>
      <c r="BF179" s="1773"/>
    </row>
    <row r="180" spans="1:58">
      <c r="A180" s="1904"/>
      <c r="B180" s="1907"/>
      <c r="C180" s="1898"/>
      <c r="D180" s="1898"/>
      <c r="E180" s="1898"/>
      <c r="F180" s="1903"/>
      <c r="G180" s="1899"/>
      <c r="H180" s="1835"/>
      <c r="I180" s="1835"/>
      <c r="J180" s="1899"/>
      <c r="K180" s="1115"/>
      <c r="L180" s="947"/>
      <c r="M180" s="947"/>
      <c r="N180" s="947"/>
      <c r="O180" s="947"/>
      <c r="P180" s="947"/>
      <c r="Q180" s="947"/>
      <c r="R180" s="947"/>
      <c r="S180" s="947"/>
      <c r="T180" s="947"/>
      <c r="U180" s="947"/>
      <c r="V180" s="947"/>
      <c r="W180" s="1900"/>
      <c r="X180" s="1906"/>
      <c r="Y180" s="1835"/>
      <c r="Z180" s="1835"/>
      <c r="AA180" s="1835"/>
      <c r="AB180" s="1835"/>
      <c r="AC180" s="1835"/>
      <c r="AD180" s="1835"/>
      <c r="AE180" s="1835"/>
      <c r="AF180" s="1835"/>
      <c r="AG180" s="1835"/>
      <c r="AH180" s="1835"/>
      <c r="AI180" s="1835"/>
      <c r="AJ180" s="1835"/>
      <c r="AK180" s="1899"/>
      <c r="AL180" s="1901"/>
      <c r="AM180" s="1835"/>
      <c r="AN180" s="1835"/>
      <c r="AO180" s="1835"/>
      <c r="AP180" s="1835"/>
      <c r="AQ180" s="948"/>
      <c r="AR180" s="1839" t="s">
        <v>2271</v>
      </c>
      <c r="AS180" s="1731"/>
      <c r="AT180" s="1840" t="s">
        <v>2272</v>
      </c>
      <c r="AU180" s="1841"/>
      <c r="AV180" s="1882"/>
      <c r="AW180" s="1879"/>
      <c r="AX180" s="1879"/>
      <c r="AY180" s="1879"/>
      <c r="AZ180" s="1879"/>
      <c r="BA180" s="1879"/>
      <c r="BB180" s="1879"/>
      <c r="BE180" s="1773"/>
      <c r="BF180" s="1773"/>
    </row>
    <row r="181" spans="1:58">
      <c r="A181" s="1908"/>
      <c r="B181" s="1908" t="s">
        <v>1698</v>
      </c>
      <c r="C181" s="1909">
        <v>328961593</v>
      </c>
      <c r="D181" s="1909">
        <v>230056122</v>
      </c>
      <c r="E181" s="1909">
        <v>98905471</v>
      </c>
      <c r="F181" s="1909">
        <v>24924529</v>
      </c>
      <c r="G181" s="1909">
        <v>10546620</v>
      </c>
      <c r="H181" s="1909">
        <v>442238</v>
      </c>
      <c r="I181" s="1909">
        <v>-425780</v>
      </c>
      <c r="J181" s="1909">
        <v>-8104522</v>
      </c>
      <c r="K181" s="1910">
        <v>-619220</v>
      </c>
      <c r="L181" s="1909">
        <v>11410</v>
      </c>
      <c r="M181" s="1911">
        <v>521516</v>
      </c>
      <c r="N181" s="1911">
        <v>495041</v>
      </c>
      <c r="O181" s="1911">
        <v>322007</v>
      </c>
      <c r="P181" s="1911">
        <v>-1167953</v>
      </c>
      <c r="Q181" s="1911">
        <v>-430819</v>
      </c>
      <c r="R181" s="1911">
        <v>442238</v>
      </c>
      <c r="S181" s="1909">
        <v>799146</v>
      </c>
      <c r="T181" s="1909">
        <v>-745472</v>
      </c>
      <c r="U181" s="1909">
        <v>839814</v>
      </c>
      <c r="V181" s="1909">
        <v>-8572230</v>
      </c>
      <c r="W181" s="1912">
        <v>16820007</v>
      </c>
      <c r="X181" s="1912">
        <v>12082567</v>
      </c>
      <c r="Y181" s="1912">
        <v>1045678</v>
      </c>
      <c r="Z181" s="1912">
        <v>677507</v>
      </c>
      <c r="AA181" s="1912">
        <v>925734</v>
      </c>
      <c r="AB181" s="1912">
        <v>664510</v>
      </c>
      <c r="AC181" s="1912">
        <v>658765</v>
      </c>
      <c r="AD181" s="1912">
        <v>785863</v>
      </c>
      <c r="AE181" s="1912">
        <v>673833</v>
      </c>
      <c r="AF181" s="1912">
        <v>-33695</v>
      </c>
      <c r="AG181" s="1912">
        <v>-182108</v>
      </c>
      <c r="AH181" s="1912">
        <v>2301715</v>
      </c>
      <c r="AI181" s="1912">
        <v>735443</v>
      </c>
      <c r="AJ181" s="1912">
        <v>3829322</v>
      </c>
      <c r="AK181" s="1909">
        <v>28902574</v>
      </c>
      <c r="AL181" s="1909"/>
      <c r="AM181" s="1913">
        <v>11775667</v>
      </c>
      <c r="AN181" s="1909">
        <v>14084216</v>
      </c>
      <c r="AO181" s="1909">
        <v>14217786</v>
      </c>
      <c r="AP181" s="1909">
        <v>15590198</v>
      </c>
      <c r="AQ181" s="1909">
        <v>118905374</v>
      </c>
      <c r="AR181" s="1914"/>
      <c r="AS181" s="1914"/>
      <c r="AT181" s="1914"/>
      <c r="AV181" s="1909">
        <v>46380237</v>
      </c>
      <c r="AW181" s="1909">
        <v>71218765</v>
      </c>
      <c r="AX181" s="1909">
        <v>84959743</v>
      </c>
      <c r="AY181" s="1909">
        <v>96818323</v>
      </c>
      <c r="AZ181" s="1909">
        <v>109175702</v>
      </c>
      <c r="BA181" s="1909">
        <v>118965374</v>
      </c>
      <c r="BB181" s="1909">
        <v>0</v>
      </c>
      <c r="BD181" s="889" t="s">
        <v>1685</v>
      </c>
      <c r="BE181" s="1843">
        <v>10546620</v>
      </c>
      <c r="BF181" s="1767">
        <v>1535947</v>
      </c>
    </row>
    <row r="182" spans="1:58" s="971" customFormat="1">
      <c r="A182" s="1719" t="s">
        <v>667</v>
      </c>
      <c r="B182" s="963" t="s">
        <v>1334</v>
      </c>
      <c r="C182" s="993">
        <v>11112000</v>
      </c>
      <c r="D182" s="993">
        <v>7070420</v>
      </c>
      <c r="E182" s="993">
        <v>4041580</v>
      </c>
      <c r="F182" s="1883">
        <v>4041580</v>
      </c>
      <c r="G182" s="1884">
        <v>0</v>
      </c>
      <c r="H182" s="967">
        <v>0</v>
      </c>
      <c r="I182" s="967">
        <v>0</v>
      </c>
      <c r="J182" s="1884">
        <v>0</v>
      </c>
      <c r="K182" s="967">
        <v>0</v>
      </c>
      <c r="L182" s="967">
        <v>0</v>
      </c>
      <c r="M182" s="967">
        <v>0</v>
      </c>
      <c r="N182" s="967">
        <v>0</v>
      </c>
      <c r="O182" s="967">
        <v>0</v>
      </c>
      <c r="P182" s="967">
        <v>0</v>
      </c>
      <c r="Q182" s="967">
        <v>0</v>
      </c>
      <c r="R182" s="967">
        <v>0</v>
      </c>
      <c r="S182" s="967">
        <v>0</v>
      </c>
      <c r="T182" s="967">
        <v>0</v>
      </c>
      <c r="U182" s="967">
        <v>0</v>
      </c>
      <c r="V182" s="967">
        <v>0</v>
      </c>
      <c r="W182" s="1915">
        <v>4041580</v>
      </c>
      <c r="X182" s="1884">
        <v>0</v>
      </c>
      <c r="Y182" s="967">
        <v>0</v>
      </c>
      <c r="Z182" s="967">
        <v>0</v>
      </c>
      <c r="AA182" s="967">
        <v>0</v>
      </c>
      <c r="AB182" s="967">
        <v>0</v>
      </c>
      <c r="AC182" s="967">
        <v>0</v>
      </c>
      <c r="AD182" s="967">
        <v>0</v>
      </c>
      <c r="AE182" s="967">
        <v>0</v>
      </c>
      <c r="AF182" s="967">
        <v>0</v>
      </c>
      <c r="AG182" s="967">
        <v>0</v>
      </c>
      <c r="AH182" s="967">
        <v>0</v>
      </c>
      <c r="AI182" s="967">
        <v>0</v>
      </c>
      <c r="AJ182" s="967">
        <v>0</v>
      </c>
      <c r="AK182" s="1884">
        <v>4041580</v>
      </c>
      <c r="AL182" s="1886" t="s">
        <v>1314</v>
      </c>
      <c r="AM182" s="967">
        <v>0</v>
      </c>
      <c r="AN182" s="967">
        <v>0</v>
      </c>
      <c r="AO182" s="967">
        <v>0</v>
      </c>
      <c r="AP182" s="967">
        <v>0</v>
      </c>
      <c r="AQ182" s="967">
        <v>0</v>
      </c>
      <c r="AR182" s="1720" t="s">
        <v>1314</v>
      </c>
      <c r="AS182" s="1768" t="s">
        <v>2248</v>
      </c>
      <c r="AT182" s="1722" t="s">
        <v>2234</v>
      </c>
      <c r="AU182" s="1103"/>
      <c r="AV182" s="1887">
        <v>0</v>
      </c>
      <c r="AW182" s="1884">
        <v>0</v>
      </c>
      <c r="AX182" s="1884">
        <v>0</v>
      </c>
      <c r="AY182" s="1884">
        <v>0</v>
      </c>
      <c r="AZ182" s="1884">
        <v>0</v>
      </c>
      <c r="BA182" s="1884">
        <v>0</v>
      </c>
      <c r="BB182" s="1884">
        <v>0</v>
      </c>
      <c r="BE182" s="1724">
        <v>0</v>
      </c>
      <c r="BF182" s="1724">
        <v>0</v>
      </c>
    </row>
    <row r="183" spans="1:58">
      <c r="A183" s="1726" t="s">
        <v>668</v>
      </c>
      <c r="B183" s="1009" t="s">
        <v>2298</v>
      </c>
      <c r="C183" s="1011">
        <v>7820000</v>
      </c>
      <c r="D183" s="1011">
        <v>8635953</v>
      </c>
      <c r="E183" s="1011">
        <v>-815953</v>
      </c>
      <c r="F183" s="1916">
        <v>-46809</v>
      </c>
      <c r="G183" s="1917">
        <v>106560</v>
      </c>
      <c r="H183" s="946">
        <v>65863</v>
      </c>
      <c r="I183" s="946">
        <v>-421704</v>
      </c>
      <c r="J183" s="1917">
        <v>-769144</v>
      </c>
      <c r="K183" s="1115">
        <v>-192504</v>
      </c>
      <c r="L183" s="947">
        <v>-57483</v>
      </c>
      <c r="M183" s="947">
        <v>-59287</v>
      </c>
      <c r="N183" s="947">
        <v>-48140</v>
      </c>
      <c r="O183" s="947">
        <v>-25173</v>
      </c>
      <c r="P183" s="947">
        <v>-65990</v>
      </c>
      <c r="Q183" s="947">
        <v>-38990</v>
      </c>
      <c r="R183" s="947">
        <v>65863</v>
      </c>
      <c r="S183" s="946">
        <v>-44387</v>
      </c>
      <c r="T183" s="946">
        <v>-47103</v>
      </c>
      <c r="U183" s="946">
        <v>31083</v>
      </c>
      <c r="V183" s="946">
        <v>-287033</v>
      </c>
      <c r="W183" s="1918">
        <v>-815953</v>
      </c>
      <c r="X183" s="1917">
        <v>0</v>
      </c>
      <c r="Y183" s="946">
        <v>0</v>
      </c>
      <c r="Z183" s="946">
        <v>0</v>
      </c>
      <c r="AA183" s="946">
        <v>0</v>
      </c>
      <c r="AB183" s="946">
        <v>0</v>
      </c>
      <c r="AC183" s="946">
        <v>0</v>
      </c>
      <c r="AD183" s="946">
        <v>0</v>
      </c>
      <c r="AE183" s="946">
        <v>0</v>
      </c>
      <c r="AF183" s="946">
        <v>0</v>
      </c>
      <c r="AG183" s="946">
        <v>0</v>
      </c>
      <c r="AH183" s="946">
        <v>0</v>
      </c>
      <c r="AI183" s="946">
        <v>0</v>
      </c>
      <c r="AJ183" s="946">
        <v>0</v>
      </c>
      <c r="AK183" s="1917">
        <v>-815953</v>
      </c>
      <c r="AL183" s="1919" t="s">
        <v>1318</v>
      </c>
      <c r="AM183" s="946">
        <v>0</v>
      </c>
      <c r="AN183" s="946">
        <v>0</v>
      </c>
      <c r="AO183" s="946">
        <v>0</v>
      </c>
      <c r="AP183" s="946">
        <v>0</v>
      </c>
      <c r="AQ183" s="948">
        <v>0</v>
      </c>
      <c r="AR183" s="1727" t="s">
        <v>1318</v>
      </c>
      <c r="AS183" s="1727" t="s">
        <v>1196</v>
      </c>
      <c r="AT183" s="1728" t="s">
        <v>2235</v>
      </c>
      <c r="AU183" s="956"/>
      <c r="AV183" s="1882">
        <v>0</v>
      </c>
      <c r="AW183" s="1879">
        <v>0</v>
      </c>
      <c r="AX183" s="1879">
        <v>0</v>
      </c>
      <c r="AY183" s="1879">
        <v>0</v>
      </c>
      <c r="AZ183" s="1879">
        <v>0</v>
      </c>
      <c r="BA183" s="1879">
        <v>0</v>
      </c>
      <c r="BB183" s="1879">
        <v>0</v>
      </c>
      <c r="BE183" s="1729">
        <v>106560</v>
      </c>
      <c r="BF183" s="1718">
        <v>-106560</v>
      </c>
    </row>
    <row r="184" spans="1:58">
      <c r="A184" s="1726" t="s">
        <v>670</v>
      </c>
      <c r="B184" s="1009" t="s">
        <v>2299</v>
      </c>
      <c r="C184" s="1011">
        <v>4030000</v>
      </c>
      <c r="D184" s="1011">
        <v>2390732</v>
      </c>
      <c r="E184" s="1011">
        <v>1639268</v>
      </c>
      <c r="F184" s="1916">
        <v>1858188</v>
      </c>
      <c r="G184" s="1917">
        <v>-134891</v>
      </c>
      <c r="H184" s="946">
        <v>-27951</v>
      </c>
      <c r="I184" s="946">
        <v>-49515</v>
      </c>
      <c r="J184" s="1917">
        <v>-317029</v>
      </c>
      <c r="K184" s="1115">
        <v>-45389</v>
      </c>
      <c r="L184" s="947">
        <v>48555</v>
      </c>
      <c r="M184" s="947">
        <v>-35304</v>
      </c>
      <c r="N184" s="947">
        <v>115395</v>
      </c>
      <c r="O184" s="947">
        <v>-40775</v>
      </c>
      <c r="P184" s="947">
        <v>4736</v>
      </c>
      <c r="Q184" s="947">
        <v>-68782</v>
      </c>
      <c r="R184" s="947">
        <v>-27951</v>
      </c>
      <c r="S184" s="946">
        <v>-22837</v>
      </c>
      <c r="T184" s="946">
        <v>35458</v>
      </c>
      <c r="U184" s="946">
        <v>-30955</v>
      </c>
      <c r="V184" s="946">
        <v>-249180</v>
      </c>
      <c r="W184" s="1918">
        <v>1541159</v>
      </c>
      <c r="X184" s="1917">
        <v>55719</v>
      </c>
      <c r="Y184" s="946">
        <v>20941</v>
      </c>
      <c r="Z184" s="946">
        <v>11490</v>
      </c>
      <c r="AA184" s="946">
        <v>23288</v>
      </c>
      <c r="AB184" s="946">
        <v>0</v>
      </c>
      <c r="AC184" s="946">
        <v>0</v>
      </c>
      <c r="AD184" s="946">
        <v>0</v>
      </c>
      <c r="AE184" s="946">
        <v>0</v>
      </c>
      <c r="AF184" s="946">
        <v>0</v>
      </c>
      <c r="AG184" s="946">
        <v>0</v>
      </c>
      <c r="AH184" s="946">
        <v>0</v>
      </c>
      <c r="AI184" s="946">
        <v>0</v>
      </c>
      <c r="AJ184" s="946">
        <v>0</v>
      </c>
      <c r="AK184" s="1917">
        <v>1596878</v>
      </c>
      <c r="AL184" s="1919" t="s">
        <v>1318</v>
      </c>
      <c r="AM184" s="946">
        <v>0</v>
      </c>
      <c r="AN184" s="946">
        <v>0</v>
      </c>
      <c r="AO184" s="946">
        <v>0</v>
      </c>
      <c r="AP184" s="946">
        <v>0</v>
      </c>
      <c r="AQ184" s="948">
        <v>42390</v>
      </c>
      <c r="AR184" s="1727" t="s">
        <v>1318</v>
      </c>
      <c r="AS184" s="1727" t="s">
        <v>1196</v>
      </c>
      <c r="AT184" s="1728" t="s">
        <v>2235</v>
      </c>
      <c r="AU184" s="956"/>
      <c r="AV184" s="1882">
        <v>98109</v>
      </c>
      <c r="AW184" s="1879">
        <v>42390</v>
      </c>
      <c r="AX184" s="1879">
        <v>42390</v>
      </c>
      <c r="AY184" s="1879">
        <v>42390</v>
      </c>
      <c r="AZ184" s="1879">
        <v>42390</v>
      </c>
      <c r="BA184" s="1879">
        <v>42390</v>
      </c>
      <c r="BB184" s="1879">
        <v>0</v>
      </c>
      <c r="BE184" s="1729">
        <v>-134891</v>
      </c>
      <c r="BF184" s="1718">
        <v>190610</v>
      </c>
    </row>
    <row r="185" spans="1:58" s="971" customFormat="1">
      <c r="A185" s="1719" t="s">
        <v>672</v>
      </c>
      <c r="B185" s="963" t="s">
        <v>1337</v>
      </c>
      <c r="C185" s="993">
        <v>5150000</v>
      </c>
      <c r="D185" s="993">
        <v>3686233</v>
      </c>
      <c r="E185" s="993">
        <v>1463767</v>
      </c>
      <c r="F185" s="1883">
        <v>537600</v>
      </c>
      <c r="G185" s="1884">
        <v>234502</v>
      </c>
      <c r="H185" s="967">
        <v>-2086</v>
      </c>
      <c r="I185" s="967">
        <v>-43188</v>
      </c>
      <c r="J185" s="1884">
        <v>-378177</v>
      </c>
      <c r="K185" s="967">
        <v>-975</v>
      </c>
      <c r="L185" s="967">
        <v>-30816</v>
      </c>
      <c r="M185" s="967">
        <v>-1746</v>
      </c>
      <c r="N185" s="967">
        <v>-1257</v>
      </c>
      <c r="O185" s="967">
        <v>-1257</v>
      </c>
      <c r="P185" s="967">
        <v>-3858</v>
      </c>
      <c r="Q185" s="967">
        <v>-1193</v>
      </c>
      <c r="R185" s="967">
        <v>-2086</v>
      </c>
      <c r="S185" s="967">
        <v>-4997</v>
      </c>
      <c r="T185" s="967">
        <v>-4561</v>
      </c>
      <c r="U185" s="967">
        <v>-4561</v>
      </c>
      <c r="V185" s="967">
        <v>-320870</v>
      </c>
      <c r="W185" s="1915">
        <v>159423</v>
      </c>
      <c r="X185" s="1884">
        <v>576972</v>
      </c>
      <c r="Y185" s="967">
        <v>43957</v>
      </c>
      <c r="Z185" s="967">
        <v>31161</v>
      </c>
      <c r="AA185" s="967">
        <v>54099</v>
      </c>
      <c r="AB185" s="967">
        <v>45483</v>
      </c>
      <c r="AC185" s="967">
        <v>57516</v>
      </c>
      <c r="AD185" s="967">
        <v>49900</v>
      </c>
      <c r="AE185" s="967">
        <v>48147</v>
      </c>
      <c r="AF185" s="967">
        <v>48483</v>
      </c>
      <c r="AG185" s="967">
        <v>44279</v>
      </c>
      <c r="AH185" s="967">
        <v>47413</v>
      </c>
      <c r="AI185" s="967">
        <v>47925</v>
      </c>
      <c r="AJ185" s="967">
        <v>58609</v>
      </c>
      <c r="AK185" s="1884">
        <v>736395</v>
      </c>
      <c r="AL185" s="1886" t="s">
        <v>1314</v>
      </c>
      <c r="AM185" s="967">
        <v>214538</v>
      </c>
      <c r="AN185" s="967">
        <v>274384</v>
      </c>
      <c r="AO185" s="967">
        <v>0</v>
      </c>
      <c r="AP185" s="967">
        <v>0</v>
      </c>
      <c r="AQ185" s="967">
        <v>238450</v>
      </c>
      <c r="AR185" s="1720" t="s">
        <v>1314</v>
      </c>
      <c r="AS185" s="1768" t="s">
        <v>2248</v>
      </c>
      <c r="AT185" s="1722" t="s">
        <v>2234</v>
      </c>
      <c r="AU185" s="1103"/>
      <c r="AV185" s="1887">
        <v>1304344</v>
      </c>
      <c r="AW185" s="1884">
        <v>727372</v>
      </c>
      <c r="AX185" s="1884">
        <v>512834</v>
      </c>
      <c r="AY185" s="1884">
        <v>238450</v>
      </c>
      <c r="AZ185" s="1884">
        <v>238450</v>
      </c>
      <c r="BA185" s="1884">
        <v>238450</v>
      </c>
      <c r="BB185" s="1884">
        <v>0</v>
      </c>
      <c r="BE185" s="1724">
        <v>234502</v>
      </c>
      <c r="BF185" s="1724">
        <v>342470</v>
      </c>
    </row>
    <row r="186" spans="1:58">
      <c r="A186" s="1120" t="s">
        <v>673</v>
      </c>
      <c r="B186" s="751" t="s">
        <v>2274</v>
      </c>
      <c r="C186" s="991">
        <v>19200000</v>
      </c>
      <c r="D186" s="991">
        <v>12357744</v>
      </c>
      <c r="E186" s="991">
        <v>6842256</v>
      </c>
      <c r="F186" s="1916">
        <v>4542629</v>
      </c>
      <c r="G186" s="1879">
        <v>1382413</v>
      </c>
      <c r="H186" s="948">
        <v>152163</v>
      </c>
      <c r="I186" s="948">
        <v>1111255</v>
      </c>
      <c r="J186" s="1879">
        <v>745848</v>
      </c>
      <c r="K186" s="1115">
        <v>919068</v>
      </c>
      <c r="L186" s="947">
        <v>-773018</v>
      </c>
      <c r="M186" s="947">
        <v>119093</v>
      </c>
      <c r="N186" s="947">
        <v>191297</v>
      </c>
      <c r="O186" s="947">
        <v>187193</v>
      </c>
      <c r="P186" s="947">
        <v>142143</v>
      </c>
      <c r="Q186" s="947">
        <v>173316</v>
      </c>
      <c r="R186" s="947">
        <v>152163</v>
      </c>
      <c r="S186" s="946">
        <v>111437</v>
      </c>
      <c r="T186" s="946">
        <v>-22687</v>
      </c>
      <c r="U186" s="946">
        <v>573472</v>
      </c>
      <c r="V186" s="946">
        <v>-1027629</v>
      </c>
      <c r="W186" s="1920">
        <v>5288477</v>
      </c>
      <c r="X186" s="1879">
        <v>984795</v>
      </c>
      <c r="Y186" s="948">
        <v>67114</v>
      </c>
      <c r="Z186" s="948">
        <v>43819</v>
      </c>
      <c r="AA186" s="948">
        <v>88358</v>
      </c>
      <c r="AB186" s="948">
        <v>69531</v>
      </c>
      <c r="AC186" s="948">
        <v>80585</v>
      </c>
      <c r="AD186" s="948">
        <v>69967</v>
      </c>
      <c r="AE186" s="948">
        <v>67521</v>
      </c>
      <c r="AF186" s="948">
        <v>68029</v>
      </c>
      <c r="AG186" s="948">
        <v>62166</v>
      </c>
      <c r="AH186" s="948">
        <v>138171</v>
      </c>
      <c r="AI186" s="948">
        <v>109452</v>
      </c>
      <c r="AJ186" s="948">
        <v>120082</v>
      </c>
      <c r="AK186" s="1879">
        <v>6273272</v>
      </c>
      <c r="AL186" s="1881" t="s">
        <v>1308</v>
      </c>
      <c r="AM186" s="948">
        <v>379288</v>
      </c>
      <c r="AN186" s="948">
        <v>0</v>
      </c>
      <c r="AO186" s="948">
        <v>0</v>
      </c>
      <c r="AP186" s="948">
        <v>0</v>
      </c>
      <c r="AQ186" s="948">
        <v>189696</v>
      </c>
      <c r="AR186" s="1714" t="s">
        <v>1308</v>
      </c>
      <c r="AS186" s="1714" t="s">
        <v>1196</v>
      </c>
      <c r="AT186" s="949" t="s">
        <v>2232</v>
      </c>
      <c r="AU186" s="956"/>
      <c r="AV186" s="1882">
        <v>1553779</v>
      </c>
      <c r="AW186" s="1879">
        <v>568984</v>
      </c>
      <c r="AX186" s="1879">
        <v>189696</v>
      </c>
      <c r="AY186" s="1879">
        <v>189696</v>
      </c>
      <c r="AZ186" s="1879">
        <v>189696</v>
      </c>
      <c r="BA186" s="1879">
        <v>189696</v>
      </c>
      <c r="BB186" s="1879">
        <v>0</v>
      </c>
      <c r="BE186" s="1718">
        <v>1382413</v>
      </c>
      <c r="BF186" s="1718">
        <v>-397618</v>
      </c>
    </row>
    <row r="187" spans="1:58">
      <c r="A187" s="1120" t="s">
        <v>675</v>
      </c>
      <c r="B187" s="751" t="s">
        <v>2275</v>
      </c>
      <c r="C187" s="991">
        <v>4940000</v>
      </c>
      <c r="D187" s="991">
        <v>3200000</v>
      </c>
      <c r="E187" s="991">
        <v>1740000</v>
      </c>
      <c r="F187" s="1916">
        <v>1680105</v>
      </c>
      <c r="G187" s="1879">
        <v>420104</v>
      </c>
      <c r="H187" s="948">
        <v>31132</v>
      </c>
      <c r="I187" s="948">
        <v>100239</v>
      </c>
      <c r="J187" s="1879">
        <v>-88839</v>
      </c>
      <c r="K187" s="1115">
        <v>-61275</v>
      </c>
      <c r="L187" s="947">
        <v>-81764</v>
      </c>
      <c r="M187" s="947">
        <v>15904</v>
      </c>
      <c r="N187" s="947">
        <v>75814</v>
      </c>
      <c r="O187" s="947">
        <v>75750</v>
      </c>
      <c r="P187" s="947">
        <v>-4968</v>
      </c>
      <c r="Q187" s="947">
        <v>49646</v>
      </c>
      <c r="R187" s="947">
        <v>31132</v>
      </c>
      <c r="S187" s="946">
        <v>40796</v>
      </c>
      <c r="T187" s="946">
        <v>191232</v>
      </c>
      <c r="U187" s="946">
        <v>36522</v>
      </c>
      <c r="V187" s="946">
        <v>-457628</v>
      </c>
      <c r="W187" s="1920">
        <v>1591266</v>
      </c>
      <c r="X187" s="1879">
        <v>3951</v>
      </c>
      <c r="Y187" s="948">
        <v>547</v>
      </c>
      <c r="Z187" s="948">
        <v>547</v>
      </c>
      <c r="AA187" s="948">
        <v>571</v>
      </c>
      <c r="AB187" s="948">
        <v>572</v>
      </c>
      <c r="AC187" s="948">
        <v>571</v>
      </c>
      <c r="AD187" s="948">
        <v>572</v>
      </c>
      <c r="AE187" s="948">
        <v>571</v>
      </c>
      <c r="AF187" s="948">
        <v>0</v>
      </c>
      <c r="AG187" s="948">
        <v>0</v>
      </c>
      <c r="AH187" s="948">
        <v>0</v>
      </c>
      <c r="AI187" s="948">
        <v>0</v>
      </c>
      <c r="AJ187" s="948">
        <v>0</v>
      </c>
      <c r="AK187" s="1879">
        <v>1595217</v>
      </c>
      <c r="AL187" s="1881" t="s">
        <v>1308</v>
      </c>
      <c r="AM187" s="948">
        <v>0</v>
      </c>
      <c r="AN187" s="948">
        <v>0</v>
      </c>
      <c r="AO187" s="948">
        <v>0</v>
      </c>
      <c r="AP187" s="948">
        <v>0</v>
      </c>
      <c r="AQ187" s="948">
        <v>144783</v>
      </c>
      <c r="AR187" s="1714" t="s">
        <v>2108</v>
      </c>
      <c r="AS187" s="1714" t="s">
        <v>1196</v>
      </c>
      <c r="AT187" s="949" t="s">
        <v>2232</v>
      </c>
      <c r="AU187" s="956"/>
      <c r="AV187" s="1882">
        <v>148734</v>
      </c>
      <c r="AW187" s="1879">
        <v>144783</v>
      </c>
      <c r="AX187" s="1879">
        <v>144783</v>
      </c>
      <c r="AY187" s="1879">
        <v>144783</v>
      </c>
      <c r="AZ187" s="1879">
        <v>144783</v>
      </c>
      <c r="BA187" s="1879">
        <v>144783</v>
      </c>
      <c r="BB187" s="1879">
        <v>0</v>
      </c>
      <c r="BE187" s="1718">
        <v>420104</v>
      </c>
      <c r="BF187" s="1718">
        <v>-416153</v>
      </c>
    </row>
    <row r="188" spans="1:58">
      <c r="A188" s="1120" t="s">
        <v>677</v>
      </c>
      <c r="B188" s="751" t="s">
        <v>1340</v>
      </c>
      <c r="C188" s="991">
        <v>31186000</v>
      </c>
      <c r="D188" s="991">
        <v>16578194</v>
      </c>
      <c r="E188" s="991">
        <v>14607806</v>
      </c>
      <c r="F188" s="1916">
        <v>10372305</v>
      </c>
      <c r="G188" s="1879">
        <v>2266901</v>
      </c>
      <c r="H188" s="948">
        <v>537341</v>
      </c>
      <c r="I188" s="948">
        <v>4584786</v>
      </c>
      <c r="J188" s="1879">
        <v>3129071</v>
      </c>
      <c r="K188" s="1115">
        <v>476980</v>
      </c>
      <c r="L188" s="947">
        <v>612115</v>
      </c>
      <c r="M188" s="947">
        <v>497478</v>
      </c>
      <c r="N188" s="947">
        <v>550228</v>
      </c>
      <c r="O188" s="947">
        <v>921250</v>
      </c>
      <c r="P188" s="947">
        <v>455966</v>
      </c>
      <c r="Q188" s="947">
        <v>533428</v>
      </c>
      <c r="R188" s="947">
        <v>537341</v>
      </c>
      <c r="S188" s="946">
        <v>577662</v>
      </c>
      <c r="T188" s="946">
        <v>-587</v>
      </c>
      <c r="U188" s="946">
        <v>-24139</v>
      </c>
      <c r="V188" s="946">
        <v>-2008651</v>
      </c>
      <c r="W188" s="1920">
        <v>13501376</v>
      </c>
      <c r="X188" s="1879">
        <v>821699</v>
      </c>
      <c r="Y188" s="948">
        <v>284243</v>
      </c>
      <c r="Z188" s="948">
        <v>132531</v>
      </c>
      <c r="AA188" s="948">
        <v>241328</v>
      </c>
      <c r="AB188" s="948">
        <v>57547</v>
      </c>
      <c r="AC188" s="948">
        <v>56489</v>
      </c>
      <c r="AD188" s="948">
        <v>29521</v>
      </c>
      <c r="AE188" s="948">
        <v>3087</v>
      </c>
      <c r="AF188" s="948">
        <v>3391</v>
      </c>
      <c r="AG188" s="948">
        <v>3390</v>
      </c>
      <c r="AH188" s="948">
        <v>3391</v>
      </c>
      <c r="AI188" s="948">
        <v>3391</v>
      </c>
      <c r="AJ188" s="948">
        <v>3390</v>
      </c>
      <c r="AK188" s="1879">
        <v>14323075</v>
      </c>
      <c r="AL188" s="1881" t="s">
        <v>1308</v>
      </c>
      <c r="AM188" s="948">
        <v>76415</v>
      </c>
      <c r="AN188" s="948">
        <v>0</v>
      </c>
      <c r="AO188" s="948">
        <v>0</v>
      </c>
      <c r="AP188" s="948">
        <v>0</v>
      </c>
      <c r="AQ188" s="948">
        <v>208316</v>
      </c>
      <c r="AR188" s="1714" t="s">
        <v>1308</v>
      </c>
      <c r="AS188" s="1714" t="s">
        <v>1196</v>
      </c>
      <c r="AT188" s="949" t="s">
        <v>2232</v>
      </c>
      <c r="AU188" s="956"/>
      <c r="AV188" s="1882">
        <v>1106430</v>
      </c>
      <c r="AW188" s="1879">
        <v>284731</v>
      </c>
      <c r="AX188" s="1879">
        <v>208316</v>
      </c>
      <c r="AY188" s="1879">
        <v>208316</v>
      </c>
      <c r="AZ188" s="1879">
        <v>208316</v>
      </c>
      <c r="BA188" s="1879">
        <v>208316</v>
      </c>
      <c r="BB188" s="1879">
        <v>0</v>
      </c>
      <c r="BE188" s="1718">
        <v>2266901</v>
      </c>
      <c r="BF188" s="1718">
        <v>-1445202</v>
      </c>
    </row>
    <row r="189" spans="1:58">
      <c r="A189" s="1120" t="s">
        <v>678</v>
      </c>
      <c r="B189" s="751" t="s">
        <v>1341</v>
      </c>
      <c r="C189" s="991">
        <v>2200000</v>
      </c>
      <c r="D189" s="991">
        <v>1681852</v>
      </c>
      <c r="E189" s="991">
        <v>518148</v>
      </c>
      <c r="F189" s="1916">
        <v>682337</v>
      </c>
      <c r="G189" s="1879">
        <v>-15126</v>
      </c>
      <c r="H189" s="948">
        <v>-23545</v>
      </c>
      <c r="I189" s="948">
        <v>-164189</v>
      </c>
      <c r="J189" s="1879">
        <v>-164189</v>
      </c>
      <c r="K189" s="1115">
        <v>-16786</v>
      </c>
      <c r="L189" s="947">
        <v>-20084</v>
      </c>
      <c r="M189" s="947">
        <v>-3597</v>
      </c>
      <c r="N189" s="947">
        <v>-2398</v>
      </c>
      <c r="O189" s="947">
        <v>-26397</v>
      </c>
      <c r="P189" s="947">
        <v>-42272</v>
      </c>
      <c r="Q189" s="947">
        <v>-29110</v>
      </c>
      <c r="R189" s="947">
        <v>-23545</v>
      </c>
      <c r="S189" s="946">
        <v>0</v>
      </c>
      <c r="T189" s="946">
        <v>0</v>
      </c>
      <c r="U189" s="946">
        <v>0</v>
      </c>
      <c r="V189" s="946">
        <v>0</v>
      </c>
      <c r="W189" s="1920">
        <v>518148</v>
      </c>
      <c r="X189" s="1879">
        <v>0</v>
      </c>
      <c r="Y189" s="948">
        <v>0</v>
      </c>
      <c r="Z189" s="948">
        <v>0</v>
      </c>
      <c r="AA189" s="948">
        <v>0</v>
      </c>
      <c r="AB189" s="948">
        <v>0</v>
      </c>
      <c r="AC189" s="948">
        <v>0</v>
      </c>
      <c r="AD189" s="948">
        <v>0</v>
      </c>
      <c r="AE189" s="948">
        <v>0</v>
      </c>
      <c r="AF189" s="948">
        <v>0</v>
      </c>
      <c r="AG189" s="948">
        <v>0</v>
      </c>
      <c r="AH189" s="948">
        <v>0</v>
      </c>
      <c r="AI189" s="948">
        <v>0</v>
      </c>
      <c r="AJ189" s="948">
        <v>0</v>
      </c>
      <c r="AK189" s="1879">
        <v>518148</v>
      </c>
      <c r="AL189" s="1881" t="s">
        <v>1308</v>
      </c>
      <c r="AM189" s="948">
        <v>0</v>
      </c>
      <c r="AN189" s="948">
        <v>0</v>
      </c>
      <c r="AO189" s="948">
        <v>0</v>
      </c>
      <c r="AP189" s="948">
        <v>0</v>
      </c>
      <c r="AQ189" s="948">
        <v>0</v>
      </c>
      <c r="AR189" s="1714" t="s">
        <v>1308</v>
      </c>
      <c r="AS189" s="1714" t="s">
        <v>1196</v>
      </c>
      <c r="AT189" s="949" t="s">
        <v>2232</v>
      </c>
      <c r="AU189" s="956"/>
      <c r="AV189" s="1882">
        <v>0</v>
      </c>
      <c r="AW189" s="1879">
        <v>0</v>
      </c>
      <c r="AX189" s="1879">
        <v>0</v>
      </c>
      <c r="AY189" s="1879">
        <v>0</v>
      </c>
      <c r="AZ189" s="1879">
        <v>0</v>
      </c>
      <c r="BA189" s="1879">
        <v>0</v>
      </c>
      <c r="BB189" s="1879">
        <v>0</v>
      </c>
      <c r="BE189" s="1718">
        <v>-15126</v>
      </c>
      <c r="BF189" s="1718">
        <v>15126</v>
      </c>
    </row>
    <row r="190" spans="1:58">
      <c r="A190" s="1120" t="s">
        <v>680</v>
      </c>
      <c r="B190" s="751" t="s">
        <v>1342</v>
      </c>
      <c r="C190" s="991">
        <v>3125000</v>
      </c>
      <c r="D190" s="991">
        <v>2550964</v>
      </c>
      <c r="E190" s="991">
        <v>574036</v>
      </c>
      <c r="F190" s="1916">
        <v>939898</v>
      </c>
      <c r="G190" s="1879">
        <v>251704.00000000012</v>
      </c>
      <c r="H190" s="948">
        <v>-52377</v>
      </c>
      <c r="I190" s="948">
        <v>-32849</v>
      </c>
      <c r="J190" s="1879">
        <v>-429827</v>
      </c>
      <c r="K190" s="1115">
        <v>85704</v>
      </c>
      <c r="L190" s="947">
        <v>116665</v>
      </c>
      <c r="M190" s="947">
        <v>-35606</v>
      </c>
      <c r="N190" s="947">
        <v>-45950</v>
      </c>
      <c r="O190" s="947">
        <v>-32112</v>
      </c>
      <c r="P190" s="947">
        <v>-38945</v>
      </c>
      <c r="Q190" s="947">
        <v>-30228</v>
      </c>
      <c r="R190" s="947">
        <v>-52377</v>
      </c>
      <c r="S190" s="946">
        <v>-47103</v>
      </c>
      <c r="T190" s="946">
        <v>-50384</v>
      </c>
      <c r="U190" s="946">
        <v>100541</v>
      </c>
      <c r="V190" s="946">
        <v>-400032</v>
      </c>
      <c r="W190" s="1920">
        <v>510071</v>
      </c>
      <c r="X190" s="1879">
        <v>0</v>
      </c>
      <c r="Y190" s="948">
        <v>0</v>
      </c>
      <c r="Z190" s="948">
        <v>0</v>
      </c>
      <c r="AA190" s="948">
        <v>0</v>
      </c>
      <c r="AB190" s="948">
        <v>0</v>
      </c>
      <c r="AC190" s="948">
        <v>0</v>
      </c>
      <c r="AD190" s="948">
        <v>0</v>
      </c>
      <c r="AE190" s="948">
        <v>0</v>
      </c>
      <c r="AF190" s="948">
        <v>0</v>
      </c>
      <c r="AG190" s="948">
        <v>0</v>
      </c>
      <c r="AH190" s="948">
        <v>0</v>
      </c>
      <c r="AI190" s="948">
        <v>0</v>
      </c>
      <c r="AJ190" s="948">
        <v>0</v>
      </c>
      <c r="AK190" s="1879">
        <v>510071</v>
      </c>
      <c r="AL190" s="1881" t="s">
        <v>1308</v>
      </c>
      <c r="AM190" s="948">
        <v>0</v>
      </c>
      <c r="AN190" s="948">
        <v>0</v>
      </c>
      <c r="AO190" s="948">
        <v>0</v>
      </c>
      <c r="AP190" s="948">
        <v>0</v>
      </c>
      <c r="AQ190" s="948">
        <v>63965</v>
      </c>
      <c r="AR190" s="1714" t="s">
        <v>1308</v>
      </c>
      <c r="AS190" s="1714" t="s">
        <v>1196</v>
      </c>
      <c r="AT190" s="949" t="s">
        <v>2232</v>
      </c>
      <c r="AU190" s="956"/>
      <c r="AV190" s="1882">
        <v>63965</v>
      </c>
      <c r="AW190" s="1879">
        <v>63965</v>
      </c>
      <c r="AX190" s="1879">
        <v>63965</v>
      </c>
      <c r="AY190" s="1879">
        <v>63965</v>
      </c>
      <c r="AZ190" s="1879">
        <v>63965</v>
      </c>
      <c r="BA190" s="1879">
        <v>63965</v>
      </c>
      <c r="BB190" s="1879">
        <v>0</v>
      </c>
      <c r="BE190" s="1718">
        <v>251704.00000000012</v>
      </c>
      <c r="BF190" s="1718">
        <v>-251704.00000000012</v>
      </c>
    </row>
    <row r="191" spans="1:58">
      <c r="A191" s="1120" t="s">
        <v>682</v>
      </c>
      <c r="B191" s="751" t="s">
        <v>1343</v>
      </c>
      <c r="C191" s="991">
        <v>2042000</v>
      </c>
      <c r="D191" s="991">
        <v>1088331</v>
      </c>
      <c r="E191" s="991">
        <v>953669</v>
      </c>
      <c r="F191" s="1916">
        <v>852055</v>
      </c>
      <c r="G191" s="1879">
        <v>254151.00000000012</v>
      </c>
      <c r="H191" s="948">
        <v>-30645</v>
      </c>
      <c r="I191" s="948">
        <v>243938</v>
      </c>
      <c r="J191" s="1879">
        <v>-63548</v>
      </c>
      <c r="K191" s="1115">
        <v>114148</v>
      </c>
      <c r="L191" s="947">
        <v>49965</v>
      </c>
      <c r="M191" s="947">
        <v>22539</v>
      </c>
      <c r="N191" s="947">
        <v>35561</v>
      </c>
      <c r="O191" s="947">
        <v>-9223</v>
      </c>
      <c r="P191" s="947">
        <v>61593</v>
      </c>
      <c r="Q191" s="947">
        <v>0</v>
      </c>
      <c r="R191" s="947">
        <v>-30645</v>
      </c>
      <c r="S191" s="946">
        <v>0</v>
      </c>
      <c r="T191" s="946">
        <v>-18841</v>
      </c>
      <c r="U191" s="946">
        <v>0</v>
      </c>
      <c r="V191" s="946">
        <v>-288645</v>
      </c>
      <c r="W191" s="1920">
        <v>788507</v>
      </c>
      <c r="X191" s="1879">
        <v>0</v>
      </c>
      <c r="Y191" s="948">
        <v>0</v>
      </c>
      <c r="Z191" s="948">
        <v>0</v>
      </c>
      <c r="AA191" s="948">
        <v>0</v>
      </c>
      <c r="AB191" s="948">
        <v>0</v>
      </c>
      <c r="AC191" s="948">
        <v>0</v>
      </c>
      <c r="AD191" s="948">
        <v>0</v>
      </c>
      <c r="AE191" s="948">
        <v>0</v>
      </c>
      <c r="AF191" s="948">
        <v>0</v>
      </c>
      <c r="AG191" s="948">
        <v>0</v>
      </c>
      <c r="AH191" s="948">
        <v>0</v>
      </c>
      <c r="AI191" s="948">
        <v>0</v>
      </c>
      <c r="AJ191" s="948">
        <v>0</v>
      </c>
      <c r="AK191" s="1879">
        <v>788507</v>
      </c>
      <c r="AL191" s="1881" t="s">
        <v>1308</v>
      </c>
      <c r="AM191" s="948">
        <v>0</v>
      </c>
      <c r="AN191" s="948">
        <v>0</v>
      </c>
      <c r="AO191" s="948">
        <v>0</v>
      </c>
      <c r="AP191" s="948">
        <v>0</v>
      </c>
      <c r="AQ191" s="948">
        <v>165162</v>
      </c>
      <c r="AR191" s="1714" t="s">
        <v>1308</v>
      </c>
      <c r="AS191" s="1714" t="s">
        <v>1196</v>
      </c>
      <c r="AT191" s="949" t="s">
        <v>2232</v>
      </c>
      <c r="AU191" s="956"/>
      <c r="AV191" s="1882">
        <v>165162</v>
      </c>
      <c r="AW191" s="1879">
        <v>165162</v>
      </c>
      <c r="AX191" s="1879">
        <v>165162</v>
      </c>
      <c r="AY191" s="1879">
        <v>165162</v>
      </c>
      <c r="AZ191" s="1879">
        <v>165162</v>
      </c>
      <c r="BA191" s="1879">
        <v>165162</v>
      </c>
      <c r="BB191" s="1879">
        <v>0</v>
      </c>
      <c r="BE191" s="1718">
        <v>254151.00000000012</v>
      </c>
      <c r="BF191" s="1718">
        <v>-254151.00000000012</v>
      </c>
    </row>
    <row r="192" spans="1:58">
      <c r="A192" s="1120" t="s">
        <v>684</v>
      </c>
      <c r="B192" s="751" t="s">
        <v>2095</v>
      </c>
      <c r="C192" s="991">
        <v>2202000</v>
      </c>
      <c r="D192" s="991">
        <v>1089400</v>
      </c>
      <c r="E192" s="991">
        <v>1112600</v>
      </c>
      <c r="F192" s="1916">
        <v>817213</v>
      </c>
      <c r="G192" s="1879">
        <v>407205.00000000012</v>
      </c>
      <c r="H192" s="948">
        <v>-20903</v>
      </c>
      <c r="I192" s="948">
        <v>-349613</v>
      </c>
      <c r="J192" s="1879">
        <v>295387</v>
      </c>
      <c r="K192" s="1115">
        <v>-34226</v>
      </c>
      <c r="L192" s="947">
        <v>12574</v>
      </c>
      <c r="M192" s="947">
        <v>-64511</v>
      </c>
      <c r="N192" s="947">
        <v>-74282</v>
      </c>
      <c r="O192" s="947">
        <v>-19390</v>
      </c>
      <c r="P192" s="947">
        <v>-42292</v>
      </c>
      <c r="Q192" s="947">
        <v>-106583</v>
      </c>
      <c r="R192" s="947">
        <v>-20903</v>
      </c>
      <c r="S192" s="946">
        <v>145000</v>
      </c>
      <c r="T192" s="946">
        <v>0</v>
      </c>
      <c r="U192" s="946">
        <v>0</v>
      </c>
      <c r="V192" s="946">
        <v>500000</v>
      </c>
      <c r="W192" s="1920">
        <v>1112600</v>
      </c>
      <c r="X192" s="1879">
        <v>0</v>
      </c>
      <c r="Y192" s="948">
        <v>0</v>
      </c>
      <c r="Z192" s="948">
        <v>0</v>
      </c>
      <c r="AA192" s="948">
        <v>0</v>
      </c>
      <c r="AB192" s="948">
        <v>0</v>
      </c>
      <c r="AC192" s="948">
        <v>0</v>
      </c>
      <c r="AD192" s="948">
        <v>0</v>
      </c>
      <c r="AE192" s="948">
        <v>0</v>
      </c>
      <c r="AF192" s="948">
        <v>0</v>
      </c>
      <c r="AG192" s="948">
        <v>0</v>
      </c>
      <c r="AH192" s="948">
        <v>0</v>
      </c>
      <c r="AI192" s="948">
        <v>0</v>
      </c>
      <c r="AJ192" s="948">
        <v>0</v>
      </c>
      <c r="AK192" s="1879">
        <v>1112600</v>
      </c>
      <c r="AL192" s="1881" t="s">
        <v>1308</v>
      </c>
      <c r="AM192" s="948">
        <v>0</v>
      </c>
      <c r="AN192" s="948">
        <v>0</v>
      </c>
      <c r="AO192" s="948">
        <v>0</v>
      </c>
      <c r="AP192" s="948">
        <v>0</v>
      </c>
      <c r="AQ192" s="948">
        <v>0</v>
      </c>
      <c r="AR192" s="1714" t="s">
        <v>1308</v>
      </c>
      <c r="AS192" s="1714" t="s">
        <v>1196</v>
      </c>
      <c r="AT192" s="949" t="s">
        <v>2232</v>
      </c>
      <c r="AU192" s="956"/>
      <c r="AV192" s="1882">
        <v>0</v>
      </c>
      <c r="AW192" s="1879">
        <v>0</v>
      </c>
      <c r="AX192" s="1879">
        <v>0</v>
      </c>
      <c r="AY192" s="1879">
        <v>0</v>
      </c>
      <c r="AZ192" s="1879">
        <v>0</v>
      </c>
      <c r="BA192" s="1879">
        <v>0</v>
      </c>
      <c r="BB192" s="1879">
        <v>0</v>
      </c>
      <c r="BE192" s="1718">
        <v>407205.00000000012</v>
      </c>
      <c r="BF192" s="1718">
        <v>-407205.00000000012</v>
      </c>
    </row>
    <row r="193" spans="1:58">
      <c r="A193" s="1120" t="s">
        <v>686</v>
      </c>
      <c r="B193" s="751" t="s">
        <v>2276</v>
      </c>
      <c r="C193" s="991">
        <v>3365000</v>
      </c>
      <c r="D193" s="991">
        <v>1792862</v>
      </c>
      <c r="E193" s="991">
        <v>1572138</v>
      </c>
      <c r="F193" s="1916">
        <v>1591675</v>
      </c>
      <c r="G193" s="1879">
        <v>-69928</v>
      </c>
      <c r="H193" s="948">
        <v>-35671</v>
      </c>
      <c r="I193" s="948">
        <v>-5059.9999999999709</v>
      </c>
      <c r="J193" s="1879">
        <v>-60620.999999999971</v>
      </c>
      <c r="K193" s="1115">
        <v>134132.00000000003</v>
      </c>
      <c r="L193" s="947">
        <v>-14891</v>
      </c>
      <c r="M193" s="947">
        <v>-49594</v>
      </c>
      <c r="N193" s="947">
        <v>-6965</v>
      </c>
      <c r="O193" s="947">
        <v>-11585</v>
      </c>
      <c r="P193" s="947">
        <v>-8140</v>
      </c>
      <c r="Q193" s="947">
        <v>-12346</v>
      </c>
      <c r="R193" s="947">
        <v>-35671</v>
      </c>
      <c r="S193" s="946">
        <v>95458</v>
      </c>
      <c r="T193" s="946">
        <v>-20121</v>
      </c>
      <c r="U193" s="946">
        <v>-21063</v>
      </c>
      <c r="V193" s="946">
        <v>-109835</v>
      </c>
      <c r="W193" s="1920">
        <v>1531054</v>
      </c>
      <c r="X193" s="1879">
        <v>6372</v>
      </c>
      <c r="Y193" s="948">
        <v>882</v>
      </c>
      <c r="Z193" s="948">
        <v>882</v>
      </c>
      <c r="AA193" s="948">
        <v>922</v>
      </c>
      <c r="AB193" s="948">
        <v>922</v>
      </c>
      <c r="AC193" s="948">
        <v>921</v>
      </c>
      <c r="AD193" s="948">
        <v>922</v>
      </c>
      <c r="AE193" s="948">
        <v>921</v>
      </c>
      <c r="AF193" s="948">
        <v>0</v>
      </c>
      <c r="AG193" s="948">
        <v>0</v>
      </c>
      <c r="AH193" s="948">
        <v>0</v>
      </c>
      <c r="AI193" s="948">
        <v>0</v>
      </c>
      <c r="AJ193" s="948">
        <v>0</v>
      </c>
      <c r="AK193" s="1879">
        <v>1537426</v>
      </c>
      <c r="AL193" s="1881" t="s">
        <v>1308</v>
      </c>
      <c r="AM193" s="948">
        <v>0</v>
      </c>
      <c r="AN193" s="948">
        <v>0</v>
      </c>
      <c r="AO193" s="948">
        <v>0</v>
      </c>
      <c r="AP193" s="948">
        <v>0</v>
      </c>
      <c r="AQ193" s="948">
        <v>34712</v>
      </c>
      <c r="AR193" s="1714" t="s">
        <v>1308</v>
      </c>
      <c r="AS193" s="1714" t="s">
        <v>1196</v>
      </c>
      <c r="AT193" s="949" t="s">
        <v>2232</v>
      </c>
      <c r="AU193" s="956"/>
      <c r="AV193" s="1882">
        <v>41084</v>
      </c>
      <c r="AW193" s="1879">
        <v>34712</v>
      </c>
      <c r="AX193" s="1879">
        <v>34712</v>
      </c>
      <c r="AY193" s="1879">
        <v>34712</v>
      </c>
      <c r="AZ193" s="1879">
        <v>34712</v>
      </c>
      <c r="BA193" s="1879">
        <v>34712</v>
      </c>
      <c r="BB193" s="1879">
        <v>0</v>
      </c>
      <c r="BE193" s="1718">
        <v>-69928</v>
      </c>
      <c r="BF193" s="1718">
        <v>76300</v>
      </c>
    </row>
    <row r="194" spans="1:58" s="971" customFormat="1">
      <c r="A194" s="1730" t="s">
        <v>688</v>
      </c>
      <c r="B194" s="1010" t="s">
        <v>2277</v>
      </c>
      <c r="C194" s="993">
        <v>3047620</v>
      </c>
      <c r="D194" s="993">
        <v>1250140</v>
      </c>
      <c r="E194" s="993">
        <v>1797480</v>
      </c>
      <c r="F194" s="1883">
        <v>1805306</v>
      </c>
      <c r="G194" s="1884">
        <v>-37518</v>
      </c>
      <c r="H194" s="967">
        <v>0</v>
      </c>
      <c r="I194" s="967">
        <v>-7826</v>
      </c>
      <c r="J194" s="1884">
        <v>-7826</v>
      </c>
      <c r="K194" s="967">
        <v>-975</v>
      </c>
      <c r="L194" s="967">
        <v>-975</v>
      </c>
      <c r="M194" s="967">
        <v>-975</v>
      </c>
      <c r="N194" s="967">
        <v>-1257</v>
      </c>
      <c r="O194" s="967">
        <v>-1257</v>
      </c>
      <c r="P194" s="967">
        <v>-1194</v>
      </c>
      <c r="Q194" s="967">
        <v>-1193</v>
      </c>
      <c r="R194" s="967">
        <v>0</v>
      </c>
      <c r="S194" s="967">
        <v>0</v>
      </c>
      <c r="T194" s="967">
        <v>0</v>
      </c>
      <c r="U194" s="967">
        <v>0</v>
      </c>
      <c r="V194" s="967">
        <v>0</v>
      </c>
      <c r="W194" s="1915">
        <v>1797480</v>
      </c>
      <c r="X194" s="1884">
        <v>0</v>
      </c>
      <c r="Y194" s="967">
        <v>0</v>
      </c>
      <c r="Z194" s="967">
        <v>0</v>
      </c>
      <c r="AA194" s="967">
        <v>0</v>
      </c>
      <c r="AB194" s="967">
        <v>0</v>
      </c>
      <c r="AC194" s="967">
        <v>0</v>
      </c>
      <c r="AD194" s="967">
        <v>0</v>
      </c>
      <c r="AE194" s="967">
        <v>0</v>
      </c>
      <c r="AF194" s="967">
        <v>0</v>
      </c>
      <c r="AG194" s="967">
        <v>0</v>
      </c>
      <c r="AH194" s="967">
        <v>0</v>
      </c>
      <c r="AI194" s="967">
        <v>0</v>
      </c>
      <c r="AJ194" s="967">
        <v>0</v>
      </c>
      <c r="AK194" s="1884">
        <v>1797480</v>
      </c>
      <c r="AL194" s="968" t="s">
        <v>1314</v>
      </c>
      <c r="AM194" s="967">
        <v>0</v>
      </c>
      <c r="AN194" s="967">
        <v>0</v>
      </c>
      <c r="AO194" s="967">
        <v>0</v>
      </c>
      <c r="AP194" s="967">
        <v>0</v>
      </c>
      <c r="AQ194" s="967">
        <v>0</v>
      </c>
      <c r="AR194" s="1720" t="s">
        <v>1314</v>
      </c>
      <c r="AS194" s="1768" t="s">
        <v>2248</v>
      </c>
      <c r="AT194" s="1722" t="s">
        <v>2234</v>
      </c>
      <c r="AU194" s="1103"/>
      <c r="AV194" s="1887">
        <v>0</v>
      </c>
      <c r="AW194" s="1884">
        <v>0</v>
      </c>
      <c r="AX194" s="1884">
        <v>0</v>
      </c>
      <c r="AY194" s="1884">
        <v>0</v>
      </c>
      <c r="AZ194" s="1884">
        <v>0</v>
      </c>
      <c r="BA194" s="1884">
        <v>0</v>
      </c>
      <c r="BB194" s="1884">
        <v>0</v>
      </c>
      <c r="BE194" s="1724">
        <v>-37518</v>
      </c>
      <c r="BF194" s="1724">
        <v>37518</v>
      </c>
    </row>
    <row r="195" spans="1:58" s="663" customFormat="1" ht="15" customHeight="1">
      <c r="A195" s="1120" t="s">
        <v>690</v>
      </c>
      <c r="B195" s="751" t="s">
        <v>2278</v>
      </c>
      <c r="C195" s="991">
        <v>36177000</v>
      </c>
      <c r="D195" s="991">
        <v>28979864</v>
      </c>
      <c r="E195" s="991">
        <v>7197136</v>
      </c>
      <c r="F195" s="1086">
        <v>1264402</v>
      </c>
      <c r="G195" s="1879">
        <v>2195988</v>
      </c>
      <c r="H195" s="948">
        <v>33881</v>
      </c>
      <c r="I195" s="948">
        <v>1456194</v>
      </c>
      <c r="J195" s="1879">
        <v>924344</v>
      </c>
      <c r="K195" s="1115">
        <v>89985</v>
      </c>
      <c r="L195" s="947">
        <v>2208288</v>
      </c>
      <c r="M195" s="947">
        <v>-1476163</v>
      </c>
      <c r="N195" s="947">
        <v>316956</v>
      </c>
      <c r="O195" s="947">
        <v>-112023</v>
      </c>
      <c r="P195" s="947">
        <v>118291</v>
      </c>
      <c r="Q195" s="947">
        <v>276979</v>
      </c>
      <c r="R195" s="947">
        <v>33881</v>
      </c>
      <c r="S195" s="948">
        <v>-8993</v>
      </c>
      <c r="T195" s="948">
        <v>-11388</v>
      </c>
      <c r="U195" s="948">
        <v>46685</v>
      </c>
      <c r="V195" s="948">
        <v>-558154</v>
      </c>
      <c r="W195" s="1920">
        <v>2188746</v>
      </c>
      <c r="X195" s="1879">
        <v>1597561</v>
      </c>
      <c r="Y195" s="948">
        <v>75640</v>
      </c>
      <c r="Z195" s="948">
        <v>49504</v>
      </c>
      <c r="AA195" s="948">
        <v>376418</v>
      </c>
      <c r="AB195" s="948">
        <v>180064</v>
      </c>
      <c r="AC195" s="948">
        <v>92013</v>
      </c>
      <c r="AD195" s="948">
        <v>93981</v>
      </c>
      <c r="AE195" s="948">
        <v>187508</v>
      </c>
      <c r="AF195" s="948">
        <v>88852</v>
      </c>
      <c r="AG195" s="948">
        <v>76317</v>
      </c>
      <c r="AH195" s="948">
        <v>179576</v>
      </c>
      <c r="AI195" s="948">
        <v>87805</v>
      </c>
      <c r="AJ195" s="948">
        <v>109883</v>
      </c>
      <c r="AK195" s="1879">
        <v>3786307</v>
      </c>
      <c r="AL195" s="1881" t="s">
        <v>1308</v>
      </c>
      <c r="AM195" s="948">
        <v>1779219</v>
      </c>
      <c r="AN195" s="948">
        <v>1298461</v>
      </c>
      <c r="AO195" s="948">
        <v>290383</v>
      </c>
      <c r="AP195" s="948">
        <v>0</v>
      </c>
      <c r="AQ195" s="948">
        <v>42766</v>
      </c>
      <c r="AR195" s="1714" t="s">
        <v>1308</v>
      </c>
      <c r="AS195" s="1714" t="s">
        <v>1246</v>
      </c>
      <c r="AT195" s="949" t="s">
        <v>2232</v>
      </c>
      <c r="AU195" s="537"/>
      <c r="AV195" s="1882">
        <v>5008390</v>
      </c>
      <c r="AW195" s="1879">
        <v>3410829</v>
      </c>
      <c r="AX195" s="1879">
        <v>1631610</v>
      </c>
      <c r="AY195" s="1879">
        <v>333149</v>
      </c>
      <c r="AZ195" s="1879">
        <v>42766</v>
      </c>
      <c r="BA195" s="1879">
        <v>42766</v>
      </c>
      <c r="BB195" s="1879">
        <v>0</v>
      </c>
      <c r="BE195" s="1718">
        <v>2195988</v>
      </c>
      <c r="BF195" s="1718">
        <v>-598427</v>
      </c>
    </row>
    <row r="196" spans="1:58" s="663" customFormat="1">
      <c r="A196" s="1120" t="s">
        <v>692</v>
      </c>
      <c r="B196" s="751" t="s">
        <v>2279</v>
      </c>
      <c r="C196" s="991">
        <v>1910000</v>
      </c>
      <c r="D196" s="991">
        <v>1274592</v>
      </c>
      <c r="E196" s="991">
        <v>635408</v>
      </c>
      <c r="F196" s="1086">
        <v>539521</v>
      </c>
      <c r="G196" s="1879">
        <v>489670</v>
      </c>
      <c r="H196" s="948">
        <v>31480</v>
      </c>
      <c r="I196" s="948">
        <v>296370</v>
      </c>
      <c r="J196" s="1879">
        <v>7680</v>
      </c>
      <c r="K196" s="1115">
        <v>130340</v>
      </c>
      <c r="L196" s="947">
        <v>-21418</v>
      </c>
      <c r="M196" s="947">
        <v>-22706</v>
      </c>
      <c r="N196" s="947">
        <v>30868</v>
      </c>
      <c r="O196" s="947">
        <v>21791</v>
      </c>
      <c r="P196" s="947">
        <v>27128</v>
      </c>
      <c r="Q196" s="947">
        <v>98887</v>
      </c>
      <c r="R196" s="947">
        <v>31480</v>
      </c>
      <c r="S196" s="948">
        <v>-39817</v>
      </c>
      <c r="T196" s="948">
        <v>30763</v>
      </c>
      <c r="U196" s="948">
        <v>-31809</v>
      </c>
      <c r="V196" s="948">
        <v>-247827</v>
      </c>
      <c r="W196" s="1920">
        <v>547201</v>
      </c>
      <c r="X196" s="1879">
        <v>28358</v>
      </c>
      <c r="Y196" s="948">
        <v>836</v>
      </c>
      <c r="Z196" s="948">
        <v>836</v>
      </c>
      <c r="AA196" s="948">
        <v>873</v>
      </c>
      <c r="AB196" s="948">
        <v>873</v>
      </c>
      <c r="AC196" s="948">
        <v>8427</v>
      </c>
      <c r="AD196" s="948">
        <v>5859</v>
      </c>
      <c r="AE196" s="948">
        <v>873</v>
      </c>
      <c r="AF196" s="948">
        <v>960</v>
      </c>
      <c r="AG196" s="948">
        <v>959</v>
      </c>
      <c r="AH196" s="948">
        <v>959</v>
      </c>
      <c r="AI196" s="948">
        <v>959</v>
      </c>
      <c r="AJ196" s="948">
        <v>5944</v>
      </c>
      <c r="AK196" s="1879">
        <v>575559</v>
      </c>
      <c r="AL196" s="1881" t="s">
        <v>1308</v>
      </c>
      <c r="AM196" s="948">
        <v>5233</v>
      </c>
      <c r="AN196" s="948">
        <v>0</v>
      </c>
      <c r="AO196" s="948">
        <v>0</v>
      </c>
      <c r="AP196" s="948">
        <v>0</v>
      </c>
      <c r="AQ196" s="948">
        <v>54616</v>
      </c>
      <c r="AR196" s="1714" t="s">
        <v>1308</v>
      </c>
      <c r="AS196" s="1714" t="s">
        <v>1246</v>
      </c>
      <c r="AT196" s="949" t="s">
        <v>2232</v>
      </c>
      <c r="AU196" s="537"/>
      <c r="AV196" s="1882">
        <v>88207</v>
      </c>
      <c r="AW196" s="1879">
        <v>59849</v>
      </c>
      <c r="AX196" s="1879">
        <v>54616</v>
      </c>
      <c r="AY196" s="1879">
        <v>54616</v>
      </c>
      <c r="AZ196" s="1879">
        <v>54616</v>
      </c>
      <c r="BA196" s="1879">
        <v>54616</v>
      </c>
      <c r="BB196" s="1879">
        <v>0</v>
      </c>
      <c r="BE196" s="1718">
        <v>489670</v>
      </c>
      <c r="BF196" s="1718">
        <v>-461312</v>
      </c>
    </row>
    <row r="197" spans="1:58" s="663" customFormat="1">
      <c r="A197" s="1120" t="s">
        <v>1159</v>
      </c>
      <c r="B197" s="751" t="s">
        <v>2280</v>
      </c>
      <c r="C197" s="991">
        <v>3969500</v>
      </c>
      <c r="D197" s="991">
        <v>2705044</v>
      </c>
      <c r="E197" s="991">
        <v>1264456</v>
      </c>
      <c r="F197" s="1086">
        <v>14581</v>
      </c>
      <c r="G197" s="1879">
        <v>700933</v>
      </c>
      <c r="H197" s="948">
        <v>121569</v>
      </c>
      <c r="I197" s="948">
        <v>854237</v>
      </c>
      <c r="J197" s="1879">
        <v>684085</v>
      </c>
      <c r="K197" s="1115">
        <v>-50710</v>
      </c>
      <c r="L197" s="947">
        <v>251058</v>
      </c>
      <c r="M197" s="947">
        <v>229487</v>
      </c>
      <c r="N197" s="947">
        <v>115573</v>
      </c>
      <c r="O197" s="947">
        <v>82951</v>
      </c>
      <c r="P197" s="947">
        <v>14482</v>
      </c>
      <c r="Q197" s="947">
        <v>89827</v>
      </c>
      <c r="R197" s="947">
        <v>121569</v>
      </c>
      <c r="S197" s="948">
        <v>108326</v>
      </c>
      <c r="T197" s="948">
        <v>108762</v>
      </c>
      <c r="U197" s="948">
        <v>56948</v>
      </c>
      <c r="V197" s="948">
        <v>-444188</v>
      </c>
      <c r="W197" s="1920">
        <v>698666</v>
      </c>
      <c r="X197" s="1879">
        <v>527615</v>
      </c>
      <c r="Y197" s="948">
        <v>51589</v>
      </c>
      <c r="Z197" s="948">
        <v>29161</v>
      </c>
      <c r="AA197" s="948">
        <v>63521</v>
      </c>
      <c r="AB197" s="948">
        <v>53378</v>
      </c>
      <c r="AC197" s="948">
        <v>60460</v>
      </c>
      <c r="AD197" s="948">
        <v>58578</v>
      </c>
      <c r="AE197" s="948">
        <v>56513</v>
      </c>
      <c r="AF197" s="948">
        <v>56894</v>
      </c>
      <c r="AG197" s="948">
        <v>28935</v>
      </c>
      <c r="AH197" s="948">
        <v>32625</v>
      </c>
      <c r="AI197" s="948">
        <v>30926</v>
      </c>
      <c r="AJ197" s="948">
        <v>5035</v>
      </c>
      <c r="AK197" s="1879">
        <v>1226281</v>
      </c>
      <c r="AL197" s="1881" t="s">
        <v>1308</v>
      </c>
      <c r="AM197" s="948">
        <v>10462</v>
      </c>
      <c r="AN197" s="948">
        <v>0</v>
      </c>
      <c r="AO197" s="948">
        <v>0</v>
      </c>
      <c r="AP197" s="948">
        <v>0</v>
      </c>
      <c r="AQ197" s="948">
        <v>27713</v>
      </c>
      <c r="AR197" s="1714" t="s">
        <v>1308</v>
      </c>
      <c r="AS197" s="1714" t="s">
        <v>1246</v>
      </c>
      <c r="AT197" s="949" t="s">
        <v>2232</v>
      </c>
      <c r="AU197" s="537"/>
      <c r="AV197" s="1882">
        <v>565790</v>
      </c>
      <c r="AW197" s="1879">
        <v>38175</v>
      </c>
      <c r="AX197" s="1879">
        <v>27713</v>
      </c>
      <c r="AY197" s="1879">
        <v>27713</v>
      </c>
      <c r="AZ197" s="1879">
        <v>27713</v>
      </c>
      <c r="BA197" s="1879">
        <v>27713</v>
      </c>
      <c r="BB197" s="1879">
        <v>0</v>
      </c>
      <c r="BE197" s="1718">
        <v>700933</v>
      </c>
      <c r="BF197" s="1718">
        <v>-173318</v>
      </c>
    </row>
    <row r="198" spans="1:58" s="663" customFormat="1">
      <c r="A198" s="1120" t="s">
        <v>1162</v>
      </c>
      <c r="B198" s="751" t="s">
        <v>2281</v>
      </c>
      <c r="C198" s="991">
        <v>2655000</v>
      </c>
      <c r="D198" s="991">
        <v>1823753</v>
      </c>
      <c r="E198" s="991">
        <v>831247</v>
      </c>
      <c r="F198" s="1086">
        <v>-16224</v>
      </c>
      <c r="G198" s="1879">
        <v>0</v>
      </c>
      <c r="H198" s="948">
        <v>69490</v>
      </c>
      <c r="I198" s="948">
        <v>612714</v>
      </c>
      <c r="J198" s="1879">
        <v>536822</v>
      </c>
      <c r="K198" s="1115">
        <v>-53841</v>
      </c>
      <c r="L198" s="947">
        <v>193699</v>
      </c>
      <c r="M198" s="947">
        <v>155491</v>
      </c>
      <c r="N198" s="947">
        <v>15812</v>
      </c>
      <c r="O198" s="947">
        <v>75760</v>
      </c>
      <c r="P198" s="947">
        <v>71176</v>
      </c>
      <c r="Q198" s="947">
        <v>85127</v>
      </c>
      <c r="R198" s="947">
        <v>69490</v>
      </c>
      <c r="S198" s="948">
        <v>57076</v>
      </c>
      <c r="T198" s="948">
        <v>66933</v>
      </c>
      <c r="U198" s="948">
        <v>72585</v>
      </c>
      <c r="V198" s="948">
        <v>-272486</v>
      </c>
      <c r="W198" s="1920">
        <v>520598</v>
      </c>
      <c r="X198" s="1879">
        <v>304226</v>
      </c>
      <c r="Y198" s="948">
        <v>32048</v>
      </c>
      <c r="Z198" s="948">
        <v>24539</v>
      </c>
      <c r="AA198" s="948">
        <v>40976</v>
      </c>
      <c r="AB198" s="948">
        <v>32882</v>
      </c>
      <c r="AC198" s="948">
        <v>35645</v>
      </c>
      <c r="AD198" s="948">
        <v>37952</v>
      </c>
      <c r="AE198" s="948">
        <v>30106</v>
      </c>
      <c r="AF198" s="948">
        <v>14808</v>
      </c>
      <c r="AG198" s="948">
        <v>13461</v>
      </c>
      <c r="AH198" s="948">
        <v>17059</v>
      </c>
      <c r="AI198" s="948">
        <v>9871</v>
      </c>
      <c r="AJ198" s="948">
        <v>14879</v>
      </c>
      <c r="AK198" s="1879">
        <v>824824</v>
      </c>
      <c r="AL198" s="1881" t="s">
        <v>1308</v>
      </c>
      <c r="AM198" s="948">
        <v>0</v>
      </c>
      <c r="AN198" s="948">
        <v>0</v>
      </c>
      <c r="AO198" s="948">
        <v>0</v>
      </c>
      <c r="AP198" s="948">
        <v>0</v>
      </c>
      <c r="AQ198" s="948">
        <v>6423</v>
      </c>
      <c r="AR198" s="1714" t="s">
        <v>1308</v>
      </c>
      <c r="AS198" s="1714" t="s">
        <v>1246</v>
      </c>
      <c r="AT198" s="949" t="s">
        <v>2232</v>
      </c>
      <c r="AU198" s="537"/>
      <c r="AV198" s="1882">
        <v>310649</v>
      </c>
      <c r="AW198" s="1879">
        <v>6423</v>
      </c>
      <c r="AX198" s="1879">
        <v>6423</v>
      </c>
      <c r="AY198" s="1879">
        <v>6423</v>
      </c>
      <c r="AZ198" s="1879">
        <v>6423</v>
      </c>
      <c r="BA198" s="1879">
        <v>6423</v>
      </c>
      <c r="BB198" s="1879">
        <v>0</v>
      </c>
      <c r="BE198" s="1718">
        <v>0</v>
      </c>
      <c r="BF198" s="1718">
        <v>304226</v>
      </c>
    </row>
    <row r="199" spans="1:58" s="663" customFormat="1">
      <c r="A199" s="1150" t="s">
        <v>1261</v>
      </c>
      <c r="B199" s="1149" t="s">
        <v>1166</v>
      </c>
      <c r="C199" s="991">
        <v>2588000</v>
      </c>
      <c r="D199" s="991">
        <v>1778000</v>
      </c>
      <c r="E199" s="991">
        <v>810000</v>
      </c>
      <c r="F199" s="1086">
        <v>0</v>
      </c>
      <c r="G199" s="1879"/>
      <c r="H199" s="948">
        <v>110026</v>
      </c>
      <c r="I199" s="948">
        <v>185397</v>
      </c>
      <c r="J199" s="1879">
        <v>314233</v>
      </c>
      <c r="K199" s="1115">
        <v>-975</v>
      </c>
      <c r="L199" s="947">
        <v>-975</v>
      </c>
      <c r="M199" s="947">
        <v>-975</v>
      </c>
      <c r="N199" s="947">
        <v>-48481</v>
      </c>
      <c r="O199" s="947">
        <v>-108399</v>
      </c>
      <c r="P199" s="947">
        <v>-64866</v>
      </c>
      <c r="Q199" s="947">
        <v>300042</v>
      </c>
      <c r="R199" s="947">
        <v>110026</v>
      </c>
      <c r="S199" s="948">
        <v>-362</v>
      </c>
      <c r="T199" s="948">
        <v>80074</v>
      </c>
      <c r="U199" s="948">
        <v>76305</v>
      </c>
      <c r="V199" s="948">
        <v>-27181</v>
      </c>
      <c r="W199" s="1920">
        <v>314233</v>
      </c>
      <c r="X199" s="1879">
        <v>275804</v>
      </c>
      <c r="Y199" s="948">
        <v>50430</v>
      </c>
      <c r="Z199" s="948">
        <v>35749</v>
      </c>
      <c r="AA199" s="948">
        <v>62066</v>
      </c>
      <c r="AB199" s="948">
        <v>52181</v>
      </c>
      <c r="AC199" s="948">
        <v>59084</v>
      </c>
      <c r="AD199" s="948">
        <v>5035</v>
      </c>
      <c r="AE199" s="948">
        <v>479</v>
      </c>
      <c r="AF199" s="948">
        <v>525</v>
      </c>
      <c r="AG199" s="948">
        <v>526</v>
      </c>
      <c r="AH199" s="948">
        <v>4122</v>
      </c>
      <c r="AI199" s="948">
        <v>525</v>
      </c>
      <c r="AJ199" s="948">
        <v>5082</v>
      </c>
      <c r="AK199" s="1879">
        <v>590037</v>
      </c>
      <c r="AL199" s="1881" t="s">
        <v>1308</v>
      </c>
      <c r="AM199" s="948">
        <v>0</v>
      </c>
      <c r="AN199" s="948">
        <v>0</v>
      </c>
      <c r="AO199" s="948">
        <v>0</v>
      </c>
      <c r="AP199" s="948">
        <v>0</v>
      </c>
      <c r="AQ199" s="948">
        <v>219963</v>
      </c>
      <c r="AR199" s="1714" t="s">
        <v>1308</v>
      </c>
      <c r="AS199" s="1714" t="s">
        <v>1246</v>
      </c>
      <c r="AT199" s="949" t="s">
        <v>2232</v>
      </c>
      <c r="AU199" s="537"/>
      <c r="AV199" s="1882">
        <v>495767</v>
      </c>
      <c r="AW199" s="1879">
        <v>219963</v>
      </c>
      <c r="AX199" s="1879">
        <v>219963</v>
      </c>
      <c r="AY199" s="1879">
        <v>219963</v>
      </c>
      <c r="AZ199" s="1879">
        <v>219963</v>
      </c>
      <c r="BA199" s="1879">
        <v>219963</v>
      </c>
      <c r="BB199" s="1879">
        <v>0</v>
      </c>
      <c r="BE199" s="1718"/>
      <c r="BF199" s="1718"/>
    </row>
    <row r="200" spans="1:58" s="663" customFormat="1" ht="16.2">
      <c r="A200" s="1150" t="s">
        <v>1262</v>
      </c>
      <c r="B200" s="1151" t="s">
        <v>2282</v>
      </c>
      <c r="C200" s="991">
        <v>4070040</v>
      </c>
      <c r="D200" s="991">
        <v>3406000</v>
      </c>
      <c r="E200" s="991">
        <v>664040</v>
      </c>
      <c r="F200" s="1086">
        <v>0</v>
      </c>
      <c r="G200" s="1879"/>
      <c r="H200" s="948">
        <v>-85744</v>
      </c>
      <c r="I200" s="948">
        <v>-137617</v>
      </c>
      <c r="J200" s="1879">
        <v>110854</v>
      </c>
      <c r="K200" s="1115">
        <v>0</v>
      </c>
      <c r="L200" s="947">
        <v>0</v>
      </c>
      <c r="M200" s="947">
        <v>-64157</v>
      </c>
      <c r="N200" s="947">
        <v>-63929</v>
      </c>
      <c r="O200" s="947">
        <v>155958</v>
      </c>
      <c r="P200" s="947">
        <v>-13734</v>
      </c>
      <c r="Q200" s="947">
        <v>-66011</v>
      </c>
      <c r="R200" s="947">
        <v>-85744</v>
      </c>
      <c r="S200" s="948">
        <v>-99204</v>
      </c>
      <c r="T200" s="948">
        <v>162336</v>
      </c>
      <c r="U200" s="948">
        <v>105980</v>
      </c>
      <c r="V200" s="948">
        <v>79359</v>
      </c>
      <c r="W200" s="1920">
        <v>110854</v>
      </c>
      <c r="X200" s="1879">
        <v>329806</v>
      </c>
      <c r="Y200" s="948">
        <v>21581</v>
      </c>
      <c r="Z200" s="948">
        <v>15299</v>
      </c>
      <c r="AA200" s="948">
        <v>39675</v>
      </c>
      <c r="AB200" s="948">
        <v>34381</v>
      </c>
      <c r="AC200" s="948">
        <v>37335</v>
      </c>
      <c r="AD200" s="948">
        <v>36768</v>
      </c>
      <c r="AE200" s="948">
        <v>23639</v>
      </c>
      <c r="AF200" s="948">
        <v>23804</v>
      </c>
      <c r="AG200" s="948">
        <v>21740</v>
      </c>
      <c r="AH200" s="948">
        <v>23279</v>
      </c>
      <c r="AI200" s="948">
        <v>23530</v>
      </c>
      <c r="AJ200" s="948">
        <v>28775</v>
      </c>
      <c r="AK200" s="1879">
        <v>440660</v>
      </c>
      <c r="AL200" s="1881" t="s">
        <v>1308</v>
      </c>
      <c r="AM200" s="948">
        <v>54201</v>
      </c>
      <c r="AN200" s="948">
        <v>5620</v>
      </c>
      <c r="AO200" s="948">
        <v>0</v>
      </c>
      <c r="AP200" s="948">
        <v>0</v>
      </c>
      <c r="AQ200" s="948">
        <v>163559</v>
      </c>
      <c r="AR200" s="1714" t="s">
        <v>1308</v>
      </c>
      <c r="AS200" s="1714" t="s">
        <v>1246</v>
      </c>
      <c r="AT200" s="949" t="s">
        <v>2232</v>
      </c>
      <c r="AU200" s="537"/>
      <c r="AV200" s="1882">
        <v>553186</v>
      </c>
      <c r="AW200" s="1879">
        <v>223380</v>
      </c>
      <c r="AX200" s="1879">
        <v>169179</v>
      </c>
      <c r="AY200" s="1879">
        <v>163559</v>
      </c>
      <c r="AZ200" s="1879">
        <v>163559</v>
      </c>
      <c r="BA200" s="1879">
        <v>163559</v>
      </c>
      <c r="BB200" s="1879">
        <v>0</v>
      </c>
      <c r="BE200" s="1718"/>
      <c r="BF200" s="1718"/>
    </row>
    <row r="201" spans="1:58" s="663" customFormat="1">
      <c r="A201" s="1150" t="s">
        <v>1263</v>
      </c>
      <c r="B201" s="1151" t="s">
        <v>1172</v>
      </c>
      <c r="C201" s="991">
        <v>11482667</v>
      </c>
      <c r="D201" s="991">
        <v>8018707</v>
      </c>
      <c r="E201" s="991">
        <v>3463960</v>
      </c>
      <c r="F201" s="1086">
        <v>0</v>
      </c>
      <c r="G201" s="1879"/>
      <c r="H201" s="948">
        <v>-97837</v>
      </c>
      <c r="I201" s="948">
        <v>-435393</v>
      </c>
      <c r="J201" s="1879">
        <v>274710</v>
      </c>
      <c r="K201" s="1115">
        <v>0</v>
      </c>
      <c r="L201" s="947">
        <v>0</v>
      </c>
      <c r="M201" s="947">
        <v>0</v>
      </c>
      <c r="N201" s="947">
        <v>0</v>
      </c>
      <c r="O201" s="947">
        <v>-128758</v>
      </c>
      <c r="P201" s="947">
        <v>-121991</v>
      </c>
      <c r="Q201" s="947">
        <v>-86807</v>
      </c>
      <c r="R201" s="947">
        <v>-97837</v>
      </c>
      <c r="S201" s="948">
        <v>477897</v>
      </c>
      <c r="T201" s="948">
        <v>272897</v>
      </c>
      <c r="U201" s="948">
        <v>125541</v>
      </c>
      <c r="V201" s="948">
        <v>-166232</v>
      </c>
      <c r="W201" s="1920">
        <v>274710</v>
      </c>
      <c r="X201" s="1879">
        <v>636934</v>
      </c>
      <c r="Y201" s="948">
        <v>48110</v>
      </c>
      <c r="Z201" s="948">
        <v>34188</v>
      </c>
      <c r="AA201" s="948">
        <v>59156</v>
      </c>
      <c r="AB201" s="948">
        <v>49783</v>
      </c>
      <c r="AC201" s="948">
        <v>56328</v>
      </c>
      <c r="AD201" s="948">
        <v>58908</v>
      </c>
      <c r="AE201" s="948">
        <v>52681</v>
      </c>
      <c r="AF201" s="948">
        <v>53076</v>
      </c>
      <c r="AG201" s="948">
        <v>48503</v>
      </c>
      <c r="AH201" s="948">
        <v>55321</v>
      </c>
      <c r="AI201" s="948">
        <v>52469</v>
      </c>
      <c r="AJ201" s="948">
        <v>68411</v>
      </c>
      <c r="AK201" s="1879">
        <v>911644</v>
      </c>
      <c r="AL201" s="1881" t="s">
        <v>1308</v>
      </c>
      <c r="AM201" s="948">
        <v>657726</v>
      </c>
      <c r="AN201" s="948">
        <v>689860</v>
      </c>
      <c r="AO201" s="948">
        <v>99484</v>
      </c>
      <c r="AP201" s="948">
        <v>0</v>
      </c>
      <c r="AQ201" s="948">
        <v>1105246</v>
      </c>
      <c r="AR201" s="1714" t="s">
        <v>1308</v>
      </c>
      <c r="AS201" s="1714" t="s">
        <v>1246</v>
      </c>
      <c r="AT201" s="949" t="s">
        <v>2232</v>
      </c>
      <c r="AU201" s="537"/>
      <c r="AV201" s="1882">
        <v>3189250</v>
      </c>
      <c r="AW201" s="1879">
        <v>2552316</v>
      </c>
      <c r="AX201" s="1879">
        <v>1894590</v>
      </c>
      <c r="AY201" s="1879">
        <v>1204730</v>
      </c>
      <c r="AZ201" s="1879">
        <v>1105246</v>
      </c>
      <c r="BA201" s="1879">
        <v>1105246</v>
      </c>
      <c r="BB201" s="1879">
        <v>0</v>
      </c>
      <c r="BE201" s="1718"/>
      <c r="BF201" s="1718"/>
    </row>
    <row r="202" spans="1:58" s="663" customFormat="1">
      <c r="A202" s="866" t="s">
        <v>1264</v>
      </c>
      <c r="B202" s="867" t="s">
        <v>1175</v>
      </c>
      <c r="C202" s="991">
        <v>1960000</v>
      </c>
      <c r="D202" s="991">
        <v>1402700</v>
      </c>
      <c r="E202" s="991">
        <v>557300</v>
      </c>
      <c r="F202" s="1086">
        <v>0</v>
      </c>
      <c r="G202" s="1879"/>
      <c r="H202" s="948">
        <v>-19348</v>
      </c>
      <c r="I202" s="948">
        <v>-80974</v>
      </c>
      <c r="J202" s="1879">
        <v>109836</v>
      </c>
      <c r="K202" s="1115">
        <v>0</v>
      </c>
      <c r="L202" s="947">
        <v>0</v>
      </c>
      <c r="M202" s="947">
        <v>0</v>
      </c>
      <c r="N202" s="947">
        <v>0</v>
      </c>
      <c r="O202" s="947">
        <v>0</v>
      </c>
      <c r="P202" s="947">
        <v>0</v>
      </c>
      <c r="Q202" s="947">
        <v>-61626</v>
      </c>
      <c r="R202" s="947">
        <v>-19348</v>
      </c>
      <c r="S202" s="948">
        <v>-47103</v>
      </c>
      <c r="T202" s="948">
        <v>152897</v>
      </c>
      <c r="U202" s="948">
        <v>35541</v>
      </c>
      <c r="V202" s="948">
        <v>49475</v>
      </c>
      <c r="W202" s="1920">
        <v>109836</v>
      </c>
      <c r="X202" s="1879">
        <v>154480</v>
      </c>
      <c r="Y202" s="948">
        <v>24025</v>
      </c>
      <c r="Z202" s="948">
        <v>12516</v>
      </c>
      <c r="AA202" s="948">
        <v>26723</v>
      </c>
      <c r="AB202" s="948">
        <v>24556</v>
      </c>
      <c r="AC202" s="948">
        <v>30576</v>
      </c>
      <c r="AD202" s="948">
        <v>28975</v>
      </c>
      <c r="AE202" s="948">
        <v>0</v>
      </c>
      <c r="AF202" s="948">
        <v>0</v>
      </c>
      <c r="AG202" s="948">
        <v>0</v>
      </c>
      <c r="AH202" s="948">
        <v>3136</v>
      </c>
      <c r="AI202" s="948">
        <v>0</v>
      </c>
      <c r="AJ202" s="948">
        <v>3973</v>
      </c>
      <c r="AK202" s="1879">
        <v>264316</v>
      </c>
      <c r="AL202" s="1881" t="s">
        <v>1308</v>
      </c>
      <c r="AM202" s="948">
        <v>49113</v>
      </c>
      <c r="AN202" s="948">
        <v>0</v>
      </c>
      <c r="AO202" s="948">
        <v>0</v>
      </c>
      <c r="AP202" s="948">
        <v>0</v>
      </c>
      <c r="AQ202" s="948">
        <v>243871</v>
      </c>
      <c r="AR202" s="1714" t="s">
        <v>1308</v>
      </c>
      <c r="AS202" s="1714" t="s">
        <v>1246</v>
      </c>
      <c r="AT202" s="949" t="s">
        <v>2232</v>
      </c>
      <c r="AU202" s="537"/>
      <c r="AV202" s="1882">
        <v>447464</v>
      </c>
      <c r="AW202" s="1879">
        <v>292984</v>
      </c>
      <c r="AX202" s="1879">
        <v>243871</v>
      </c>
      <c r="AY202" s="1879">
        <v>243871</v>
      </c>
      <c r="AZ202" s="1879">
        <v>243871</v>
      </c>
      <c r="BA202" s="1879">
        <v>243871</v>
      </c>
      <c r="BB202" s="1879">
        <v>0</v>
      </c>
      <c r="BE202" s="1718"/>
      <c r="BF202" s="1718"/>
    </row>
    <row r="203" spans="1:58" s="663" customFormat="1">
      <c r="A203" s="1120" t="s">
        <v>705</v>
      </c>
      <c r="B203" s="751" t="s">
        <v>2249</v>
      </c>
      <c r="C203" s="991"/>
      <c r="D203" s="991"/>
      <c r="E203" s="991"/>
      <c r="F203" s="1891"/>
      <c r="G203" s="1879">
        <v>0</v>
      </c>
      <c r="H203" s="948">
        <v>-21351</v>
      </c>
      <c r="I203" s="948">
        <v>-365186</v>
      </c>
      <c r="J203" s="1879">
        <v>114814</v>
      </c>
      <c r="K203" s="948">
        <v>-6253</v>
      </c>
      <c r="L203" s="948">
        <v>-3621</v>
      </c>
      <c r="M203" s="948">
        <v>-35726</v>
      </c>
      <c r="N203" s="948">
        <v>-54813</v>
      </c>
      <c r="O203" s="948">
        <v>-60552</v>
      </c>
      <c r="P203" s="948">
        <v>-142313</v>
      </c>
      <c r="Q203" s="948">
        <v>-40557</v>
      </c>
      <c r="R203" s="948">
        <v>-21351</v>
      </c>
      <c r="S203" s="948">
        <v>480000</v>
      </c>
      <c r="T203" s="948">
        <v>0</v>
      </c>
      <c r="U203" s="948">
        <v>0</v>
      </c>
      <c r="V203" s="948">
        <v>0</v>
      </c>
      <c r="W203" s="1920">
        <v>114814</v>
      </c>
      <c r="X203" s="1879">
        <v>270982</v>
      </c>
      <c r="Y203" s="948">
        <v>-219383</v>
      </c>
      <c r="Z203" s="948">
        <v>-186432</v>
      </c>
      <c r="AA203" s="948">
        <v>-247734</v>
      </c>
      <c r="AB203" s="948">
        <v>1038021</v>
      </c>
      <c r="AC203" s="948">
        <v>-113490</v>
      </c>
      <c r="AD203" s="948">
        <v>0</v>
      </c>
      <c r="AE203" s="948">
        <v>0</v>
      </c>
      <c r="AF203" s="948">
        <v>0</v>
      </c>
      <c r="AG203" s="948">
        <v>0</v>
      </c>
      <c r="AH203" s="948">
        <v>0</v>
      </c>
      <c r="AI203" s="948">
        <v>0</v>
      </c>
      <c r="AJ203" s="948">
        <v>0</v>
      </c>
      <c r="AK203" s="1879">
        <v>385796</v>
      </c>
      <c r="AL203" s="1881" t="s">
        <v>1308</v>
      </c>
      <c r="AM203" s="948">
        <v>0</v>
      </c>
      <c r="AN203" s="948">
        <v>0</v>
      </c>
      <c r="AO203" s="948">
        <v>0</v>
      </c>
      <c r="AP203" s="948">
        <v>0</v>
      </c>
      <c r="AQ203" s="948">
        <v>0</v>
      </c>
      <c r="AR203" s="1714" t="s">
        <v>2270</v>
      </c>
      <c r="AS203" s="1714" t="s">
        <v>2238</v>
      </c>
      <c r="AT203" s="1714" t="s">
        <v>2239</v>
      </c>
      <c r="AU203" s="537"/>
      <c r="AV203" s="1882" t="s">
        <v>866</v>
      </c>
      <c r="AW203" s="1879" t="s">
        <v>866</v>
      </c>
      <c r="AX203" s="1879" t="s">
        <v>866</v>
      </c>
      <c r="AY203" s="1879" t="s">
        <v>866</v>
      </c>
      <c r="AZ203" s="1879" t="s">
        <v>866</v>
      </c>
      <c r="BA203" s="1879" t="s">
        <v>866</v>
      </c>
      <c r="BB203" s="1879" t="s">
        <v>866</v>
      </c>
      <c r="BE203" s="1718"/>
      <c r="BF203" s="1718">
        <v>270982</v>
      </c>
    </row>
    <row r="204" spans="1:58" s="1745" customFormat="1">
      <c r="A204" s="1738" t="s">
        <v>707</v>
      </c>
      <c r="B204" s="1739" t="s">
        <v>2250</v>
      </c>
      <c r="C204" s="1893"/>
      <c r="D204" s="1893"/>
      <c r="E204" s="1893"/>
      <c r="F204" s="1891"/>
      <c r="G204" s="1884">
        <v>60519</v>
      </c>
      <c r="H204" s="1740">
        <v>-184000</v>
      </c>
      <c r="I204" s="1740">
        <v>-761123</v>
      </c>
      <c r="J204" s="1894">
        <v>-414380</v>
      </c>
      <c r="K204" s="1115">
        <v>-162778</v>
      </c>
      <c r="L204" s="947">
        <v>-136338</v>
      </c>
      <c r="M204" s="947">
        <v>-111053</v>
      </c>
      <c r="N204" s="947">
        <v>-111389</v>
      </c>
      <c r="O204" s="947">
        <v>88386</v>
      </c>
      <c r="P204" s="947">
        <v>-44806</v>
      </c>
      <c r="Q204" s="947">
        <v>-99145</v>
      </c>
      <c r="R204" s="947">
        <v>-184000</v>
      </c>
      <c r="S204" s="946">
        <v>-97924</v>
      </c>
      <c r="T204" s="946">
        <v>-97488</v>
      </c>
      <c r="U204" s="946">
        <v>-204394</v>
      </c>
      <c r="V204" s="946">
        <v>746549</v>
      </c>
      <c r="W204" s="1921">
        <v>-414380</v>
      </c>
      <c r="X204" s="1894">
        <v>24647</v>
      </c>
      <c r="Y204" s="1740">
        <v>0</v>
      </c>
      <c r="Z204" s="1740">
        <v>0</v>
      </c>
      <c r="AA204" s="1740">
        <v>0</v>
      </c>
      <c r="AB204" s="1740">
        <v>0</v>
      </c>
      <c r="AC204" s="1740">
        <v>0</v>
      </c>
      <c r="AD204" s="1740">
        <v>-20000</v>
      </c>
      <c r="AE204" s="1740">
        <v>0</v>
      </c>
      <c r="AF204" s="1740">
        <v>0</v>
      </c>
      <c r="AG204" s="1740">
        <v>0</v>
      </c>
      <c r="AH204" s="1740">
        <v>64647</v>
      </c>
      <c r="AI204" s="1740">
        <v>0</v>
      </c>
      <c r="AJ204" s="1740">
        <v>-20000</v>
      </c>
      <c r="AK204" s="1894">
        <v>-389733</v>
      </c>
      <c r="AL204" s="1896" t="s">
        <v>2103</v>
      </c>
      <c r="AM204" s="1740">
        <v>0</v>
      </c>
      <c r="AN204" s="1740">
        <v>0</v>
      </c>
      <c r="AO204" s="1740">
        <v>0</v>
      </c>
      <c r="AP204" s="1740">
        <v>0</v>
      </c>
      <c r="AQ204" s="948">
        <v>0</v>
      </c>
      <c r="AR204" s="1744" t="s">
        <v>2242</v>
      </c>
      <c r="AS204" s="1744" t="s">
        <v>2243</v>
      </c>
      <c r="AT204" s="1744" t="s">
        <v>2244</v>
      </c>
      <c r="AU204" s="956"/>
      <c r="AV204" s="1882" t="s">
        <v>866</v>
      </c>
      <c r="AW204" s="1879" t="s">
        <v>866</v>
      </c>
      <c r="AX204" s="1879" t="s">
        <v>866</v>
      </c>
      <c r="AY204" s="1879" t="s">
        <v>866</v>
      </c>
      <c r="AZ204" s="1879" t="s">
        <v>866</v>
      </c>
      <c r="BA204" s="1879" t="s">
        <v>866</v>
      </c>
      <c r="BB204" s="1879" t="s">
        <v>866</v>
      </c>
      <c r="BE204" s="1922">
        <v>60519</v>
      </c>
      <c r="BF204" s="1718">
        <v>-35872</v>
      </c>
    </row>
    <row r="205" spans="1:58" s="990" customFormat="1" ht="15" customHeight="1">
      <c r="A205" s="630" t="s">
        <v>710</v>
      </c>
      <c r="B205" s="867" t="s">
        <v>1265</v>
      </c>
      <c r="C205" s="1104">
        <v>0</v>
      </c>
      <c r="D205" s="1104">
        <v>0</v>
      </c>
      <c r="E205" s="1104">
        <v>0</v>
      </c>
      <c r="F205" s="1897">
        <v>0</v>
      </c>
      <c r="G205" s="1888">
        <v>2000838</v>
      </c>
      <c r="H205" s="947">
        <v>0</v>
      </c>
      <c r="I205" s="947">
        <v>0</v>
      </c>
      <c r="J205" s="1888">
        <v>0</v>
      </c>
      <c r="K205" s="947">
        <v>0</v>
      </c>
      <c r="L205" s="947">
        <v>0</v>
      </c>
      <c r="M205" s="947">
        <v>0</v>
      </c>
      <c r="N205" s="947">
        <v>0</v>
      </c>
      <c r="O205" s="947">
        <v>0</v>
      </c>
      <c r="P205" s="947">
        <v>0</v>
      </c>
      <c r="Q205" s="947">
        <v>0</v>
      </c>
      <c r="R205" s="947">
        <v>0</v>
      </c>
      <c r="S205" s="947">
        <v>0</v>
      </c>
      <c r="T205" s="947">
        <v>0</v>
      </c>
      <c r="U205" s="947">
        <v>0</v>
      </c>
      <c r="V205" s="947">
        <v>0</v>
      </c>
      <c r="W205" s="1923">
        <v>0</v>
      </c>
      <c r="X205" s="1888">
        <v>0</v>
      </c>
      <c r="Y205" s="947">
        <v>0</v>
      </c>
      <c r="Z205" s="947">
        <v>0</v>
      </c>
      <c r="AA205" s="947">
        <v>0</v>
      </c>
      <c r="AB205" s="947">
        <v>0</v>
      </c>
      <c r="AC205" s="947">
        <v>0</v>
      </c>
      <c r="AD205" s="947">
        <v>0</v>
      </c>
      <c r="AE205" s="947">
        <v>0</v>
      </c>
      <c r="AF205" s="947">
        <v>0</v>
      </c>
      <c r="AG205" s="947">
        <v>0</v>
      </c>
      <c r="AH205" s="947">
        <v>0</v>
      </c>
      <c r="AI205" s="947">
        <v>0</v>
      </c>
      <c r="AJ205" s="947">
        <v>0</v>
      </c>
      <c r="AK205" s="1888">
        <v>0</v>
      </c>
      <c r="AL205" s="1890" t="s">
        <v>1323</v>
      </c>
      <c r="AM205" s="947">
        <v>0</v>
      </c>
      <c r="AN205" s="947">
        <v>0</v>
      </c>
      <c r="AO205" s="947">
        <v>0</v>
      </c>
      <c r="AP205" s="947">
        <v>0</v>
      </c>
      <c r="AQ205" s="947">
        <v>0</v>
      </c>
      <c r="AR205" s="1731" t="s">
        <v>1323</v>
      </c>
      <c r="AS205" s="1731" t="s">
        <v>1673</v>
      </c>
      <c r="AT205" s="1732" t="s">
        <v>2237</v>
      </c>
      <c r="AU205" s="1105"/>
      <c r="AV205" s="1882">
        <v>0</v>
      </c>
      <c r="AW205" s="1879">
        <v>0</v>
      </c>
      <c r="AX205" s="1879">
        <v>0</v>
      </c>
      <c r="AY205" s="1879">
        <v>0</v>
      </c>
      <c r="AZ205" s="1879">
        <v>0</v>
      </c>
      <c r="BA205" s="1879">
        <v>0</v>
      </c>
      <c r="BB205" s="1879">
        <v>0</v>
      </c>
      <c r="BE205" s="1924"/>
      <c r="BF205" s="1733">
        <v>0</v>
      </c>
    </row>
    <row r="206" spans="1:58" s="990" customFormat="1">
      <c r="A206" s="630" t="s">
        <v>712</v>
      </c>
      <c r="B206" s="867" t="s">
        <v>1265</v>
      </c>
      <c r="C206" s="1104">
        <v>0</v>
      </c>
      <c r="D206" s="1104">
        <v>0</v>
      </c>
      <c r="E206" s="1104">
        <v>0</v>
      </c>
      <c r="F206" s="1897">
        <v>0</v>
      </c>
      <c r="G206" s="1888">
        <v>0</v>
      </c>
      <c r="H206" s="947">
        <v>0</v>
      </c>
      <c r="I206" s="947">
        <v>0</v>
      </c>
      <c r="J206" s="1888">
        <v>0</v>
      </c>
      <c r="K206" s="947">
        <v>0</v>
      </c>
      <c r="L206" s="947">
        <v>0</v>
      </c>
      <c r="M206" s="947">
        <v>0</v>
      </c>
      <c r="N206" s="947">
        <v>0</v>
      </c>
      <c r="O206" s="947">
        <v>0</v>
      </c>
      <c r="P206" s="947">
        <v>0</v>
      </c>
      <c r="Q206" s="947">
        <v>0</v>
      </c>
      <c r="R206" s="947">
        <v>0</v>
      </c>
      <c r="S206" s="947">
        <v>0</v>
      </c>
      <c r="T206" s="947">
        <v>0</v>
      </c>
      <c r="U206" s="947">
        <v>0</v>
      </c>
      <c r="V206" s="947">
        <v>0</v>
      </c>
      <c r="W206" s="1923">
        <v>0</v>
      </c>
      <c r="X206" s="1888">
        <v>0</v>
      </c>
      <c r="Y206" s="947">
        <v>0</v>
      </c>
      <c r="Z206" s="947">
        <v>0</v>
      </c>
      <c r="AA206" s="947">
        <v>0</v>
      </c>
      <c r="AB206" s="947">
        <v>0</v>
      </c>
      <c r="AC206" s="947">
        <v>0</v>
      </c>
      <c r="AD206" s="947">
        <v>0</v>
      </c>
      <c r="AE206" s="947">
        <v>0</v>
      </c>
      <c r="AF206" s="947">
        <v>0</v>
      </c>
      <c r="AG206" s="947">
        <v>0</v>
      </c>
      <c r="AH206" s="947">
        <v>0</v>
      </c>
      <c r="AI206" s="947">
        <v>0</v>
      </c>
      <c r="AJ206" s="947">
        <v>0</v>
      </c>
      <c r="AK206" s="1888">
        <v>0</v>
      </c>
      <c r="AL206" s="1890" t="s">
        <v>1323</v>
      </c>
      <c r="AM206" s="947">
        <v>0</v>
      </c>
      <c r="AN206" s="947">
        <v>0</v>
      </c>
      <c r="AO206" s="947">
        <v>0</v>
      </c>
      <c r="AP206" s="947">
        <v>0</v>
      </c>
      <c r="AQ206" s="947">
        <v>0</v>
      </c>
      <c r="AR206" s="1731" t="s">
        <v>1323</v>
      </c>
      <c r="AS206" s="1731" t="s">
        <v>1673</v>
      </c>
      <c r="AT206" s="1732" t="s">
        <v>2237</v>
      </c>
      <c r="AU206" s="1105"/>
      <c r="AV206" s="1882">
        <v>0</v>
      </c>
      <c r="AW206" s="1879">
        <v>0</v>
      </c>
      <c r="AX206" s="1879">
        <v>0</v>
      </c>
      <c r="AY206" s="1879">
        <v>0</v>
      </c>
      <c r="AZ206" s="1879">
        <v>0</v>
      </c>
      <c r="BA206" s="1879">
        <v>0</v>
      </c>
      <c r="BB206" s="1879">
        <v>0</v>
      </c>
      <c r="BE206" s="1924">
        <v>628574</v>
      </c>
      <c r="BF206" s="1733">
        <v>-628574</v>
      </c>
    </row>
    <row r="207" spans="1:58" s="990" customFormat="1">
      <c r="A207" s="630" t="s">
        <v>713</v>
      </c>
      <c r="B207" s="867" t="s">
        <v>1266</v>
      </c>
      <c r="C207" s="1104">
        <v>45715000</v>
      </c>
      <c r="D207" s="1104">
        <v>33162551</v>
      </c>
      <c r="E207" s="1104">
        <v>12552449</v>
      </c>
      <c r="F207" s="1897">
        <v>0</v>
      </c>
      <c r="G207" s="1888">
        <v>0</v>
      </c>
      <c r="H207" s="947">
        <v>0</v>
      </c>
      <c r="I207" s="947">
        <v>0</v>
      </c>
      <c r="J207" s="1888">
        <v>0</v>
      </c>
      <c r="K207" s="947">
        <v>0</v>
      </c>
      <c r="L207" s="947">
        <v>0</v>
      </c>
      <c r="M207" s="947">
        <v>0</v>
      </c>
      <c r="N207" s="947">
        <v>0</v>
      </c>
      <c r="O207" s="947">
        <v>0</v>
      </c>
      <c r="P207" s="947">
        <v>0</v>
      </c>
      <c r="Q207" s="947">
        <v>0</v>
      </c>
      <c r="R207" s="947">
        <v>0</v>
      </c>
      <c r="S207" s="947">
        <v>0</v>
      </c>
      <c r="T207" s="947">
        <v>0</v>
      </c>
      <c r="U207" s="947">
        <v>0</v>
      </c>
      <c r="V207" s="947">
        <v>0</v>
      </c>
      <c r="W207" s="1923">
        <v>0</v>
      </c>
      <c r="X207" s="1888">
        <v>3449254</v>
      </c>
      <c r="Y207" s="947">
        <v>65677</v>
      </c>
      <c r="Z207" s="947">
        <v>36553</v>
      </c>
      <c r="AA207" s="947">
        <v>141982</v>
      </c>
      <c r="AB207" s="947">
        <v>216112</v>
      </c>
      <c r="AC207" s="947">
        <v>334079</v>
      </c>
      <c r="AD207" s="947">
        <v>323295</v>
      </c>
      <c r="AE207" s="947">
        <v>365297</v>
      </c>
      <c r="AF207" s="947">
        <v>367682</v>
      </c>
      <c r="AG207" s="947">
        <v>377388</v>
      </c>
      <c r="AH207" s="947">
        <v>335618</v>
      </c>
      <c r="AI207" s="947">
        <v>408672</v>
      </c>
      <c r="AJ207" s="947">
        <v>476899</v>
      </c>
      <c r="AK207" s="1888">
        <v>3449254</v>
      </c>
      <c r="AL207" s="1890" t="s">
        <v>2246</v>
      </c>
      <c r="AM207" s="947">
        <v>3071733</v>
      </c>
      <c r="AN207" s="947">
        <v>3489809</v>
      </c>
      <c r="AO207" s="947">
        <v>1584828</v>
      </c>
      <c r="AP207" s="947">
        <v>956825</v>
      </c>
      <c r="AQ207" s="947">
        <v>0</v>
      </c>
      <c r="AR207" s="1731" t="s">
        <v>2246</v>
      </c>
      <c r="AS207" s="1731" t="s">
        <v>1676</v>
      </c>
      <c r="AT207" s="1732" t="s">
        <v>2247</v>
      </c>
      <c r="AU207" s="1105"/>
      <c r="AV207" s="1882">
        <v>0</v>
      </c>
      <c r="AW207" s="1879">
        <v>9103195</v>
      </c>
      <c r="AX207" s="1879">
        <v>6031462</v>
      </c>
      <c r="AY207" s="1879">
        <v>2541653</v>
      </c>
      <c r="AZ207" s="1879">
        <v>956825</v>
      </c>
      <c r="BA207" s="1879">
        <v>0</v>
      </c>
      <c r="BB207" s="1879">
        <v>0</v>
      </c>
      <c r="BE207" s="1924">
        <v>1372264</v>
      </c>
      <c r="BF207" s="1733">
        <v>2076990</v>
      </c>
    </row>
    <row r="208" spans="1:58" s="1757" customFormat="1">
      <c r="A208" s="1148" t="s">
        <v>715</v>
      </c>
      <c r="B208" s="1147" t="s">
        <v>1267</v>
      </c>
      <c r="C208" s="1762">
        <v>37129000</v>
      </c>
      <c r="D208" s="1762">
        <v>26962211</v>
      </c>
      <c r="E208" s="1762">
        <v>10166789</v>
      </c>
      <c r="F208" s="1925">
        <v>0</v>
      </c>
      <c r="G208" s="1926">
        <v>0</v>
      </c>
      <c r="H208" s="1750">
        <v>0</v>
      </c>
      <c r="I208" s="1750">
        <v>0</v>
      </c>
      <c r="J208" s="1926">
        <v>0</v>
      </c>
      <c r="K208" s="1750">
        <v>0</v>
      </c>
      <c r="L208" s="1750">
        <v>0</v>
      </c>
      <c r="M208" s="1750">
        <v>0</v>
      </c>
      <c r="N208" s="1750">
        <v>0</v>
      </c>
      <c r="O208" s="1750">
        <v>0</v>
      </c>
      <c r="P208" s="1750">
        <v>0</v>
      </c>
      <c r="Q208" s="1750">
        <v>0</v>
      </c>
      <c r="R208" s="1750">
        <v>0</v>
      </c>
      <c r="S208" s="1750">
        <v>0</v>
      </c>
      <c r="T208" s="1750">
        <v>0</v>
      </c>
      <c r="U208" s="1750">
        <v>0</v>
      </c>
      <c r="V208" s="1750">
        <v>0</v>
      </c>
      <c r="W208" s="1927">
        <v>0</v>
      </c>
      <c r="X208" s="1926">
        <v>0</v>
      </c>
      <c r="Y208" s="1750">
        <v>0</v>
      </c>
      <c r="Z208" s="1750">
        <v>0</v>
      </c>
      <c r="AA208" s="1750">
        <v>0</v>
      </c>
      <c r="AB208" s="1750">
        <v>0</v>
      </c>
      <c r="AC208" s="1750">
        <v>0</v>
      </c>
      <c r="AD208" s="1750">
        <v>0</v>
      </c>
      <c r="AE208" s="1750">
        <v>0</v>
      </c>
      <c r="AF208" s="1750">
        <v>0</v>
      </c>
      <c r="AG208" s="1750">
        <v>0</v>
      </c>
      <c r="AH208" s="1750">
        <v>0</v>
      </c>
      <c r="AI208" s="1750">
        <v>0</v>
      </c>
      <c r="AJ208" s="1750">
        <v>0</v>
      </c>
      <c r="AK208" s="1926">
        <v>0</v>
      </c>
      <c r="AL208" s="1928" t="s">
        <v>2246</v>
      </c>
      <c r="AM208" s="1750">
        <v>3172482</v>
      </c>
      <c r="AN208" s="1750">
        <v>2128511</v>
      </c>
      <c r="AO208" s="1750">
        <v>2635263</v>
      </c>
      <c r="AP208" s="1750">
        <v>2204138</v>
      </c>
      <c r="AQ208" s="1750">
        <v>26395</v>
      </c>
      <c r="AR208" s="1754" t="s">
        <v>2246</v>
      </c>
      <c r="AS208" s="1754" t="s">
        <v>1678</v>
      </c>
      <c r="AT208" s="1756" t="s">
        <v>2247</v>
      </c>
      <c r="AV208" s="1882">
        <v>0</v>
      </c>
      <c r="AW208" s="1879">
        <v>0</v>
      </c>
      <c r="AX208" s="1879">
        <v>6994307</v>
      </c>
      <c r="AY208" s="1879">
        <v>4865796</v>
      </c>
      <c r="AZ208" s="1879">
        <v>2230533</v>
      </c>
      <c r="BA208" s="1879">
        <v>26395</v>
      </c>
      <c r="BB208" s="1879">
        <v>0</v>
      </c>
      <c r="BE208" s="1769"/>
      <c r="BF208" s="1758">
        <v>0</v>
      </c>
    </row>
    <row r="209" spans="1:58" s="1757" customFormat="1">
      <c r="A209" s="1148" t="s">
        <v>717</v>
      </c>
      <c r="B209" s="1147" t="s">
        <v>1268</v>
      </c>
      <c r="C209" s="1762">
        <v>37036000</v>
      </c>
      <c r="D209" s="1762">
        <v>26836315</v>
      </c>
      <c r="E209" s="1762">
        <v>10199685</v>
      </c>
      <c r="F209" s="1925">
        <v>0</v>
      </c>
      <c r="G209" s="1926">
        <v>0</v>
      </c>
      <c r="H209" s="1750">
        <v>0</v>
      </c>
      <c r="I209" s="1750">
        <v>0</v>
      </c>
      <c r="J209" s="1926">
        <v>0</v>
      </c>
      <c r="K209" s="1750">
        <v>0</v>
      </c>
      <c r="L209" s="1750">
        <v>0</v>
      </c>
      <c r="M209" s="1750">
        <v>0</v>
      </c>
      <c r="N209" s="1750">
        <v>0</v>
      </c>
      <c r="O209" s="1750">
        <v>0</v>
      </c>
      <c r="P209" s="1750">
        <v>0</v>
      </c>
      <c r="Q209" s="1750">
        <v>0</v>
      </c>
      <c r="R209" s="1750">
        <v>0</v>
      </c>
      <c r="S209" s="1750">
        <v>0</v>
      </c>
      <c r="T209" s="1750">
        <v>0</v>
      </c>
      <c r="U209" s="1750">
        <v>0</v>
      </c>
      <c r="V209" s="1750">
        <v>0</v>
      </c>
      <c r="W209" s="1927">
        <v>0</v>
      </c>
      <c r="X209" s="1926">
        <v>0</v>
      </c>
      <c r="Y209" s="1750">
        <v>0</v>
      </c>
      <c r="Z209" s="1750">
        <v>0</v>
      </c>
      <c r="AA209" s="1750">
        <v>0</v>
      </c>
      <c r="AB209" s="1750">
        <v>0</v>
      </c>
      <c r="AC209" s="1750">
        <v>0</v>
      </c>
      <c r="AD209" s="1750">
        <v>0</v>
      </c>
      <c r="AE209" s="1750">
        <v>0</v>
      </c>
      <c r="AF209" s="1750">
        <v>0</v>
      </c>
      <c r="AG209" s="1750">
        <v>0</v>
      </c>
      <c r="AH209" s="1750">
        <v>0</v>
      </c>
      <c r="AI209" s="1750">
        <v>0</v>
      </c>
      <c r="AJ209" s="1750">
        <v>0</v>
      </c>
      <c r="AK209" s="1926">
        <v>0</v>
      </c>
      <c r="AL209" s="1928" t="s">
        <v>2246</v>
      </c>
      <c r="AM209" s="1750">
        <v>0</v>
      </c>
      <c r="AN209" s="1750">
        <v>2113410</v>
      </c>
      <c r="AO209" s="1750">
        <v>2770213</v>
      </c>
      <c r="AP209" s="1750">
        <v>2758810</v>
      </c>
      <c r="AQ209" s="1750">
        <v>2557252</v>
      </c>
      <c r="AR209" s="1754" t="s">
        <v>2246</v>
      </c>
      <c r="AS209" s="1754" t="s">
        <v>1680</v>
      </c>
      <c r="AT209" s="1756" t="s">
        <v>2247</v>
      </c>
      <c r="AV209" s="1882">
        <v>0</v>
      </c>
      <c r="AW209" s="1879">
        <v>0</v>
      </c>
      <c r="AX209" s="1879">
        <v>0</v>
      </c>
      <c r="AY209" s="1879">
        <v>8086275</v>
      </c>
      <c r="AZ209" s="1879">
        <v>5316062</v>
      </c>
      <c r="BA209" s="1879">
        <v>2557252</v>
      </c>
      <c r="BB209" s="1879">
        <v>0</v>
      </c>
      <c r="BE209" s="1769"/>
      <c r="BF209" s="1758">
        <v>0</v>
      </c>
    </row>
    <row r="210" spans="1:58" s="1757" customFormat="1">
      <c r="A210" s="1148" t="s">
        <v>719</v>
      </c>
      <c r="B210" s="1147" t="s">
        <v>1269</v>
      </c>
      <c r="C210" s="1762">
        <v>39667000</v>
      </c>
      <c r="D210" s="1762">
        <v>29105591</v>
      </c>
      <c r="E210" s="1762">
        <v>10561409</v>
      </c>
      <c r="F210" s="1925">
        <v>0</v>
      </c>
      <c r="G210" s="1926">
        <v>0</v>
      </c>
      <c r="H210" s="1750">
        <v>0</v>
      </c>
      <c r="I210" s="1750">
        <v>0</v>
      </c>
      <c r="J210" s="1926">
        <v>0</v>
      </c>
      <c r="K210" s="1750">
        <v>0</v>
      </c>
      <c r="L210" s="1750">
        <v>0</v>
      </c>
      <c r="M210" s="1750">
        <v>0</v>
      </c>
      <c r="N210" s="1750">
        <v>0</v>
      </c>
      <c r="O210" s="1750">
        <v>0</v>
      </c>
      <c r="P210" s="1750">
        <v>0</v>
      </c>
      <c r="Q210" s="1750">
        <v>0</v>
      </c>
      <c r="R210" s="1750">
        <v>0</v>
      </c>
      <c r="S210" s="1750">
        <v>0</v>
      </c>
      <c r="T210" s="1750">
        <v>0</v>
      </c>
      <c r="U210" s="1750">
        <v>0</v>
      </c>
      <c r="V210" s="1750">
        <v>0</v>
      </c>
      <c r="W210" s="1927">
        <v>0</v>
      </c>
      <c r="X210" s="1926">
        <v>0</v>
      </c>
      <c r="Y210" s="1750">
        <v>0</v>
      </c>
      <c r="Z210" s="1750">
        <v>0</v>
      </c>
      <c r="AA210" s="1750">
        <v>0</v>
      </c>
      <c r="AB210" s="1750">
        <v>0</v>
      </c>
      <c r="AC210" s="1750">
        <v>0</v>
      </c>
      <c r="AD210" s="1750">
        <v>0</v>
      </c>
      <c r="AE210" s="1750">
        <v>0</v>
      </c>
      <c r="AF210" s="1750">
        <v>0</v>
      </c>
      <c r="AG210" s="1750">
        <v>0</v>
      </c>
      <c r="AH210" s="1750">
        <v>0</v>
      </c>
      <c r="AI210" s="1750">
        <v>0</v>
      </c>
      <c r="AJ210" s="1750">
        <v>0</v>
      </c>
      <c r="AK210" s="1926">
        <v>0</v>
      </c>
      <c r="AL210" s="1928" t="s">
        <v>2246</v>
      </c>
      <c r="AM210" s="1750">
        <v>0</v>
      </c>
      <c r="AN210" s="1750">
        <v>0</v>
      </c>
      <c r="AO210" s="1750">
        <v>3101905</v>
      </c>
      <c r="AP210" s="1750">
        <v>2742784</v>
      </c>
      <c r="AQ210" s="1750">
        <v>4716720</v>
      </c>
      <c r="AR210" s="1754" t="s">
        <v>2246</v>
      </c>
      <c r="AS210" s="1754" t="s">
        <v>1682</v>
      </c>
      <c r="AT210" s="1756" t="s">
        <v>2247</v>
      </c>
      <c r="AV210" s="1882">
        <v>0</v>
      </c>
      <c r="AW210" s="1879">
        <v>0</v>
      </c>
      <c r="AX210" s="1879">
        <v>0</v>
      </c>
      <c r="AY210" s="1879">
        <v>0</v>
      </c>
      <c r="AZ210" s="1879">
        <v>7459504</v>
      </c>
      <c r="BA210" s="1879">
        <v>4716720</v>
      </c>
      <c r="BB210" s="1879">
        <v>0</v>
      </c>
      <c r="BE210" s="1769"/>
      <c r="BF210" s="1758">
        <v>0</v>
      </c>
    </row>
    <row r="211" spans="1:58" s="1757" customFormat="1">
      <c r="A211" s="1148" t="s">
        <v>721</v>
      </c>
      <c r="B211" s="1147" t="s">
        <v>1270</v>
      </c>
      <c r="C211" s="1762">
        <v>42374000</v>
      </c>
      <c r="D211" s="1762">
        <v>30695265</v>
      </c>
      <c r="E211" s="1762">
        <v>11678735</v>
      </c>
      <c r="F211" s="1925">
        <v>0</v>
      </c>
      <c r="G211" s="1926">
        <v>0</v>
      </c>
      <c r="H211" s="1750">
        <v>0</v>
      </c>
      <c r="I211" s="1750">
        <v>0</v>
      </c>
      <c r="J211" s="1926">
        <v>0</v>
      </c>
      <c r="K211" s="1750">
        <v>0</v>
      </c>
      <c r="L211" s="1750">
        <v>0</v>
      </c>
      <c r="M211" s="1750">
        <v>0</v>
      </c>
      <c r="N211" s="1750">
        <v>0</v>
      </c>
      <c r="O211" s="1750">
        <v>0</v>
      </c>
      <c r="P211" s="1750">
        <v>0</v>
      </c>
      <c r="Q211" s="1750">
        <v>0</v>
      </c>
      <c r="R211" s="1750">
        <v>0</v>
      </c>
      <c r="S211" s="1750">
        <v>0</v>
      </c>
      <c r="T211" s="1750">
        <v>0</v>
      </c>
      <c r="U211" s="1750">
        <v>0</v>
      </c>
      <c r="V211" s="1750">
        <v>0</v>
      </c>
      <c r="W211" s="1927">
        <v>0</v>
      </c>
      <c r="X211" s="1926">
        <v>0</v>
      </c>
      <c r="Y211" s="1750">
        <v>0</v>
      </c>
      <c r="Z211" s="1750">
        <v>0</v>
      </c>
      <c r="AA211" s="1750">
        <v>0</v>
      </c>
      <c r="AB211" s="1750">
        <v>0</v>
      </c>
      <c r="AC211" s="1750">
        <v>0</v>
      </c>
      <c r="AD211" s="1750">
        <v>0</v>
      </c>
      <c r="AE211" s="1750">
        <v>0</v>
      </c>
      <c r="AF211" s="1750">
        <v>0</v>
      </c>
      <c r="AG211" s="1750">
        <v>0</v>
      </c>
      <c r="AH211" s="1750">
        <v>0</v>
      </c>
      <c r="AI211" s="1750">
        <v>0</v>
      </c>
      <c r="AJ211" s="1750">
        <v>0</v>
      </c>
      <c r="AK211" s="1926">
        <v>0</v>
      </c>
      <c r="AL211" s="1928" t="s">
        <v>2246</v>
      </c>
      <c r="AM211" s="1750">
        <v>0</v>
      </c>
      <c r="AN211" s="1750">
        <v>0</v>
      </c>
      <c r="AO211" s="1750">
        <v>0</v>
      </c>
      <c r="AP211" s="1750">
        <v>2307704</v>
      </c>
      <c r="AQ211" s="1750">
        <v>9371031</v>
      </c>
      <c r="AR211" s="1754" t="s">
        <v>2246</v>
      </c>
      <c r="AS211" s="1754" t="s">
        <v>1684</v>
      </c>
      <c r="AT211" s="1756" t="s">
        <v>2247</v>
      </c>
      <c r="AV211" s="1882">
        <v>0</v>
      </c>
      <c r="AW211" s="1879">
        <v>0</v>
      </c>
      <c r="AX211" s="1879">
        <v>0</v>
      </c>
      <c r="AY211" s="1879">
        <v>0</v>
      </c>
      <c r="AZ211" s="1879">
        <v>0</v>
      </c>
      <c r="BA211" s="1879">
        <v>9371031</v>
      </c>
      <c r="BB211" s="1879">
        <v>0</v>
      </c>
      <c r="BE211" s="1769"/>
      <c r="BF211" s="1758">
        <v>0</v>
      </c>
    </row>
    <row r="212" spans="1:58">
      <c r="A212" s="1120"/>
      <c r="B212" s="751"/>
      <c r="C212" s="991"/>
      <c r="D212" s="991"/>
      <c r="E212" s="991"/>
      <c r="F212" s="1086"/>
      <c r="G212" s="1884">
        <v>0</v>
      </c>
      <c r="H212" s="948"/>
      <c r="I212" s="948"/>
      <c r="J212" s="1879"/>
      <c r="K212" s="1115"/>
      <c r="L212" s="946"/>
      <c r="M212" s="947"/>
      <c r="N212" s="947"/>
      <c r="O212" s="946"/>
      <c r="P212" s="946"/>
      <c r="Q212" s="946"/>
      <c r="R212" s="946"/>
      <c r="S212" s="946"/>
      <c r="T212" s="946"/>
      <c r="U212" s="946"/>
      <c r="V212" s="946"/>
      <c r="W212" s="1920"/>
      <c r="X212" s="1879"/>
      <c r="Y212" s="948"/>
      <c r="Z212" s="948"/>
      <c r="AA212" s="948"/>
      <c r="AB212" s="948"/>
      <c r="AC212" s="948"/>
      <c r="AD212" s="948"/>
      <c r="AE212" s="948"/>
      <c r="AF212" s="948"/>
      <c r="AG212" s="948"/>
      <c r="AH212" s="948"/>
      <c r="AI212" s="948"/>
      <c r="AJ212" s="948"/>
      <c r="AK212" s="1879"/>
      <c r="AL212" s="1881"/>
      <c r="AM212" s="948"/>
      <c r="AN212" s="948"/>
      <c r="AO212" s="948"/>
      <c r="AP212" s="948"/>
      <c r="AQ212" s="948"/>
      <c r="AR212" s="1714"/>
      <c r="AS212" s="1715"/>
      <c r="AT212" s="948"/>
      <c r="AV212" s="1882"/>
      <c r="AW212" s="1879"/>
      <c r="AX212" s="1879"/>
      <c r="AY212" s="1879"/>
      <c r="AZ212" s="1917">
        <v>0</v>
      </c>
      <c r="BA212" s="1926">
        <v>0</v>
      </c>
      <c r="BB212" s="1879">
        <v>0</v>
      </c>
      <c r="BE212" s="1772"/>
      <c r="BF212" s="1718">
        <v>0</v>
      </c>
    </row>
    <row r="213" spans="1:58">
      <c r="A213" s="1120"/>
      <c r="B213" s="751"/>
      <c r="C213" s="991"/>
      <c r="D213" s="991"/>
      <c r="E213" s="991"/>
      <c r="F213" s="1086"/>
      <c r="G213" s="1879"/>
      <c r="H213" s="948"/>
      <c r="I213" s="948"/>
      <c r="J213" s="1879"/>
      <c r="K213" s="946"/>
      <c r="L213" s="946"/>
      <c r="M213" s="946"/>
      <c r="N213" s="946"/>
      <c r="O213" s="946"/>
      <c r="P213" s="946"/>
      <c r="Q213" s="946"/>
      <c r="R213" s="946"/>
      <c r="S213" s="946"/>
      <c r="T213" s="946"/>
      <c r="U213" s="946"/>
      <c r="V213" s="946"/>
      <c r="W213" s="1920"/>
      <c r="X213" s="1879"/>
      <c r="Y213" s="948"/>
      <c r="Z213" s="948"/>
      <c r="AA213" s="948"/>
      <c r="AB213" s="948"/>
      <c r="AC213" s="948"/>
      <c r="AD213" s="948"/>
      <c r="AE213" s="948"/>
      <c r="AF213" s="948"/>
      <c r="AG213" s="948"/>
      <c r="AH213" s="948"/>
      <c r="AI213" s="948"/>
      <c r="AJ213" s="948"/>
      <c r="AK213" s="1879"/>
      <c r="AL213" s="1881"/>
      <c r="AM213" s="948"/>
      <c r="AN213" s="948"/>
      <c r="AO213" s="948"/>
      <c r="AP213" s="948"/>
      <c r="AQ213" s="948"/>
      <c r="AR213" s="1714"/>
      <c r="AS213" s="1715"/>
      <c r="AT213" s="948"/>
      <c r="AV213" s="1882"/>
      <c r="AW213" s="1879"/>
      <c r="AX213" s="1879"/>
      <c r="AY213" s="1879"/>
      <c r="AZ213" s="1879"/>
      <c r="BA213" s="1879">
        <v>0</v>
      </c>
      <c r="BB213" s="1879">
        <v>0</v>
      </c>
      <c r="BE213" s="1772"/>
      <c r="BF213" s="1718">
        <v>0</v>
      </c>
    </row>
    <row r="214" spans="1:58">
      <c r="A214" s="1120"/>
      <c r="B214" s="751"/>
      <c r="C214" s="991"/>
      <c r="D214" s="991"/>
      <c r="E214" s="991"/>
      <c r="F214" s="1086"/>
      <c r="G214" s="1879"/>
      <c r="H214" s="948"/>
      <c r="I214" s="948"/>
      <c r="J214" s="1879"/>
      <c r="K214" s="946"/>
      <c r="L214" s="946"/>
      <c r="M214" s="946"/>
      <c r="N214" s="946"/>
      <c r="O214" s="946"/>
      <c r="P214" s="946"/>
      <c r="Q214" s="946"/>
      <c r="R214" s="946"/>
      <c r="S214" s="946"/>
      <c r="T214" s="946"/>
      <c r="U214" s="946"/>
      <c r="V214" s="946"/>
      <c r="W214" s="1920"/>
      <c r="X214" s="1879"/>
      <c r="Y214" s="948"/>
      <c r="Z214" s="948"/>
      <c r="AA214" s="948"/>
      <c r="AB214" s="948"/>
      <c r="AC214" s="948"/>
      <c r="AD214" s="948"/>
      <c r="AE214" s="948"/>
      <c r="AF214" s="948"/>
      <c r="AG214" s="948"/>
      <c r="AH214" s="948"/>
      <c r="AI214" s="948"/>
      <c r="AJ214" s="948"/>
      <c r="AK214" s="1879"/>
      <c r="AL214" s="1881"/>
      <c r="AM214" s="948"/>
      <c r="AN214" s="948"/>
      <c r="AO214" s="948"/>
      <c r="AP214" s="948"/>
      <c r="AQ214" s="948"/>
      <c r="AR214" s="1714"/>
      <c r="AS214" s="1715"/>
      <c r="AT214" s="948"/>
      <c r="AV214" s="1882"/>
      <c r="AW214" s="1879"/>
      <c r="AX214" s="1879"/>
      <c r="AY214" s="1879"/>
      <c r="AZ214" s="1879"/>
      <c r="BA214" s="1879">
        <v>0</v>
      </c>
      <c r="BB214" s="1879">
        <v>0</v>
      </c>
      <c r="BE214" s="1772"/>
      <c r="BF214" s="1718">
        <v>0</v>
      </c>
    </row>
    <row r="215" spans="1:58">
      <c r="A215" s="1120"/>
      <c r="B215" s="751"/>
      <c r="C215" s="991"/>
      <c r="D215" s="991"/>
      <c r="E215" s="991"/>
      <c r="F215" s="1086"/>
      <c r="G215" s="1879"/>
      <c r="H215" s="948"/>
      <c r="I215" s="948"/>
      <c r="J215" s="1879"/>
      <c r="K215" s="946"/>
      <c r="L215" s="946"/>
      <c r="M215" s="946"/>
      <c r="N215" s="946"/>
      <c r="O215" s="946"/>
      <c r="P215" s="946"/>
      <c r="Q215" s="946"/>
      <c r="R215" s="946"/>
      <c r="S215" s="946"/>
      <c r="T215" s="946"/>
      <c r="U215" s="946"/>
      <c r="V215" s="946"/>
      <c r="W215" s="1920"/>
      <c r="X215" s="1879"/>
      <c r="Y215" s="948"/>
      <c r="Z215" s="948"/>
      <c r="AA215" s="948"/>
      <c r="AB215" s="948"/>
      <c r="AC215" s="948"/>
      <c r="AD215" s="948"/>
      <c r="AE215" s="948"/>
      <c r="AF215" s="948"/>
      <c r="AG215" s="948"/>
      <c r="AH215" s="948"/>
      <c r="AI215" s="948"/>
      <c r="AJ215" s="948"/>
      <c r="AK215" s="1879"/>
      <c r="AL215" s="1881"/>
      <c r="AM215" s="948"/>
      <c r="AN215" s="948"/>
      <c r="AO215" s="948"/>
      <c r="AP215" s="948"/>
      <c r="AQ215" s="948"/>
      <c r="AR215" s="1714"/>
      <c r="AS215" s="1715"/>
      <c r="AT215" s="948"/>
      <c r="AV215" s="1882"/>
      <c r="AW215" s="1879"/>
      <c r="AX215" s="1879"/>
      <c r="AY215" s="1879"/>
      <c r="AZ215" s="1879"/>
      <c r="BA215" s="1879">
        <v>0</v>
      </c>
      <c r="BB215" s="1879">
        <v>0</v>
      </c>
      <c r="BE215" s="1772"/>
      <c r="BF215" s="1718">
        <v>0</v>
      </c>
    </row>
    <row r="216" spans="1:58">
      <c r="A216" s="1120"/>
      <c r="B216" s="751"/>
      <c r="C216" s="991"/>
      <c r="D216" s="991"/>
      <c r="E216" s="991"/>
      <c r="F216" s="1086"/>
      <c r="G216" s="1879"/>
      <c r="H216" s="948"/>
      <c r="I216" s="948"/>
      <c r="J216" s="1879"/>
      <c r="K216" s="946"/>
      <c r="L216" s="946"/>
      <c r="M216" s="946"/>
      <c r="N216" s="946"/>
      <c r="O216" s="946"/>
      <c r="P216" s="946"/>
      <c r="Q216" s="946"/>
      <c r="R216" s="946"/>
      <c r="S216" s="946"/>
      <c r="T216" s="946"/>
      <c r="U216" s="946"/>
      <c r="V216" s="946"/>
      <c r="W216" s="1920"/>
      <c r="X216" s="1879"/>
      <c r="Y216" s="948"/>
      <c r="Z216" s="948"/>
      <c r="AA216" s="948"/>
      <c r="AB216" s="948"/>
      <c r="AC216" s="948"/>
      <c r="AD216" s="948"/>
      <c r="AE216" s="948"/>
      <c r="AF216" s="948"/>
      <c r="AG216" s="948"/>
      <c r="AH216" s="948"/>
      <c r="AI216" s="948"/>
      <c r="AJ216" s="948"/>
      <c r="AK216" s="1879"/>
      <c r="AL216" s="1881"/>
      <c r="AM216" s="948"/>
      <c r="AN216" s="948"/>
      <c r="AO216" s="948"/>
      <c r="AP216" s="948"/>
      <c r="AQ216" s="948"/>
      <c r="AR216" s="1714"/>
      <c r="AS216" s="1715"/>
      <c r="AT216" s="948"/>
      <c r="AV216" s="1882"/>
      <c r="AW216" s="1879"/>
      <c r="AX216" s="1879"/>
      <c r="AY216" s="1879"/>
      <c r="AZ216" s="1879"/>
      <c r="BA216" s="1879">
        <v>0</v>
      </c>
      <c r="BB216" s="1879">
        <v>0</v>
      </c>
      <c r="BE216" s="1772"/>
      <c r="BF216" s="1718">
        <v>0</v>
      </c>
    </row>
    <row r="217" spans="1:58">
      <c r="A217" s="1120"/>
      <c r="B217" s="751"/>
      <c r="C217" s="991"/>
      <c r="D217" s="991"/>
      <c r="E217" s="991"/>
      <c r="F217" s="1086"/>
      <c r="G217" s="1879"/>
      <c r="H217" s="948"/>
      <c r="I217" s="948"/>
      <c r="J217" s="1879"/>
      <c r="K217" s="946"/>
      <c r="L217" s="946"/>
      <c r="M217" s="946"/>
      <c r="N217" s="946"/>
      <c r="O217" s="946"/>
      <c r="P217" s="946"/>
      <c r="Q217" s="946"/>
      <c r="R217" s="946"/>
      <c r="S217" s="946"/>
      <c r="T217" s="946"/>
      <c r="U217" s="946"/>
      <c r="V217" s="946"/>
      <c r="W217" s="1920"/>
      <c r="X217" s="1879"/>
      <c r="Y217" s="948"/>
      <c r="Z217" s="948"/>
      <c r="AA217" s="948"/>
      <c r="AB217" s="948"/>
      <c r="AC217" s="948"/>
      <c r="AD217" s="948"/>
      <c r="AE217" s="948"/>
      <c r="AF217" s="948"/>
      <c r="AG217" s="948"/>
      <c r="AH217" s="948"/>
      <c r="AI217" s="948"/>
      <c r="AJ217" s="948"/>
      <c r="AK217" s="1879"/>
      <c r="AL217" s="1881"/>
      <c r="AM217" s="948"/>
      <c r="AN217" s="948"/>
      <c r="AO217" s="948"/>
      <c r="AP217" s="948"/>
      <c r="AQ217" s="948"/>
      <c r="AR217" s="1714"/>
      <c r="AS217" s="1715"/>
      <c r="AT217" s="948"/>
      <c r="AV217" s="1882"/>
      <c r="AW217" s="1879"/>
      <c r="AX217" s="1879"/>
      <c r="AY217" s="1879"/>
      <c r="AZ217" s="1879"/>
      <c r="BA217" s="1879"/>
      <c r="BB217" s="1879">
        <v>0</v>
      </c>
      <c r="BE217" s="1773"/>
      <c r="BF217" s="1718">
        <v>0</v>
      </c>
    </row>
    <row r="218" spans="1:58">
      <c r="A218" s="1929"/>
      <c r="B218" s="1929" t="s">
        <v>1699</v>
      </c>
      <c r="C218" s="1909">
        <v>209946827</v>
      </c>
      <c r="D218" s="1909">
        <v>145924036</v>
      </c>
      <c r="E218" s="1909">
        <v>64022791</v>
      </c>
      <c r="F218" s="1909">
        <v>31476362</v>
      </c>
      <c r="G218" s="1909">
        <v>10514025</v>
      </c>
      <c r="H218" s="1909">
        <v>551487</v>
      </c>
      <c r="I218" s="1909">
        <v>6590893</v>
      </c>
      <c r="J218" s="1909">
        <v>4554104</v>
      </c>
      <c r="K218" s="1909">
        <v>1323670</v>
      </c>
      <c r="L218" s="1909">
        <v>2351536</v>
      </c>
      <c r="M218" s="1909">
        <v>-921408</v>
      </c>
      <c r="N218" s="1909">
        <v>988643</v>
      </c>
      <c r="O218" s="1909">
        <v>1032138</v>
      </c>
      <c r="P218" s="1909">
        <v>300146</v>
      </c>
      <c r="Q218" s="1909">
        <v>964681</v>
      </c>
      <c r="R218" s="1909">
        <v>551487</v>
      </c>
      <c r="S218" s="1909">
        <v>1680925</v>
      </c>
      <c r="T218" s="1909">
        <v>828192</v>
      </c>
      <c r="U218" s="1909">
        <v>944282</v>
      </c>
      <c r="V218" s="1909">
        <v>-5490188</v>
      </c>
      <c r="W218" s="1912">
        <v>36030466</v>
      </c>
      <c r="X218" s="1909">
        <v>10049175</v>
      </c>
      <c r="Y218" s="1909">
        <v>568237</v>
      </c>
      <c r="Z218" s="1909">
        <v>272343</v>
      </c>
      <c r="AA218" s="1909">
        <v>972222</v>
      </c>
      <c r="AB218" s="1909">
        <v>1856286</v>
      </c>
      <c r="AC218" s="1909">
        <v>796539</v>
      </c>
      <c r="AD218" s="1909">
        <v>780233</v>
      </c>
      <c r="AE218" s="1909">
        <v>837343</v>
      </c>
      <c r="AF218" s="1909">
        <v>726504</v>
      </c>
      <c r="AG218" s="1909">
        <v>677664</v>
      </c>
      <c r="AH218" s="1909">
        <v>905317</v>
      </c>
      <c r="AI218" s="1909">
        <v>775525</v>
      </c>
      <c r="AJ218" s="1909">
        <v>880962</v>
      </c>
      <c r="AK218" s="1909">
        <v>46079641</v>
      </c>
      <c r="AL218" s="1909"/>
      <c r="AM218" s="1909">
        <v>9470410</v>
      </c>
      <c r="AN218" s="1909">
        <v>10000055</v>
      </c>
      <c r="AO218" s="1909">
        <v>10482076</v>
      </c>
      <c r="AP218" s="1909">
        <v>10970261</v>
      </c>
      <c r="AQ218" s="1909">
        <v>19623029</v>
      </c>
      <c r="AR218" s="1909"/>
      <c r="AS218" s="1909"/>
      <c r="AT218" s="1909"/>
      <c r="AV218" s="1909">
        <v>15140310</v>
      </c>
      <c r="AW218" s="1909">
        <v>17939213</v>
      </c>
      <c r="AX218" s="1909">
        <v>18635592</v>
      </c>
      <c r="AY218" s="1909">
        <v>18835222</v>
      </c>
      <c r="AZ218" s="1909">
        <v>18914555</v>
      </c>
      <c r="BA218" s="1909">
        <v>19623029</v>
      </c>
      <c r="BB218" s="1909">
        <v>0</v>
      </c>
      <c r="BD218" s="889" t="s">
        <v>1685</v>
      </c>
      <c r="BE218" s="1843">
        <v>10514025</v>
      </c>
      <c r="BF218" s="1843">
        <v>-1861874</v>
      </c>
    </row>
    <row r="219" spans="1:58">
      <c r="A219" s="1120" t="s">
        <v>1686</v>
      </c>
      <c r="B219" s="751" t="s">
        <v>2251</v>
      </c>
      <c r="C219" s="948"/>
      <c r="D219" s="948"/>
      <c r="E219" s="948"/>
      <c r="F219" s="948"/>
      <c r="G219" s="948"/>
      <c r="H219" s="947">
        <v>0</v>
      </c>
      <c r="I219" s="947">
        <v>0</v>
      </c>
      <c r="J219" s="1899">
        <v>0</v>
      </c>
      <c r="K219" s="1115">
        <v>0</v>
      </c>
      <c r="L219" s="946">
        <v>0</v>
      </c>
      <c r="M219" s="946">
        <v>0</v>
      </c>
      <c r="N219" s="946">
        <v>0</v>
      </c>
      <c r="O219" s="946">
        <v>0</v>
      </c>
      <c r="P219" s="946">
        <v>0</v>
      </c>
      <c r="Q219" s="946">
        <v>0</v>
      </c>
      <c r="R219" s="946">
        <v>0</v>
      </c>
      <c r="S219" s="946">
        <v>0</v>
      </c>
      <c r="T219" s="946">
        <v>0</v>
      </c>
      <c r="U219" s="946">
        <v>0</v>
      </c>
      <c r="V219" s="946">
        <v>0</v>
      </c>
      <c r="W219" s="1906">
        <v>0</v>
      </c>
      <c r="X219" s="948"/>
      <c r="Y219" s="948"/>
      <c r="Z219" s="948"/>
      <c r="AA219" s="948"/>
      <c r="AB219" s="948"/>
      <c r="AC219" s="948"/>
      <c r="AD219" s="948"/>
      <c r="AE219" s="948"/>
      <c r="AF219" s="948"/>
      <c r="AG219" s="948"/>
      <c r="AH219" s="948"/>
      <c r="AI219" s="948"/>
      <c r="AJ219" s="948"/>
      <c r="AK219" s="948"/>
      <c r="AL219" s="959"/>
      <c r="AM219" s="991"/>
      <c r="AN219" s="991"/>
      <c r="AO219" s="991"/>
      <c r="AP219" s="991"/>
      <c r="AQ219" s="991"/>
      <c r="AR219" s="1774" t="s">
        <v>1308</v>
      </c>
      <c r="AS219" s="1774" t="s">
        <v>1687</v>
      </c>
      <c r="AT219" s="1109"/>
      <c r="AV219" s="1909"/>
      <c r="AW219" s="1909"/>
      <c r="AX219" s="1909"/>
      <c r="AY219" s="1909"/>
      <c r="AZ219" s="1909"/>
      <c r="BA219" s="1909"/>
      <c r="BB219" s="1909"/>
    </row>
    <row r="220" spans="1:58">
      <c r="A220" s="1930"/>
      <c r="B220" s="1930" t="s">
        <v>1357</v>
      </c>
      <c r="C220" s="1931">
        <v>538908420</v>
      </c>
      <c r="D220" s="1931">
        <v>375980158</v>
      </c>
      <c r="E220" s="1931">
        <v>162928262</v>
      </c>
      <c r="F220" s="1931">
        <v>56400891</v>
      </c>
      <c r="G220" s="1931">
        <v>21060645</v>
      </c>
      <c r="H220" s="1931">
        <v>993725</v>
      </c>
      <c r="I220" s="1931">
        <v>6165113</v>
      </c>
      <c r="J220" s="1931">
        <v>-3550418</v>
      </c>
      <c r="K220" s="1931">
        <v>704450</v>
      </c>
      <c r="L220" s="1931">
        <v>2362946</v>
      </c>
      <c r="M220" s="1931">
        <v>-399892</v>
      </c>
      <c r="N220" s="1931">
        <v>1483684</v>
      </c>
      <c r="O220" s="1931">
        <v>1354145</v>
      </c>
      <c r="P220" s="1931">
        <v>-867807</v>
      </c>
      <c r="Q220" s="1931">
        <v>533862</v>
      </c>
      <c r="R220" s="1931">
        <v>993725</v>
      </c>
      <c r="S220" s="1931">
        <v>2480071</v>
      </c>
      <c r="T220" s="1931">
        <v>82720</v>
      </c>
      <c r="U220" s="1931">
        <v>1784096</v>
      </c>
      <c r="V220" s="1931">
        <v>-14062418</v>
      </c>
      <c r="W220" s="1932">
        <v>52850473</v>
      </c>
      <c r="X220" s="1931">
        <v>22131742</v>
      </c>
      <c r="Y220" s="1931">
        <v>1613915</v>
      </c>
      <c r="Z220" s="1931">
        <v>949850</v>
      </c>
      <c r="AA220" s="1931">
        <v>1897956</v>
      </c>
      <c r="AB220" s="1931">
        <v>2520796</v>
      </c>
      <c r="AC220" s="1931">
        <v>1455304</v>
      </c>
      <c r="AD220" s="1931">
        <v>1566096</v>
      </c>
      <c r="AE220" s="1931">
        <v>1511176</v>
      </c>
      <c r="AF220" s="1931">
        <v>692809</v>
      </c>
      <c r="AG220" s="1931">
        <v>495556</v>
      </c>
      <c r="AH220" s="1931">
        <v>3207032</v>
      </c>
      <c r="AI220" s="1931">
        <v>1510968</v>
      </c>
      <c r="AJ220" s="1931">
        <v>4710284</v>
      </c>
      <c r="AK220" s="1931">
        <v>74982215</v>
      </c>
      <c r="AL220" s="1931"/>
      <c r="AM220" s="1931">
        <v>21246077</v>
      </c>
      <c r="AN220" s="1931">
        <v>24084271</v>
      </c>
      <c r="AO220" s="1931">
        <v>24699862</v>
      </c>
      <c r="AP220" s="1931">
        <v>26560459</v>
      </c>
      <c r="AQ220" s="1931">
        <v>138528403</v>
      </c>
      <c r="AR220" s="1931"/>
      <c r="AS220" s="1780" t="s">
        <v>1272</v>
      </c>
      <c r="AT220" s="1779"/>
      <c r="AV220" s="1931">
        <v>61520547</v>
      </c>
      <c r="AW220" s="1931">
        <v>89157978</v>
      </c>
      <c r="AX220" s="1931">
        <v>103595335</v>
      </c>
      <c r="AY220" s="1931">
        <v>115653545</v>
      </c>
      <c r="AZ220" s="1931">
        <v>128090257</v>
      </c>
      <c r="BA220" s="1931">
        <v>138588403</v>
      </c>
      <c r="BB220" s="1931">
        <v>0</v>
      </c>
      <c r="BD220" s="889" t="s">
        <v>1685</v>
      </c>
      <c r="BE220" s="1777">
        <v>21060645</v>
      </c>
      <c r="BF220" s="1777">
        <v>-325927</v>
      </c>
    </row>
    <row r="221" spans="1:58">
      <c r="C221" s="956">
        <v>0</v>
      </c>
      <c r="D221" s="956">
        <v>0</v>
      </c>
      <c r="E221" s="956">
        <v>0</v>
      </c>
      <c r="F221" s="956"/>
      <c r="G221" s="956">
        <v>0</v>
      </c>
      <c r="H221" s="956"/>
      <c r="I221" s="956"/>
      <c r="K221" s="690">
        <v>0</v>
      </c>
      <c r="L221" s="690">
        <v>0</v>
      </c>
      <c r="M221" s="690">
        <v>0</v>
      </c>
      <c r="N221" s="690">
        <v>0</v>
      </c>
      <c r="O221" s="690">
        <v>0</v>
      </c>
      <c r="P221" s="690">
        <v>0</v>
      </c>
      <c r="Q221" s="690">
        <v>0</v>
      </c>
      <c r="R221" s="690">
        <v>0</v>
      </c>
      <c r="S221" s="690">
        <v>0</v>
      </c>
      <c r="T221" s="690">
        <v>0</v>
      </c>
      <c r="U221" s="690">
        <v>0</v>
      </c>
      <c r="V221" s="690"/>
      <c r="W221" s="690"/>
      <c r="X221" s="690"/>
      <c r="Y221" s="690"/>
      <c r="Z221" s="690"/>
      <c r="AA221" s="690"/>
      <c r="AB221" s="690"/>
      <c r="AC221" s="690"/>
      <c r="AD221" s="690"/>
      <c r="AE221" s="690"/>
      <c r="AF221" s="690"/>
      <c r="AG221" s="690"/>
      <c r="AH221" s="690"/>
      <c r="AI221" s="690"/>
      <c r="AJ221" s="690"/>
      <c r="AK221" s="690"/>
      <c r="AL221" s="690"/>
      <c r="AM221" s="690"/>
      <c r="AN221" s="690"/>
      <c r="AO221" s="690"/>
      <c r="AP221" s="690"/>
      <c r="AQ221" s="690"/>
      <c r="AR221" s="690"/>
      <c r="AS221" s="690"/>
      <c r="AT221" s="690"/>
      <c r="AV221" s="956">
        <v>0</v>
      </c>
      <c r="AW221" s="956">
        <v>0</v>
      </c>
      <c r="AX221" s="956">
        <v>0</v>
      </c>
      <c r="AY221" s="956">
        <v>0</v>
      </c>
      <c r="AZ221" s="956">
        <v>0</v>
      </c>
      <c r="BA221" s="956">
        <v>0</v>
      </c>
      <c r="BB221" s="956">
        <v>0</v>
      </c>
    </row>
    <row r="222" spans="1:58">
      <c r="J222" s="692">
        <v>0</v>
      </c>
      <c r="AV222" s="956">
        <v>0</v>
      </c>
      <c r="AW222" s="956">
        <v>0</v>
      </c>
      <c r="AX222" s="956">
        <v>0</v>
      </c>
      <c r="AY222" s="956">
        <v>0</v>
      </c>
      <c r="AZ222" s="956">
        <v>0</v>
      </c>
      <c r="BA222" s="956">
        <v>0</v>
      </c>
      <c r="BB222" s="956">
        <v>0</v>
      </c>
    </row>
    <row r="223" spans="1:58">
      <c r="AU223" s="872" t="s">
        <v>1761</v>
      </c>
      <c r="AV223" s="956">
        <v>0</v>
      </c>
      <c r="AW223" s="956">
        <v>0</v>
      </c>
      <c r="AX223" s="956">
        <v>0</v>
      </c>
      <c r="AY223" s="956">
        <v>0</v>
      </c>
      <c r="AZ223" s="956">
        <v>0</v>
      </c>
      <c r="BA223" s="956">
        <v>0</v>
      </c>
      <c r="BB223" s="956">
        <v>0</v>
      </c>
    </row>
    <row r="226" spans="1:58" ht="16.2" thickBot="1">
      <c r="A226" s="1933" t="s">
        <v>2300</v>
      </c>
      <c r="B226" s="1934"/>
      <c r="C226" s="1934"/>
      <c r="D226" s="1934"/>
      <c r="E226" s="1934"/>
      <c r="F226" s="1934"/>
      <c r="G226" s="1934"/>
      <c r="H226" s="1934"/>
      <c r="I226" s="1934"/>
      <c r="J226" s="1934"/>
      <c r="K226" s="1934"/>
      <c r="L226" s="1934"/>
      <c r="M226" s="1934"/>
      <c r="N226" s="1934"/>
      <c r="O226" s="1934"/>
      <c r="P226" s="1934"/>
      <c r="Q226" s="1934"/>
      <c r="R226" s="1934"/>
      <c r="S226" s="1934"/>
      <c r="T226" s="1934"/>
      <c r="U226" s="1934"/>
      <c r="V226" s="1934"/>
      <c r="W226" s="1934"/>
      <c r="X226" s="1934"/>
      <c r="Y226" s="1934"/>
      <c r="Z226" s="1934"/>
      <c r="AA226" s="1934"/>
      <c r="AB226" s="1934"/>
      <c r="AC226" s="1934"/>
      <c r="AD226" s="1934"/>
      <c r="AE226" s="1934"/>
      <c r="AF226" s="1934"/>
      <c r="AG226" s="1934"/>
      <c r="AH226" s="1934"/>
      <c r="AI226" s="1934"/>
      <c r="AJ226" s="1934"/>
      <c r="AK226" s="1934"/>
      <c r="AL226" s="1934"/>
      <c r="AM226" s="1934"/>
      <c r="AN226" s="1934"/>
      <c r="AO226" s="1934"/>
      <c r="AP226" s="1934"/>
      <c r="AQ226" s="1934"/>
      <c r="AR226" s="1934"/>
      <c r="AS226" s="1934"/>
      <c r="AT226" s="1934"/>
    </row>
    <row r="227" spans="1:58" ht="32.25" customHeight="1">
      <c r="A227" s="1935"/>
      <c r="B227" s="1936"/>
      <c r="C227" s="1937"/>
      <c r="D227" s="1938"/>
      <c r="E227" s="1939"/>
      <c r="F227" s="1940"/>
      <c r="G227" s="1417" t="s">
        <v>2256</v>
      </c>
      <c r="H227" s="1417">
        <v>8</v>
      </c>
      <c r="I227" s="1417" t="s">
        <v>1756</v>
      </c>
      <c r="J227" s="1417" t="s">
        <v>2257</v>
      </c>
      <c r="K227" s="1941" t="s">
        <v>1753</v>
      </c>
      <c r="L227" s="1941" t="s">
        <v>1658</v>
      </c>
      <c r="M227" s="1941" t="s">
        <v>1659</v>
      </c>
      <c r="N227" s="1941" t="s">
        <v>1660</v>
      </c>
      <c r="O227" s="1941" t="s">
        <v>1661</v>
      </c>
      <c r="P227" s="1941" t="s">
        <v>1662</v>
      </c>
      <c r="Q227" s="1941" t="s">
        <v>1663</v>
      </c>
      <c r="R227" s="1941" t="s">
        <v>1664</v>
      </c>
      <c r="S227" s="1941" t="s">
        <v>1665</v>
      </c>
      <c r="T227" s="1941" t="s">
        <v>1666</v>
      </c>
      <c r="U227" s="1941" t="s">
        <v>1667</v>
      </c>
      <c r="V227" s="1941" t="s">
        <v>1668</v>
      </c>
      <c r="W227" s="1417"/>
      <c r="X227" s="1417" t="s">
        <v>1758</v>
      </c>
      <c r="Y227" s="1941" t="s">
        <v>2211</v>
      </c>
      <c r="Z227" s="1941" t="s">
        <v>2212</v>
      </c>
      <c r="AA227" s="1941" t="s">
        <v>2213</v>
      </c>
      <c r="AB227" s="1941" t="s">
        <v>2214</v>
      </c>
      <c r="AC227" s="1941" t="s">
        <v>2215</v>
      </c>
      <c r="AD227" s="1941" t="s">
        <v>2216</v>
      </c>
      <c r="AE227" s="1941" t="s">
        <v>2217</v>
      </c>
      <c r="AF227" s="1941" t="s">
        <v>2218</v>
      </c>
      <c r="AG227" s="1941" t="s">
        <v>2219</v>
      </c>
      <c r="AH227" s="1941" t="s">
        <v>2220</v>
      </c>
      <c r="AI227" s="1941" t="s">
        <v>2221</v>
      </c>
      <c r="AJ227" s="1941" t="s">
        <v>2222</v>
      </c>
      <c r="AK227" s="1417"/>
      <c r="AL227" s="1942"/>
      <c r="AM227" s="1943">
        <v>2028</v>
      </c>
      <c r="AN227" s="1943" t="s">
        <v>1700</v>
      </c>
      <c r="AO227" s="1943" t="s">
        <v>1701</v>
      </c>
      <c r="AP227" s="1943" t="s">
        <v>1702</v>
      </c>
      <c r="AQ227" s="1944" t="s">
        <v>2205</v>
      </c>
      <c r="AR227" s="1942"/>
      <c r="AS227" s="1942"/>
      <c r="AT227" s="1945"/>
      <c r="AU227" s="749"/>
      <c r="AV227" s="749"/>
      <c r="AW227" s="749"/>
      <c r="BE227" s="1946" t="s">
        <v>2206</v>
      </c>
      <c r="BF227" s="1946" t="s">
        <v>2207</v>
      </c>
    </row>
    <row r="228" spans="1:58" s="1954" customFormat="1" ht="20.25" customHeight="1">
      <c r="A228" s="1947" t="s">
        <v>1703</v>
      </c>
      <c r="B228" s="1948" t="s">
        <v>2301</v>
      </c>
      <c r="C228" s="1949" t="s">
        <v>1704</v>
      </c>
      <c r="D228" s="1949"/>
      <c r="E228" s="1949"/>
      <c r="F228" s="1950"/>
      <c r="G228" s="1951">
        <v>60980256</v>
      </c>
      <c r="H228" s="1952">
        <v>4682215</v>
      </c>
      <c r="I228" s="1952">
        <v>35998834</v>
      </c>
      <c r="J228" s="1952">
        <v>55677177</v>
      </c>
      <c r="K228" s="1638">
        <v>4446306</v>
      </c>
      <c r="L228" s="1638">
        <v>4503249</v>
      </c>
      <c r="M228" s="1638">
        <v>4412699</v>
      </c>
      <c r="N228" s="1638">
        <v>4422725</v>
      </c>
      <c r="O228" s="1638">
        <v>4429823</v>
      </c>
      <c r="P228" s="1638">
        <v>4306830</v>
      </c>
      <c r="Q228" s="1638">
        <v>4794987</v>
      </c>
      <c r="R228" s="1638">
        <v>4682215</v>
      </c>
      <c r="S228" s="1638">
        <v>5095257</v>
      </c>
      <c r="T228" s="1638">
        <v>4630315</v>
      </c>
      <c r="U228" s="1638">
        <v>4650430</v>
      </c>
      <c r="V228" s="1638">
        <v>5302341</v>
      </c>
      <c r="W228" s="1638"/>
      <c r="X228" s="1638">
        <v>67479003</v>
      </c>
      <c r="Y228" s="1638">
        <v>6805729</v>
      </c>
      <c r="Z228" s="1638">
        <v>5414880</v>
      </c>
      <c r="AA228" s="1638">
        <v>5144940</v>
      </c>
      <c r="AB228" s="1638">
        <v>5184968</v>
      </c>
      <c r="AC228" s="1638">
        <v>5684652</v>
      </c>
      <c r="AD228" s="1638">
        <v>5622065</v>
      </c>
      <c r="AE228" s="1638">
        <v>5480544</v>
      </c>
      <c r="AF228" s="1638">
        <v>5542324</v>
      </c>
      <c r="AG228" s="1638">
        <v>5801498</v>
      </c>
      <c r="AH228" s="1638">
        <v>5755812</v>
      </c>
      <c r="AI228" s="1638">
        <v>5391098</v>
      </c>
      <c r="AJ228" s="1638">
        <v>5650493</v>
      </c>
      <c r="AK228" s="1638"/>
      <c r="AL228" s="1638"/>
      <c r="AM228" s="1638">
        <v>73161666</v>
      </c>
      <c r="AN228" s="1638">
        <v>77429002</v>
      </c>
      <c r="AO228" s="1638">
        <v>81007966</v>
      </c>
      <c r="AP228" s="1638">
        <v>84397696</v>
      </c>
      <c r="AQ228" s="1638">
        <v>0</v>
      </c>
      <c r="AR228" s="1638"/>
      <c r="AS228" s="1638"/>
      <c r="AT228" s="1953"/>
      <c r="AU228" s="1641"/>
      <c r="AV228" s="1641"/>
      <c r="AW228" s="1641"/>
      <c r="BE228" s="1955">
        <v>60980256</v>
      </c>
      <c r="BF228" s="1955">
        <v>6498747</v>
      </c>
    </row>
    <row r="229" spans="1:58" s="912" customFormat="1" ht="20.25" customHeight="1">
      <c r="A229" s="1956" t="s">
        <v>2302</v>
      </c>
      <c r="B229" s="1957" t="s">
        <v>2303</v>
      </c>
      <c r="C229" s="1958" t="s">
        <v>1705</v>
      </c>
      <c r="D229" s="1958"/>
      <c r="E229" s="1958"/>
      <c r="F229" s="1959"/>
      <c r="G229" s="1960">
        <v>-42874826</v>
      </c>
      <c r="H229" s="1960">
        <v>-3028580</v>
      </c>
      <c r="I229" s="1960">
        <v>-20412320</v>
      </c>
      <c r="J229" s="1960">
        <v>-34763486</v>
      </c>
      <c r="K229" s="1960">
        <v>-2648114</v>
      </c>
      <c r="L229" s="1960">
        <v>-1752137</v>
      </c>
      <c r="M229" s="1960">
        <v>-2764792</v>
      </c>
      <c r="N229" s="1960">
        <v>-2460066</v>
      </c>
      <c r="O229" s="1960">
        <v>-2415689</v>
      </c>
      <c r="P229" s="1960">
        <v>-2494306</v>
      </c>
      <c r="Q229" s="1960">
        <v>-2848636</v>
      </c>
      <c r="R229" s="1960">
        <v>-3028580</v>
      </c>
      <c r="S229" s="1960">
        <v>-3082179</v>
      </c>
      <c r="T229" s="1960">
        <v>-3781530</v>
      </c>
      <c r="U229" s="1960">
        <v>-3925904</v>
      </c>
      <c r="V229" s="1960">
        <v>-3561553</v>
      </c>
      <c r="W229" s="1961">
        <v>0</v>
      </c>
      <c r="X229" s="1961">
        <v>-48386566</v>
      </c>
      <c r="Y229" s="1961">
        <v>-4205319</v>
      </c>
      <c r="Z229" s="1961">
        <v>-3144259</v>
      </c>
      <c r="AA229" s="1961">
        <v>-4954576</v>
      </c>
      <c r="AB229" s="1961">
        <v>-4029224</v>
      </c>
      <c r="AC229" s="1961">
        <v>-4448671</v>
      </c>
      <c r="AD229" s="1961">
        <v>-3851465</v>
      </c>
      <c r="AE229" s="1961">
        <v>-3939797</v>
      </c>
      <c r="AF229" s="1961">
        <v>-3865725</v>
      </c>
      <c r="AG229" s="1961">
        <v>-3798916</v>
      </c>
      <c r="AH229" s="1961">
        <v>-3975353</v>
      </c>
      <c r="AI229" s="1961">
        <v>-4038341</v>
      </c>
      <c r="AJ229" s="1961">
        <v>-4134920</v>
      </c>
      <c r="AK229" s="1961"/>
      <c r="AL229" s="1961"/>
      <c r="AM229" s="1961">
        <v>-49223529</v>
      </c>
      <c r="AN229" s="1961">
        <v>-52432465</v>
      </c>
      <c r="AO229" s="1961">
        <v>-55178598</v>
      </c>
      <c r="AP229" s="1961">
        <v>-57229195</v>
      </c>
      <c r="AQ229" s="1961">
        <v>0</v>
      </c>
      <c r="AR229" s="1961"/>
      <c r="AS229" s="1961"/>
      <c r="AT229" s="1962"/>
      <c r="AU229" s="534"/>
      <c r="AV229" s="534"/>
      <c r="AW229" s="534"/>
      <c r="BE229" s="1963">
        <v>-42874826</v>
      </c>
      <c r="BF229" s="1963">
        <v>-5511740</v>
      </c>
    </row>
    <row r="230" spans="1:58" ht="20.25" customHeight="1">
      <c r="A230" s="1964" t="s">
        <v>1706</v>
      </c>
      <c r="B230" s="1965" t="s">
        <v>2304</v>
      </c>
      <c r="C230" s="1966" t="s">
        <v>1707</v>
      </c>
      <c r="D230" s="1966"/>
      <c r="E230" s="1966"/>
      <c r="F230" s="1966"/>
      <c r="G230" s="1967">
        <v>-36977422</v>
      </c>
      <c r="H230" s="1967">
        <v>-2432051</v>
      </c>
      <c r="I230" s="1967">
        <v>-17903346</v>
      </c>
      <c r="J230" s="1967">
        <v>-30905312</v>
      </c>
      <c r="K230" s="1968">
        <v>-2339372</v>
      </c>
      <c r="L230" s="1968">
        <v>-1507374</v>
      </c>
      <c r="M230" s="1968">
        <v>-2413042</v>
      </c>
      <c r="N230" s="1968">
        <v>-2175530</v>
      </c>
      <c r="O230" s="1968">
        <v>-2158949</v>
      </c>
      <c r="P230" s="1968">
        <v>-2266237</v>
      </c>
      <c r="Q230" s="1968">
        <v>-2610791</v>
      </c>
      <c r="R230" s="1968">
        <v>-2432051</v>
      </c>
      <c r="S230" s="1968">
        <v>-2779514</v>
      </c>
      <c r="T230" s="1968">
        <v>-3295595</v>
      </c>
      <c r="U230" s="1968">
        <v>-3627486</v>
      </c>
      <c r="V230" s="1968">
        <v>-3299371</v>
      </c>
      <c r="W230" s="1968"/>
      <c r="X230" s="1968">
        <v>-41895793</v>
      </c>
      <c r="Y230" s="1968">
        <v>-3690986</v>
      </c>
      <c r="Z230" s="1968">
        <v>-2660940</v>
      </c>
      <c r="AA230" s="1968">
        <v>-4410768</v>
      </c>
      <c r="AB230" s="1968">
        <v>-3544244</v>
      </c>
      <c r="AC230" s="1968">
        <v>-3560717</v>
      </c>
      <c r="AD230" s="1968">
        <v>-3362560</v>
      </c>
      <c r="AE230" s="1968">
        <v>-3455291</v>
      </c>
      <c r="AF230" s="1968">
        <v>-3386448</v>
      </c>
      <c r="AG230" s="1968">
        <v>-3313337</v>
      </c>
      <c r="AH230" s="1968">
        <v>-3309820</v>
      </c>
      <c r="AI230" s="1968">
        <v>-3552647</v>
      </c>
      <c r="AJ230" s="1968">
        <v>-3648035</v>
      </c>
      <c r="AK230" s="1968"/>
      <c r="AL230" s="1968"/>
      <c r="AM230" s="1968">
        <v>-42153136</v>
      </c>
      <c r="AN230" s="1968">
        <v>-44929501</v>
      </c>
      <c r="AO230" s="1968">
        <v>-47056483</v>
      </c>
      <c r="AP230" s="1968">
        <v>-48746738</v>
      </c>
      <c r="AQ230" s="1968">
        <v>0</v>
      </c>
      <c r="AR230" s="1968"/>
      <c r="AS230" s="1968"/>
      <c r="AT230" s="1969"/>
      <c r="AU230" s="537"/>
      <c r="AV230" s="537"/>
      <c r="AW230" s="537"/>
      <c r="BE230" s="1729">
        <v>-39344893</v>
      </c>
      <c r="BF230" s="1729">
        <v>-2550900</v>
      </c>
    </row>
    <row r="231" spans="1:58" ht="20.25" customHeight="1">
      <c r="A231" s="1964" t="s">
        <v>1708</v>
      </c>
      <c r="B231" s="1965" t="s">
        <v>2305</v>
      </c>
      <c r="C231" s="1966" t="s">
        <v>1709</v>
      </c>
      <c r="D231" s="1966"/>
      <c r="E231" s="1966"/>
      <c r="F231" s="1966"/>
      <c r="G231" s="1967">
        <v>-3529933</v>
      </c>
      <c r="H231" s="1967">
        <v>-539914</v>
      </c>
      <c r="I231" s="1967">
        <v>-1837916</v>
      </c>
      <c r="J231" s="1967">
        <v>-2962616</v>
      </c>
      <c r="K231" s="1968">
        <v>-176738</v>
      </c>
      <c r="L231" s="1968">
        <v>-151068</v>
      </c>
      <c r="M231" s="1968">
        <v>-187012</v>
      </c>
      <c r="N231" s="1968">
        <v>-189943</v>
      </c>
      <c r="O231" s="1968">
        <v>-190973</v>
      </c>
      <c r="P231" s="1968">
        <v>-197964</v>
      </c>
      <c r="Q231" s="1968">
        <v>-204304</v>
      </c>
      <c r="R231" s="1968">
        <v>-539914</v>
      </c>
      <c r="S231" s="1968">
        <v>-220415</v>
      </c>
      <c r="T231" s="1968">
        <v>-403685</v>
      </c>
      <c r="U231" s="1968">
        <v>-268418</v>
      </c>
      <c r="V231" s="1968">
        <v>-232182</v>
      </c>
      <c r="W231" s="1968"/>
      <c r="X231" s="1968">
        <v>-5830773</v>
      </c>
      <c r="Y231" s="1968">
        <v>-459333</v>
      </c>
      <c r="Z231" s="1968">
        <v>-428319</v>
      </c>
      <c r="AA231" s="1968">
        <v>-488808</v>
      </c>
      <c r="AB231" s="1968">
        <v>-429980</v>
      </c>
      <c r="AC231" s="1968">
        <v>-832954</v>
      </c>
      <c r="AD231" s="1968">
        <v>-433905</v>
      </c>
      <c r="AE231" s="1968">
        <v>-429506</v>
      </c>
      <c r="AF231" s="1968">
        <v>-424277</v>
      </c>
      <c r="AG231" s="1968">
        <v>-430579</v>
      </c>
      <c r="AH231" s="1968">
        <v>-610533</v>
      </c>
      <c r="AI231" s="1968">
        <v>-430694</v>
      </c>
      <c r="AJ231" s="1968">
        <v>-431885</v>
      </c>
      <c r="AK231" s="1968"/>
      <c r="AL231" s="1968"/>
      <c r="AM231" s="1968">
        <v>-7070393</v>
      </c>
      <c r="AN231" s="1968">
        <v>-7502964</v>
      </c>
      <c r="AO231" s="1968">
        <v>-8122115</v>
      </c>
      <c r="AP231" s="1968">
        <v>-8482457</v>
      </c>
      <c r="AQ231" s="1968">
        <v>0</v>
      </c>
      <c r="AR231" s="1968"/>
      <c r="AS231" s="1968"/>
      <c r="AT231" s="1969"/>
      <c r="AU231" s="537"/>
      <c r="AV231" s="537"/>
      <c r="AW231" s="537"/>
      <c r="BE231" s="1729">
        <v>-3529933</v>
      </c>
      <c r="BF231" s="1729">
        <v>-2300840</v>
      </c>
    </row>
    <row r="232" spans="1:58" ht="20.25" customHeight="1">
      <c r="A232" s="1964" t="s">
        <v>1706</v>
      </c>
      <c r="B232" s="1965" t="s">
        <v>2306</v>
      </c>
      <c r="C232" s="1966" t="s">
        <v>1710</v>
      </c>
      <c r="D232" s="1966"/>
      <c r="E232" s="1966"/>
      <c r="F232" s="1966"/>
      <c r="G232" s="1967">
        <v>-2367471</v>
      </c>
      <c r="H232" s="1967">
        <v>-56615</v>
      </c>
      <c r="I232" s="1967">
        <v>-671058</v>
      </c>
      <c r="J232" s="1967">
        <v>-895558</v>
      </c>
      <c r="K232" s="1968">
        <v>-132004</v>
      </c>
      <c r="L232" s="1968">
        <v>-93695</v>
      </c>
      <c r="M232" s="1968">
        <v>-164738</v>
      </c>
      <c r="N232" s="1968">
        <v>-94593</v>
      </c>
      <c r="O232" s="1968">
        <v>-65767</v>
      </c>
      <c r="P232" s="1968">
        <v>-30105</v>
      </c>
      <c r="Q232" s="1968">
        <v>-33541</v>
      </c>
      <c r="R232" s="1968">
        <v>-56615</v>
      </c>
      <c r="S232" s="1968">
        <v>-82250</v>
      </c>
      <c r="T232" s="1968">
        <v>-82250</v>
      </c>
      <c r="U232" s="1968">
        <v>-30000</v>
      </c>
      <c r="V232" s="1968">
        <v>-30000</v>
      </c>
      <c r="W232" s="1968"/>
      <c r="X232" s="1968">
        <v>-660000</v>
      </c>
      <c r="Y232" s="1968">
        <v>-55000</v>
      </c>
      <c r="Z232" s="1968">
        <v>-55000</v>
      </c>
      <c r="AA232" s="1968">
        <v>-55000</v>
      </c>
      <c r="AB232" s="1968">
        <v>-55000</v>
      </c>
      <c r="AC232" s="1968">
        <v>-55000</v>
      </c>
      <c r="AD232" s="1968">
        <v>-55000</v>
      </c>
      <c r="AE232" s="1968">
        <v>-55000</v>
      </c>
      <c r="AF232" s="1968">
        <v>-55000</v>
      </c>
      <c r="AG232" s="1968">
        <v>-55000</v>
      </c>
      <c r="AH232" s="1968">
        <v>-55000</v>
      </c>
      <c r="AI232" s="1968">
        <v>-55000</v>
      </c>
      <c r="AJ232" s="1968">
        <v>-55000</v>
      </c>
      <c r="AK232" s="1968"/>
      <c r="AL232" s="1968"/>
      <c r="AM232" s="1968">
        <v>0</v>
      </c>
      <c r="AN232" s="1968">
        <v>0</v>
      </c>
      <c r="AO232" s="1968">
        <v>0</v>
      </c>
      <c r="AP232" s="1968">
        <v>0</v>
      </c>
      <c r="AQ232" s="1968">
        <v>0</v>
      </c>
      <c r="AR232" s="1968"/>
      <c r="AS232" s="1968"/>
      <c r="AT232" s="1969"/>
      <c r="AU232" s="537"/>
      <c r="AV232" s="537"/>
      <c r="AW232" s="537"/>
      <c r="BE232" s="1729"/>
      <c r="BF232" s="1729"/>
    </row>
    <row r="233" spans="1:58" ht="20.25" customHeight="1">
      <c r="A233" s="1970" t="s">
        <v>1711</v>
      </c>
      <c r="B233" s="1971" t="s">
        <v>2307</v>
      </c>
      <c r="C233" s="1972" t="s">
        <v>1712</v>
      </c>
      <c r="D233" s="1972"/>
      <c r="E233" s="1972"/>
      <c r="F233" s="1972"/>
      <c r="G233" s="1973">
        <v>18105430</v>
      </c>
      <c r="H233" s="1973">
        <v>1653635</v>
      </c>
      <c r="I233" s="1973">
        <v>15586514</v>
      </c>
      <c r="J233" s="1973">
        <v>20913691</v>
      </c>
      <c r="K233" s="1973">
        <v>1798192</v>
      </c>
      <c r="L233" s="1973">
        <v>2751112</v>
      </c>
      <c r="M233" s="1973">
        <v>1647907</v>
      </c>
      <c r="N233" s="1973">
        <v>1962659</v>
      </c>
      <c r="O233" s="1973">
        <v>2014134</v>
      </c>
      <c r="P233" s="1973">
        <v>1812524</v>
      </c>
      <c r="Q233" s="1973">
        <v>1946351</v>
      </c>
      <c r="R233" s="1973">
        <v>1653635</v>
      </c>
      <c r="S233" s="1973">
        <v>2013078</v>
      </c>
      <c r="T233" s="1973">
        <v>848785</v>
      </c>
      <c r="U233" s="1973">
        <v>724526</v>
      </c>
      <c r="V233" s="1973">
        <v>1740788</v>
      </c>
      <c r="W233" s="1973">
        <v>0</v>
      </c>
      <c r="X233" s="1973">
        <v>19092437</v>
      </c>
      <c r="Y233" s="1973">
        <v>2600410</v>
      </c>
      <c r="Z233" s="1973">
        <v>2270621</v>
      </c>
      <c r="AA233" s="1973">
        <v>190364</v>
      </c>
      <c r="AB233" s="1973">
        <v>1155744</v>
      </c>
      <c r="AC233" s="1973">
        <v>1235981</v>
      </c>
      <c r="AD233" s="1973">
        <v>1770600</v>
      </c>
      <c r="AE233" s="1973">
        <v>1540747</v>
      </c>
      <c r="AF233" s="1973">
        <v>1676599</v>
      </c>
      <c r="AG233" s="1973">
        <v>2002582</v>
      </c>
      <c r="AH233" s="1973">
        <v>1780459</v>
      </c>
      <c r="AI233" s="1973">
        <v>1352757</v>
      </c>
      <c r="AJ233" s="1973">
        <v>1515573</v>
      </c>
      <c r="AK233" s="1973">
        <v>0</v>
      </c>
      <c r="AL233" s="1973"/>
      <c r="AM233" s="1973">
        <v>23938137</v>
      </c>
      <c r="AN233" s="1973">
        <v>24996537</v>
      </c>
      <c r="AO233" s="1973">
        <v>25829368</v>
      </c>
      <c r="AP233" s="1973">
        <v>27168501</v>
      </c>
      <c r="AQ233" s="1973">
        <v>0</v>
      </c>
      <c r="AR233" s="1973"/>
      <c r="AS233" s="1973"/>
      <c r="AT233" s="1974"/>
      <c r="AU233" s="956"/>
      <c r="AV233" s="956"/>
      <c r="AW233" s="956"/>
      <c r="BE233" s="1975">
        <v>18105430</v>
      </c>
      <c r="BF233" s="1975">
        <v>987007</v>
      </c>
    </row>
    <row r="234" spans="1:58" s="1954" customFormat="1" ht="20.25" customHeight="1">
      <c r="A234" s="1976" t="s">
        <v>1713</v>
      </c>
      <c r="B234" s="1977" t="s">
        <v>2308</v>
      </c>
      <c r="C234" s="1978" t="s">
        <v>1714</v>
      </c>
      <c r="D234" s="1978"/>
      <c r="E234" s="1978"/>
      <c r="F234" s="1978"/>
      <c r="G234" s="1979">
        <v>5808497</v>
      </c>
      <c r="H234" s="1979">
        <v>394006</v>
      </c>
      <c r="I234" s="1979">
        <v>3440308</v>
      </c>
      <c r="J234" s="1979">
        <v>5024042.3999999994</v>
      </c>
      <c r="K234" s="1979">
        <v>474024</v>
      </c>
      <c r="L234" s="1979">
        <v>454252</v>
      </c>
      <c r="M234" s="1979">
        <v>467898</v>
      </c>
      <c r="N234" s="1979">
        <v>479410</v>
      </c>
      <c r="O234" s="1979">
        <v>385293</v>
      </c>
      <c r="P234" s="1979">
        <v>384518</v>
      </c>
      <c r="Q234" s="1979">
        <v>400907</v>
      </c>
      <c r="R234" s="1979">
        <v>394006</v>
      </c>
      <c r="S234" s="1979">
        <v>395933.60000000003</v>
      </c>
      <c r="T234" s="1979">
        <v>395933.60000000003</v>
      </c>
      <c r="U234" s="1979">
        <v>395933.60000000003</v>
      </c>
      <c r="V234" s="1979">
        <v>395933.60000000003</v>
      </c>
      <c r="W234" s="1979"/>
      <c r="X234" s="1979">
        <v>6174107</v>
      </c>
      <c r="Y234" s="1979">
        <v>503093</v>
      </c>
      <c r="Z234" s="1979">
        <v>503093</v>
      </c>
      <c r="AA234" s="1979">
        <v>503093</v>
      </c>
      <c r="AB234" s="1979">
        <v>503093</v>
      </c>
      <c r="AC234" s="1979">
        <v>503093</v>
      </c>
      <c r="AD234" s="1979">
        <v>503093</v>
      </c>
      <c r="AE234" s="1979">
        <v>525839</v>
      </c>
      <c r="AF234" s="1979">
        <v>525942</v>
      </c>
      <c r="AG234" s="1979">
        <v>525942</v>
      </c>
      <c r="AH234" s="1979">
        <v>525942</v>
      </c>
      <c r="AI234" s="1979">
        <v>525942</v>
      </c>
      <c r="AJ234" s="1979">
        <v>525942</v>
      </c>
      <c r="AK234" s="1979">
        <v>0</v>
      </c>
      <c r="AL234" s="1979"/>
      <c r="AM234" s="1979">
        <v>5486380</v>
      </c>
      <c r="AN234" s="1979">
        <v>5733267</v>
      </c>
      <c r="AO234" s="1979">
        <v>5991264</v>
      </c>
      <c r="AP234" s="1979">
        <v>6260871</v>
      </c>
      <c r="AQ234" s="1979">
        <v>0</v>
      </c>
      <c r="AR234" s="1979"/>
      <c r="AS234" s="1979"/>
      <c r="AT234" s="1980"/>
      <c r="BE234" s="1981">
        <v>5808497</v>
      </c>
      <c r="BF234" s="1981">
        <v>365610</v>
      </c>
    </row>
    <row r="235" spans="1:58" ht="20.25" customHeight="1">
      <c r="A235" s="1982" t="s">
        <v>1715</v>
      </c>
      <c r="B235" s="1983" t="s">
        <v>2309</v>
      </c>
      <c r="C235" s="1972" t="s">
        <v>1716</v>
      </c>
      <c r="D235" s="1972"/>
      <c r="E235" s="1972"/>
      <c r="F235" s="1972"/>
      <c r="G235" s="1973">
        <v>2367471</v>
      </c>
      <c r="H235" s="1973">
        <v>56615</v>
      </c>
      <c r="I235" s="1973">
        <v>671058</v>
      </c>
      <c r="J235" s="1973">
        <v>895558</v>
      </c>
      <c r="K235" s="1973">
        <v>132004</v>
      </c>
      <c r="L235" s="1973">
        <v>93695</v>
      </c>
      <c r="M235" s="1973">
        <v>164738</v>
      </c>
      <c r="N235" s="1973">
        <v>94593</v>
      </c>
      <c r="O235" s="1973">
        <v>65767</v>
      </c>
      <c r="P235" s="1973">
        <v>30105</v>
      </c>
      <c r="Q235" s="1973">
        <v>33541</v>
      </c>
      <c r="R235" s="1973">
        <v>56615</v>
      </c>
      <c r="S235" s="1973">
        <v>82250</v>
      </c>
      <c r="T235" s="1973">
        <v>82250</v>
      </c>
      <c r="U235" s="1973">
        <v>30000</v>
      </c>
      <c r="V235" s="1973">
        <v>30000</v>
      </c>
      <c r="W235" s="1973"/>
      <c r="X235" s="1973">
        <v>660000</v>
      </c>
      <c r="Y235" s="1973">
        <v>55000</v>
      </c>
      <c r="Z235" s="1973">
        <v>55000</v>
      </c>
      <c r="AA235" s="1973">
        <v>55000</v>
      </c>
      <c r="AB235" s="1973">
        <v>55000</v>
      </c>
      <c r="AC235" s="1973">
        <v>55000</v>
      </c>
      <c r="AD235" s="1973">
        <v>55000</v>
      </c>
      <c r="AE235" s="1973">
        <v>55000</v>
      </c>
      <c r="AF235" s="1973">
        <v>55000</v>
      </c>
      <c r="AG235" s="1973">
        <v>55000</v>
      </c>
      <c r="AH235" s="1973">
        <v>55000</v>
      </c>
      <c r="AI235" s="1973">
        <v>55000</v>
      </c>
      <c r="AJ235" s="1973">
        <v>55000</v>
      </c>
      <c r="AK235" s="1973">
        <v>0</v>
      </c>
      <c r="AL235" s="1973"/>
      <c r="AM235" s="1973">
        <v>0</v>
      </c>
      <c r="AN235" s="1973">
        <v>0</v>
      </c>
      <c r="AO235" s="1973">
        <v>0</v>
      </c>
      <c r="AP235" s="1973">
        <v>0</v>
      </c>
      <c r="AQ235" s="1973">
        <v>0</v>
      </c>
      <c r="AR235" s="1973"/>
      <c r="AS235" s="1973"/>
      <c r="AT235" s="1974"/>
      <c r="AU235" s="956"/>
      <c r="AV235" s="956"/>
      <c r="AW235" s="956"/>
      <c r="BE235" s="1729">
        <v>2367471</v>
      </c>
      <c r="BF235" s="1729">
        <v>-1707471</v>
      </c>
    </row>
    <row r="236" spans="1:58" s="1954" customFormat="1" ht="20.25" customHeight="1">
      <c r="A236" s="1976" t="s">
        <v>1717</v>
      </c>
      <c r="B236" s="1977" t="s">
        <v>2310</v>
      </c>
      <c r="C236" s="1978" t="s">
        <v>1718</v>
      </c>
      <c r="D236" s="1978"/>
      <c r="E236" s="1978"/>
      <c r="F236" s="1978"/>
      <c r="G236" s="1979">
        <v>1033241</v>
      </c>
      <c r="H236" s="1979">
        <v>23938</v>
      </c>
      <c r="I236" s="1979">
        <v>254473</v>
      </c>
      <c r="J236" s="1979">
        <v>1035721</v>
      </c>
      <c r="K236" s="1979">
        <v>24586</v>
      </c>
      <c r="L236" s="1979">
        <v>21941</v>
      </c>
      <c r="M236" s="1979">
        <v>60426</v>
      </c>
      <c r="N236" s="1979">
        <v>39545</v>
      </c>
      <c r="O236" s="1979">
        <v>23944</v>
      </c>
      <c r="P236" s="1979">
        <v>23953</v>
      </c>
      <c r="Q236" s="1979">
        <v>36140</v>
      </c>
      <c r="R236" s="1979">
        <v>23938</v>
      </c>
      <c r="S236" s="1979">
        <v>27339</v>
      </c>
      <c r="T236" s="1979">
        <v>49338</v>
      </c>
      <c r="U236" s="1979">
        <v>24836</v>
      </c>
      <c r="V236" s="1979">
        <v>679735</v>
      </c>
      <c r="W236" s="1979"/>
      <c r="X236" s="1979">
        <v>1556352</v>
      </c>
      <c r="Y236" s="1979">
        <v>193174</v>
      </c>
      <c r="Z236" s="1979">
        <v>43174</v>
      </c>
      <c r="AA236" s="1979">
        <v>56569</v>
      </c>
      <c r="AB236" s="1979">
        <v>357171</v>
      </c>
      <c r="AC236" s="1979">
        <v>46372</v>
      </c>
      <c r="AD236" s="1979">
        <v>117671</v>
      </c>
      <c r="AE236" s="1979">
        <v>43169</v>
      </c>
      <c r="AF236" s="1979">
        <v>55171</v>
      </c>
      <c r="AG236" s="1979">
        <v>52672</v>
      </c>
      <c r="AH236" s="1979">
        <v>63171</v>
      </c>
      <c r="AI236" s="1979">
        <v>43169</v>
      </c>
      <c r="AJ236" s="1979">
        <v>484869</v>
      </c>
      <c r="AK236" s="1979">
        <v>0</v>
      </c>
      <c r="AL236" s="1979"/>
      <c r="AM236" s="1979">
        <v>1868951</v>
      </c>
      <c r="AN236" s="1979">
        <v>1631701</v>
      </c>
      <c r="AO236" s="1979">
        <v>1698556.6666666667</v>
      </c>
      <c r="AP236" s="1979">
        <v>1922556.6666666667</v>
      </c>
      <c r="AQ236" s="1979">
        <v>0</v>
      </c>
      <c r="AR236" s="1979"/>
      <c r="AS236" s="1979"/>
      <c r="AT236" s="1980"/>
      <c r="BE236" s="1981">
        <v>1033241</v>
      </c>
      <c r="BF236" s="1981">
        <v>523111</v>
      </c>
    </row>
    <row r="237" spans="1:58" ht="20.25" customHeight="1">
      <c r="A237" s="1984" t="s">
        <v>1719</v>
      </c>
      <c r="B237" s="1983" t="s">
        <v>2311</v>
      </c>
      <c r="C237" s="1972" t="s">
        <v>1720</v>
      </c>
      <c r="D237" s="1972"/>
      <c r="E237" s="1972"/>
      <c r="F237" s="1972"/>
      <c r="G237" s="1973">
        <v>0</v>
      </c>
      <c r="H237" s="1973">
        <v>0</v>
      </c>
      <c r="I237" s="1973">
        <v>-776973</v>
      </c>
      <c r="J237" s="1973">
        <v>-1176973</v>
      </c>
      <c r="K237" s="1973">
        <v>0</v>
      </c>
      <c r="L237" s="1973">
        <v>0</v>
      </c>
      <c r="M237" s="1973">
        <v>0</v>
      </c>
      <c r="N237" s="1973">
        <v>0</v>
      </c>
      <c r="O237" s="1973">
        <v>0</v>
      </c>
      <c r="P237" s="1973">
        <v>-776973</v>
      </c>
      <c r="Q237" s="1973">
        <v>0</v>
      </c>
      <c r="R237" s="1973">
        <v>0</v>
      </c>
      <c r="S237" s="1973">
        <v>0</v>
      </c>
      <c r="T237" s="1973">
        <v>0</v>
      </c>
      <c r="U237" s="1973">
        <v>0</v>
      </c>
      <c r="V237" s="1973">
        <v>-400000</v>
      </c>
      <c r="W237" s="1973"/>
      <c r="X237" s="1973">
        <v>-1200000</v>
      </c>
      <c r="Y237" s="1973">
        <v>0</v>
      </c>
      <c r="Z237" s="1973">
        <v>0</v>
      </c>
      <c r="AA237" s="1973">
        <v>0</v>
      </c>
      <c r="AB237" s="1973">
        <v>0</v>
      </c>
      <c r="AC237" s="1973">
        <v>0</v>
      </c>
      <c r="AD237" s="1973">
        <v>-600000</v>
      </c>
      <c r="AE237" s="1973">
        <v>0</v>
      </c>
      <c r="AF237" s="1973">
        <v>0</v>
      </c>
      <c r="AG237" s="1973">
        <v>0</v>
      </c>
      <c r="AH237" s="1973">
        <v>0</v>
      </c>
      <c r="AI237" s="1973">
        <v>0</v>
      </c>
      <c r="AJ237" s="1973">
        <v>-600000</v>
      </c>
      <c r="AK237" s="1973"/>
      <c r="AL237" s="1973"/>
      <c r="AM237" s="1973"/>
      <c r="AN237" s="1973"/>
      <c r="AO237" s="1973"/>
      <c r="AP237" s="1973"/>
      <c r="AQ237" s="1973"/>
      <c r="AR237" s="1973"/>
      <c r="AS237" s="1973"/>
      <c r="AT237" s="1974"/>
      <c r="AU237" s="956"/>
      <c r="AV237" s="956"/>
      <c r="AW237" s="956"/>
      <c r="BE237" s="1729"/>
      <c r="BF237" s="1729"/>
    </row>
    <row r="238" spans="1:58" s="1954" customFormat="1" ht="20.25" customHeight="1">
      <c r="A238" s="1985" t="s">
        <v>1721</v>
      </c>
      <c r="B238" s="1986" t="s">
        <v>2312</v>
      </c>
      <c r="C238" s="1987" t="s">
        <v>1722</v>
      </c>
      <c r="D238" s="1988"/>
      <c r="E238" s="1988"/>
      <c r="F238" s="1987"/>
      <c r="G238" s="1979">
        <v>14293792</v>
      </c>
      <c r="H238" s="1979">
        <v>1120189</v>
      </c>
      <c r="I238" s="1979">
        <v>8869574</v>
      </c>
      <c r="J238" s="1979">
        <v>13488587</v>
      </c>
      <c r="K238" s="1979">
        <v>698149</v>
      </c>
      <c r="L238" s="1979">
        <v>1384971</v>
      </c>
      <c r="M238" s="1979">
        <v>1160176</v>
      </c>
      <c r="N238" s="1979">
        <v>1110927</v>
      </c>
      <c r="O238" s="1979">
        <v>1185372</v>
      </c>
      <c r="P238" s="1979">
        <v>1104725</v>
      </c>
      <c r="Q238" s="1979">
        <v>1105065</v>
      </c>
      <c r="R238" s="1979">
        <v>1120189</v>
      </c>
      <c r="S238" s="1979">
        <v>1143215</v>
      </c>
      <c r="T238" s="1979">
        <v>1139784</v>
      </c>
      <c r="U238" s="1979">
        <v>1160784</v>
      </c>
      <c r="V238" s="1979">
        <v>1175230</v>
      </c>
      <c r="W238" s="1979"/>
      <c r="X238" s="1979">
        <v>13748886</v>
      </c>
      <c r="Y238" s="1979">
        <v>1122823</v>
      </c>
      <c r="Z238" s="1979">
        <v>1135826</v>
      </c>
      <c r="AA238" s="1979">
        <v>1122822</v>
      </c>
      <c r="AB238" s="1979">
        <v>1135825</v>
      </c>
      <c r="AC238" s="1979">
        <v>1187823</v>
      </c>
      <c r="AD238" s="1979">
        <v>1135826</v>
      </c>
      <c r="AE238" s="1979">
        <v>1129822</v>
      </c>
      <c r="AF238" s="1979">
        <v>1147823</v>
      </c>
      <c r="AG238" s="1979">
        <v>1174825</v>
      </c>
      <c r="AH238" s="1979">
        <v>1157825</v>
      </c>
      <c r="AI238" s="1979">
        <v>1154823</v>
      </c>
      <c r="AJ238" s="1979">
        <v>1142823</v>
      </c>
      <c r="AK238" s="1979">
        <v>0</v>
      </c>
      <c r="AL238" s="1979"/>
      <c r="AM238" s="1979">
        <v>13828374.186666669</v>
      </c>
      <c r="AN238" s="1979">
        <v>10456506.048959998</v>
      </c>
      <c r="AO238" s="1979">
        <v>10460946.837603839</v>
      </c>
      <c r="AP238" s="1979">
        <v>10586524.528672053</v>
      </c>
      <c r="AQ238" s="1979">
        <v>0</v>
      </c>
      <c r="AR238" s="1979"/>
      <c r="AS238" s="1979"/>
      <c r="AT238" s="1980"/>
      <c r="BE238" s="1981">
        <v>14293792</v>
      </c>
      <c r="BF238" s="1981">
        <v>-544906</v>
      </c>
    </row>
    <row r="239" spans="1:58" s="1954" customFormat="1" ht="20.25" customHeight="1">
      <c r="A239" s="1985" t="s">
        <v>2313</v>
      </c>
      <c r="B239" s="1989" t="s">
        <v>2314</v>
      </c>
      <c r="C239" s="1978" t="s">
        <v>1723</v>
      </c>
      <c r="D239" s="1978"/>
      <c r="E239" s="1978"/>
      <c r="F239" s="1990"/>
      <c r="G239" s="1979">
        <v>-12225975.094462262</v>
      </c>
      <c r="H239" s="1979">
        <v>-963362.54</v>
      </c>
      <c r="I239" s="1979">
        <v>-7627834.1400000006</v>
      </c>
      <c r="J239" s="1979">
        <v>-11600185.320000002</v>
      </c>
      <c r="K239" s="1979">
        <v>-600408.14</v>
      </c>
      <c r="L239" s="1979">
        <v>-1191075.06</v>
      </c>
      <c r="M239" s="1979">
        <v>-997751.36</v>
      </c>
      <c r="N239" s="1979">
        <v>-955397.22</v>
      </c>
      <c r="O239" s="1979">
        <v>-1019419.92</v>
      </c>
      <c r="P239" s="1979">
        <v>-950064</v>
      </c>
      <c r="Q239" s="1979">
        <v>-950355.9</v>
      </c>
      <c r="R239" s="1979">
        <v>-963362.54</v>
      </c>
      <c r="S239" s="1979">
        <v>-983164.9</v>
      </c>
      <c r="T239" s="1979">
        <v>-980214.24</v>
      </c>
      <c r="U239" s="1979">
        <v>-998274.24</v>
      </c>
      <c r="V239" s="1979">
        <v>-1010697.7999999999</v>
      </c>
      <c r="W239" s="1979"/>
      <c r="X239" s="1979">
        <v>-11824046</v>
      </c>
      <c r="Y239" s="1979">
        <v>-965628</v>
      </c>
      <c r="Z239" s="1979">
        <v>-976811</v>
      </c>
      <c r="AA239" s="1979">
        <v>-965627</v>
      </c>
      <c r="AB239" s="1979">
        <v>-976810</v>
      </c>
      <c r="AC239" s="1979">
        <v>-1021528</v>
      </c>
      <c r="AD239" s="1979">
        <v>-976811</v>
      </c>
      <c r="AE239" s="1979">
        <v>-971647</v>
      </c>
      <c r="AF239" s="1979">
        <v>-987128</v>
      </c>
      <c r="AG239" s="1979">
        <v>-1010350</v>
      </c>
      <c r="AH239" s="1979">
        <v>-995730</v>
      </c>
      <c r="AI239" s="1979">
        <v>-993148</v>
      </c>
      <c r="AJ239" s="1979">
        <v>-982828</v>
      </c>
      <c r="AK239" s="1979"/>
      <c r="AL239" s="1979"/>
      <c r="AM239" s="1979">
        <v>-11892402</v>
      </c>
      <c r="AN239" s="1979">
        <v>-8992596</v>
      </c>
      <c r="AO239" s="1979">
        <v>-8996414</v>
      </c>
      <c r="AP239" s="1979">
        <v>-9104412</v>
      </c>
      <c r="AQ239" s="1979"/>
      <c r="AR239" s="1979"/>
      <c r="AS239" s="1979"/>
      <c r="AT239" s="1980"/>
      <c r="BE239" s="1981">
        <v>-12225975.094462262</v>
      </c>
      <c r="BF239" s="1981">
        <v>401929.09446226247</v>
      </c>
    </row>
    <row r="240" spans="1:58" ht="20.25" customHeight="1" thickBot="1">
      <c r="A240" s="1991" t="s">
        <v>1724</v>
      </c>
      <c r="B240" s="1992" t="s">
        <v>2315</v>
      </c>
      <c r="C240" s="1993" t="s">
        <v>1725</v>
      </c>
      <c r="D240" s="1993"/>
      <c r="E240" s="1993"/>
      <c r="F240" s="1993"/>
      <c r="G240" s="1994">
        <v>29382455.905537739</v>
      </c>
      <c r="H240" s="1994">
        <v>2285020.46</v>
      </c>
      <c r="I240" s="1994">
        <v>20417119.859999999</v>
      </c>
      <c r="J240" s="1994">
        <v>28580441.079999998</v>
      </c>
      <c r="K240" s="1994">
        <v>2526546.86</v>
      </c>
      <c r="L240" s="1994">
        <v>3514895.94</v>
      </c>
      <c r="M240" s="1994">
        <v>2503393.64</v>
      </c>
      <c r="N240" s="1994">
        <v>2731736.7800000003</v>
      </c>
      <c r="O240" s="1994">
        <v>2655090.08</v>
      </c>
      <c r="P240" s="1994">
        <v>1628788</v>
      </c>
      <c r="Q240" s="1994">
        <v>2571648.1</v>
      </c>
      <c r="R240" s="1994">
        <v>2285020.46</v>
      </c>
      <c r="S240" s="1994">
        <v>2678650.7000000002</v>
      </c>
      <c r="T240" s="1994">
        <v>1535876.36</v>
      </c>
      <c r="U240" s="1994">
        <v>1337805.3600000001</v>
      </c>
      <c r="V240" s="1994">
        <v>2610988.8000000003</v>
      </c>
      <c r="W240" s="1994">
        <v>0</v>
      </c>
      <c r="X240" s="1994">
        <v>28207736</v>
      </c>
      <c r="Y240" s="1994">
        <v>3508872</v>
      </c>
      <c r="Z240" s="1994">
        <v>3030903</v>
      </c>
      <c r="AA240" s="1994">
        <v>962221</v>
      </c>
      <c r="AB240" s="1994">
        <v>2230023</v>
      </c>
      <c r="AC240" s="1994">
        <v>2006741</v>
      </c>
      <c r="AD240" s="1994">
        <v>2005379</v>
      </c>
      <c r="AE240" s="1994">
        <v>2322930</v>
      </c>
      <c r="AF240" s="1994">
        <v>2473407</v>
      </c>
      <c r="AG240" s="1994">
        <v>2800671</v>
      </c>
      <c r="AH240" s="1994">
        <v>2586667</v>
      </c>
      <c r="AI240" s="1994">
        <v>2138543</v>
      </c>
      <c r="AJ240" s="1994">
        <v>2141379</v>
      </c>
      <c r="AK240" s="1994">
        <v>0</v>
      </c>
      <c r="AL240" s="1994">
        <v>0</v>
      </c>
      <c r="AM240" s="1994">
        <v>33229440.186666667</v>
      </c>
      <c r="AN240" s="1994">
        <v>33825415.04896</v>
      </c>
      <c r="AO240" s="1994">
        <v>34983721.504270509</v>
      </c>
      <c r="AP240" s="1994">
        <v>36834041.195338719</v>
      </c>
      <c r="AQ240" s="1994">
        <v>0</v>
      </c>
      <c r="AR240" s="1994"/>
      <c r="AS240" s="1994"/>
      <c r="AT240" s="1995"/>
      <c r="AU240" s="537"/>
      <c r="AV240" s="537"/>
      <c r="AW240" s="537"/>
      <c r="BD240" s="889" t="s">
        <v>1685</v>
      </c>
      <c r="BE240" s="1975">
        <v>29382455.905537739</v>
      </c>
      <c r="BF240" s="1975">
        <v>-1174719.9055377394</v>
      </c>
    </row>
    <row r="241" spans="1:58">
      <c r="A241" s="858"/>
      <c r="B241" s="956"/>
      <c r="C241" s="858"/>
      <c r="D241" s="858"/>
      <c r="E241" s="858"/>
      <c r="F241" s="858"/>
      <c r="G241" s="858">
        <v>0</v>
      </c>
      <c r="H241" s="858">
        <v>0</v>
      </c>
      <c r="I241" s="858">
        <v>0</v>
      </c>
      <c r="J241" s="858">
        <v>0</v>
      </c>
      <c r="K241" s="858">
        <v>0</v>
      </c>
      <c r="L241" s="858">
        <v>0</v>
      </c>
      <c r="M241" s="858">
        <v>0</v>
      </c>
      <c r="N241" s="858">
        <v>0</v>
      </c>
      <c r="O241" s="858">
        <v>0</v>
      </c>
      <c r="P241" s="858">
        <v>0</v>
      </c>
      <c r="Q241" s="858">
        <v>0</v>
      </c>
      <c r="R241" s="858">
        <v>0</v>
      </c>
      <c r="S241" s="858">
        <v>0</v>
      </c>
      <c r="T241" s="858">
        <v>0</v>
      </c>
      <c r="U241" s="858">
        <v>0</v>
      </c>
      <c r="V241" s="858">
        <v>0</v>
      </c>
      <c r="W241" s="858"/>
      <c r="X241" s="858"/>
      <c r="Y241" s="858"/>
      <c r="Z241" s="858"/>
      <c r="AA241" s="858"/>
      <c r="AB241" s="858"/>
      <c r="AC241" s="858"/>
      <c r="AD241" s="858"/>
      <c r="AE241" s="858"/>
      <c r="AL241" s="858"/>
      <c r="AM241" s="858"/>
      <c r="AN241" s="858"/>
      <c r="AO241" s="858"/>
      <c r="AU241" s="858"/>
      <c r="AV241" s="858"/>
      <c r="AW241" s="858"/>
    </row>
    <row r="244" spans="1:58">
      <c r="A244" s="1851" t="s">
        <v>2316</v>
      </c>
    </row>
    <row r="245" spans="1:58">
      <c r="A245" s="1996" t="s">
        <v>1726</v>
      </c>
      <c r="B245" s="1997" t="s">
        <v>2317</v>
      </c>
      <c r="C245" s="1998" t="s">
        <v>2318</v>
      </c>
      <c r="D245" s="1999"/>
      <c r="E245" s="1999"/>
      <c r="F245" s="2000"/>
      <c r="G245" s="2001">
        <v>3258</v>
      </c>
      <c r="H245" s="2001">
        <v>0</v>
      </c>
      <c r="I245" s="2001">
        <v>17724</v>
      </c>
      <c r="J245" s="709">
        <v>21500</v>
      </c>
      <c r="K245" s="2001"/>
      <c r="L245" s="2001"/>
      <c r="M245" s="2001"/>
      <c r="N245" s="2001"/>
      <c r="O245" s="2001"/>
      <c r="P245" s="2001">
        <v>17724</v>
      </c>
      <c r="Q245" s="2001"/>
      <c r="R245" s="2001"/>
      <c r="S245" s="2001"/>
      <c r="T245" s="2001"/>
      <c r="U245" s="2001"/>
      <c r="V245" s="2001">
        <v>3776</v>
      </c>
      <c r="W245" s="2001"/>
      <c r="X245" s="709">
        <v>21332</v>
      </c>
      <c r="Y245" s="2001"/>
      <c r="Z245" s="2001"/>
      <c r="AA245" s="2001"/>
      <c r="AB245" s="2001"/>
      <c r="AC245" s="2001"/>
      <c r="AD245" s="2001">
        <v>6397</v>
      </c>
      <c r="AE245" s="2001"/>
      <c r="AF245" s="2001"/>
      <c r="AG245" s="2001"/>
      <c r="AH245" s="2001"/>
      <c r="AI245" s="2001"/>
      <c r="AJ245" s="2001">
        <v>14935</v>
      </c>
      <c r="AK245" s="2002"/>
      <c r="AL245" s="2001"/>
      <c r="AM245" s="2001"/>
      <c r="AN245" s="2001"/>
      <c r="AO245" s="2001"/>
      <c r="AP245" s="2002"/>
      <c r="AQ245" s="2002"/>
      <c r="AR245" s="2002"/>
      <c r="AS245" s="2002"/>
      <c r="AT245" s="2003"/>
      <c r="AU245" s="2004"/>
      <c r="AV245" s="858"/>
      <c r="AW245" s="858"/>
      <c r="BE245" s="2005">
        <v>3258</v>
      </c>
      <c r="BF245" s="2005">
        <v>18074</v>
      </c>
    </row>
    <row r="246" spans="1:58">
      <c r="A246" s="2006" t="s">
        <v>1727</v>
      </c>
      <c r="B246" s="2007" t="s">
        <v>2319</v>
      </c>
      <c r="C246" s="2008" t="s">
        <v>1728</v>
      </c>
      <c r="D246" s="2007"/>
      <c r="E246" s="2007"/>
      <c r="F246" s="2009"/>
      <c r="G246" s="2001">
        <v>534654</v>
      </c>
      <c r="H246" s="2001">
        <v>42370</v>
      </c>
      <c r="I246" s="2001">
        <v>379930</v>
      </c>
      <c r="J246" s="709">
        <v>534654</v>
      </c>
      <c r="K246" s="2001">
        <v>52591</v>
      </c>
      <c r="L246" s="2001">
        <v>51140</v>
      </c>
      <c r="M246" s="2001">
        <v>49686</v>
      </c>
      <c r="N246" s="2001">
        <v>48229</v>
      </c>
      <c r="O246" s="2001">
        <v>46769</v>
      </c>
      <c r="P246" s="2001">
        <v>45306</v>
      </c>
      <c r="Q246" s="2001">
        <v>43839</v>
      </c>
      <c r="R246" s="2001">
        <v>42370</v>
      </c>
      <c r="S246" s="2001">
        <v>40897</v>
      </c>
      <c r="T246" s="2001">
        <v>39421</v>
      </c>
      <c r="U246" s="2001">
        <v>37943</v>
      </c>
      <c r="V246" s="2001">
        <v>36463</v>
      </c>
      <c r="W246" s="2001"/>
      <c r="X246" s="709">
        <v>333050</v>
      </c>
      <c r="Y246" s="690">
        <v>35989</v>
      </c>
      <c r="Z246" s="690">
        <v>34503</v>
      </c>
      <c r="AA246" s="690">
        <v>33013</v>
      </c>
      <c r="AB246" s="690">
        <v>31519</v>
      </c>
      <c r="AC246" s="690">
        <v>30024</v>
      </c>
      <c r="AD246" s="690">
        <v>28524</v>
      </c>
      <c r="AE246" s="690">
        <v>27021</v>
      </c>
      <c r="AF246" s="690">
        <v>25516</v>
      </c>
      <c r="AG246" s="690">
        <v>24007</v>
      </c>
      <c r="AH246" s="690">
        <v>22495</v>
      </c>
      <c r="AI246" s="690">
        <v>20979</v>
      </c>
      <c r="AJ246" s="690">
        <v>19460</v>
      </c>
      <c r="AK246" s="2002"/>
      <c r="AL246" s="2001"/>
      <c r="AM246" s="2001">
        <v>111577</v>
      </c>
      <c r="AN246" s="2001">
        <v>533925</v>
      </c>
      <c r="AO246" s="2001">
        <v>318222</v>
      </c>
      <c r="AP246" s="2002">
        <v>109165</v>
      </c>
      <c r="AQ246" s="2002"/>
      <c r="AR246" s="2002"/>
      <c r="AS246" s="2002"/>
      <c r="AT246" s="2003"/>
      <c r="AU246" s="954"/>
      <c r="AV246" s="956"/>
      <c r="AW246" s="956"/>
      <c r="BE246" s="1729">
        <v>534654</v>
      </c>
      <c r="BF246" s="1729">
        <v>-201604</v>
      </c>
    </row>
    <row r="247" spans="1:58">
      <c r="A247" s="2010" t="s">
        <v>1729</v>
      </c>
      <c r="B247" s="2011" t="s">
        <v>2320</v>
      </c>
      <c r="C247" s="2011"/>
      <c r="D247" s="2011"/>
      <c r="E247" s="2011"/>
      <c r="F247" s="2012"/>
      <c r="G247" s="2013">
        <v>-531396</v>
      </c>
      <c r="H247" s="2013">
        <v>-42370</v>
      </c>
      <c r="I247" s="2013">
        <v>-362206</v>
      </c>
      <c r="J247" s="2013">
        <v>-513154</v>
      </c>
      <c r="K247" s="2013">
        <v>-52591</v>
      </c>
      <c r="L247" s="2013">
        <v>-51140</v>
      </c>
      <c r="M247" s="2013">
        <v>-49686</v>
      </c>
      <c r="N247" s="2013">
        <v>-48229</v>
      </c>
      <c r="O247" s="2013">
        <v>-46769</v>
      </c>
      <c r="P247" s="2013">
        <v>-27582</v>
      </c>
      <c r="Q247" s="2013">
        <v>-43839</v>
      </c>
      <c r="R247" s="2013">
        <v>-42370</v>
      </c>
      <c r="S247" s="2013">
        <v>-40897</v>
      </c>
      <c r="T247" s="2013">
        <v>-39421</v>
      </c>
      <c r="U247" s="2013">
        <v>-37943</v>
      </c>
      <c r="V247" s="2013">
        <v>-32687</v>
      </c>
      <c r="W247" s="2013">
        <v>0</v>
      </c>
      <c r="X247" s="2013">
        <v>-311718</v>
      </c>
      <c r="Y247" s="2013">
        <v>-35989</v>
      </c>
      <c r="Z247" s="2013">
        <v>-34503</v>
      </c>
      <c r="AA247" s="2013">
        <v>-33013</v>
      </c>
      <c r="AB247" s="2013">
        <v>-31519</v>
      </c>
      <c r="AC247" s="2013">
        <v>-30024</v>
      </c>
      <c r="AD247" s="2013">
        <v>-22127</v>
      </c>
      <c r="AE247" s="2013">
        <v>-27021</v>
      </c>
      <c r="AF247" s="2013">
        <v>-25516</v>
      </c>
      <c r="AG247" s="2013">
        <v>-24007</v>
      </c>
      <c r="AH247" s="2013">
        <v>-22495</v>
      </c>
      <c r="AI247" s="2013">
        <v>-20979</v>
      </c>
      <c r="AJ247" s="2013">
        <v>-4525</v>
      </c>
      <c r="AK247" s="2013">
        <v>0</v>
      </c>
      <c r="AL247" s="2013">
        <v>0</v>
      </c>
      <c r="AM247" s="2013">
        <v>-111577</v>
      </c>
      <c r="AN247" s="2013">
        <v>-533925</v>
      </c>
      <c r="AO247" s="2013">
        <v>-318222</v>
      </c>
      <c r="AP247" s="2013">
        <v>-109165</v>
      </c>
      <c r="AQ247" s="2013">
        <v>0</v>
      </c>
      <c r="AR247" s="2014"/>
      <c r="AS247" s="2014"/>
      <c r="AT247" s="2015"/>
      <c r="AU247" s="2016"/>
      <c r="AV247" s="537"/>
      <c r="AW247" s="537"/>
      <c r="BE247" s="1975">
        <v>-531396</v>
      </c>
      <c r="BF247" s="1975">
        <v>219678</v>
      </c>
    </row>
    <row r="248" spans="1:58">
      <c r="A248" s="2017" t="s">
        <v>1730</v>
      </c>
      <c r="B248" s="2018" t="s">
        <v>2321</v>
      </c>
      <c r="C248" s="2019" t="s">
        <v>2322</v>
      </c>
      <c r="D248" s="2018"/>
      <c r="E248" s="2018"/>
      <c r="F248" s="2020"/>
      <c r="G248" s="2021">
        <v>2955215</v>
      </c>
      <c r="H248" s="2021">
        <v>-659910</v>
      </c>
      <c r="I248" s="2021">
        <v>-9421401</v>
      </c>
      <c r="J248" s="2022">
        <v>-24464109</v>
      </c>
      <c r="K248" s="2022">
        <v>-1093742</v>
      </c>
      <c r="L248" s="2022">
        <v>-388166</v>
      </c>
      <c r="M248" s="2022">
        <v>-2047799</v>
      </c>
      <c r="N248" s="2022">
        <v>-478975</v>
      </c>
      <c r="O248" s="2022">
        <v>-659989</v>
      </c>
      <c r="P248" s="2022">
        <v>-2680331</v>
      </c>
      <c r="Q248" s="2022">
        <v>-1412489</v>
      </c>
      <c r="R248" s="2022">
        <v>-659910</v>
      </c>
      <c r="S248" s="2022">
        <v>466993</v>
      </c>
      <c r="T248" s="2022">
        <v>-766065</v>
      </c>
      <c r="U248" s="2022">
        <v>1059570</v>
      </c>
      <c r="V248" s="2022">
        <v>-15803206</v>
      </c>
      <c r="W248" s="2022"/>
      <c r="X248" s="2022">
        <v>3039305</v>
      </c>
      <c r="Y248" s="2022">
        <v>-986495</v>
      </c>
      <c r="Z248" s="2022">
        <v>-1320771</v>
      </c>
      <c r="AA248" s="2022">
        <v>1707592</v>
      </c>
      <c r="AB248" s="2022">
        <v>1365052</v>
      </c>
      <c r="AC248" s="2022">
        <v>219323</v>
      </c>
      <c r="AD248" s="2022">
        <v>-204504</v>
      </c>
      <c r="AE248" s="2022">
        <v>-29571</v>
      </c>
      <c r="AF248" s="2022">
        <v>-983790</v>
      </c>
      <c r="AG248" s="2022">
        <v>-1507026</v>
      </c>
      <c r="AH248" s="2022">
        <v>1426573</v>
      </c>
      <c r="AI248" s="2022">
        <v>158211</v>
      </c>
      <c r="AJ248" s="2022">
        <v>3194711</v>
      </c>
      <c r="AK248" s="2022"/>
      <c r="AL248" s="2022"/>
      <c r="AM248" s="2022">
        <v>-2692060</v>
      </c>
      <c r="AN248" s="2022">
        <v>-912266</v>
      </c>
      <c r="AO248" s="2022">
        <v>-1129506</v>
      </c>
      <c r="AP248" s="2022">
        <v>-608042</v>
      </c>
      <c r="AQ248" s="2022">
        <v>138528403</v>
      </c>
      <c r="AR248" s="2022"/>
      <c r="AS248" s="2022"/>
      <c r="AT248" s="2023"/>
      <c r="AU248" s="2016"/>
      <c r="AV248" s="537"/>
      <c r="AW248" s="537"/>
      <c r="BE248" s="1729">
        <v>2955215</v>
      </c>
      <c r="BF248" s="1729">
        <v>84090</v>
      </c>
    </row>
    <row r="249" spans="1:58">
      <c r="A249" s="2024" t="s">
        <v>1731</v>
      </c>
      <c r="B249" s="2025" t="s">
        <v>2323</v>
      </c>
      <c r="C249" s="2025"/>
      <c r="D249" s="2025"/>
      <c r="E249" s="2025"/>
      <c r="F249" s="2026"/>
      <c r="G249" s="2014">
        <v>-8853206.9055377394</v>
      </c>
      <c r="H249" s="2014">
        <v>-1333665.46</v>
      </c>
      <c r="I249" s="2014">
        <v>-14614212.859999999</v>
      </c>
      <c r="J249" s="2014">
        <v>-32644013.079999998</v>
      </c>
      <c r="K249" s="2014">
        <v>-1874687.8599999999</v>
      </c>
      <c r="L249" s="2014">
        <v>-1203089.94</v>
      </c>
      <c r="M249" s="2014">
        <v>-2952971.64</v>
      </c>
      <c r="N249" s="2014">
        <v>-1296281.7800000003</v>
      </c>
      <c r="O249" s="2014">
        <v>-1347714.08</v>
      </c>
      <c r="P249" s="2014">
        <v>-2524177</v>
      </c>
      <c r="Q249" s="2014">
        <v>-2081625.1</v>
      </c>
      <c r="R249" s="2014">
        <v>-1333665.46</v>
      </c>
      <c r="S249" s="2014">
        <v>-239476.70000000019</v>
      </c>
      <c r="T249" s="2014">
        <v>-1492577.36</v>
      </c>
      <c r="U249" s="2014">
        <v>408347.6399999999</v>
      </c>
      <c r="V249" s="2014">
        <v>-16706093.800000001</v>
      </c>
      <c r="W249" s="2014">
        <v>52850473</v>
      </c>
      <c r="X249" s="2014">
        <v>-6387712</v>
      </c>
      <c r="Y249" s="2014">
        <v>-1930946</v>
      </c>
      <c r="Z249" s="2014">
        <v>-2115556</v>
      </c>
      <c r="AA249" s="2014">
        <v>902722</v>
      </c>
      <c r="AB249" s="2014">
        <v>259254</v>
      </c>
      <c r="AC249" s="2014">
        <v>-581461</v>
      </c>
      <c r="AD249" s="2014">
        <v>-461410</v>
      </c>
      <c r="AE249" s="2014">
        <v>-838775</v>
      </c>
      <c r="AF249" s="2014">
        <v>-1806114</v>
      </c>
      <c r="AG249" s="2014">
        <v>-2329122</v>
      </c>
      <c r="AH249" s="2014">
        <v>597870</v>
      </c>
      <c r="AI249" s="2014">
        <v>-648554</v>
      </c>
      <c r="AJ249" s="2014">
        <v>2564380</v>
      </c>
      <c r="AK249" s="2014">
        <v>74982215</v>
      </c>
      <c r="AL249" s="2014">
        <v>0</v>
      </c>
      <c r="AM249" s="2014">
        <v>-12094940.186666667</v>
      </c>
      <c r="AN249" s="2014">
        <v>-10275069.04896</v>
      </c>
      <c r="AO249" s="2014">
        <v>-10602081.504270509</v>
      </c>
      <c r="AP249" s="2014">
        <v>-10382747.195338719</v>
      </c>
      <c r="AQ249" s="2014">
        <v>138528403</v>
      </c>
      <c r="AR249" s="2014"/>
      <c r="AS249" s="2014"/>
      <c r="AT249" s="2015"/>
      <c r="AU249" s="2016"/>
      <c r="AV249" s="537"/>
      <c r="AW249" s="537"/>
      <c r="BD249" s="889" t="s">
        <v>1685</v>
      </c>
      <c r="BE249" s="1975">
        <v>-8853206.9055377394</v>
      </c>
      <c r="BF249" s="1975">
        <v>2465494.9055377394</v>
      </c>
    </row>
    <row r="250" spans="1:58">
      <c r="G250" s="956">
        <v>0</v>
      </c>
    </row>
    <row r="254" spans="1:58">
      <c r="A254" s="1851" t="s">
        <v>1732</v>
      </c>
      <c r="X254" s="889"/>
      <c r="Y254" s="889"/>
    </row>
    <row r="255" spans="1:58">
      <c r="A255" s="2027" t="s">
        <v>1733</v>
      </c>
      <c r="B255" s="2027"/>
      <c r="C255" s="2027" t="s">
        <v>2324</v>
      </c>
      <c r="D255" s="2027"/>
      <c r="E255" s="2027"/>
      <c r="F255" s="2027"/>
      <c r="G255" s="2027">
        <v>108501000</v>
      </c>
      <c r="H255" s="2028">
        <v>0</v>
      </c>
      <c r="I255" s="2028">
        <v>82701000</v>
      </c>
      <c r="J255" s="2029" t="s">
        <v>1734</v>
      </c>
      <c r="K255" s="2028">
        <v>10500000</v>
      </c>
      <c r="L255" s="2028">
        <v>0</v>
      </c>
      <c r="M255" s="2028">
        <v>4884500</v>
      </c>
      <c r="N255" s="2028">
        <v>4403000</v>
      </c>
      <c r="O255" s="2028">
        <v>4602000</v>
      </c>
      <c r="P255" s="2028">
        <v>15811500</v>
      </c>
      <c r="Q255" s="2028">
        <v>42500000</v>
      </c>
      <c r="R255" s="2028">
        <v>0</v>
      </c>
      <c r="S255" s="2028">
        <v>2800000</v>
      </c>
      <c r="T255" s="2028">
        <v>0</v>
      </c>
      <c r="U255" s="2028">
        <v>23000000</v>
      </c>
      <c r="V255" s="2028">
        <v>0</v>
      </c>
      <c r="W255" s="956"/>
      <c r="X255" s="2028">
        <v>154715000</v>
      </c>
      <c r="Y255" s="2028">
        <v>26194500</v>
      </c>
      <c r="Z255" s="2028">
        <v>0</v>
      </c>
      <c r="AA255" s="2028">
        <v>33000000</v>
      </c>
      <c r="AB255" s="2028">
        <v>0</v>
      </c>
      <c r="AC255" s="2028">
        <v>0</v>
      </c>
      <c r="AD255" s="2028">
        <v>78000000</v>
      </c>
      <c r="AE255" s="2028">
        <v>17520000</v>
      </c>
      <c r="AF255" s="2028">
        <v>0</v>
      </c>
      <c r="AG255" s="2028">
        <v>0</v>
      </c>
      <c r="AH255" s="2028">
        <v>0</v>
      </c>
      <c r="AI255" s="2028">
        <v>0</v>
      </c>
      <c r="AJ255" s="2028">
        <v>0</v>
      </c>
      <c r="AK255" s="2028"/>
      <c r="AM255" s="2028">
        <v>112543000</v>
      </c>
      <c r="AN255" s="2028">
        <v>104260000</v>
      </c>
      <c r="AO255" s="2028">
        <v>99261000</v>
      </c>
      <c r="AP255" s="2028">
        <v>86000000</v>
      </c>
      <c r="AQ255" s="2028">
        <v>0</v>
      </c>
    </row>
    <row r="256" spans="1:58">
      <c r="A256" s="956"/>
      <c r="C256" s="956"/>
      <c r="D256" s="956"/>
      <c r="E256" s="956"/>
      <c r="F256" s="956"/>
      <c r="G256" s="956"/>
      <c r="H256" s="537"/>
      <c r="I256" s="537"/>
      <c r="J256" s="537"/>
      <c r="K256" s="537"/>
      <c r="L256" s="537"/>
      <c r="M256" s="537"/>
      <c r="N256" s="537"/>
      <c r="O256" s="537"/>
      <c r="P256" s="537"/>
      <c r="Q256" s="537"/>
      <c r="R256" s="537"/>
      <c r="S256" s="537"/>
      <c r="T256" s="537"/>
      <c r="U256" s="537"/>
      <c r="V256" s="537"/>
      <c r="W256" s="956"/>
      <c r="X256" s="537"/>
      <c r="Y256" s="537"/>
      <c r="Z256" s="537"/>
      <c r="AA256" s="537"/>
      <c r="AB256" s="537"/>
      <c r="AC256" s="537"/>
      <c r="AD256" s="537"/>
      <c r="AE256" s="537"/>
      <c r="AF256" s="537"/>
      <c r="AG256" s="537"/>
      <c r="AH256" s="537"/>
      <c r="AI256" s="537"/>
      <c r="AJ256" s="537"/>
      <c r="AK256" s="537"/>
      <c r="AM256" s="537"/>
      <c r="AN256" s="537"/>
      <c r="AO256" s="537"/>
      <c r="AP256" s="537"/>
      <c r="AQ256" s="537"/>
    </row>
    <row r="257" spans="1:43">
      <c r="A257" s="2027" t="s">
        <v>1735</v>
      </c>
      <c r="B257" s="2027"/>
      <c r="C257" s="2027" t="s">
        <v>2325</v>
      </c>
      <c r="D257" s="2027"/>
      <c r="E257" s="2027"/>
      <c r="F257" s="2027"/>
      <c r="G257" s="2029" t="s">
        <v>1734</v>
      </c>
      <c r="H257" s="2028">
        <v>0</v>
      </c>
      <c r="I257" s="2028">
        <v>52132667</v>
      </c>
      <c r="J257" s="2027">
        <v>120933667</v>
      </c>
      <c r="K257" s="2028">
        <v>7520000</v>
      </c>
      <c r="L257" s="2028">
        <v>0</v>
      </c>
      <c r="M257" s="2028">
        <v>0</v>
      </c>
      <c r="N257" s="2028">
        <v>16330000</v>
      </c>
      <c r="O257" s="2028">
        <v>26322667</v>
      </c>
      <c r="P257" s="2028">
        <v>1960000</v>
      </c>
      <c r="Q257" s="2028">
        <v>0</v>
      </c>
      <c r="R257" s="2028">
        <v>0</v>
      </c>
      <c r="S257" s="2028">
        <v>0</v>
      </c>
      <c r="T257" s="2028">
        <v>0</v>
      </c>
      <c r="U257" s="2028">
        <v>0</v>
      </c>
      <c r="V257" s="2028">
        <v>68801000</v>
      </c>
      <c r="W257" s="956"/>
      <c r="X257" s="2028">
        <v>0</v>
      </c>
      <c r="Y257" s="2028">
        <v>0</v>
      </c>
      <c r="Z257" s="2028">
        <v>0</v>
      </c>
      <c r="AA257" s="2028">
        <v>0</v>
      </c>
      <c r="AB257" s="2028">
        <v>0</v>
      </c>
      <c r="AC257" s="2028">
        <v>0</v>
      </c>
      <c r="AD257" s="2028">
        <v>0</v>
      </c>
      <c r="AE257" s="2028">
        <v>0</v>
      </c>
      <c r="AF257" s="2028">
        <v>0</v>
      </c>
      <c r="AG257" s="2028">
        <v>0</v>
      </c>
      <c r="AH257" s="2028">
        <v>0</v>
      </c>
      <c r="AI257" s="2028">
        <v>0</v>
      </c>
      <c r="AJ257" s="2028">
        <v>0</v>
      </c>
      <c r="AK257" s="2028"/>
      <c r="AM257" s="2028">
        <v>0</v>
      </c>
      <c r="AN257" s="2028">
        <v>0</v>
      </c>
      <c r="AO257" s="2028">
        <v>0</v>
      </c>
      <c r="AP257" s="2028">
        <v>0</v>
      </c>
      <c r="AQ257" s="2028">
        <v>0</v>
      </c>
    </row>
    <row r="258" spans="1:43" s="1153" customFormat="1" ht="29.25" customHeight="1">
      <c r="A258" s="1152"/>
      <c r="C258" s="1152" t="s">
        <v>1736</v>
      </c>
      <c r="D258" s="1152"/>
      <c r="E258" s="1152"/>
      <c r="F258" s="1152"/>
      <c r="G258" s="1154"/>
      <c r="H258" s="1155"/>
      <c r="I258" s="1155"/>
      <c r="J258" s="1156">
        <v>0</v>
      </c>
      <c r="K258" s="1156">
        <v>0</v>
      </c>
      <c r="L258" s="1156">
        <v>0</v>
      </c>
      <c r="M258" s="1156">
        <v>0</v>
      </c>
      <c r="N258" s="1156">
        <v>0</v>
      </c>
      <c r="O258" s="1156">
        <v>0</v>
      </c>
      <c r="P258" s="1156">
        <v>0</v>
      </c>
      <c r="Q258" s="1156">
        <v>0</v>
      </c>
      <c r="R258" s="1156">
        <v>0</v>
      </c>
      <c r="S258" s="1156">
        <v>0</v>
      </c>
      <c r="T258" s="1156">
        <v>0</v>
      </c>
      <c r="U258" s="1156">
        <v>0</v>
      </c>
      <c r="V258" s="1156">
        <v>0</v>
      </c>
      <c r="W258" s="1152"/>
      <c r="X258" s="1155"/>
      <c r="Y258" s="1155"/>
      <c r="Z258" s="1155"/>
      <c r="AA258" s="1155"/>
      <c r="AB258" s="1155"/>
      <c r="AC258" s="1155"/>
      <c r="AD258" s="1155"/>
      <c r="AE258" s="1155"/>
      <c r="AF258" s="1155"/>
      <c r="AG258" s="1155"/>
      <c r="AH258" s="1155"/>
      <c r="AI258" s="1155"/>
      <c r="AJ258" s="1155"/>
      <c r="AK258" s="1155"/>
      <c r="AM258" s="1155"/>
      <c r="AN258" s="1155"/>
      <c r="AO258" s="1155"/>
      <c r="AP258" s="1155"/>
      <c r="AQ258" s="1155"/>
    </row>
    <row r="259" spans="1:43">
      <c r="A259" s="2027" t="s">
        <v>1737</v>
      </c>
      <c r="B259" s="2027"/>
      <c r="C259" s="2027" t="s">
        <v>2326</v>
      </c>
      <c r="D259" s="2027"/>
      <c r="E259" s="2030"/>
      <c r="F259" s="2027"/>
      <c r="G259" s="2029" t="s">
        <v>1734</v>
      </c>
      <c r="H259" s="2028">
        <v>0</v>
      </c>
      <c r="I259" s="2028">
        <v>52132667</v>
      </c>
      <c r="J259" s="2027">
        <v>117565009.54285714</v>
      </c>
      <c r="K259" s="2028">
        <v>7520000</v>
      </c>
      <c r="L259" s="2028">
        <v>0</v>
      </c>
      <c r="M259" s="2028">
        <v>0</v>
      </c>
      <c r="N259" s="2028">
        <v>16330000</v>
      </c>
      <c r="O259" s="2028">
        <v>26322667</v>
      </c>
      <c r="P259" s="2028">
        <v>1960000</v>
      </c>
      <c r="Q259" s="2028">
        <v>0</v>
      </c>
      <c r="R259" s="2028">
        <v>0</v>
      </c>
      <c r="S259" s="2028">
        <v>11507000</v>
      </c>
      <c r="T259" s="2028">
        <v>0</v>
      </c>
      <c r="U259" s="2028">
        <v>0</v>
      </c>
      <c r="V259" s="2028">
        <v>53925342.54285714</v>
      </c>
      <c r="W259" s="956"/>
      <c r="X259" s="2028">
        <v>0</v>
      </c>
      <c r="Y259" s="2028">
        <v>0</v>
      </c>
      <c r="Z259" s="2028">
        <v>0</v>
      </c>
      <c r="AA259" s="2028">
        <v>0</v>
      </c>
      <c r="AB259" s="2028">
        <v>0</v>
      </c>
      <c r="AC259" s="2028">
        <v>0</v>
      </c>
      <c r="AD259" s="2028">
        <v>0</v>
      </c>
      <c r="AE259" s="2028">
        <v>0</v>
      </c>
      <c r="AF259" s="2028">
        <v>0</v>
      </c>
      <c r="AG259" s="2028">
        <v>0</v>
      </c>
      <c r="AH259" s="2028">
        <v>0</v>
      </c>
      <c r="AI259" s="2028">
        <v>0</v>
      </c>
      <c r="AJ259" s="2028">
        <v>0</v>
      </c>
      <c r="AK259" s="2028"/>
      <c r="AM259" s="2028">
        <v>0</v>
      </c>
      <c r="AN259" s="2028">
        <v>1</v>
      </c>
      <c r="AO259" s="2028">
        <v>2</v>
      </c>
      <c r="AP259" s="2028">
        <v>3</v>
      </c>
      <c r="AQ259" s="2028">
        <v>4</v>
      </c>
    </row>
    <row r="260" spans="1:43">
      <c r="G260" s="956"/>
    </row>
    <row r="264" spans="1:43">
      <c r="A264" s="1851" t="s">
        <v>2327</v>
      </c>
      <c r="B264" s="1851"/>
    </row>
    <row r="265" spans="1:43">
      <c r="A265" s="2027" t="s">
        <v>1738</v>
      </c>
      <c r="B265" s="2027"/>
      <c r="C265" s="2027" t="s">
        <v>1738</v>
      </c>
      <c r="D265" s="2027"/>
      <c r="E265" s="2027"/>
      <c r="F265" s="2027"/>
      <c r="G265" s="2027">
        <v>-98001000</v>
      </c>
      <c r="H265" s="2028">
        <v>0</v>
      </c>
      <c r="I265" s="2028">
        <v>-82701000</v>
      </c>
      <c r="J265" s="2031" t="s">
        <v>1734</v>
      </c>
      <c r="K265" s="2028">
        <v>-10500000</v>
      </c>
      <c r="L265" s="2028">
        <v>0</v>
      </c>
      <c r="M265" s="2028">
        <v>-4884500</v>
      </c>
      <c r="N265" s="2028">
        <v>-4403000</v>
      </c>
      <c r="O265" s="2028">
        <v>-4602000</v>
      </c>
      <c r="P265" s="2028">
        <v>-15811500</v>
      </c>
      <c r="Q265" s="2028">
        <v>-42500000</v>
      </c>
      <c r="R265" s="2028">
        <v>0</v>
      </c>
      <c r="S265" s="2028">
        <v>-2800000</v>
      </c>
      <c r="T265" s="2028">
        <v>0</v>
      </c>
      <c r="U265" s="2028">
        <v>-23000000</v>
      </c>
      <c r="V265" s="2028">
        <v>0</v>
      </c>
      <c r="W265" s="956"/>
      <c r="X265" s="2032">
        <v>-154714500</v>
      </c>
      <c r="Y265" s="2028">
        <v>-26194500</v>
      </c>
      <c r="Z265" s="2028">
        <v>0</v>
      </c>
      <c r="AA265" s="2028">
        <v>-33000000</v>
      </c>
      <c r="AB265" s="2028">
        <v>0</v>
      </c>
      <c r="AC265" s="2028">
        <v>0</v>
      </c>
      <c r="AD265" s="2028">
        <v>-78000000</v>
      </c>
      <c r="AE265" s="2028">
        <v>-17520000</v>
      </c>
      <c r="AF265" s="2028">
        <v>0</v>
      </c>
      <c r="AG265" s="2028">
        <v>0</v>
      </c>
      <c r="AH265" s="2028">
        <v>0</v>
      </c>
      <c r="AI265" s="2028">
        <v>0</v>
      </c>
      <c r="AJ265" s="2028">
        <v>0</v>
      </c>
      <c r="AK265" s="2028"/>
    </row>
    <row r="266" spans="1:43">
      <c r="A266" s="956"/>
      <c r="C266" s="956"/>
      <c r="D266" s="956"/>
      <c r="E266" s="956"/>
      <c r="F266" s="956"/>
      <c r="G266" s="956"/>
      <c r="H266" s="537"/>
      <c r="I266" s="537"/>
      <c r="J266" s="956"/>
      <c r="K266" s="537"/>
      <c r="L266" s="537"/>
      <c r="M266" s="537"/>
      <c r="N266" s="537"/>
      <c r="O266" s="537"/>
      <c r="P266" s="537"/>
      <c r="Q266" s="537"/>
      <c r="R266" s="537"/>
      <c r="S266" s="537"/>
      <c r="T266" s="537"/>
      <c r="U266" s="537"/>
      <c r="V266" s="537"/>
      <c r="W266" s="956"/>
      <c r="X266" s="537"/>
      <c r="Y266" s="537"/>
      <c r="Z266" s="537"/>
      <c r="AA266" s="537"/>
      <c r="AB266" s="537"/>
      <c r="AC266" s="537"/>
      <c r="AD266" s="537"/>
      <c r="AE266" s="537"/>
      <c r="AF266" s="537"/>
      <c r="AG266" s="537"/>
      <c r="AH266" s="537"/>
      <c r="AI266" s="537"/>
      <c r="AJ266" s="537"/>
      <c r="AK266" s="537"/>
      <c r="AM266" s="2028">
        <v>-112543000</v>
      </c>
      <c r="AN266" s="2028">
        <v>-104260000</v>
      </c>
      <c r="AO266" s="2028">
        <v>-99261000</v>
      </c>
      <c r="AP266" s="2028">
        <v>-86000000</v>
      </c>
      <c r="AQ266" s="2028">
        <v>0</v>
      </c>
    </row>
    <row r="267" spans="1:43">
      <c r="A267" s="2027" t="s">
        <v>1739</v>
      </c>
      <c r="B267" s="2027"/>
      <c r="C267" s="2027" t="s">
        <v>1739</v>
      </c>
      <c r="D267" s="2027"/>
      <c r="E267" s="2027"/>
      <c r="F267" s="2027"/>
      <c r="G267" s="2029" t="s">
        <v>1734</v>
      </c>
      <c r="H267" s="2028">
        <v>0</v>
      </c>
      <c r="I267" s="2028">
        <v>-35802667</v>
      </c>
      <c r="J267" s="2031">
        <v>-104603667</v>
      </c>
      <c r="K267" s="2028">
        <v>-7520000</v>
      </c>
      <c r="L267" s="2028">
        <v>0</v>
      </c>
      <c r="M267" s="2028">
        <v>0</v>
      </c>
      <c r="N267" s="2028">
        <v>0</v>
      </c>
      <c r="O267" s="2028">
        <v>-26322667</v>
      </c>
      <c r="P267" s="2028">
        <v>-1960000</v>
      </c>
      <c r="Q267" s="2028">
        <v>0</v>
      </c>
      <c r="R267" s="2028">
        <v>0</v>
      </c>
      <c r="S267" s="2028">
        <v>0</v>
      </c>
      <c r="T267" s="2028">
        <v>0</v>
      </c>
      <c r="U267" s="2028">
        <v>0</v>
      </c>
      <c r="V267" s="2028">
        <v>-68801000</v>
      </c>
      <c r="W267" s="956"/>
      <c r="X267" s="2028"/>
      <c r="Y267" s="2028"/>
      <c r="Z267" s="2028"/>
      <c r="AA267" s="2028"/>
      <c r="AB267" s="2028"/>
      <c r="AC267" s="2028"/>
      <c r="AD267" s="2028"/>
      <c r="AE267" s="2028"/>
      <c r="AF267" s="2028"/>
      <c r="AG267" s="2028"/>
      <c r="AH267" s="2028"/>
      <c r="AI267" s="2028"/>
      <c r="AJ267" s="2028"/>
      <c r="AK267" s="2028"/>
      <c r="AM267" s="2028"/>
      <c r="AN267" s="2028"/>
      <c r="AO267" s="2028"/>
      <c r="AP267" s="2028"/>
      <c r="AQ267" s="2028"/>
    </row>
    <row r="268" spans="1:43">
      <c r="A268" s="956"/>
      <c r="C268" s="956"/>
      <c r="D268" s="956"/>
      <c r="E268" s="956"/>
      <c r="F268" s="956"/>
      <c r="G268" s="693"/>
      <c r="H268" s="537"/>
      <c r="I268" s="537"/>
      <c r="J268" s="537"/>
      <c r="K268" s="537"/>
      <c r="L268" s="537"/>
      <c r="M268" s="537"/>
      <c r="N268" s="537"/>
      <c r="O268" s="534"/>
      <c r="P268" s="537"/>
      <c r="Q268" s="537"/>
      <c r="R268" s="537"/>
      <c r="S268" s="537"/>
      <c r="T268" s="2033"/>
      <c r="U268" s="537"/>
      <c r="V268" s="537"/>
      <c r="W268" s="956"/>
      <c r="X268" s="537"/>
      <c r="Y268" s="537"/>
      <c r="Z268" s="537"/>
      <c r="AA268" s="537"/>
      <c r="AB268" s="537"/>
      <c r="AC268" s="537"/>
      <c r="AD268" s="537"/>
      <c r="AE268" s="537"/>
      <c r="AF268" s="537"/>
      <c r="AG268" s="537"/>
      <c r="AH268" s="537"/>
      <c r="AI268" s="537"/>
      <c r="AJ268" s="537"/>
      <c r="AK268" s="537"/>
      <c r="AM268" s="537"/>
      <c r="AN268" s="537"/>
      <c r="AO268" s="537"/>
      <c r="AP268" s="537"/>
      <c r="AQ268" s="537"/>
    </row>
    <row r="269" spans="1:43">
      <c r="A269" s="2027" t="s">
        <v>1740</v>
      </c>
      <c r="B269" s="2027"/>
      <c r="C269" s="2027" t="s">
        <v>1740</v>
      </c>
      <c r="D269" s="2027"/>
      <c r="E269" s="2027"/>
      <c r="F269" s="2027"/>
      <c r="G269" s="2029" t="s">
        <v>1734</v>
      </c>
      <c r="H269" s="2028">
        <v>0</v>
      </c>
      <c r="I269" s="2028">
        <v>-35802667</v>
      </c>
      <c r="J269" s="2031">
        <v>-101235009.54285714</v>
      </c>
      <c r="K269" s="2028">
        <v>-7520000</v>
      </c>
      <c r="L269" s="2028">
        <v>0</v>
      </c>
      <c r="M269" s="2028">
        <v>0</v>
      </c>
      <c r="N269" s="2028">
        <v>0</v>
      </c>
      <c r="O269" s="2028">
        <v>-26322667</v>
      </c>
      <c r="P269" s="2028">
        <v>-1960000</v>
      </c>
      <c r="Q269" s="2028">
        <v>0</v>
      </c>
      <c r="R269" s="2028">
        <v>0</v>
      </c>
      <c r="S269" s="2028">
        <v>-11507000</v>
      </c>
      <c r="T269" s="2028">
        <v>0</v>
      </c>
      <c r="U269" s="2028">
        <v>0</v>
      </c>
      <c r="V269" s="2028">
        <v>-53925342.54285714</v>
      </c>
      <c r="W269" s="956"/>
      <c r="X269" s="2028"/>
      <c r="Y269" s="2028"/>
      <c r="Z269" s="2028"/>
      <c r="AA269" s="2028"/>
      <c r="AB269" s="2028"/>
      <c r="AC269" s="2028"/>
      <c r="AD269" s="2028"/>
      <c r="AE269" s="2028"/>
      <c r="AF269" s="2028"/>
      <c r="AG269" s="2028"/>
      <c r="AH269" s="2028"/>
      <c r="AI269" s="2028"/>
      <c r="AJ269" s="2028"/>
      <c r="AK269" s="2028"/>
      <c r="AM269" s="2028"/>
      <c r="AN269" s="2028"/>
      <c r="AO269" s="2028"/>
      <c r="AP269" s="2028"/>
      <c r="AQ269" s="2028"/>
    </row>
    <row r="275" spans="1:63">
      <c r="A275" s="2034" t="s">
        <v>2328</v>
      </c>
      <c r="B275" s="2034"/>
      <c r="C275" s="2034" t="s">
        <v>2328</v>
      </c>
      <c r="D275" s="2034"/>
      <c r="E275" s="2034"/>
      <c r="F275" s="2034"/>
      <c r="G275" s="2034">
        <v>10500000</v>
      </c>
      <c r="H275" s="537">
        <v>0</v>
      </c>
      <c r="I275" s="537">
        <v>0</v>
      </c>
      <c r="J275" s="2035" t="s">
        <v>1734</v>
      </c>
      <c r="K275" s="537">
        <v>0</v>
      </c>
      <c r="L275" s="537">
        <v>0</v>
      </c>
      <c r="M275" s="537">
        <v>0</v>
      </c>
      <c r="N275" s="537">
        <v>0</v>
      </c>
      <c r="O275" s="537">
        <v>0</v>
      </c>
      <c r="P275" s="537">
        <v>0</v>
      </c>
      <c r="Q275" s="537">
        <v>0</v>
      </c>
      <c r="R275" s="537">
        <v>0</v>
      </c>
      <c r="S275" s="537">
        <v>0</v>
      </c>
      <c r="T275" s="537">
        <v>0</v>
      </c>
      <c r="U275" s="537">
        <v>0</v>
      </c>
      <c r="V275" s="537">
        <v>0</v>
      </c>
      <c r="W275" s="956"/>
      <c r="X275" s="537"/>
      <c r="Y275" s="537"/>
      <c r="Z275" s="537"/>
      <c r="AA275" s="537"/>
      <c r="AB275" s="537"/>
      <c r="AC275" s="537"/>
      <c r="AD275" s="537"/>
      <c r="AE275" s="537"/>
      <c r="AF275" s="537"/>
      <c r="AG275" s="537"/>
      <c r="AH275" s="537"/>
      <c r="AI275" s="537"/>
      <c r="AJ275" s="537"/>
      <c r="AK275" s="537"/>
    </row>
    <row r="276" spans="1:63">
      <c r="A276" s="956"/>
      <c r="C276" s="956"/>
      <c r="D276" s="956"/>
      <c r="E276" s="956"/>
      <c r="F276" s="956"/>
      <c r="G276" s="956"/>
      <c r="H276" s="537"/>
      <c r="I276" s="537"/>
      <c r="J276" s="537"/>
      <c r="K276" s="537"/>
      <c r="L276" s="537"/>
      <c r="M276" s="537"/>
      <c r="N276" s="537"/>
      <c r="O276" s="537"/>
      <c r="P276" s="537"/>
      <c r="Q276" s="537"/>
      <c r="R276" s="537"/>
      <c r="S276" s="537"/>
      <c r="T276" s="537"/>
      <c r="U276" s="537"/>
      <c r="V276" s="537"/>
      <c r="W276" s="956"/>
      <c r="X276" s="537"/>
      <c r="Y276" s="537"/>
      <c r="Z276" s="537"/>
      <c r="AA276" s="537"/>
      <c r="AB276" s="537"/>
      <c r="AC276" s="537"/>
      <c r="AD276" s="537"/>
      <c r="AE276" s="537"/>
      <c r="AF276" s="537"/>
      <c r="AG276" s="537"/>
      <c r="AH276" s="537"/>
      <c r="AI276" s="537"/>
      <c r="AJ276" s="537"/>
      <c r="AK276" s="537"/>
    </row>
    <row r="277" spans="1:63">
      <c r="A277" s="2034" t="s">
        <v>2329</v>
      </c>
      <c r="B277" s="2034"/>
      <c r="C277" s="2034" t="s">
        <v>2329</v>
      </c>
      <c r="D277" s="2034"/>
      <c r="E277" s="2034"/>
      <c r="F277" s="2034"/>
      <c r="G277" s="2035" t="s">
        <v>1734</v>
      </c>
      <c r="H277" s="537">
        <v>0</v>
      </c>
      <c r="I277" s="537">
        <v>16330000</v>
      </c>
      <c r="J277" s="2034">
        <v>16330000</v>
      </c>
      <c r="K277" s="537">
        <v>0</v>
      </c>
      <c r="L277" s="537">
        <v>0</v>
      </c>
      <c r="M277" s="537">
        <v>0</v>
      </c>
      <c r="N277" s="537">
        <v>16330000</v>
      </c>
      <c r="O277" s="537">
        <v>0</v>
      </c>
      <c r="P277" s="537">
        <v>0</v>
      </c>
      <c r="Q277" s="537">
        <v>0</v>
      </c>
      <c r="R277" s="537">
        <v>0</v>
      </c>
      <c r="S277" s="537">
        <v>0</v>
      </c>
      <c r="T277" s="537">
        <v>0</v>
      </c>
      <c r="U277" s="537">
        <v>0</v>
      </c>
      <c r="V277" s="537">
        <v>0</v>
      </c>
      <c r="W277" s="956"/>
      <c r="X277" s="537"/>
      <c r="Y277" s="537"/>
      <c r="Z277" s="537"/>
      <c r="AA277" s="537"/>
      <c r="AB277" s="537"/>
      <c r="AC277" s="537"/>
      <c r="AD277" s="537"/>
      <c r="AE277" s="537"/>
      <c r="AF277" s="537"/>
      <c r="AG277" s="537"/>
      <c r="AH277" s="537"/>
      <c r="AI277" s="537"/>
      <c r="AJ277" s="537"/>
      <c r="AK277" s="537"/>
    </row>
    <row r="278" spans="1:63" s="1153" customFormat="1" ht="29.25" customHeight="1">
      <c r="A278" s="1152"/>
      <c r="C278" s="1152" t="s">
        <v>1736</v>
      </c>
      <c r="D278" s="1152"/>
      <c r="E278" s="1152"/>
      <c r="F278" s="1152"/>
      <c r="G278" s="1154"/>
      <c r="H278" s="1155"/>
      <c r="I278" s="1155"/>
      <c r="J278" s="1156">
        <v>0</v>
      </c>
      <c r="K278" s="1156">
        <v>0</v>
      </c>
      <c r="L278" s="1156">
        <v>0</v>
      </c>
      <c r="M278" s="1156">
        <v>0</v>
      </c>
      <c r="N278" s="1156">
        <v>0</v>
      </c>
      <c r="O278" s="1156">
        <v>0</v>
      </c>
      <c r="P278" s="1156">
        <v>0</v>
      </c>
      <c r="Q278" s="1156">
        <v>0</v>
      </c>
      <c r="R278" s="1156">
        <v>0</v>
      </c>
      <c r="S278" s="1156">
        <v>0</v>
      </c>
      <c r="T278" s="1156">
        <v>0</v>
      </c>
      <c r="U278" s="1156">
        <v>0</v>
      </c>
      <c r="V278" s="1156">
        <v>0</v>
      </c>
      <c r="W278" s="1152"/>
      <c r="X278" s="1155"/>
      <c r="Y278" s="1155"/>
      <c r="Z278" s="1155"/>
      <c r="AA278" s="1155"/>
      <c r="AB278" s="1155"/>
      <c r="AC278" s="1155"/>
      <c r="AD278" s="1155"/>
      <c r="AE278" s="1155"/>
      <c r="AF278" s="1155"/>
      <c r="AG278" s="1155"/>
      <c r="AH278" s="1155"/>
      <c r="AI278" s="1155"/>
      <c r="AJ278" s="1155"/>
      <c r="AK278" s="1155"/>
    </row>
    <row r="279" spans="1:63">
      <c r="A279" s="2034" t="s">
        <v>2330</v>
      </c>
      <c r="B279" s="2034"/>
      <c r="C279" s="2034" t="s">
        <v>2330</v>
      </c>
      <c r="D279" s="2034"/>
      <c r="E279" s="2034"/>
      <c r="F279" s="2034"/>
      <c r="G279" s="2035" t="s">
        <v>1734</v>
      </c>
      <c r="H279" s="537">
        <v>0</v>
      </c>
      <c r="I279" s="537">
        <v>16330000</v>
      </c>
      <c r="J279" s="2034">
        <v>16330000</v>
      </c>
      <c r="K279" s="537">
        <v>0</v>
      </c>
      <c r="L279" s="537">
        <v>0</v>
      </c>
      <c r="M279" s="537">
        <v>0</v>
      </c>
      <c r="N279" s="537">
        <v>16330000</v>
      </c>
      <c r="O279" s="537">
        <v>0</v>
      </c>
      <c r="P279" s="537">
        <v>0</v>
      </c>
      <c r="Q279" s="537">
        <v>0</v>
      </c>
      <c r="R279" s="537">
        <v>0</v>
      </c>
      <c r="S279" s="537">
        <v>0</v>
      </c>
      <c r="T279" s="537">
        <v>0</v>
      </c>
      <c r="U279" s="537">
        <v>0</v>
      </c>
      <c r="V279" s="537">
        <v>0</v>
      </c>
      <c r="W279" s="956"/>
      <c r="X279" s="537"/>
      <c r="Y279" s="537"/>
      <c r="Z279" s="537"/>
      <c r="AA279" s="537"/>
      <c r="AB279" s="537"/>
      <c r="AC279" s="537"/>
      <c r="AD279" s="537"/>
      <c r="AE279" s="537"/>
      <c r="AF279" s="537"/>
      <c r="AG279" s="537"/>
      <c r="AH279" s="537"/>
      <c r="AI279" s="537"/>
      <c r="AJ279" s="537"/>
      <c r="AK279" s="537"/>
    </row>
    <row r="283" spans="1:63" ht="16.5" customHeight="1">
      <c r="A283" s="2036" t="s">
        <v>2331</v>
      </c>
      <c r="B283" s="2037"/>
      <c r="C283" s="2038"/>
      <c r="D283" s="2038"/>
      <c r="E283" s="2038"/>
      <c r="F283" s="2038"/>
      <c r="G283" s="2038"/>
      <c r="H283" s="2038"/>
      <c r="I283" s="2038"/>
      <c r="J283" s="2038"/>
      <c r="K283" s="2039"/>
      <c r="L283" s="2039"/>
      <c r="M283" s="2039"/>
      <c r="N283" s="2039"/>
      <c r="O283" s="2039"/>
      <c r="P283" s="2039"/>
      <c r="Q283" s="2039"/>
      <c r="R283" s="2039"/>
      <c r="S283" s="2039"/>
      <c r="T283" s="2039"/>
      <c r="U283" s="2039"/>
      <c r="V283" s="2039"/>
      <c r="W283" s="2038"/>
      <c r="X283" s="2038"/>
      <c r="Y283" s="2038"/>
      <c r="Z283" s="2038"/>
      <c r="AA283" s="2038"/>
      <c r="AB283" s="2038"/>
      <c r="AC283" s="2038"/>
      <c r="AD283" s="2038"/>
      <c r="AE283" s="2038"/>
      <c r="AF283" s="2038"/>
      <c r="AG283" s="2038"/>
      <c r="AH283" s="2038"/>
      <c r="AI283" s="2038"/>
      <c r="AJ283" s="2038"/>
      <c r="AK283" s="2038"/>
      <c r="AL283" s="2038"/>
      <c r="AM283" s="2038"/>
      <c r="AN283" s="2038"/>
      <c r="AO283" s="2038"/>
      <c r="AP283" s="2038"/>
      <c r="AQ283" s="2038"/>
      <c r="AR283" s="2037"/>
      <c r="AS283" s="2037"/>
      <c r="AT283" s="2037"/>
      <c r="AU283" s="2037"/>
      <c r="AV283" s="2037"/>
      <c r="AW283" s="2038"/>
      <c r="AX283" s="2038"/>
      <c r="AY283" s="2038"/>
      <c r="AZ283" s="2038"/>
      <c r="BA283" s="2038"/>
      <c r="BB283" s="2038"/>
      <c r="BC283" s="2038"/>
      <c r="BD283" s="2038"/>
      <c r="BE283" s="2038"/>
      <c r="BF283" s="2038"/>
      <c r="BG283" s="2038"/>
      <c r="BH283" s="2037"/>
      <c r="BI283" s="2040"/>
      <c r="BJ283" s="2041"/>
      <c r="BK283" s="2041"/>
    </row>
    <row r="285" spans="1:63" ht="16.2" thickBot="1"/>
    <row r="286" spans="1:63" ht="26.25" customHeight="1">
      <c r="A286" s="2548" t="s">
        <v>2332</v>
      </c>
      <c r="B286" s="2549"/>
      <c r="C286" s="1419"/>
      <c r="D286" s="2042"/>
      <c r="E286" s="2043"/>
      <c r="F286" s="2044"/>
      <c r="G286" s="2045"/>
      <c r="H286" s="2550" t="s">
        <v>1762</v>
      </c>
      <c r="I286" s="2551"/>
      <c r="J286" s="2551"/>
      <c r="K286" s="2551"/>
      <c r="L286" s="2551"/>
      <c r="M286" s="2551"/>
      <c r="N286" s="2551"/>
      <c r="O286" s="2551"/>
      <c r="P286" s="2551"/>
      <c r="Q286" s="2551"/>
      <c r="R286" s="2551"/>
      <c r="S286" s="2551"/>
      <c r="T286" s="2551"/>
      <c r="U286" s="2551"/>
      <c r="V286" s="2552"/>
      <c r="W286" s="2044" t="s">
        <v>2333</v>
      </c>
      <c r="X286" s="2045"/>
      <c r="Y286" s="2046"/>
      <c r="Z286" s="2047"/>
      <c r="AA286" s="2047"/>
      <c r="AB286" s="2047"/>
      <c r="AC286" s="2047"/>
      <c r="AD286" s="2047"/>
      <c r="AE286" s="2047" t="s">
        <v>1656</v>
      </c>
      <c r="AF286" s="2047"/>
      <c r="AG286" s="2047"/>
      <c r="AH286" s="2047"/>
      <c r="AI286" s="2047"/>
      <c r="AJ286" s="2048"/>
      <c r="AK286" s="2044" t="s">
        <v>2333</v>
      </c>
      <c r="AL286" s="2049"/>
      <c r="AM286" s="2050"/>
      <c r="AN286" s="2051"/>
      <c r="AO286" s="2051"/>
      <c r="AP286" s="2051"/>
      <c r="AQ286" s="2051"/>
      <c r="AR286" s="2052"/>
      <c r="AS286" s="2053"/>
      <c r="AT286" s="2054"/>
      <c r="AV286" s="2506" t="s">
        <v>1657</v>
      </c>
      <c r="AW286" s="2507"/>
      <c r="AX286" s="2507"/>
      <c r="AY286" s="2507"/>
      <c r="AZ286" s="2507"/>
      <c r="BA286" s="2507"/>
      <c r="BB286" s="2553"/>
    </row>
    <row r="287" spans="1:63" ht="31.2">
      <c r="A287" s="2560" t="s">
        <v>1288</v>
      </c>
      <c r="B287" s="2562" t="s">
        <v>1289</v>
      </c>
      <c r="C287" s="2562" t="s">
        <v>1290</v>
      </c>
      <c r="D287" s="2562" t="s">
        <v>1291</v>
      </c>
      <c r="E287" s="2562" t="s">
        <v>1693</v>
      </c>
      <c r="F287" s="2055" t="s">
        <v>2334</v>
      </c>
      <c r="G287" s="1709" t="s">
        <v>2335</v>
      </c>
      <c r="H287" s="2056">
        <v>8</v>
      </c>
      <c r="I287" s="2057" t="s">
        <v>1756</v>
      </c>
      <c r="J287" s="904" t="s">
        <v>2210</v>
      </c>
      <c r="K287" s="1706" t="s">
        <v>1753</v>
      </c>
      <c r="L287" s="1706" t="s">
        <v>2212</v>
      </c>
      <c r="M287" s="1706" t="s">
        <v>2213</v>
      </c>
      <c r="N287" s="1706" t="s">
        <v>2214</v>
      </c>
      <c r="O287" s="1706" t="s">
        <v>2215</v>
      </c>
      <c r="P287" s="1706" t="s">
        <v>2216</v>
      </c>
      <c r="Q287" s="1706" t="s">
        <v>2217</v>
      </c>
      <c r="R287" s="1706" t="s">
        <v>2218</v>
      </c>
      <c r="S287" s="1706" t="s">
        <v>2219</v>
      </c>
      <c r="T287" s="1706" t="s">
        <v>2220</v>
      </c>
      <c r="U287" s="1706" t="s">
        <v>2221</v>
      </c>
      <c r="V287" s="1706" t="s">
        <v>2222</v>
      </c>
      <c r="W287" s="906" t="s">
        <v>2223</v>
      </c>
      <c r="X287" s="904" t="s">
        <v>2336</v>
      </c>
      <c r="Y287" s="2058">
        <v>46023</v>
      </c>
      <c r="Z287" s="2058">
        <v>46054</v>
      </c>
      <c r="AA287" s="2058">
        <v>46082</v>
      </c>
      <c r="AB287" s="2058">
        <v>46113</v>
      </c>
      <c r="AC287" s="2058">
        <v>46143</v>
      </c>
      <c r="AD287" s="2058">
        <v>46174</v>
      </c>
      <c r="AE287" s="2058">
        <v>46204</v>
      </c>
      <c r="AF287" s="2058">
        <v>46235</v>
      </c>
      <c r="AG287" s="2058">
        <v>46266</v>
      </c>
      <c r="AH287" s="2058">
        <v>46296</v>
      </c>
      <c r="AI287" s="2058">
        <v>46327</v>
      </c>
      <c r="AJ287" s="2058">
        <v>46357</v>
      </c>
      <c r="AK287" s="906" t="s">
        <v>2258</v>
      </c>
      <c r="AL287" s="2059"/>
      <c r="AM287" s="909">
        <v>47088</v>
      </c>
      <c r="AN287" s="910">
        <v>47453</v>
      </c>
      <c r="AO287" s="910">
        <v>47818</v>
      </c>
      <c r="AP287" s="911">
        <v>48183</v>
      </c>
      <c r="AQ287" s="911" t="s">
        <v>2205</v>
      </c>
      <c r="AR287" s="2060" t="s">
        <v>2226</v>
      </c>
      <c r="AS287" s="880" t="s">
        <v>1669</v>
      </c>
      <c r="AT287" s="2061"/>
      <c r="AU287" s="956"/>
      <c r="AV287" s="910">
        <v>46357</v>
      </c>
      <c r="AW287" s="910">
        <v>46722</v>
      </c>
      <c r="AX287" s="911">
        <v>47088</v>
      </c>
      <c r="AY287" s="910">
        <v>47453</v>
      </c>
      <c r="AZ287" s="909">
        <v>47818</v>
      </c>
      <c r="BA287" s="909">
        <v>48183</v>
      </c>
      <c r="BB287" s="910" t="s">
        <v>2205</v>
      </c>
    </row>
    <row r="288" spans="1:63">
      <c r="A288" s="2561"/>
      <c r="B288" s="2562"/>
      <c r="C288" s="2562"/>
      <c r="D288" s="2562"/>
      <c r="E288" s="2562"/>
      <c r="F288" s="930" t="s">
        <v>2337</v>
      </c>
      <c r="G288" s="930" t="s">
        <v>2338</v>
      </c>
      <c r="H288" s="930" t="s">
        <v>2227</v>
      </c>
      <c r="I288" s="930" t="s">
        <v>2227</v>
      </c>
      <c r="J288" s="923" t="s">
        <v>1300</v>
      </c>
      <c r="K288" s="1084" t="s">
        <v>1759</v>
      </c>
      <c r="L288" s="1084" t="s">
        <v>1759</v>
      </c>
      <c r="M288" s="1084" t="s">
        <v>1759</v>
      </c>
      <c r="N288" s="1084" t="s">
        <v>1759</v>
      </c>
      <c r="O288" s="1084" t="s">
        <v>1759</v>
      </c>
      <c r="P288" s="1084" t="s">
        <v>1759</v>
      </c>
      <c r="Q288" s="1084" t="s">
        <v>1759</v>
      </c>
      <c r="R288" s="1084" t="s">
        <v>1759</v>
      </c>
      <c r="S288" s="1084" t="s">
        <v>1760</v>
      </c>
      <c r="T288" s="1084" t="s">
        <v>1760</v>
      </c>
      <c r="U288" s="1084" t="s">
        <v>1760</v>
      </c>
      <c r="V288" s="1084" t="s">
        <v>1760</v>
      </c>
      <c r="W288" s="927" t="s">
        <v>1303</v>
      </c>
      <c r="X288" s="926" t="s">
        <v>1300</v>
      </c>
      <c r="Y288" s="1084" t="s">
        <v>2230</v>
      </c>
      <c r="Z288" s="1084" t="s">
        <v>2230</v>
      </c>
      <c r="AA288" s="1084" t="s">
        <v>2230</v>
      </c>
      <c r="AB288" s="1084" t="s">
        <v>2230</v>
      </c>
      <c r="AC288" s="1084" t="s">
        <v>2230</v>
      </c>
      <c r="AD288" s="1084" t="s">
        <v>2230</v>
      </c>
      <c r="AE288" s="1084" t="s">
        <v>2230</v>
      </c>
      <c r="AF288" s="1084" t="s">
        <v>2230</v>
      </c>
      <c r="AG288" s="1084" t="s">
        <v>2230</v>
      </c>
      <c r="AH288" s="1084" t="s">
        <v>2230</v>
      </c>
      <c r="AI288" s="1084" t="s">
        <v>2230</v>
      </c>
      <c r="AJ288" s="1084" t="s">
        <v>2230</v>
      </c>
      <c r="AK288" s="927" t="s">
        <v>1303</v>
      </c>
      <c r="AL288" s="930"/>
      <c r="AM288" s="930" t="s">
        <v>1303</v>
      </c>
      <c r="AN288" s="930" t="s">
        <v>1303</v>
      </c>
      <c r="AO288" s="930" t="s">
        <v>1303</v>
      </c>
      <c r="AP288" s="930" t="s">
        <v>1303</v>
      </c>
      <c r="AQ288" s="930" t="s">
        <v>1303</v>
      </c>
      <c r="AR288" s="2062"/>
      <c r="AS288" s="2063"/>
      <c r="AT288" s="2064"/>
      <c r="AV288" s="929" t="s">
        <v>1670</v>
      </c>
      <c r="AW288" s="930" t="s">
        <v>1670</v>
      </c>
      <c r="AX288" s="930" t="s">
        <v>1670</v>
      </c>
      <c r="AY288" s="931" t="s">
        <v>1670</v>
      </c>
      <c r="AZ288" s="931" t="s">
        <v>1670</v>
      </c>
      <c r="BA288" s="931" t="s">
        <v>1670</v>
      </c>
      <c r="BB288" s="930" t="s">
        <v>1670</v>
      </c>
    </row>
    <row r="289" spans="1:58">
      <c r="A289" s="2065" t="s">
        <v>2339</v>
      </c>
      <c r="B289" s="537"/>
      <c r="C289" s="537"/>
      <c r="D289" s="537"/>
      <c r="E289" s="537"/>
      <c r="AU289" s="956"/>
      <c r="AV289" s="1015"/>
      <c r="BB289" s="1016"/>
    </row>
    <row r="290" spans="1:58">
      <c r="A290" s="2066" t="s">
        <v>1190</v>
      </c>
      <c r="B290" s="1043" t="s">
        <v>2340</v>
      </c>
      <c r="C290" s="2067">
        <v>384140920</v>
      </c>
      <c r="D290" s="2067">
        <v>270146122</v>
      </c>
      <c r="E290" s="2067">
        <v>113994798</v>
      </c>
      <c r="F290" s="588">
        <v>135929281</v>
      </c>
      <c r="G290" s="2068">
        <v>65510500</v>
      </c>
      <c r="H290" s="2069">
        <v>3973000</v>
      </c>
      <c r="I290" s="2069">
        <v>32451250</v>
      </c>
      <c r="J290" s="588">
        <v>35312198</v>
      </c>
      <c r="K290" s="2070">
        <v>3221000</v>
      </c>
      <c r="L290" s="2070">
        <v>4997750</v>
      </c>
      <c r="M290" s="2070">
        <v>3765000</v>
      </c>
      <c r="N290" s="2070">
        <v>3850500</v>
      </c>
      <c r="O290" s="2070">
        <v>3745000</v>
      </c>
      <c r="P290" s="2070">
        <v>4169750</v>
      </c>
      <c r="Q290" s="2070">
        <v>4729250</v>
      </c>
      <c r="R290" s="2070">
        <v>3973000</v>
      </c>
      <c r="S290" s="2067">
        <v>4300000</v>
      </c>
      <c r="T290" s="2067">
        <v>3782000</v>
      </c>
      <c r="U290" s="2067">
        <v>6480000</v>
      </c>
      <c r="V290" s="2067">
        <v>-11701052</v>
      </c>
      <c r="W290" s="588">
        <v>171241479</v>
      </c>
      <c r="X290" s="588">
        <v>56132291</v>
      </c>
      <c r="Y290" s="2067">
        <v>6279930</v>
      </c>
      <c r="Z290" s="2067">
        <v>3868354</v>
      </c>
      <c r="AA290" s="2067">
        <v>7369336</v>
      </c>
      <c r="AB290" s="2067">
        <v>4612198</v>
      </c>
      <c r="AC290" s="2067">
        <v>4043996</v>
      </c>
      <c r="AD290" s="2067">
        <v>4196856</v>
      </c>
      <c r="AE290" s="2067">
        <v>3875674</v>
      </c>
      <c r="AF290" s="2067">
        <v>3108029</v>
      </c>
      <c r="AG290" s="2067">
        <v>2808619</v>
      </c>
      <c r="AH290" s="2067">
        <v>3570185</v>
      </c>
      <c r="AI290" s="2067">
        <v>2887054</v>
      </c>
      <c r="AJ290" s="2067">
        <v>9512060</v>
      </c>
      <c r="AK290" s="588">
        <v>227373770</v>
      </c>
      <c r="AL290" s="2068"/>
      <c r="AM290" s="2068">
        <v>35602616</v>
      </c>
      <c r="AN290" s="2068">
        <v>32257069</v>
      </c>
      <c r="AO290" s="2068">
        <v>12530342</v>
      </c>
      <c r="AP290" s="2068">
        <v>12289979</v>
      </c>
      <c r="AQ290" s="2068">
        <v>64087144</v>
      </c>
      <c r="AR290" s="1714"/>
      <c r="AS290" s="2071" t="s">
        <v>2341</v>
      </c>
      <c r="AT290" s="2072" t="s">
        <v>2232</v>
      </c>
      <c r="AU290" s="881" t="s">
        <v>2342</v>
      </c>
      <c r="AV290" s="950">
        <v>212899441</v>
      </c>
      <c r="AW290" s="950">
        <v>156767150</v>
      </c>
      <c r="AX290" s="950">
        <v>121164534</v>
      </c>
      <c r="AY290" s="950">
        <v>88907465</v>
      </c>
      <c r="AZ290" s="950">
        <v>76377123</v>
      </c>
      <c r="BA290" s="950">
        <v>64087144</v>
      </c>
      <c r="BB290" s="950">
        <v>0</v>
      </c>
      <c r="BE290" s="2005">
        <v>56450500</v>
      </c>
      <c r="BF290" s="2005">
        <v>-318209</v>
      </c>
    </row>
    <row r="291" spans="1:58">
      <c r="A291" s="2066" t="s">
        <v>1193</v>
      </c>
      <c r="B291" s="1043" t="s">
        <v>2343</v>
      </c>
      <c r="C291" s="2067"/>
      <c r="D291" s="2067"/>
      <c r="E291" s="2073"/>
      <c r="F291" s="588">
        <v>0</v>
      </c>
      <c r="G291" s="2068">
        <v>2410000</v>
      </c>
      <c r="H291" s="2069">
        <v>0</v>
      </c>
      <c r="I291" s="2069">
        <v>212500</v>
      </c>
      <c r="J291" s="588">
        <v>3640000</v>
      </c>
      <c r="K291" s="2070">
        <v>0</v>
      </c>
      <c r="L291" s="2070">
        <v>0</v>
      </c>
      <c r="M291" s="2070">
        <v>0</v>
      </c>
      <c r="N291" s="2070">
        <v>0</v>
      </c>
      <c r="O291" s="2070">
        <v>160000</v>
      </c>
      <c r="P291" s="2070">
        <v>52500</v>
      </c>
      <c r="Q291" s="2070">
        <v>0</v>
      </c>
      <c r="R291" s="2070">
        <v>0</v>
      </c>
      <c r="S291" s="2067">
        <v>1180000</v>
      </c>
      <c r="T291" s="2067">
        <v>0</v>
      </c>
      <c r="U291" s="2067">
        <v>0</v>
      </c>
      <c r="V291" s="2067">
        <v>2247500</v>
      </c>
      <c r="W291" s="588">
        <v>3640000</v>
      </c>
      <c r="X291" s="588">
        <v>2994000</v>
      </c>
      <c r="Y291" s="2067">
        <v>29500</v>
      </c>
      <c r="Z291" s="2067">
        <v>29500</v>
      </c>
      <c r="AA291" s="2067">
        <v>29500</v>
      </c>
      <c r="AB291" s="2067">
        <v>1294500</v>
      </c>
      <c r="AC291" s="2067">
        <v>29500</v>
      </c>
      <c r="AD291" s="2067">
        <v>29500</v>
      </c>
      <c r="AE291" s="2067">
        <v>29500</v>
      </c>
      <c r="AF291" s="2067">
        <v>29500</v>
      </c>
      <c r="AG291" s="2067">
        <v>29500</v>
      </c>
      <c r="AH291" s="2067">
        <v>204500</v>
      </c>
      <c r="AI291" s="2067">
        <v>29500</v>
      </c>
      <c r="AJ291" s="2067">
        <v>1229500</v>
      </c>
      <c r="AK291" s="588">
        <v>6634000</v>
      </c>
      <c r="AL291" s="2068"/>
      <c r="AM291" s="2068">
        <v>1470000</v>
      </c>
      <c r="AN291" s="2068">
        <v>1931500</v>
      </c>
      <c r="AO291" s="2068">
        <v>1597500</v>
      </c>
      <c r="AP291" s="2068">
        <v>0</v>
      </c>
      <c r="AQ291" s="2068">
        <v>0</v>
      </c>
      <c r="AR291" s="1714"/>
      <c r="AS291" s="2071"/>
      <c r="AT291" s="2072" t="s">
        <v>2239</v>
      </c>
      <c r="AU291" s="956"/>
      <c r="AV291" s="950"/>
      <c r="AW291" s="950"/>
      <c r="AX291" s="950"/>
      <c r="AY291" s="950"/>
      <c r="AZ291" s="950"/>
      <c r="BA291" s="950"/>
      <c r="BB291" s="950">
        <v>0</v>
      </c>
      <c r="BE291" s="1729">
        <v>2410000</v>
      </c>
      <c r="BF291" s="1729">
        <v>584000</v>
      </c>
    </row>
    <row r="292" spans="1:58">
      <c r="A292" s="2066" t="s">
        <v>1741</v>
      </c>
      <c r="B292" s="1043" t="s">
        <v>2344</v>
      </c>
      <c r="C292" s="2067"/>
      <c r="D292" s="2067"/>
      <c r="E292" s="2073"/>
      <c r="F292" s="588"/>
      <c r="G292" s="2068"/>
      <c r="H292" s="2069">
        <v>0</v>
      </c>
      <c r="I292" s="2069">
        <v>0</v>
      </c>
      <c r="J292" s="588">
        <v>0</v>
      </c>
      <c r="K292" s="2070"/>
      <c r="L292" s="2070">
        <v>0</v>
      </c>
      <c r="M292" s="2070">
        <v>0</v>
      </c>
      <c r="N292" s="2070">
        <v>0</v>
      </c>
      <c r="O292" s="2070">
        <v>0</v>
      </c>
      <c r="P292" s="2070">
        <v>0</v>
      </c>
      <c r="Q292" s="2070">
        <v>0</v>
      </c>
      <c r="R292" s="2070">
        <v>0</v>
      </c>
      <c r="S292" s="2067">
        <v>0</v>
      </c>
      <c r="T292" s="2067">
        <v>0</v>
      </c>
      <c r="U292" s="2067">
        <v>0</v>
      </c>
      <c r="V292" s="2067">
        <v>0</v>
      </c>
      <c r="W292" s="588">
        <v>0</v>
      </c>
      <c r="X292" s="588">
        <v>0</v>
      </c>
      <c r="Y292" s="2067">
        <v>0</v>
      </c>
      <c r="Z292" s="2067">
        <v>0</v>
      </c>
      <c r="AA292" s="2067">
        <v>0</v>
      </c>
      <c r="AB292" s="2067">
        <v>0</v>
      </c>
      <c r="AC292" s="2067">
        <v>0</v>
      </c>
      <c r="AD292" s="2067">
        <v>0</v>
      </c>
      <c r="AE292" s="2067">
        <v>0</v>
      </c>
      <c r="AF292" s="2067">
        <v>0</v>
      </c>
      <c r="AG292" s="2067">
        <v>0</v>
      </c>
      <c r="AH292" s="2067">
        <v>0</v>
      </c>
      <c r="AI292" s="2067">
        <v>0</v>
      </c>
      <c r="AJ292" s="2067">
        <v>0</v>
      </c>
      <c r="AK292" s="588">
        <v>0</v>
      </c>
      <c r="AL292" s="2068"/>
      <c r="AM292" s="2068"/>
      <c r="AN292" s="2068"/>
      <c r="AO292" s="2068"/>
      <c r="AP292" s="2068"/>
      <c r="AQ292" s="2068"/>
      <c r="AR292" s="1714" t="s">
        <v>1308</v>
      </c>
      <c r="AS292" s="2074" t="s">
        <v>1687</v>
      </c>
      <c r="AT292" s="2072" t="s">
        <v>2239</v>
      </c>
      <c r="AV292" s="950"/>
      <c r="AW292" s="950"/>
      <c r="AX292" s="950"/>
      <c r="AY292" s="950"/>
      <c r="AZ292" s="950"/>
      <c r="BA292" s="950"/>
      <c r="BB292" s="950"/>
      <c r="BE292" s="1729">
        <v>0</v>
      </c>
      <c r="BF292" s="1729">
        <v>0</v>
      </c>
    </row>
    <row r="293" spans="1:58">
      <c r="A293" s="2075" t="s">
        <v>1673</v>
      </c>
      <c r="B293" s="2075" t="s">
        <v>2345</v>
      </c>
      <c r="C293" s="2075">
        <v>0</v>
      </c>
      <c r="D293" s="2075">
        <v>0</v>
      </c>
      <c r="E293" s="2075">
        <v>0</v>
      </c>
      <c r="F293" s="709">
        <v>0</v>
      </c>
      <c r="G293" s="709">
        <v>0</v>
      </c>
      <c r="H293" s="2076">
        <v>0</v>
      </c>
      <c r="I293" s="2076">
        <v>0</v>
      </c>
      <c r="J293" s="709">
        <v>0</v>
      </c>
      <c r="K293" s="2070">
        <v>0</v>
      </c>
      <c r="L293" s="2070">
        <v>0</v>
      </c>
      <c r="M293" s="2070">
        <v>0</v>
      </c>
      <c r="N293" s="2070">
        <v>0</v>
      </c>
      <c r="O293" s="2070">
        <v>0</v>
      </c>
      <c r="P293" s="2070">
        <v>0</v>
      </c>
      <c r="Q293" s="2070">
        <v>0</v>
      </c>
      <c r="R293" s="2070">
        <v>0</v>
      </c>
      <c r="S293" s="2077">
        <v>0</v>
      </c>
      <c r="T293" s="2077">
        <v>0</v>
      </c>
      <c r="U293" s="2077">
        <v>0</v>
      </c>
      <c r="V293" s="2077">
        <v>0</v>
      </c>
      <c r="W293" s="709">
        <v>0</v>
      </c>
      <c r="X293" s="709">
        <v>0</v>
      </c>
      <c r="Y293" s="2077">
        <v>0</v>
      </c>
      <c r="Z293" s="2077">
        <v>0</v>
      </c>
      <c r="AA293" s="2077">
        <v>0</v>
      </c>
      <c r="AB293" s="2077">
        <v>0</v>
      </c>
      <c r="AC293" s="2077">
        <v>0</v>
      </c>
      <c r="AD293" s="2077">
        <v>0</v>
      </c>
      <c r="AE293" s="2077">
        <v>0</v>
      </c>
      <c r="AF293" s="2077">
        <v>0</v>
      </c>
      <c r="AG293" s="2077">
        <v>0</v>
      </c>
      <c r="AH293" s="2077">
        <v>0</v>
      </c>
      <c r="AI293" s="2077">
        <v>0</v>
      </c>
      <c r="AJ293" s="2077">
        <v>0</v>
      </c>
      <c r="AK293" s="709">
        <v>0</v>
      </c>
      <c r="AL293" s="2078"/>
      <c r="AM293" s="2078">
        <v>0</v>
      </c>
      <c r="AN293" s="2078">
        <v>0</v>
      </c>
      <c r="AO293" s="2078">
        <v>0</v>
      </c>
      <c r="AP293" s="2078">
        <v>0</v>
      </c>
      <c r="AQ293" s="2078">
        <v>0</v>
      </c>
      <c r="AR293" s="1727"/>
      <c r="AS293" s="2079" t="s">
        <v>1673</v>
      </c>
      <c r="AT293" s="2080"/>
      <c r="AV293" s="960">
        <v>0</v>
      </c>
      <c r="AW293" s="960">
        <v>0</v>
      </c>
      <c r="AX293" s="960">
        <v>0</v>
      </c>
      <c r="AY293" s="960">
        <v>0</v>
      </c>
      <c r="AZ293" s="960">
        <v>0</v>
      </c>
      <c r="BA293" s="960">
        <v>0</v>
      </c>
      <c r="BB293" s="960">
        <v>0</v>
      </c>
      <c r="BE293" s="1729">
        <v>5660000</v>
      </c>
      <c r="BF293" s="1729">
        <v>-5660000</v>
      </c>
    </row>
    <row r="294" spans="1:58" s="663" customFormat="1">
      <c r="A294" s="1630" t="s">
        <v>1676</v>
      </c>
      <c r="B294" s="1630" t="s">
        <v>2346</v>
      </c>
      <c r="C294" s="1630">
        <v>154715000</v>
      </c>
      <c r="D294" s="1630">
        <v>105794836</v>
      </c>
      <c r="E294" s="1630">
        <v>48920164</v>
      </c>
      <c r="F294" s="588">
        <v>0</v>
      </c>
      <c r="G294" s="588">
        <v>0</v>
      </c>
      <c r="H294" s="2069">
        <v>0</v>
      </c>
      <c r="I294" s="2069">
        <v>0</v>
      </c>
      <c r="J294" s="588">
        <v>0</v>
      </c>
      <c r="K294" s="2067">
        <v>0</v>
      </c>
      <c r="L294" s="2067">
        <v>0</v>
      </c>
      <c r="M294" s="2067">
        <v>0</v>
      </c>
      <c r="N294" s="2067">
        <v>0</v>
      </c>
      <c r="O294" s="2067">
        <v>0</v>
      </c>
      <c r="P294" s="2067">
        <v>0</v>
      </c>
      <c r="Q294" s="2067">
        <v>0</v>
      </c>
      <c r="R294" s="2067">
        <v>0</v>
      </c>
      <c r="S294" s="2067">
        <v>0</v>
      </c>
      <c r="T294" s="2067">
        <v>0</v>
      </c>
      <c r="U294" s="2067">
        <v>0</v>
      </c>
      <c r="V294" s="2067">
        <v>0</v>
      </c>
      <c r="W294" s="588">
        <v>0</v>
      </c>
      <c r="X294" s="588">
        <v>18997483</v>
      </c>
      <c r="Y294" s="2067">
        <v>239191</v>
      </c>
      <c r="Z294" s="2067">
        <v>133123</v>
      </c>
      <c r="AA294" s="2067">
        <v>517086</v>
      </c>
      <c r="AB294" s="2067">
        <v>965829</v>
      </c>
      <c r="AC294" s="2067">
        <v>1752987</v>
      </c>
      <c r="AD294" s="2067">
        <v>1713712</v>
      </c>
      <c r="AE294" s="2067">
        <v>1866681</v>
      </c>
      <c r="AF294" s="2067">
        <v>1339068</v>
      </c>
      <c r="AG294" s="2067">
        <v>1374417</v>
      </c>
      <c r="AH294" s="2067">
        <v>3725018</v>
      </c>
      <c r="AI294" s="2067">
        <v>2560945</v>
      </c>
      <c r="AJ294" s="2067">
        <v>2809426</v>
      </c>
      <c r="AK294" s="588">
        <v>18997483</v>
      </c>
      <c r="AL294" s="2068"/>
      <c r="AM294" s="2068">
        <v>20569214</v>
      </c>
      <c r="AN294" s="2068">
        <v>22567991</v>
      </c>
      <c r="AO294" s="2068">
        <v>16133168</v>
      </c>
      <c r="AP294" s="2068">
        <v>14377583</v>
      </c>
      <c r="AQ294" s="2068">
        <v>62069561</v>
      </c>
      <c r="AR294" s="1714"/>
      <c r="AS294" s="2071" t="s">
        <v>1676</v>
      </c>
      <c r="AT294" s="2072"/>
      <c r="AV294" s="960">
        <v>0</v>
      </c>
      <c r="AW294" s="960">
        <v>135717517</v>
      </c>
      <c r="AX294" s="960">
        <v>115148303</v>
      </c>
      <c r="AY294" s="960">
        <v>92580312</v>
      </c>
      <c r="AZ294" s="960">
        <v>76447144</v>
      </c>
      <c r="BA294" s="960">
        <v>62069561</v>
      </c>
      <c r="BB294" s="950">
        <v>0</v>
      </c>
      <c r="BE294" s="1718">
        <v>0</v>
      </c>
      <c r="BF294" s="1718">
        <v>18997483</v>
      </c>
    </row>
    <row r="295" spans="1:58">
      <c r="A295" s="2081" t="s">
        <v>1742</v>
      </c>
      <c r="B295" s="2081" t="s">
        <v>2347</v>
      </c>
      <c r="C295" s="2081">
        <v>113629000</v>
      </c>
      <c r="D295" s="2081">
        <v>78305256</v>
      </c>
      <c r="E295" s="2081">
        <v>35323744</v>
      </c>
      <c r="F295" s="588">
        <v>0</v>
      </c>
      <c r="G295" s="588">
        <v>0</v>
      </c>
      <c r="H295" s="2069">
        <v>0</v>
      </c>
      <c r="I295" s="2069">
        <v>0</v>
      </c>
      <c r="J295" s="588">
        <v>0</v>
      </c>
      <c r="K295" s="2070">
        <v>0</v>
      </c>
      <c r="L295" s="2070">
        <v>0</v>
      </c>
      <c r="M295" s="2070">
        <v>0</v>
      </c>
      <c r="N295" s="2070">
        <v>0</v>
      </c>
      <c r="O295" s="2070">
        <v>0</v>
      </c>
      <c r="P295" s="2070">
        <v>0</v>
      </c>
      <c r="Q295" s="2070">
        <v>0</v>
      </c>
      <c r="R295" s="2070">
        <v>0</v>
      </c>
      <c r="S295" s="2067">
        <v>0</v>
      </c>
      <c r="T295" s="2067">
        <v>0</v>
      </c>
      <c r="U295" s="2067">
        <v>0</v>
      </c>
      <c r="V295" s="2067">
        <v>0</v>
      </c>
      <c r="W295" s="588">
        <v>0</v>
      </c>
      <c r="X295" s="588">
        <v>0</v>
      </c>
      <c r="Y295" s="2067">
        <v>0</v>
      </c>
      <c r="Z295" s="2067">
        <v>0</v>
      </c>
      <c r="AA295" s="2067">
        <v>0</v>
      </c>
      <c r="AB295" s="2067">
        <v>0</v>
      </c>
      <c r="AC295" s="2067">
        <v>0</v>
      </c>
      <c r="AD295" s="2067">
        <v>0</v>
      </c>
      <c r="AE295" s="2067">
        <v>0</v>
      </c>
      <c r="AF295" s="2067">
        <v>0</v>
      </c>
      <c r="AG295" s="2067">
        <v>0</v>
      </c>
      <c r="AH295" s="2067">
        <v>0</v>
      </c>
      <c r="AI295" s="2067">
        <v>0</v>
      </c>
      <c r="AJ295" s="2067">
        <v>0</v>
      </c>
      <c r="AK295" s="588">
        <v>0</v>
      </c>
      <c r="AL295" s="2068"/>
      <c r="AM295" s="2068">
        <v>16452026</v>
      </c>
      <c r="AN295" s="2068">
        <v>12875838</v>
      </c>
      <c r="AO295" s="2068">
        <v>15975102</v>
      </c>
      <c r="AP295" s="2068">
        <v>14657686</v>
      </c>
      <c r="AQ295" s="2068">
        <v>53668348</v>
      </c>
      <c r="AR295" s="1714"/>
      <c r="AS295" s="2071" t="s">
        <v>1678</v>
      </c>
      <c r="AT295" s="2072"/>
      <c r="AV295" s="960">
        <v>0</v>
      </c>
      <c r="AW295" s="960">
        <v>0</v>
      </c>
      <c r="AX295" s="960">
        <v>97176974</v>
      </c>
      <c r="AY295" s="960">
        <v>84301136</v>
      </c>
      <c r="AZ295" s="960">
        <v>68326034</v>
      </c>
      <c r="BA295" s="960">
        <v>53668348</v>
      </c>
      <c r="BB295" s="950">
        <v>0</v>
      </c>
      <c r="BE295" s="1729">
        <v>0</v>
      </c>
      <c r="BF295" s="1729">
        <v>0</v>
      </c>
    </row>
    <row r="296" spans="1:58">
      <c r="A296" s="2081" t="s">
        <v>1680</v>
      </c>
      <c r="B296" s="2081" t="s">
        <v>2348</v>
      </c>
      <c r="C296" s="2081">
        <v>114036000</v>
      </c>
      <c r="D296" s="2081">
        <v>78736290</v>
      </c>
      <c r="E296" s="2081">
        <v>35299710</v>
      </c>
      <c r="F296" s="588">
        <v>0</v>
      </c>
      <c r="G296" s="588">
        <v>0</v>
      </c>
      <c r="H296" s="2069">
        <v>0</v>
      </c>
      <c r="I296" s="2069">
        <v>0</v>
      </c>
      <c r="J296" s="588">
        <v>0</v>
      </c>
      <c r="K296" s="2070">
        <v>0</v>
      </c>
      <c r="L296" s="2070">
        <v>0</v>
      </c>
      <c r="M296" s="2070">
        <v>0</v>
      </c>
      <c r="N296" s="2070">
        <v>0</v>
      </c>
      <c r="O296" s="2070">
        <v>0</v>
      </c>
      <c r="P296" s="2070">
        <v>0</v>
      </c>
      <c r="Q296" s="2070">
        <v>0</v>
      </c>
      <c r="R296" s="2070">
        <v>0</v>
      </c>
      <c r="S296" s="2067">
        <v>0</v>
      </c>
      <c r="T296" s="2067">
        <v>0</v>
      </c>
      <c r="U296" s="2067">
        <v>0</v>
      </c>
      <c r="V296" s="2067">
        <v>0</v>
      </c>
      <c r="W296" s="588">
        <v>0</v>
      </c>
      <c r="X296" s="588">
        <v>0</v>
      </c>
      <c r="Y296" s="2067">
        <v>0</v>
      </c>
      <c r="Z296" s="2067">
        <v>0</v>
      </c>
      <c r="AA296" s="2067">
        <v>0</v>
      </c>
      <c r="AB296" s="2067">
        <v>0</v>
      </c>
      <c r="AC296" s="2067">
        <v>0</v>
      </c>
      <c r="AD296" s="2067">
        <v>0</v>
      </c>
      <c r="AE296" s="2067">
        <v>0</v>
      </c>
      <c r="AF296" s="2067">
        <v>0</v>
      </c>
      <c r="AG296" s="2067">
        <v>0</v>
      </c>
      <c r="AH296" s="2067">
        <v>0</v>
      </c>
      <c r="AI296" s="2067">
        <v>0</v>
      </c>
      <c r="AJ296" s="2067">
        <v>0</v>
      </c>
      <c r="AK296" s="588">
        <v>0</v>
      </c>
      <c r="AL296" s="2068"/>
      <c r="AM296" s="2068">
        <v>0</v>
      </c>
      <c r="AN296" s="2068">
        <v>11631788</v>
      </c>
      <c r="AO296" s="2068">
        <v>16382963</v>
      </c>
      <c r="AP296" s="2068">
        <v>16597511</v>
      </c>
      <c r="AQ296" s="2068">
        <v>69423738</v>
      </c>
      <c r="AR296" s="1714"/>
      <c r="AS296" s="2071" t="s">
        <v>1680</v>
      </c>
      <c r="AT296" s="2072"/>
      <c r="AV296" s="960">
        <v>0</v>
      </c>
      <c r="AW296" s="960">
        <v>0</v>
      </c>
      <c r="AX296" s="960">
        <v>0</v>
      </c>
      <c r="AY296" s="960">
        <v>102404212</v>
      </c>
      <c r="AZ296" s="960">
        <v>86021249</v>
      </c>
      <c r="BA296" s="960">
        <v>69423738</v>
      </c>
      <c r="BB296" s="950">
        <v>0</v>
      </c>
      <c r="BE296" s="1729">
        <v>0</v>
      </c>
      <c r="BF296" s="1729">
        <v>0</v>
      </c>
    </row>
    <row r="297" spans="1:58">
      <c r="A297" s="2081" t="s">
        <v>1682</v>
      </c>
      <c r="B297" s="2081" t="s">
        <v>2349</v>
      </c>
      <c r="C297" s="2081">
        <v>77500000</v>
      </c>
      <c r="D297" s="2081">
        <v>52205495</v>
      </c>
      <c r="E297" s="2081">
        <v>25294505</v>
      </c>
      <c r="F297" s="588">
        <v>0</v>
      </c>
      <c r="G297" s="588">
        <v>0</v>
      </c>
      <c r="H297" s="2069">
        <v>0</v>
      </c>
      <c r="I297" s="2069">
        <v>0</v>
      </c>
      <c r="J297" s="588">
        <v>0</v>
      </c>
      <c r="K297" s="2070">
        <v>0</v>
      </c>
      <c r="L297" s="2070">
        <v>0</v>
      </c>
      <c r="M297" s="2070">
        <v>0</v>
      </c>
      <c r="N297" s="2070">
        <v>0</v>
      </c>
      <c r="O297" s="2070">
        <v>0</v>
      </c>
      <c r="P297" s="2070">
        <v>0</v>
      </c>
      <c r="Q297" s="2070">
        <v>0</v>
      </c>
      <c r="R297" s="2070">
        <v>0</v>
      </c>
      <c r="S297" s="2067">
        <v>0</v>
      </c>
      <c r="T297" s="2067">
        <v>0</v>
      </c>
      <c r="U297" s="2067">
        <v>0</v>
      </c>
      <c r="V297" s="2067">
        <v>0</v>
      </c>
      <c r="W297" s="588">
        <v>0</v>
      </c>
      <c r="X297" s="588">
        <v>0</v>
      </c>
      <c r="Y297" s="2067">
        <v>0</v>
      </c>
      <c r="Z297" s="2067">
        <v>0</v>
      </c>
      <c r="AA297" s="2067">
        <v>0</v>
      </c>
      <c r="AB297" s="2067">
        <v>0</v>
      </c>
      <c r="AC297" s="2067">
        <v>0</v>
      </c>
      <c r="AD297" s="2067">
        <v>0</v>
      </c>
      <c r="AE297" s="2067">
        <v>0</v>
      </c>
      <c r="AF297" s="2067">
        <v>0</v>
      </c>
      <c r="AG297" s="2067">
        <v>0</v>
      </c>
      <c r="AH297" s="2067">
        <v>0</v>
      </c>
      <c r="AI297" s="2067">
        <v>0</v>
      </c>
      <c r="AJ297" s="2067">
        <v>0</v>
      </c>
      <c r="AK297" s="588">
        <v>0</v>
      </c>
      <c r="AL297" s="2068"/>
      <c r="AM297" s="2068">
        <v>0</v>
      </c>
      <c r="AN297" s="2068">
        <v>0</v>
      </c>
      <c r="AO297" s="2068">
        <v>17859385</v>
      </c>
      <c r="AP297" s="2068">
        <v>16885454</v>
      </c>
      <c r="AQ297" s="2068">
        <v>82422161</v>
      </c>
      <c r="AR297" s="1714"/>
      <c r="AS297" s="2071" t="s">
        <v>1682</v>
      </c>
      <c r="AT297" s="2072"/>
      <c r="AV297" s="960">
        <v>0</v>
      </c>
      <c r="AW297" s="960">
        <v>0</v>
      </c>
      <c r="AX297" s="960">
        <v>0</v>
      </c>
      <c r="AY297" s="960">
        <v>0</v>
      </c>
      <c r="AZ297" s="960">
        <v>99307615</v>
      </c>
      <c r="BA297" s="960">
        <v>82422161</v>
      </c>
      <c r="BB297" s="950">
        <v>0</v>
      </c>
      <c r="BE297" s="1729">
        <v>0</v>
      </c>
      <c r="BF297" s="1729">
        <v>0</v>
      </c>
    </row>
    <row r="298" spans="1:58">
      <c r="A298" s="2081" t="s">
        <v>1684</v>
      </c>
      <c r="B298" s="2081" t="s">
        <v>2350</v>
      </c>
      <c r="C298" s="2081">
        <v>78000000</v>
      </c>
      <c r="D298" s="2081">
        <v>52560130</v>
      </c>
      <c r="E298" s="2081">
        <v>25439870</v>
      </c>
      <c r="F298" s="588"/>
      <c r="G298" s="588">
        <v>0</v>
      </c>
      <c r="H298" s="2069">
        <v>0</v>
      </c>
      <c r="I298" s="2069">
        <v>0</v>
      </c>
      <c r="J298" s="588">
        <v>0</v>
      </c>
      <c r="K298" s="2070">
        <v>0</v>
      </c>
      <c r="L298" s="2070">
        <v>0</v>
      </c>
      <c r="M298" s="2070">
        <v>0</v>
      </c>
      <c r="N298" s="2070">
        <v>0</v>
      </c>
      <c r="O298" s="2070">
        <v>0</v>
      </c>
      <c r="P298" s="2070">
        <v>0</v>
      </c>
      <c r="Q298" s="2070">
        <v>0</v>
      </c>
      <c r="R298" s="2070">
        <v>0</v>
      </c>
      <c r="S298" s="2067">
        <v>0</v>
      </c>
      <c r="T298" s="2067">
        <v>0</v>
      </c>
      <c r="U298" s="2067">
        <v>0</v>
      </c>
      <c r="V298" s="2067">
        <v>0</v>
      </c>
      <c r="W298" s="588">
        <v>0</v>
      </c>
      <c r="X298" s="588">
        <v>0</v>
      </c>
      <c r="Y298" s="2067">
        <v>0</v>
      </c>
      <c r="Z298" s="2067">
        <v>0</v>
      </c>
      <c r="AA298" s="2067">
        <v>0</v>
      </c>
      <c r="AB298" s="2067">
        <v>0</v>
      </c>
      <c r="AC298" s="2067">
        <v>0</v>
      </c>
      <c r="AD298" s="2067">
        <v>0</v>
      </c>
      <c r="AE298" s="2067">
        <v>0</v>
      </c>
      <c r="AF298" s="2067">
        <v>0</v>
      </c>
      <c r="AG298" s="2067">
        <v>0</v>
      </c>
      <c r="AH298" s="2067">
        <v>0</v>
      </c>
      <c r="AI298" s="2067">
        <v>0</v>
      </c>
      <c r="AJ298" s="2067">
        <v>0</v>
      </c>
      <c r="AK298" s="588">
        <v>0</v>
      </c>
      <c r="AL298" s="2068"/>
      <c r="AM298" s="2068">
        <v>0</v>
      </c>
      <c r="AN298" s="2068">
        <v>0</v>
      </c>
      <c r="AO298" s="2068">
        <v>0</v>
      </c>
      <c r="AP298" s="2068">
        <v>13818273</v>
      </c>
      <c r="AQ298" s="2068">
        <v>106555727</v>
      </c>
      <c r="AR298" s="1714"/>
      <c r="AS298" s="2071" t="s">
        <v>1684</v>
      </c>
      <c r="AT298" s="2072"/>
      <c r="AV298" s="960">
        <v>0</v>
      </c>
      <c r="AW298" s="960">
        <v>0</v>
      </c>
      <c r="AX298" s="960">
        <v>0</v>
      </c>
      <c r="AY298" s="960">
        <v>0</v>
      </c>
      <c r="AZ298" s="960">
        <v>0</v>
      </c>
      <c r="BA298" s="960">
        <v>106555727</v>
      </c>
      <c r="BB298" s="950">
        <v>0</v>
      </c>
      <c r="BE298" s="1729"/>
      <c r="BF298" s="1729"/>
    </row>
    <row r="299" spans="1:58" ht="15.75" customHeight="1">
      <c r="A299" s="2066" t="s">
        <v>1199</v>
      </c>
      <c r="B299" s="1043" t="s">
        <v>2351</v>
      </c>
      <c r="C299" s="2067">
        <v>-319176300</v>
      </c>
      <c r="D299" s="2067">
        <v>-319176300</v>
      </c>
      <c r="E299" s="2073">
        <v>0</v>
      </c>
      <c r="F299" s="588">
        <v>-115422161</v>
      </c>
      <c r="G299" s="588">
        <v>-59912500</v>
      </c>
      <c r="H299" s="2082">
        <v>-2657000</v>
      </c>
      <c r="I299" s="2069">
        <v>-29395250</v>
      </c>
      <c r="J299" s="588">
        <v>-30511034</v>
      </c>
      <c r="K299" s="2070">
        <v>-3221000</v>
      </c>
      <c r="L299" s="2070">
        <v>-4997750</v>
      </c>
      <c r="M299" s="2070">
        <v>-2825000</v>
      </c>
      <c r="N299" s="2070">
        <v>-3850500</v>
      </c>
      <c r="O299" s="2070">
        <v>-2945000</v>
      </c>
      <c r="P299" s="2070">
        <v>-4169750</v>
      </c>
      <c r="Q299" s="2070">
        <v>-4729250</v>
      </c>
      <c r="R299" s="2070">
        <v>-2657000</v>
      </c>
      <c r="S299" s="2067">
        <v>-3100000</v>
      </c>
      <c r="T299" s="2067">
        <v>-3462000</v>
      </c>
      <c r="U299" s="2067">
        <v>-6480000</v>
      </c>
      <c r="V299" s="2067">
        <v>11926216</v>
      </c>
      <c r="W299" s="588">
        <v>-145933195</v>
      </c>
      <c r="X299" s="588">
        <v>-59918936</v>
      </c>
      <c r="Y299" s="2067">
        <v>-5719703</v>
      </c>
      <c r="Z299" s="2067">
        <v>-3247081</v>
      </c>
      <c r="AA299" s="2067">
        <v>-6726077</v>
      </c>
      <c r="AB299" s="2067">
        <v>-4724425</v>
      </c>
      <c r="AC299" s="2067">
        <v>-4901045</v>
      </c>
      <c r="AD299" s="2067">
        <v>-5141046</v>
      </c>
      <c r="AE299" s="2067">
        <v>-4907386</v>
      </c>
      <c r="AF299" s="2067">
        <v>-3610945</v>
      </c>
      <c r="AG299" s="2067">
        <v>-3361674</v>
      </c>
      <c r="AH299" s="2067">
        <v>-6462815</v>
      </c>
      <c r="AI299" s="2067">
        <v>-4656160</v>
      </c>
      <c r="AJ299" s="2067">
        <v>-6460579</v>
      </c>
      <c r="AK299" s="588">
        <v>-205852131</v>
      </c>
      <c r="AL299" s="2068"/>
      <c r="AM299" s="588">
        <v>-29715086</v>
      </c>
      <c r="AN299" s="588">
        <v>-27492655</v>
      </c>
      <c r="AO299" s="588">
        <v>-9622923</v>
      </c>
      <c r="AP299" s="588">
        <v>-7435008</v>
      </c>
      <c r="AQ299" s="588">
        <v>-58055980</v>
      </c>
      <c r="AR299" s="1714" t="s">
        <v>1308</v>
      </c>
      <c r="AS299" s="797" t="s">
        <v>1246</v>
      </c>
      <c r="AT299" s="2083"/>
      <c r="AU299" s="881" t="s">
        <v>2342</v>
      </c>
      <c r="AV299" s="950">
        <v>-173243105</v>
      </c>
      <c r="AW299" s="950">
        <v>-132321652</v>
      </c>
      <c r="AX299" s="950">
        <v>-102606566</v>
      </c>
      <c r="AY299" s="950">
        <v>-75113911</v>
      </c>
      <c r="AZ299" s="950">
        <v>-65490988</v>
      </c>
      <c r="BA299" s="950">
        <v>-58055980</v>
      </c>
      <c r="BB299" s="950">
        <v>0</v>
      </c>
      <c r="BE299" s="1729">
        <v>-51902500</v>
      </c>
      <c r="BF299" s="1729">
        <v>-8016436</v>
      </c>
    </row>
    <row r="300" spans="1:58">
      <c r="A300" s="2066" t="s">
        <v>1201</v>
      </c>
      <c r="B300" s="1043" t="s">
        <v>2352</v>
      </c>
      <c r="C300" s="2084">
        <v>0</v>
      </c>
      <c r="D300" s="2084">
        <v>0</v>
      </c>
      <c r="E300" s="2073">
        <v>0</v>
      </c>
      <c r="F300" s="588">
        <v>0</v>
      </c>
      <c r="G300" s="588">
        <v>-1360000</v>
      </c>
      <c r="H300" s="2082">
        <v>0</v>
      </c>
      <c r="I300" s="2069">
        <v>-160000</v>
      </c>
      <c r="J300" s="588">
        <v>-2320000</v>
      </c>
      <c r="K300" s="2085">
        <v>0</v>
      </c>
      <c r="L300" s="2085">
        <v>0</v>
      </c>
      <c r="M300" s="2085">
        <v>0</v>
      </c>
      <c r="N300" s="2085">
        <v>0</v>
      </c>
      <c r="O300" s="2085">
        <v>-160000</v>
      </c>
      <c r="P300" s="2085">
        <v>0</v>
      </c>
      <c r="Q300" s="2085">
        <v>0</v>
      </c>
      <c r="R300" s="2085">
        <v>0</v>
      </c>
      <c r="S300" s="2084">
        <v>0</v>
      </c>
      <c r="T300" s="2084">
        <v>0</v>
      </c>
      <c r="U300" s="2084">
        <v>0</v>
      </c>
      <c r="V300" s="2084">
        <v>-2160000</v>
      </c>
      <c r="W300" s="588">
        <v>-2320000</v>
      </c>
      <c r="X300" s="2086">
        <v>-1375000</v>
      </c>
      <c r="Y300" s="2084">
        <v>0</v>
      </c>
      <c r="Z300" s="2084">
        <v>0</v>
      </c>
      <c r="AA300" s="2084">
        <v>0</v>
      </c>
      <c r="AB300" s="2084">
        <v>0</v>
      </c>
      <c r="AC300" s="2084">
        <v>0</v>
      </c>
      <c r="AD300" s="2084">
        <v>0</v>
      </c>
      <c r="AE300" s="2084">
        <v>0</v>
      </c>
      <c r="AF300" s="2084">
        <v>0</v>
      </c>
      <c r="AG300" s="2084">
        <v>0</v>
      </c>
      <c r="AH300" s="2084">
        <v>-175000</v>
      </c>
      <c r="AI300" s="2084">
        <v>0</v>
      </c>
      <c r="AJ300" s="2084">
        <v>-1200000</v>
      </c>
      <c r="AK300" s="588">
        <v>-3695000</v>
      </c>
      <c r="AL300" s="588"/>
      <c r="AM300" s="588">
        <v>-420000</v>
      </c>
      <c r="AN300" s="588">
        <v>-821500</v>
      </c>
      <c r="AO300" s="588">
        <v>0</v>
      </c>
      <c r="AP300" s="588">
        <v>0</v>
      </c>
      <c r="AQ300" s="588">
        <v>0</v>
      </c>
      <c r="AR300" s="1714"/>
      <c r="AS300" s="2087" t="s">
        <v>2353</v>
      </c>
      <c r="AT300" s="2083"/>
      <c r="AV300" s="950"/>
      <c r="AW300" s="950"/>
      <c r="AX300" s="950"/>
      <c r="AY300" s="950"/>
      <c r="AZ300" s="950"/>
      <c r="BA300" s="950"/>
      <c r="BB300" s="950">
        <v>0</v>
      </c>
      <c r="BE300" s="1729">
        <v>-1360000</v>
      </c>
      <c r="BF300" s="1729">
        <v>-15000</v>
      </c>
    </row>
    <row r="301" spans="1:58">
      <c r="A301" s="2066" t="s">
        <v>1203</v>
      </c>
      <c r="B301" s="1043" t="s">
        <v>2354</v>
      </c>
      <c r="C301" s="2084"/>
      <c r="D301" s="2084"/>
      <c r="E301" s="2073"/>
      <c r="F301" s="588">
        <v>0</v>
      </c>
      <c r="G301" s="588">
        <v>-1050000</v>
      </c>
      <c r="H301" s="2082">
        <v>0</v>
      </c>
      <c r="I301" s="2069">
        <v>0</v>
      </c>
      <c r="J301" s="588">
        <v>-1267500</v>
      </c>
      <c r="K301" s="2085">
        <v>0</v>
      </c>
      <c r="L301" s="2085">
        <v>0</v>
      </c>
      <c r="M301" s="2085">
        <v>0</v>
      </c>
      <c r="N301" s="2085">
        <v>0</v>
      </c>
      <c r="O301" s="2085">
        <v>0</v>
      </c>
      <c r="P301" s="2085">
        <v>0</v>
      </c>
      <c r="Q301" s="2085">
        <v>0</v>
      </c>
      <c r="R301" s="2085">
        <v>0</v>
      </c>
      <c r="S301" s="2084">
        <v>-1180000</v>
      </c>
      <c r="T301" s="2084">
        <v>0</v>
      </c>
      <c r="U301" s="2084">
        <v>0</v>
      </c>
      <c r="V301" s="2084">
        <v>-87500</v>
      </c>
      <c r="W301" s="588">
        <v>-1267500</v>
      </c>
      <c r="X301" s="2086">
        <v>-1619000</v>
      </c>
      <c r="Y301" s="2084">
        <v>-29500</v>
      </c>
      <c r="Z301" s="2084">
        <v>-29500</v>
      </c>
      <c r="AA301" s="2084">
        <v>-29500</v>
      </c>
      <c r="AB301" s="2084">
        <v>-1294500</v>
      </c>
      <c r="AC301" s="2084">
        <v>-29500</v>
      </c>
      <c r="AD301" s="2084">
        <v>-29500</v>
      </c>
      <c r="AE301" s="2084">
        <v>-29500</v>
      </c>
      <c r="AF301" s="2084">
        <v>-29500</v>
      </c>
      <c r="AG301" s="2084">
        <v>-29500</v>
      </c>
      <c r="AH301" s="2084">
        <v>-29500</v>
      </c>
      <c r="AI301" s="2084">
        <v>-29500</v>
      </c>
      <c r="AJ301" s="2084">
        <v>-29500</v>
      </c>
      <c r="AK301" s="588">
        <v>-2886500</v>
      </c>
      <c r="AL301" s="588"/>
      <c r="AM301" s="588">
        <v>-1050000</v>
      </c>
      <c r="AN301" s="588">
        <v>-1110000</v>
      </c>
      <c r="AO301" s="588">
        <v>-1597500</v>
      </c>
      <c r="AP301" s="588">
        <v>0</v>
      </c>
      <c r="AQ301" s="588">
        <v>0</v>
      </c>
      <c r="AR301" s="1714"/>
      <c r="AS301" s="2087" t="s">
        <v>2355</v>
      </c>
      <c r="AT301" s="2083"/>
      <c r="AV301" s="950"/>
      <c r="AW301" s="960"/>
      <c r="AX301" s="960"/>
      <c r="AY301" s="960"/>
      <c r="AZ301" s="960"/>
      <c r="BA301" s="960"/>
      <c r="BB301" s="960">
        <v>0</v>
      </c>
      <c r="BE301" s="1729"/>
      <c r="BF301" s="1729"/>
    </row>
    <row r="302" spans="1:58">
      <c r="A302" s="2075" t="s">
        <v>1743</v>
      </c>
      <c r="B302" s="2075" t="s">
        <v>2356</v>
      </c>
      <c r="C302" s="2075">
        <v>0</v>
      </c>
      <c r="D302" s="2075">
        <v>0</v>
      </c>
      <c r="E302" s="2075">
        <v>0</v>
      </c>
      <c r="F302" s="709"/>
      <c r="G302" s="709"/>
      <c r="H302" s="2088"/>
      <c r="I302" s="2088"/>
      <c r="J302" s="709">
        <v>0</v>
      </c>
      <c r="K302" s="2070">
        <v>0</v>
      </c>
      <c r="L302" s="2070">
        <v>0</v>
      </c>
      <c r="M302" s="2070">
        <v>0</v>
      </c>
      <c r="N302" s="2070">
        <v>0</v>
      </c>
      <c r="O302" s="2070">
        <v>0</v>
      </c>
      <c r="P302" s="2070">
        <v>0</v>
      </c>
      <c r="Q302" s="2070">
        <v>0</v>
      </c>
      <c r="R302" s="2070">
        <v>0</v>
      </c>
      <c r="S302" s="2077">
        <v>0</v>
      </c>
      <c r="T302" s="2077">
        <v>0</v>
      </c>
      <c r="U302" s="2077">
        <v>0</v>
      </c>
      <c r="V302" s="2077">
        <v>0</v>
      </c>
      <c r="W302" s="709">
        <v>0</v>
      </c>
      <c r="X302" s="709">
        <v>0</v>
      </c>
      <c r="Y302" s="2001">
        <v>0</v>
      </c>
      <c r="Z302" s="2001">
        <v>0</v>
      </c>
      <c r="AA302" s="2001">
        <v>0</v>
      </c>
      <c r="AB302" s="2001">
        <v>0</v>
      </c>
      <c r="AC302" s="2001">
        <v>0</v>
      </c>
      <c r="AD302" s="2001">
        <v>0</v>
      </c>
      <c r="AE302" s="2001">
        <v>0</v>
      </c>
      <c r="AF302" s="2001">
        <v>0</v>
      </c>
      <c r="AG302" s="2001">
        <v>0</v>
      </c>
      <c r="AH302" s="2001">
        <v>0</v>
      </c>
      <c r="AI302" s="2001">
        <v>0</v>
      </c>
      <c r="AJ302" s="2001">
        <v>0</v>
      </c>
      <c r="AK302" s="709">
        <v>0</v>
      </c>
      <c r="AL302" s="2078"/>
      <c r="AM302" s="2078">
        <v>0</v>
      </c>
      <c r="AN302" s="2078">
        <v>0</v>
      </c>
      <c r="AO302" s="2078">
        <v>0</v>
      </c>
      <c r="AP302" s="2078">
        <v>0</v>
      </c>
      <c r="AQ302" s="2078">
        <v>0</v>
      </c>
      <c r="AR302" s="1727"/>
      <c r="AS302" s="2089" t="s">
        <v>1673</v>
      </c>
      <c r="AT302" s="2090"/>
      <c r="AV302" s="960">
        <v>0</v>
      </c>
      <c r="AW302" s="960">
        <v>0</v>
      </c>
      <c r="AX302" s="960">
        <v>0</v>
      </c>
      <c r="AY302" s="960">
        <v>0</v>
      </c>
      <c r="AZ302" s="960">
        <v>0</v>
      </c>
      <c r="BA302" s="960">
        <v>0</v>
      </c>
      <c r="BB302" s="960">
        <v>0</v>
      </c>
      <c r="BE302" s="1729">
        <v>-5660000</v>
      </c>
      <c r="BF302" s="1729">
        <v>5660000</v>
      </c>
    </row>
    <row r="303" spans="1:58" s="663" customFormat="1">
      <c r="A303" s="1630" t="s">
        <v>1744</v>
      </c>
      <c r="B303" s="1630" t="s">
        <v>2107</v>
      </c>
      <c r="C303" s="1630">
        <v>-154715000</v>
      </c>
      <c r="D303" s="1630">
        <v>-154715000</v>
      </c>
      <c r="E303" s="1630">
        <v>0</v>
      </c>
      <c r="F303" s="588"/>
      <c r="G303" s="588"/>
      <c r="H303" s="2091"/>
      <c r="I303" s="2091"/>
      <c r="J303" s="588"/>
      <c r="K303" s="2067">
        <v>0</v>
      </c>
      <c r="L303" s="2067">
        <v>0</v>
      </c>
      <c r="M303" s="2067">
        <v>0</v>
      </c>
      <c r="N303" s="2067">
        <v>0</v>
      </c>
      <c r="O303" s="2067">
        <v>0</v>
      </c>
      <c r="P303" s="2067">
        <v>0</v>
      </c>
      <c r="Q303" s="2067">
        <v>0</v>
      </c>
      <c r="R303" s="2067">
        <v>0</v>
      </c>
      <c r="S303" s="2067">
        <v>0</v>
      </c>
      <c r="T303" s="2067">
        <v>0</v>
      </c>
      <c r="U303" s="2067">
        <v>0</v>
      </c>
      <c r="V303" s="2067">
        <v>0</v>
      </c>
      <c r="W303" s="588">
        <v>0</v>
      </c>
      <c r="X303" s="588">
        <v>0</v>
      </c>
      <c r="Y303" s="2084"/>
      <c r="Z303" s="2084"/>
      <c r="AA303" s="2084"/>
      <c r="AB303" s="2084"/>
      <c r="AC303" s="2084"/>
      <c r="AD303" s="2084"/>
      <c r="AE303" s="2084"/>
      <c r="AF303" s="2084"/>
      <c r="AG303" s="2084"/>
      <c r="AH303" s="2084"/>
      <c r="AI303" s="2084"/>
      <c r="AJ303" s="2084"/>
      <c r="AK303" s="588">
        <v>0</v>
      </c>
      <c r="AL303" s="2068"/>
      <c r="AM303" s="2068">
        <v>-20569214</v>
      </c>
      <c r="AN303" s="2068">
        <v>-22567991</v>
      </c>
      <c r="AO303" s="2068">
        <v>-16133168</v>
      </c>
      <c r="AP303" s="2068">
        <v>-14377583</v>
      </c>
      <c r="AQ303" s="2068">
        <v>-62069561</v>
      </c>
      <c r="AR303" s="1714"/>
      <c r="AS303" s="1715" t="s">
        <v>1676</v>
      </c>
      <c r="AT303" s="2083"/>
      <c r="AV303" s="950"/>
      <c r="AW303" s="950">
        <v>-135717517</v>
      </c>
      <c r="AX303" s="950">
        <v>-115148303</v>
      </c>
      <c r="AY303" s="950">
        <v>-92580312</v>
      </c>
      <c r="AZ303" s="950">
        <v>-76447144</v>
      </c>
      <c r="BA303" s="950">
        <v>-62069561</v>
      </c>
      <c r="BB303" s="950">
        <v>0</v>
      </c>
      <c r="BE303" s="1718">
        <v>0</v>
      </c>
      <c r="BF303" s="1718">
        <v>0</v>
      </c>
    </row>
    <row r="304" spans="1:58">
      <c r="A304" s="2081" t="s">
        <v>1745</v>
      </c>
      <c r="B304" s="2081" t="s">
        <v>2357</v>
      </c>
      <c r="C304" s="2081">
        <v>-113629000</v>
      </c>
      <c r="D304" s="2092">
        <v>-113629000</v>
      </c>
      <c r="E304" s="2081">
        <v>0</v>
      </c>
      <c r="F304" s="588"/>
      <c r="G304" s="588"/>
      <c r="H304" s="2091"/>
      <c r="I304" s="2091"/>
      <c r="J304" s="588"/>
      <c r="K304" s="2070">
        <v>0</v>
      </c>
      <c r="L304" s="2070">
        <v>0</v>
      </c>
      <c r="M304" s="2070">
        <v>0</v>
      </c>
      <c r="N304" s="2070">
        <v>0</v>
      </c>
      <c r="O304" s="2070">
        <v>0</v>
      </c>
      <c r="P304" s="2070">
        <v>0</v>
      </c>
      <c r="Q304" s="2070">
        <v>0</v>
      </c>
      <c r="R304" s="2070">
        <v>0</v>
      </c>
      <c r="S304" s="2077">
        <v>0</v>
      </c>
      <c r="T304" s="2077">
        <v>0</v>
      </c>
      <c r="U304" s="2077">
        <v>0</v>
      </c>
      <c r="V304" s="2077">
        <v>0</v>
      </c>
      <c r="W304" s="588">
        <v>0</v>
      </c>
      <c r="X304" s="588">
        <v>0</v>
      </c>
      <c r="Y304" s="2084"/>
      <c r="Z304" s="2084"/>
      <c r="AA304" s="2084"/>
      <c r="AB304" s="2084"/>
      <c r="AC304" s="2084"/>
      <c r="AD304" s="2084"/>
      <c r="AE304" s="2084"/>
      <c r="AF304" s="2084"/>
      <c r="AG304" s="2084"/>
      <c r="AH304" s="2084"/>
      <c r="AI304" s="2084"/>
      <c r="AJ304" s="2084"/>
      <c r="AK304" s="588">
        <v>0</v>
      </c>
      <c r="AL304" s="2068"/>
      <c r="AM304" s="2068">
        <v>-16452026</v>
      </c>
      <c r="AN304" s="2068">
        <v>-12875838</v>
      </c>
      <c r="AO304" s="2068">
        <v>-15975102</v>
      </c>
      <c r="AP304" s="2068">
        <v>-14657686</v>
      </c>
      <c r="AQ304" s="2068">
        <v>-53668348</v>
      </c>
      <c r="AR304" s="1714"/>
      <c r="AS304" s="1715" t="s">
        <v>1678</v>
      </c>
      <c r="AT304" s="2083"/>
      <c r="AV304" s="950"/>
      <c r="AW304" s="950"/>
      <c r="AX304" s="2093">
        <v>-97176974</v>
      </c>
      <c r="AY304" s="2093">
        <v>-84301136</v>
      </c>
      <c r="AZ304" s="2093">
        <v>-68326034</v>
      </c>
      <c r="BA304" s="2093">
        <v>-53668348</v>
      </c>
      <c r="BB304" s="2093">
        <v>0</v>
      </c>
      <c r="BE304" s="1729">
        <v>0</v>
      </c>
      <c r="BF304" s="1729">
        <v>0</v>
      </c>
    </row>
    <row r="305" spans="1:58">
      <c r="A305" s="2081" t="s">
        <v>1746</v>
      </c>
      <c r="B305" s="2081" t="s">
        <v>2357</v>
      </c>
      <c r="C305" s="2081">
        <v>-114036000</v>
      </c>
      <c r="D305" s="2092">
        <v>-114036000</v>
      </c>
      <c r="E305" s="2081">
        <v>0</v>
      </c>
      <c r="F305" s="588"/>
      <c r="G305" s="588"/>
      <c r="H305" s="2094"/>
      <c r="I305" s="2094"/>
      <c r="J305" s="588"/>
      <c r="K305" s="2070">
        <v>0</v>
      </c>
      <c r="L305" s="2070">
        <v>0</v>
      </c>
      <c r="M305" s="2070">
        <v>0</v>
      </c>
      <c r="N305" s="2070">
        <v>0</v>
      </c>
      <c r="O305" s="2070">
        <v>0</v>
      </c>
      <c r="P305" s="2070">
        <v>0</v>
      </c>
      <c r="Q305" s="2070">
        <v>0</v>
      </c>
      <c r="R305" s="2070">
        <v>0</v>
      </c>
      <c r="S305" s="2077">
        <v>0</v>
      </c>
      <c r="T305" s="2077">
        <v>0</v>
      </c>
      <c r="U305" s="2077">
        <v>0</v>
      </c>
      <c r="V305" s="2077">
        <v>0</v>
      </c>
      <c r="W305" s="588">
        <v>0</v>
      </c>
      <c r="X305" s="588">
        <v>0</v>
      </c>
      <c r="Y305" s="2084"/>
      <c r="Z305" s="2084"/>
      <c r="AA305" s="2084"/>
      <c r="AB305" s="2084"/>
      <c r="AC305" s="2084"/>
      <c r="AD305" s="2084"/>
      <c r="AE305" s="2084"/>
      <c r="AF305" s="2084"/>
      <c r="AG305" s="2084"/>
      <c r="AH305" s="2084"/>
      <c r="AI305" s="2084"/>
      <c r="AJ305" s="2084"/>
      <c r="AK305" s="588">
        <v>0</v>
      </c>
      <c r="AL305" s="588"/>
      <c r="AM305" s="588">
        <v>0</v>
      </c>
      <c r="AN305" s="588">
        <v>-11631788</v>
      </c>
      <c r="AO305" s="588">
        <v>-16382963</v>
      </c>
      <c r="AP305" s="588">
        <v>-16597511</v>
      </c>
      <c r="AQ305" s="588">
        <v>-69423738</v>
      </c>
      <c r="AR305" s="1714"/>
      <c r="AS305" s="1715" t="s">
        <v>1680</v>
      </c>
      <c r="AT305" s="2083"/>
      <c r="AV305" s="950"/>
      <c r="AW305" s="950"/>
      <c r="AX305" s="950"/>
      <c r="AY305" s="2093">
        <v>-102404212</v>
      </c>
      <c r="AZ305" s="2093">
        <v>-86021249</v>
      </c>
      <c r="BA305" s="2093">
        <v>-69423738</v>
      </c>
      <c r="BB305" s="2093">
        <v>0</v>
      </c>
      <c r="BE305" s="1729">
        <v>0</v>
      </c>
      <c r="BF305" s="1729">
        <v>0</v>
      </c>
    </row>
    <row r="306" spans="1:58">
      <c r="A306" s="2081" t="s">
        <v>1747</v>
      </c>
      <c r="B306" s="2081" t="s">
        <v>2357</v>
      </c>
      <c r="C306" s="2081">
        <v>-117167000</v>
      </c>
      <c r="D306" s="2081">
        <v>-81311086</v>
      </c>
      <c r="E306" s="2081">
        <v>-35855914</v>
      </c>
      <c r="F306" s="588"/>
      <c r="G306" s="588"/>
      <c r="H306" s="2094"/>
      <c r="I306" s="2094"/>
      <c r="J306" s="588"/>
      <c r="K306" s="2070">
        <v>0</v>
      </c>
      <c r="L306" s="2070">
        <v>0</v>
      </c>
      <c r="M306" s="2070">
        <v>0</v>
      </c>
      <c r="N306" s="2070">
        <v>0</v>
      </c>
      <c r="O306" s="2070">
        <v>0</v>
      </c>
      <c r="P306" s="2070">
        <v>0</v>
      </c>
      <c r="Q306" s="2070">
        <v>0</v>
      </c>
      <c r="R306" s="2070">
        <v>0</v>
      </c>
      <c r="S306" s="2077">
        <v>0</v>
      </c>
      <c r="T306" s="2077">
        <v>0</v>
      </c>
      <c r="U306" s="2077">
        <v>0</v>
      </c>
      <c r="V306" s="2077">
        <v>0</v>
      </c>
      <c r="W306" s="588">
        <v>0</v>
      </c>
      <c r="X306" s="588">
        <v>0</v>
      </c>
      <c r="Y306" s="2084"/>
      <c r="Z306" s="2084"/>
      <c r="AA306" s="2084"/>
      <c r="AB306" s="2084"/>
      <c r="AC306" s="2084"/>
      <c r="AD306" s="2084"/>
      <c r="AE306" s="2084"/>
      <c r="AF306" s="2084"/>
      <c r="AG306" s="2084"/>
      <c r="AH306" s="2084"/>
      <c r="AI306" s="2084"/>
      <c r="AJ306" s="2084"/>
      <c r="AK306" s="588">
        <v>0</v>
      </c>
      <c r="AL306" s="588"/>
      <c r="AM306" s="588">
        <v>0</v>
      </c>
      <c r="AN306" s="588">
        <v>0</v>
      </c>
      <c r="AO306" s="588">
        <v>-17859385</v>
      </c>
      <c r="AP306" s="588">
        <v>-16885454</v>
      </c>
      <c r="AQ306" s="588">
        <v>-82422161</v>
      </c>
      <c r="AR306" s="1714"/>
      <c r="AS306" s="1715" t="s">
        <v>1682</v>
      </c>
      <c r="AT306" s="2083"/>
      <c r="AV306" s="950"/>
      <c r="AW306" s="950"/>
      <c r="AX306" s="950"/>
      <c r="AY306" s="950"/>
      <c r="AZ306" s="950">
        <v>-99307615</v>
      </c>
      <c r="BA306" s="2093">
        <v>-82422161</v>
      </c>
      <c r="BB306" s="2093">
        <v>0</v>
      </c>
      <c r="BE306" s="1729">
        <v>0</v>
      </c>
      <c r="BF306" s="1729">
        <v>0</v>
      </c>
    </row>
    <row r="307" spans="1:58">
      <c r="A307" s="2081" t="s">
        <v>1748</v>
      </c>
      <c r="B307" s="2081" t="s">
        <v>2357</v>
      </c>
      <c r="C307" s="2081">
        <v>-120374000</v>
      </c>
      <c r="D307" s="2081">
        <v>-83255395</v>
      </c>
      <c r="E307" s="2081">
        <v>-37118605</v>
      </c>
      <c r="F307" s="2095"/>
      <c r="G307" s="2095"/>
      <c r="H307" s="2096"/>
      <c r="I307" s="2096"/>
      <c r="J307" s="2095"/>
      <c r="K307" s="2097"/>
      <c r="L307" s="2097"/>
      <c r="M307" s="2097"/>
      <c r="N307" s="2097"/>
      <c r="O307" s="2097"/>
      <c r="P307" s="2097"/>
      <c r="Q307" s="2097"/>
      <c r="R307" s="2097"/>
      <c r="S307" s="2098"/>
      <c r="T307" s="2098"/>
      <c r="U307" s="2098"/>
      <c r="V307" s="2098"/>
      <c r="W307" s="2095"/>
      <c r="X307" s="2095"/>
      <c r="Y307" s="2099"/>
      <c r="Z307" s="2099"/>
      <c r="AA307" s="2099"/>
      <c r="AB307" s="2099"/>
      <c r="AC307" s="2099"/>
      <c r="AD307" s="2099"/>
      <c r="AE307" s="2099"/>
      <c r="AF307" s="2099"/>
      <c r="AG307" s="2099"/>
      <c r="AH307" s="2099"/>
      <c r="AI307" s="2099"/>
      <c r="AJ307" s="2099"/>
      <c r="AK307" s="2095"/>
      <c r="AL307" s="2095"/>
      <c r="AM307" s="2095"/>
      <c r="AN307" s="2095"/>
      <c r="AO307" s="2095"/>
      <c r="AP307" s="588">
        <v>-13818273</v>
      </c>
      <c r="AQ307" s="588">
        <v>-106555727</v>
      </c>
      <c r="AR307" s="2100"/>
      <c r="AS307" s="1715" t="s">
        <v>2358</v>
      </c>
      <c r="AT307" s="2101"/>
      <c r="AV307" s="999"/>
      <c r="AW307" s="999"/>
      <c r="AX307" s="999"/>
      <c r="AY307" s="999"/>
      <c r="AZ307" s="999"/>
      <c r="BA307" s="2093">
        <v>-106555727</v>
      </c>
      <c r="BB307" s="2093">
        <v>0</v>
      </c>
      <c r="BE307" s="1729"/>
      <c r="BF307" s="1729"/>
    </row>
    <row r="308" spans="1:58" ht="16.2" thickBot="1">
      <c r="A308" s="2102" t="s">
        <v>2112</v>
      </c>
      <c r="B308" s="2103" t="s">
        <v>2359</v>
      </c>
      <c r="C308" s="2103">
        <v>64964620</v>
      </c>
      <c r="D308" s="2103">
        <v>-97950342</v>
      </c>
      <c r="E308" s="2103">
        <v>162914962</v>
      </c>
      <c r="F308" s="2103">
        <v>20507120</v>
      </c>
      <c r="G308" s="2103">
        <v>5598000</v>
      </c>
      <c r="H308" s="2103">
        <v>1316000</v>
      </c>
      <c r="I308" s="2103">
        <v>3108500</v>
      </c>
      <c r="J308" s="2103">
        <v>4853664</v>
      </c>
      <c r="K308" s="2103">
        <v>0</v>
      </c>
      <c r="L308" s="2103">
        <v>0</v>
      </c>
      <c r="M308" s="2103">
        <v>940000</v>
      </c>
      <c r="N308" s="2103">
        <v>0</v>
      </c>
      <c r="O308" s="2103">
        <v>800000</v>
      </c>
      <c r="P308" s="2103">
        <v>52500</v>
      </c>
      <c r="Q308" s="2103">
        <v>0</v>
      </c>
      <c r="R308" s="2103">
        <v>1316000</v>
      </c>
      <c r="S308" s="2103">
        <v>1200000</v>
      </c>
      <c r="T308" s="2103">
        <v>320000</v>
      </c>
      <c r="U308" s="2103">
        <v>0</v>
      </c>
      <c r="V308" s="2103">
        <v>225164</v>
      </c>
      <c r="W308" s="2103">
        <v>25360784</v>
      </c>
      <c r="X308" s="2103">
        <v>15210838</v>
      </c>
      <c r="Y308" s="2103">
        <v>799418</v>
      </c>
      <c r="Z308" s="2103">
        <v>754396</v>
      </c>
      <c r="AA308" s="2103">
        <v>1160345</v>
      </c>
      <c r="AB308" s="2103">
        <v>853602</v>
      </c>
      <c r="AC308" s="2103">
        <v>895938</v>
      </c>
      <c r="AD308" s="2103">
        <v>769522</v>
      </c>
      <c r="AE308" s="2103">
        <v>834969</v>
      </c>
      <c r="AF308" s="2103">
        <v>836152</v>
      </c>
      <c r="AG308" s="2103">
        <v>821362</v>
      </c>
      <c r="AH308" s="2103">
        <v>832388</v>
      </c>
      <c r="AI308" s="2103">
        <v>791839</v>
      </c>
      <c r="AJ308" s="2103">
        <v>5860907</v>
      </c>
      <c r="AK308" s="2103">
        <v>40571622</v>
      </c>
      <c r="AL308" s="2103"/>
      <c r="AM308" s="2103">
        <v>5887530</v>
      </c>
      <c r="AN308" s="2103">
        <v>4764414</v>
      </c>
      <c r="AO308" s="2103">
        <v>2907419</v>
      </c>
      <c r="AP308" s="2103">
        <v>4854971</v>
      </c>
      <c r="AQ308" s="2103">
        <v>6031164</v>
      </c>
      <c r="AR308" s="2103">
        <v>0</v>
      </c>
      <c r="AS308" s="2104">
        <v>0</v>
      </c>
      <c r="AT308" s="2105"/>
      <c r="AV308" s="2106">
        <v>39656336</v>
      </c>
      <c r="AW308" s="2106">
        <v>24445498</v>
      </c>
      <c r="AX308" s="2106">
        <v>18557968</v>
      </c>
      <c r="AY308" s="2106">
        <v>13793554</v>
      </c>
      <c r="AZ308" s="2106">
        <v>10886135</v>
      </c>
      <c r="BA308" s="2106">
        <v>6031164</v>
      </c>
      <c r="BB308" s="2106">
        <v>0</v>
      </c>
      <c r="BC308" s="1015"/>
      <c r="BD308" s="889" t="s">
        <v>1685</v>
      </c>
      <c r="BE308" s="2107">
        <v>5598000</v>
      </c>
      <c r="BF308" s="2107">
        <v>9612838</v>
      </c>
    </row>
    <row r="309" spans="1:58">
      <c r="C309" s="956">
        <v>0</v>
      </c>
      <c r="E309" s="956">
        <v>13300</v>
      </c>
      <c r="F309" s="2108">
        <v>0</v>
      </c>
      <c r="G309" s="2108">
        <v>0</v>
      </c>
      <c r="H309" s="2108">
        <v>0</v>
      </c>
      <c r="I309" s="2108">
        <v>0</v>
      </c>
      <c r="J309" s="2108">
        <v>0</v>
      </c>
      <c r="K309" s="2108">
        <v>0</v>
      </c>
      <c r="L309" s="2108">
        <v>0</v>
      </c>
      <c r="M309" s="2108">
        <v>0</v>
      </c>
      <c r="N309" s="2108">
        <v>0</v>
      </c>
      <c r="O309" s="2108">
        <v>0</v>
      </c>
      <c r="P309" s="2108">
        <v>0</v>
      </c>
      <c r="Q309" s="2108">
        <v>0</v>
      </c>
      <c r="R309" s="2108">
        <v>0</v>
      </c>
      <c r="S309" s="2108">
        <v>0</v>
      </c>
      <c r="T309" s="2108">
        <v>0</v>
      </c>
      <c r="U309" s="2108">
        <v>0</v>
      </c>
      <c r="V309" s="2108">
        <v>0</v>
      </c>
      <c r="W309" s="2108">
        <v>0</v>
      </c>
      <c r="X309" s="2108">
        <v>0</v>
      </c>
      <c r="Y309" s="2108">
        <v>0</v>
      </c>
      <c r="Z309" s="2108">
        <v>0</v>
      </c>
      <c r="AA309" s="2108">
        <v>0</v>
      </c>
      <c r="AB309" s="2108">
        <v>0</v>
      </c>
      <c r="AC309" s="2108">
        <v>0</v>
      </c>
      <c r="AD309" s="2108">
        <v>0</v>
      </c>
      <c r="AE309" s="2108">
        <v>0</v>
      </c>
      <c r="AF309" s="2108">
        <v>0</v>
      </c>
      <c r="AG309" s="2108">
        <v>0</v>
      </c>
      <c r="AH309" s="2108">
        <v>0</v>
      </c>
      <c r="AI309" s="2108">
        <v>0</v>
      </c>
      <c r="AJ309" s="2108">
        <v>0</v>
      </c>
      <c r="AK309" s="2108">
        <v>0</v>
      </c>
      <c r="AL309" s="2108"/>
      <c r="AM309" s="2108">
        <v>0</v>
      </c>
      <c r="AN309" s="2108">
        <v>0</v>
      </c>
      <c r="AO309" s="2108">
        <v>0</v>
      </c>
      <c r="AP309" s="2108">
        <v>0</v>
      </c>
      <c r="AQ309" s="2108">
        <v>0</v>
      </c>
      <c r="AR309" s="2108"/>
      <c r="AS309" s="2108"/>
      <c r="AT309" s="2108"/>
      <c r="AU309" s="2108">
        <v>0</v>
      </c>
      <c r="AV309" s="2108">
        <v>0</v>
      </c>
      <c r="AW309" s="2108">
        <v>0</v>
      </c>
      <c r="AX309" s="2108">
        <v>0</v>
      </c>
      <c r="AY309" s="2108">
        <v>0</v>
      </c>
      <c r="AZ309" s="2108">
        <v>0</v>
      </c>
      <c r="BA309" s="2108">
        <v>0</v>
      </c>
      <c r="BB309" s="2108">
        <v>0</v>
      </c>
    </row>
    <row r="310" spans="1:58">
      <c r="F310" s="2109" t="s">
        <v>2360</v>
      </c>
      <c r="G310" s="2108"/>
      <c r="H310" s="2108"/>
      <c r="I310" s="2108"/>
      <c r="J310" s="2108"/>
      <c r="K310" s="2110">
        <v>0</v>
      </c>
      <c r="L310" s="2110">
        <v>0</v>
      </c>
      <c r="M310" s="2110">
        <v>0</v>
      </c>
      <c r="N310" s="2110">
        <v>0</v>
      </c>
      <c r="O310" s="2110">
        <v>0</v>
      </c>
      <c r="P310" s="2110">
        <v>0</v>
      </c>
      <c r="Q310" s="2110">
        <v>0</v>
      </c>
      <c r="R310" s="2110">
        <v>0</v>
      </c>
      <c r="S310" s="2110">
        <v>0</v>
      </c>
      <c r="T310" s="2110">
        <v>0</v>
      </c>
      <c r="U310" s="2110">
        <v>0</v>
      </c>
      <c r="V310" s="2110">
        <v>0</v>
      </c>
      <c r="W310" s="2110">
        <v>0</v>
      </c>
      <c r="X310" s="2110">
        <v>0</v>
      </c>
      <c r="Y310" s="2110">
        <v>0</v>
      </c>
      <c r="Z310" s="2110">
        <v>0</v>
      </c>
      <c r="AA310" s="2110">
        <v>0</v>
      </c>
      <c r="AB310" s="2110">
        <v>0</v>
      </c>
      <c r="AC310" s="2110">
        <v>0</v>
      </c>
      <c r="AD310" s="2110">
        <v>0</v>
      </c>
      <c r="AE310" s="2110">
        <v>0</v>
      </c>
      <c r="AF310" s="2110">
        <v>0</v>
      </c>
      <c r="AG310" s="2110">
        <v>0</v>
      </c>
      <c r="AH310" s="2110">
        <v>0</v>
      </c>
      <c r="AI310" s="2110">
        <v>0</v>
      </c>
      <c r="AJ310" s="2110">
        <v>0</v>
      </c>
      <c r="AK310" s="2110">
        <v>0</v>
      </c>
      <c r="AL310" s="2110"/>
      <c r="AM310" s="2110">
        <v>0</v>
      </c>
      <c r="AN310" s="2110">
        <v>0</v>
      </c>
      <c r="AO310" s="2110">
        <v>0</v>
      </c>
      <c r="AP310" s="2110">
        <v>0</v>
      </c>
      <c r="AQ310" s="2110">
        <v>0</v>
      </c>
      <c r="AU310" s="881" t="s">
        <v>2361</v>
      </c>
      <c r="AV310" s="956">
        <v>0</v>
      </c>
      <c r="AW310" s="956">
        <v>0</v>
      </c>
      <c r="AX310" s="956">
        <v>0</v>
      </c>
      <c r="AY310" s="956">
        <v>0</v>
      </c>
      <c r="AZ310" s="956">
        <v>0</v>
      </c>
      <c r="BA310" s="956">
        <v>0</v>
      </c>
      <c r="BB310" s="956"/>
    </row>
    <row r="311" spans="1:58">
      <c r="C311" s="690"/>
      <c r="D311" s="690"/>
      <c r="E311" s="690"/>
      <c r="F311" s="690"/>
      <c r="G311" s="690"/>
      <c r="H311" s="690"/>
      <c r="I311" s="690"/>
      <c r="J311" s="690"/>
      <c r="K311" s="690"/>
      <c r="L311" s="690"/>
      <c r="M311" s="690"/>
      <c r="N311" s="690"/>
      <c r="O311" s="690"/>
      <c r="P311" s="690"/>
      <c r="Q311" s="690"/>
      <c r="R311" s="690"/>
      <c r="S311" s="690"/>
      <c r="T311" s="690"/>
      <c r="U311" s="690"/>
      <c r="V311" s="690"/>
      <c r="W311" s="690"/>
      <c r="X311" s="690"/>
      <c r="Y311" s="690"/>
      <c r="Z311" s="690"/>
      <c r="AA311" s="690"/>
      <c r="AB311" s="690"/>
      <c r="AC311" s="690"/>
      <c r="AD311" s="690"/>
      <c r="AE311" s="690"/>
      <c r="AF311" s="690"/>
      <c r="AG311" s="690"/>
      <c r="AH311" s="690"/>
      <c r="AI311" s="690"/>
      <c r="AJ311" s="690"/>
      <c r="AK311" s="690"/>
      <c r="AL311" s="690"/>
      <c r="AM311" s="690"/>
      <c r="AN311" s="690"/>
      <c r="AO311" s="690"/>
      <c r="AP311" s="690"/>
      <c r="AQ311" s="690"/>
      <c r="AV311" s="690"/>
      <c r="AW311" s="690"/>
      <c r="AX311" s="690"/>
      <c r="AY311" s="690"/>
      <c r="AZ311" s="690"/>
      <c r="BA311" s="690"/>
      <c r="BB311" s="690"/>
      <c r="BE311" s="690"/>
      <c r="BF311" s="690"/>
    </row>
    <row r="312" spans="1:58" ht="16.2" thickBot="1">
      <c r="Y312" s="690"/>
      <c r="Z312" s="690"/>
      <c r="AA312" s="690"/>
      <c r="AB312" s="690"/>
      <c r="AC312" s="690"/>
      <c r="AD312" s="690"/>
      <c r="AE312" s="690"/>
      <c r="AF312" s="690"/>
      <c r="AG312" s="690"/>
      <c r="AH312" s="690"/>
      <c r="AI312" s="690"/>
      <c r="AJ312" s="690"/>
      <c r="AK312" s="690"/>
      <c r="AL312" s="690"/>
      <c r="AM312" s="690">
        <v>0</v>
      </c>
      <c r="AN312" s="690">
        <v>0</v>
      </c>
      <c r="AO312" s="690">
        <v>0</v>
      </c>
      <c r="AP312" s="690">
        <v>0</v>
      </c>
      <c r="AQ312" s="690">
        <v>0</v>
      </c>
      <c r="AV312" s="690"/>
      <c r="AW312" s="690"/>
      <c r="AX312" s="690"/>
      <c r="AY312" s="690"/>
      <c r="AZ312" s="690"/>
      <c r="BA312" s="690"/>
      <c r="BB312" s="690"/>
      <c r="BE312" s="690"/>
      <c r="BF312" s="690"/>
    </row>
    <row r="313" spans="1:58" ht="27.75" customHeight="1">
      <c r="A313" s="2554" t="s">
        <v>2362</v>
      </c>
      <c r="B313" s="2555"/>
      <c r="C313" s="2111"/>
      <c r="D313" s="2112"/>
      <c r="E313" s="2113"/>
      <c r="F313" s="2114"/>
      <c r="G313" s="2115"/>
      <c r="H313" s="2556" t="s">
        <v>1763</v>
      </c>
      <c r="I313" s="2557"/>
      <c r="J313" s="2557"/>
      <c r="K313" s="2557"/>
      <c r="L313" s="2557"/>
      <c r="M313" s="2557"/>
      <c r="N313" s="2557"/>
      <c r="O313" s="2557"/>
      <c r="P313" s="2557"/>
      <c r="Q313" s="2557"/>
      <c r="R313" s="2557"/>
      <c r="S313" s="2557"/>
      <c r="T313" s="2557"/>
      <c r="U313" s="2557"/>
      <c r="V313" s="2558"/>
      <c r="W313" s="2114" t="s">
        <v>2333</v>
      </c>
      <c r="X313" s="2115"/>
      <c r="Y313" s="2116"/>
      <c r="Z313" s="2117"/>
      <c r="AA313" s="2117"/>
      <c r="AB313" s="2117"/>
      <c r="AC313" s="2117"/>
      <c r="AD313" s="2117"/>
      <c r="AE313" s="2117" t="s">
        <v>1656</v>
      </c>
      <c r="AF313" s="2117"/>
      <c r="AG313" s="2117"/>
      <c r="AH313" s="2117"/>
      <c r="AI313" s="2117"/>
      <c r="AJ313" s="2118"/>
      <c r="AK313" s="2114" t="s">
        <v>2333</v>
      </c>
      <c r="AL313" s="2119"/>
      <c r="AM313" s="2120"/>
      <c r="AN313" s="2121"/>
      <c r="AO313" s="2121"/>
      <c r="AP313" s="2121"/>
      <c r="AQ313" s="2121"/>
      <c r="AR313" s="2052"/>
      <c r="AS313" s="2053"/>
      <c r="AT313" s="2054"/>
      <c r="AV313" s="2559" t="s">
        <v>1657</v>
      </c>
      <c r="AW313" s="2559"/>
      <c r="AX313" s="2559"/>
      <c r="AY313" s="2559"/>
      <c r="AZ313" s="2559"/>
      <c r="BA313" s="2559"/>
      <c r="BB313" s="2559"/>
    </row>
    <row r="314" spans="1:58" ht="31.2">
      <c r="A314" s="2563" t="s">
        <v>1288</v>
      </c>
      <c r="B314" s="2559" t="s">
        <v>1289</v>
      </c>
      <c r="C314" s="2559" t="s">
        <v>1290</v>
      </c>
      <c r="D314" s="2559" t="s">
        <v>1291</v>
      </c>
      <c r="E314" s="2559" t="s">
        <v>1693</v>
      </c>
      <c r="F314" s="2122" t="s">
        <v>2334</v>
      </c>
      <c r="G314" s="2123" t="s">
        <v>2335</v>
      </c>
      <c r="H314" s="2124">
        <v>8</v>
      </c>
      <c r="I314" s="2125" t="s">
        <v>1756</v>
      </c>
      <c r="J314" s="1787" t="s">
        <v>1239</v>
      </c>
      <c r="K314" s="1788" t="s">
        <v>2211</v>
      </c>
      <c r="L314" s="1788" t="s">
        <v>2212</v>
      </c>
      <c r="M314" s="1788" t="s">
        <v>2213</v>
      </c>
      <c r="N314" s="1788" t="s">
        <v>2214</v>
      </c>
      <c r="O314" s="1788" t="s">
        <v>2215</v>
      </c>
      <c r="P314" s="1788" t="s">
        <v>2216</v>
      </c>
      <c r="Q314" s="1788" t="s">
        <v>2217</v>
      </c>
      <c r="R314" s="1788" t="s">
        <v>2218</v>
      </c>
      <c r="S314" s="1788" t="s">
        <v>2219</v>
      </c>
      <c r="T314" s="1788" t="s">
        <v>2220</v>
      </c>
      <c r="U314" s="1788" t="s">
        <v>2221</v>
      </c>
      <c r="V314" s="1788" t="s">
        <v>2222</v>
      </c>
      <c r="W314" s="1789" t="s">
        <v>2363</v>
      </c>
      <c r="X314" s="1787" t="s">
        <v>2336</v>
      </c>
      <c r="Y314" s="1788" t="s">
        <v>2211</v>
      </c>
      <c r="Z314" s="1788" t="s">
        <v>2212</v>
      </c>
      <c r="AA314" s="1788" t="s">
        <v>2213</v>
      </c>
      <c r="AB314" s="1788" t="s">
        <v>2214</v>
      </c>
      <c r="AC314" s="1788" t="s">
        <v>2215</v>
      </c>
      <c r="AD314" s="1788" t="s">
        <v>2216</v>
      </c>
      <c r="AE314" s="1788" t="s">
        <v>2217</v>
      </c>
      <c r="AF314" s="1788" t="s">
        <v>2218</v>
      </c>
      <c r="AG314" s="1788" t="s">
        <v>2219</v>
      </c>
      <c r="AH314" s="1788" t="s">
        <v>2220</v>
      </c>
      <c r="AI314" s="1788" t="s">
        <v>2221</v>
      </c>
      <c r="AJ314" s="1788" t="s">
        <v>2222</v>
      </c>
      <c r="AK314" s="1789" t="s">
        <v>2258</v>
      </c>
      <c r="AL314" s="2126"/>
      <c r="AM314" s="1791">
        <v>46752</v>
      </c>
      <c r="AN314" s="1792">
        <v>47118</v>
      </c>
      <c r="AO314" s="1792">
        <v>47483</v>
      </c>
      <c r="AP314" s="1793">
        <v>47848</v>
      </c>
      <c r="AQ314" s="1793" t="s">
        <v>2259</v>
      </c>
      <c r="AR314" s="2060" t="s">
        <v>2226</v>
      </c>
      <c r="AS314" s="880" t="s">
        <v>1669</v>
      </c>
      <c r="AT314" s="2061"/>
      <c r="AV314" s="1791">
        <v>46357</v>
      </c>
      <c r="AW314" s="2127">
        <v>46722</v>
      </c>
      <c r="AX314" s="2127">
        <v>47088</v>
      </c>
      <c r="AY314" s="2127">
        <v>47453</v>
      </c>
      <c r="AZ314" s="2127">
        <v>47818</v>
      </c>
      <c r="BA314" s="2127">
        <v>48183</v>
      </c>
      <c r="BB314" s="2127" t="s">
        <v>2259</v>
      </c>
    </row>
    <row r="315" spans="1:58">
      <c r="A315" s="2564"/>
      <c r="B315" s="2559"/>
      <c r="C315" s="2559"/>
      <c r="D315" s="2559"/>
      <c r="E315" s="2559"/>
      <c r="F315" s="1803" t="s">
        <v>2364</v>
      </c>
      <c r="G315" s="1803" t="s">
        <v>2365</v>
      </c>
      <c r="H315" s="1803" t="s">
        <v>2364</v>
      </c>
      <c r="I315" s="1803" t="s">
        <v>2364</v>
      </c>
      <c r="J315" s="1795" t="s">
        <v>2366</v>
      </c>
      <c r="K315" s="1800" t="s">
        <v>1759</v>
      </c>
      <c r="L315" s="1800" t="s">
        <v>1759</v>
      </c>
      <c r="M315" s="1800" t="s">
        <v>1759</v>
      </c>
      <c r="N315" s="1800" t="s">
        <v>1759</v>
      </c>
      <c r="O315" s="1800" t="s">
        <v>1759</v>
      </c>
      <c r="P315" s="1800" t="s">
        <v>1759</v>
      </c>
      <c r="Q315" s="1800" t="s">
        <v>1759</v>
      </c>
      <c r="R315" s="1800" t="s">
        <v>1759</v>
      </c>
      <c r="S315" s="1800" t="s">
        <v>1760</v>
      </c>
      <c r="T315" s="1800" t="s">
        <v>1760</v>
      </c>
      <c r="U315" s="1800" t="s">
        <v>1760</v>
      </c>
      <c r="V315" s="1800" t="s">
        <v>1760</v>
      </c>
      <c r="W315" s="1798" t="s">
        <v>2367</v>
      </c>
      <c r="X315" s="1799" t="s">
        <v>2366</v>
      </c>
      <c r="Y315" s="1800" t="s">
        <v>2263</v>
      </c>
      <c r="Z315" s="1800" t="s">
        <v>2263</v>
      </c>
      <c r="AA315" s="1800" t="s">
        <v>2263</v>
      </c>
      <c r="AB315" s="1800" t="s">
        <v>2263</v>
      </c>
      <c r="AC315" s="1800" t="s">
        <v>2263</v>
      </c>
      <c r="AD315" s="1800" t="s">
        <v>2263</v>
      </c>
      <c r="AE315" s="1800" t="s">
        <v>2263</v>
      </c>
      <c r="AF315" s="1800" t="s">
        <v>2263</v>
      </c>
      <c r="AG315" s="1800" t="s">
        <v>2263</v>
      </c>
      <c r="AH315" s="1800" t="s">
        <v>2263</v>
      </c>
      <c r="AI315" s="1800" t="s">
        <v>2263</v>
      </c>
      <c r="AJ315" s="1800" t="s">
        <v>2263</v>
      </c>
      <c r="AK315" s="1798" t="s">
        <v>2367</v>
      </c>
      <c r="AL315" s="1803"/>
      <c r="AM315" s="1803" t="s">
        <v>2367</v>
      </c>
      <c r="AN315" s="1803" t="s">
        <v>2367</v>
      </c>
      <c r="AO315" s="1803" t="s">
        <v>2367</v>
      </c>
      <c r="AP315" s="1803" t="s">
        <v>2367</v>
      </c>
      <c r="AQ315" s="1803" t="s">
        <v>2367</v>
      </c>
      <c r="AR315" s="2062"/>
      <c r="AS315" s="2063"/>
      <c r="AT315" s="2064"/>
      <c r="AU315" s="956"/>
      <c r="AV315" s="2128" t="s">
        <v>2368</v>
      </c>
      <c r="AW315" s="2129" t="s">
        <v>2368</v>
      </c>
      <c r="AX315" s="2129" t="s">
        <v>2368</v>
      </c>
      <c r="AY315" s="2129" t="s">
        <v>2368</v>
      </c>
      <c r="AZ315" s="2129" t="s">
        <v>2368</v>
      </c>
      <c r="BA315" s="2129" t="s">
        <v>2368</v>
      </c>
      <c r="BB315" s="2129" t="s">
        <v>2368</v>
      </c>
    </row>
    <row r="316" spans="1:58">
      <c r="A316" s="2065" t="s">
        <v>2369</v>
      </c>
      <c r="B316" s="537"/>
      <c r="C316" s="537"/>
      <c r="D316" s="537"/>
      <c r="E316" s="537"/>
      <c r="AV316" s="1015"/>
      <c r="AZ316" s="1016"/>
      <c r="BB316" s="1016"/>
    </row>
    <row r="317" spans="1:58">
      <c r="A317" s="2066" t="s">
        <v>1190</v>
      </c>
      <c r="B317" s="1043" t="s">
        <v>2340</v>
      </c>
      <c r="C317" s="2067">
        <v>384140920</v>
      </c>
      <c r="D317" s="2067">
        <v>270146122</v>
      </c>
      <c r="E317" s="2073">
        <v>113994798</v>
      </c>
      <c r="F317" s="2130">
        <v>79528390</v>
      </c>
      <c r="G317" s="2130">
        <v>45861943</v>
      </c>
      <c r="H317" s="2069">
        <v>2680384</v>
      </c>
      <c r="I317" s="2069">
        <v>24133576</v>
      </c>
      <c r="J317" s="2130">
        <v>39238838</v>
      </c>
      <c r="K317" s="2070">
        <v>2342200</v>
      </c>
      <c r="L317" s="2070">
        <v>2494845</v>
      </c>
      <c r="M317" s="2070">
        <v>3912757</v>
      </c>
      <c r="N317" s="2070">
        <v>1929357</v>
      </c>
      <c r="O317" s="2070">
        <v>2197013</v>
      </c>
      <c r="P317" s="2070">
        <v>4626051</v>
      </c>
      <c r="Q317" s="2070">
        <v>3950969</v>
      </c>
      <c r="R317" s="2070">
        <v>2680384</v>
      </c>
      <c r="S317" s="2067">
        <v>2835709</v>
      </c>
      <c r="T317" s="2067">
        <v>3525085</v>
      </c>
      <c r="U317" s="2067">
        <v>4414803</v>
      </c>
      <c r="V317" s="2067">
        <v>4329665</v>
      </c>
      <c r="W317" s="2130">
        <v>118767228</v>
      </c>
      <c r="X317" s="2130">
        <v>40446035</v>
      </c>
      <c r="Y317" s="2067">
        <v>4458424</v>
      </c>
      <c r="Z317" s="2067">
        <v>2714740</v>
      </c>
      <c r="AA317" s="2067">
        <v>5311743</v>
      </c>
      <c r="AB317" s="2067">
        <v>3351295</v>
      </c>
      <c r="AC317" s="2067">
        <v>2934331</v>
      </c>
      <c r="AD317" s="2067">
        <v>3059106</v>
      </c>
      <c r="AE317" s="2067">
        <v>2854845</v>
      </c>
      <c r="AF317" s="2067">
        <v>2252533</v>
      </c>
      <c r="AG317" s="2067">
        <v>2040961</v>
      </c>
      <c r="AH317" s="2067">
        <v>2616653</v>
      </c>
      <c r="AI317" s="2067">
        <v>2088743</v>
      </c>
      <c r="AJ317" s="2067">
        <v>6762661</v>
      </c>
      <c r="AK317" s="2130">
        <v>159213263</v>
      </c>
      <c r="AL317" s="2131">
        <v>0</v>
      </c>
      <c r="AM317" s="2131">
        <v>26801349</v>
      </c>
      <c r="AN317" s="2131">
        <v>24093375</v>
      </c>
      <c r="AO317" s="2131">
        <v>9153830</v>
      </c>
      <c r="AP317" s="2131">
        <v>8577059</v>
      </c>
      <c r="AQ317" s="2131">
        <v>44943125</v>
      </c>
      <c r="AR317" s="1714"/>
      <c r="AS317" s="2071" t="s">
        <v>2341</v>
      </c>
      <c r="AT317" s="2072" t="s">
        <v>2232</v>
      </c>
      <c r="AU317" s="881" t="s">
        <v>2342</v>
      </c>
      <c r="AV317" s="1821">
        <v>151378894</v>
      </c>
      <c r="AW317" s="1821">
        <v>203326689</v>
      </c>
      <c r="AX317" s="1821">
        <v>151867763</v>
      </c>
      <c r="AY317" s="1821">
        <v>190301810</v>
      </c>
      <c r="AZ317" s="1821">
        <v>180937112</v>
      </c>
      <c r="BA317" s="1821">
        <v>166634035</v>
      </c>
      <c r="BB317" s="1821">
        <v>0</v>
      </c>
      <c r="BE317" s="2005">
        <v>36801943</v>
      </c>
      <c r="BF317" s="2005">
        <v>3644092</v>
      </c>
    </row>
    <row r="318" spans="1:58">
      <c r="A318" s="2066" t="s">
        <v>1193</v>
      </c>
      <c r="B318" s="1043" t="s">
        <v>2343</v>
      </c>
      <c r="C318" s="2067"/>
      <c r="D318" s="2067"/>
      <c r="E318" s="2073"/>
      <c r="F318" s="2130">
        <v>0</v>
      </c>
      <c r="G318" s="2130">
        <v>997912</v>
      </c>
      <c r="H318" s="2069">
        <v>298891</v>
      </c>
      <c r="I318" s="2069">
        <v>2365061</v>
      </c>
      <c r="J318" s="2130">
        <v>3263778</v>
      </c>
      <c r="K318" s="2070">
        <v>174350</v>
      </c>
      <c r="L318" s="2070">
        <v>139959</v>
      </c>
      <c r="M318" s="2070">
        <v>252135</v>
      </c>
      <c r="N318" s="2070">
        <v>437459</v>
      </c>
      <c r="O318" s="2070">
        <v>353842</v>
      </c>
      <c r="P318" s="2070">
        <v>464006</v>
      </c>
      <c r="Q318" s="2070">
        <v>244419</v>
      </c>
      <c r="R318" s="2070">
        <v>298891</v>
      </c>
      <c r="S318" s="2067">
        <v>164220</v>
      </c>
      <c r="T318" s="2067">
        <v>174195</v>
      </c>
      <c r="U318" s="2067">
        <v>281101</v>
      </c>
      <c r="V318" s="2067">
        <v>279201</v>
      </c>
      <c r="W318" s="2130">
        <v>3263778</v>
      </c>
      <c r="X318" s="2130">
        <v>2144991</v>
      </c>
      <c r="Y318" s="2067">
        <v>302768</v>
      </c>
      <c r="Z318" s="2067">
        <v>269817</v>
      </c>
      <c r="AA318" s="2067">
        <v>331119</v>
      </c>
      <c r="AB318" s="2067">
        <v>310364</v>
      </c>
      <c r="AC318" s="2067">
        <v>196875</v>
      </c>
      <c r="AD318" s="2067">
        <v>103385</v>
      </c>
      <c r="AE318" s="2067">
        <v>83385</v>
      </c>
      <c r="AF318" s="2067">
        <v>83385</v>
      </c>
      <c r="AG318" s="2067">
        <v>83385</v>
      </c>
      <c r="AH318" s="2067">
        <v>193738</v>
      </c>
      <c r="AI318" s="2067">
        <v>83385</v>
      </c>
      <c r="AJ318" s="2067">
        <v>103385</v>
      </c>
      <c r="AK318" s="2130">
        <v>5408769</v>
      </c>
      <c r="AL318" s="2131">
        <v>0</v>
      </c>
      <c r="AM318" s="2131">
        <v>0</v>
      </c>
      <c r="AN318" s="2131">
        <v>0</v>
      </c>
      <c r="AO318" s="2131">
        <v>0</v>
      </c>
      <c r="AP318" s="2131">
        <v>0</v>
      </c>
      <c r="AQ318" s="2131">
        <v>0</v>
      </c>
      <c r="AR318" s="1714"/>
      <c r="AS318" s="2071"/>
      <c r="AT318" s="2072" t="s">
        <v>2239</v>
      </c>
      <c r="AV318" s="1821"/>
      <c r="AW318" s="1821"/>
      <c r="AX318" s="1821"/>
      <c r="AY318" s="1821"/>
      <c r="AZ318" s="1821"/>
      <c r="BA318" s="1821"/>
      <c r="BB318" s="1821">
        <v>0</v>
      </c>
      <c r="BE318" s="1729">
        <v>997912</v>
      </c>
      <c r="BF318" s="1729">
        <v>1147079</v>
      </c>
    </row>
    <row r="319" spans="1:58">
      <c r="A319" s="2066" t="s">
        <v>1741</v>
      </c>
      <c r="B319" s="1043" t="s">
        <v>2344</v>
      </c>
      <c r="C319" s="2067"/>
      <c r="D319" s="2067"/>
      <c r="E319" s="2073"/>
      <c r="F319" s="2130"/>
      <c r="G319" s="2130"/>
      <c r="H319" s="2069">
        <v>0</v>
      </c>
      <c r="I319" s="2069">
        <v>0</v>
      </c>
      <c r="J319" s="2130">
        <v>0</v>
      </c>
      <c r="K319" s="2070"/>
      <c r="L319" s="2070">
        <v>0</v>
      </c>
      <c r="M319" s="2070">
        <v>0</v>
      </c>
      <c r="N319" s="2070">
        <v>0</v>
      </c>
      <c r="O319" s="2070">
        <v>0</v>
      </c>
      <c r="P319" s="2070">
        <v>0</v>
      </c>
      <c r="Q319" s="2070">
        <v>0</v>
      </c>
      <c r="R319" s="2070">
        <v>0</v>
      </c>
      <c r="S319" s="2067">
        <v>0</v>
      </c>
      <c r="T319" s="2067">
        <v>0</v>
      </c>
      <c r="U319" s="2067">
        <v>0</v>
      </c>
      <c r="V319" s="2067">
        <v>0</v>
      </c>
      <c r="W319" s="2130">
        <v>0</v>
      </c>
      <c r="X319" s="2130">
        <v>0</v>
      </c>
      <c r="Y319" s="2067">
        <v>0</v>
      </c>
      <c r="Z319" s="2067">
        <v>0</v>
      </c>
      <c r="AA319" s="2067">
        <v>0</v>
      </c>
      <c r="AB319" s="2067">
        <v>0</v>
      </c>
      <c r="AC319" s="2067">
        <v>0</v>
      </c>
      <c r="AD319" s="2067">
        <v>0</v>
      </c>
      <c r="AE319" s="2067">
        <v>0</v>
      </c>
      <c r="AF319" s="2067">
        <v>0</v>
      </c>
      <c r="AG319" s="2067">
        <v>0</v>
      </c>
      <c r="AH319" s="2067">
        <v>0</v>
      </c>
      <c r="AI319" s="2067">
        <v>0</v>
      </c>
      <c r="AJ319" s="2067">
        <v>0</v>
      </c>
      <c r="AK319" s="2130">
        <v>0</v>
      </c>
      <c r="AL319" s="2131"/>
      <c r="AM319" s="2131">
        <v>0</v>
      </c>
      <c r="AN319" s="2131">
        <v>0</v>
      </c>
      <c r="AO319" s="2131">
        <v>0</v>
      </c>
      <c r="AP319" s="2131">
        <v>0</v>
      </c>
      <c r="AQ319" s="2131">
        <v>0</v>
      </c>
      <c r="AR319" s="1714"/>
      <c r="AS319" s="2074" t="s">
        <v>1687</v>
      </c>
      <c r="AT319" s="2072" t="s">
        <v>2239</v>
      </c>
      <c r="AV319" s="1821"/>
      <c r="AW319" s="1821"/>
      <c r="AX319" s="1821"/>
      <c r="AY319" s="1821"/>
      <c r="AZ319" s="1821"/>
      <c r="BA319" s="1821"/>
      <c r="BB319" s="1821"/>
      <c r="BE319" s="1729">
        <v>0</v>
      </c>
      <c r="BF319" s="1729">
        <v>0</v>
      </c>
    </row>
    <row r="320" spans="1:58">
      <c r="A320" s="2075" t="s">
        <v>1673</v>
      </c>
      <c r="B320" s="2075" t="s">
        <v>2345</v>
      </c>
      <c r="C320" s="2081">
        <v>0</v>
      </c>
      <c r="D320" s="2081">
        <v>0</v>
      </c>
      <c r="E320" s="2081">
        <v>0</v>
      </c>
      <c r="F320" s="2130">
        <v>0</v>
      </c>
      <c r="G320" s="2130">
        <v>0</v>
      </c>
      <c r="H320" s="2069">
        <v>0</v>
      </c>
      <c r="I320" s="2069">
        <v>0</v>
      </c>
      <c r="J320" s="2130">
        <v>0</v>
      </c>
      <c r="K320" s="2070">
        <v>0</v>
      </c>
      <c r="L320" s="2070">
        <v>0</v>
      </c>
      <c r="M320" s="2070">
        <v>0</v>
      </c>
      <c r="N320" s="2070">
        <v>0</v>
      </c>
      <c r="O320" s="2070">
        <v>0</v>
      </c>
      <c r="P320" s="2070">
        <v>0</v>
      </c>
      <c r="Q320" s="2070">
        <v>0</v>
      </c>
      <c r="R320" s="2070">
        <v>0</v>
      </c>
      <c r="S320" s="2067">
        <v>0</v>
      </c>
      <c r="T320" s="2067">
        <v>0</v>
      </c>
      <c r="U320" s="2067">
        <v>0</v>
      </c>
      <c r="V320" s="2067">
        <v>0</v>
      </c>
      <c r="W320" s="2130">
        <v>0</v>
      </c>
      <c r="X320" s="2130">
        <v>0</v>
      </c>
      <c r="Y320" s="2077">
        <v>0</v>
      </c>
      <c r="Z320" s="2077">
        <v>0</v>
      </c>
      <c r="AA320" s="2077">
        <v>0</v>
      </c>
      <c r="AB320" s="2077">
        <v>0</v>
      </c>
      <c r="AC320" s="2077">
        <v>0</v>
      </c>
      <c r="AD320" s="2077">
        <v>0</v>
      </c>
      <c r="AE320" s="2077">
        <v>0</v>
      </c>
      <c r="AF320" s="2077">
        <v>0</v>
      </c>
      <c r="AG320" s="2077">
        <v>0</v>
      </c>
      <c r="AH320" s="2077">
        <v>0</v>
      </c>
      <c r="AI320" s="2077">
        <v>0</v>
      </c>
      <c r="AJ320" s="2077">
        <v>0</v>
      </c>
      <c r="AK320" s="2130">
        <v>0</v>
      </c>
      <c r="AL320" s="2131">
        <v>0</v>
      </c>
      <c r="AM320" s="2132">
        <v>0</v>
      </c>
      <c r="AN320" s="2132">
        <v>0</v>
      </c>
      <c r="AO320" s="2132">
        <v>0</v>
      </c>
      <c r="AP320" s="2132">
        <v>0</v>
      </c>
      <c r="AQ320" s="2132">
        <v>0</v>
      </c>
      <c r="AR320" s="1714"/>
      <c r="AS320" s="2071" t="s">
        <v>1673</v>
      </c>
      <c r="AT320" s="2072"/>
      <c r="AU320" s="1841"/>
      <c r="AV320" s="1821">
        <v>0</v>
      </c>
      <c r="AW320" s="1821">
        <v>0</v>
      </c>
      <c r="AX320" s="1821">
        <v>0</v>
      </c>
      <c r="AY320" s="1821">
        <v>0</v>
      </c>
      <c r="AZ320" s="1821">
        <v>0</v>
      </c>
      <c r="BA320" s="1821">
        <v>0</v>
      </c>
      <c r="BB320" s="1821">
        <v>0</v>
      </c>
      <c r="BE320" s="1729">
        <v>5660000</v>
      </c>
      <c r="BF320" s="1729">
        <v>-5660000</v>
      </c>
    </row>
    <row r="321" spans="1:58" s="663" customFormat="1">
      <c r="A321" s="1630" t="s">
        <v>1676</v>
      </c>
      <c r="B321" s="1630" t="s">
        <v>2346</v>
      </c>
      <c r="C321" s="1630">
        <v>154715000</v>
      </c>
      <c r="D321" s="1630">
        <v>105794836</v>
      </c>
      <c r="E321" s="1630">
        <v>48920164</v>
      </c>
      <c r="F321" s="2130">
        <v>0</v>
      </c>
      <c r="G321" s="2130">
        <v>0</v>
      </c>
      <c r="H321" s="2069">
        <v>0</v>
      </c>
      <c r="I321" s="2069">
        <v>0</v>
      </c>
      <c r="J321" s="2130">
        <v>0</v>
      </c>
      <c r="K321" s="2067">
        <v>0</v>
      </c>
      <c r="L321" s="2067">
        <v>0</v>
      </c>
      <c r="M321" s="2067">
        <v>0</v>
      </c>
      <c r="N321" s="2067">
        <v>0</v>
      </c>
      <c r="O321" s="2067">
        <v>0</v>
      </c>
      <c r="P321" s="2067">
        <v>0</v>
      </c>
      <c r="Q321" s="2067">
        <v>0</v>
      </c>
      <c r="R321" s="2067">
        <v>0</v>
      </c>
      <c r="S321" s="2067">
        <v>0</v>
      </c>
      <c r="T321" s="2067">
        <v>0</v>
      </c>
      <c r="U321" s="2067">
        <v>0</v>
      </c>
      <c r="V321" s="2067">
        <v>0</v>
      </c>
      <c r="W321" s="2130">
        <v>0</v>
      </c>
      <c r="X321" s="2130">
        <v>13401006</v>
      </c>
      <c r="Y321" s="2067">
        <v>173514</v>
      </c>
      <c r="Z321" s="2067">
        <v>96570</v>
      </c>
      <c r="AA321" s="2067">
        <v>375104</v>
      </c>
      <c r="AB321" s="2067">
        <v>690072</v>
      </c>
      <c r="AC321" s="2067">
        <v>1239973</v>
      </c>
      <c r="AD321" s="2067">
        <v>1211481</v>
      </c>
      <c r="AE321" s="2067">
        <v>1322449</v>
      </c>
      <c r="AF321" s="2067">
        <v>1447870</v>
      </c>
      <c r="AG321" s="2067">
        <v>1592634</v>
      </c>
      <c r="AH321" s="2067">
        <v>1482280</v>
      </c>
      <c r="AI321" s="2067">
        <v>1794403</v>
      </c>
      <c r="AJ321" s="2067">
        <v>1974656</v>
      </c>
      <c r="AK321" s="2130">
        <v>13401006</v>
      </c>
      <c r="AL321" s="2131">
        <v>0</v>
      </c>
      <c r="AM321" s="2131">
        <v>14367117</v>
      </c>
      <c r="AN321" s="2131">
        <v>15788943</v>
      </c>
      <c r="AO321" s="2131">
        <v>11091287</v>
      </c>
      <c r="AP321" s="2131">
        <v>9786354</v>
      </c>
      <c r="AQ321" s="2131">
        <v>41360129</v>
      </c>
      <c r="AR321" s="1714"/>
      <c r="AS321" s="2071" t="s">
        <v>1676</v>
      </c>
      <c r="AT321" s="2072"/>
      <c r="AV321" s="1821"/>
      <c r="AW321" s="1821">
        <v>0</v>
      </c>
      <c r="AX321" s="1821">
        <v>0</v>
      </c>
      <c r="AY321" s="1821">
        <v>0</v>
      </c>
      <c r="AZ321" s="1821">
        <v>0</v>
      </c>
      <c r="BA321" s="1821">
        <v>0</v>
      </c>
      <c r="BB321" s="1821">
        <v>0</v>
      </c>
      <c r="BE321" s="1718">
        <v>0</v>
      </c>
      <c r="BF321" s="1718">
        <v>13401006</v>
      </c>
    </row>
    <row r="322" spans="1:58">
      <c r="A322" s="2081" t="s">
        <v>1742</v>
      </c>
      <c r="B322" s="2081" t="s">
        <v>2347</v>
      </c>
      <c r="C322" s="2081">
        <v>113629000</v>
      </c>
      <c r="D322" s="2081">
        <v>78305256</v>
      </c>
      <c r="E322" s="2081">
        <v>35323744</v>
      </c>
      <c r="F322" s="2130">
        <v>0</v>
      </c>
      <c r="G322" s="2130">
        <v>0</v>
      </c>
      <c r="H322" s="2069">
        <v>0</v>
      </c>
      <c r="I322" s="2069">
        <v>0</v>
      </c>
      <c r="J322" s="2130">
        <v>0</v>
      </c>
      <c r="K322" s="2070">
        <v>0</v>
      </c>
      <c r="L322" s="2070">
        <v>0</v>
      </c>
      <c r="M322" s="2070">
        <v>0</v>
      </c>
      <c r="N322" s="2070">
        <v>0</v>
      </c>
      <c r="O322" s="2070">
        <v>0</v>
      </c>
      <c r="P322" s="2070">
        <v>0</v>
      </c>
      <c r="Q322" s="2070">
        <v>0</v>
      </c>
      <c r="R322" s="2070">
        <v>0</v>
      </c>
      <c r="S322" s="2067">
        <v>0</v>
      </c>
      <c r="T322" s="2067">
        <v>0</v>
      </c>
      <c r="U322" s="2067">
        <v>0</v>
      </c>
      <c r="V322" s="2067">
        <v>0</v>
      </c>
      <c r="W322" s="2130">
        <v>0</v>
      </c>
      <c r="X322" s="2130">
        <v>0</v>
      </c>
      <c r="Y322" s="2077">
        <v>0</v>
      </c>
      <c r="Z322" s="2077">
        <v>0</v>
      </c>
      <c r="AA322" s="2077">
        <v>0</v>
      </c>
      <c r="AB322" s="2077">
        <v>0</v>
      </c>
      <c r="AC322" s="2077">
        <v>0</v>
      </c>
      <c r="AD322" s="2077">
        <v>0</v>
      </c>
      <c r="AE322" s="2077">
        <v>0</v>
      </c>
      <c r="AF322" s="2077">
        <v>0</v>
      </c>
      <c r="AG322" s="2077">
        <v>0</v>
      </c>
      <c r="AH322" s="2077">
        <v>0</v>
      </c>
      <c r="AI322" s="2077">
        <v>0</v>
      </c>
      <c r="AJ322" s="2077">
        <v>0</v>
      </c>
      <c r="AK322" s="2130">
        <v>0</v>
      </c>
      <c r="AL322" s="2131">
        <v>0</v>
      </c>
      <c r="AM322" s="2132">
        <v>11679313</v>
      </c>
      <c r="AN322" s="2132">
        <v>9069361</v>
      </c>
      <c r="AO322" s="2132">
        <v>11251269</v>
      </c>
      <c r="AP322" s="2132">
        <v>10280448</v>
      </c>
      <c r="AQ322" s="2132">
        <v>36024865</v>
      </c>
      <c r="AR322" s="1714"/>
      <c r="AS322" s="2071" t="s">
        <v>1678</v>
      </c>
      <c r="AT322" s="2072"/>
      <c r="AV322" s="1821"/>
      <c r="AW322" s="1821"/>
      <c r="AX322" s="1821">
        <v>78026713</v>
      </c>
      <c r="AY322" s="1821">
        <v>62237770</v>
      </c>
      <c r="AZ322" s="1821">
        <v>51146483</v>
      </c>
      <c r="BA322" s="1821">
        <v>41360129</v>
      </c>
      <c r="BB322" s="1821">
        <v>0</v>
      </c>
      <c r="BE322" s="1729">
        <v>0</v>
      </c>
      <c r="BF322" s="1729">
        <v>0</v>
      </c>
    </row>
    <row r="323" spans="1:58">
      <c r="A323" s="2081" t="s">
        <v>1680</v>
      </c>
      <c r="B323" s="2081" t="s">
        <v>2348</v>
      </c>
      <c r="C323" s="2081">
        <v>114036000</v>
      </c>
      <c r="D323" s="2081">
        <v>78736290</v>
      </c>
      <c r="E323" s="2081">
        <v>35299710</v>
      </c>
      <c r="F323" s="2130">
        <v>0</v>
      </c>
      <c r="G323" s="2130">
        <v>0</v>
      </c>
      <c r="H323" s="2069">
        <v>0</v>
      </c>
      <c r="I323" s="2069">
        <v>0</v>
      </c>
      <c r="J323" s="2130">
        <v>0</v>
      </c>
      <c r="K323" s="2070">
        <v>0</v>
      </c>
      <c r="L323" s="2070">
        <v>0</v>
      </c>
      <c r="M323" s="2070">
        <v>0</v>
      </c>
      <c r="N323" s="2070">
        <v>0</v>
      </c>
      <c r="O323" s="2070">
        <v>0</v>
      </c>
      <c r="P323" s="2070">
        <v>0</v>
      </c>
      <c r="Q323" s="2070">
        <v>0</v>
      </c>
      <c r="R323" s="2070">
        <v>0</v>
      </c>
      <c r="S323" s="2067">
        <v>0</v>
      </c>
      <c r="T323" s="2067">
        <v>0</v>
      </c>
      <c r="U323" s="2067">
        <v>0</v>
      </c>
      <c r="V323" s="2067">
        <v>0</v>
      </c>
      <c r="W323" s="2130">
        <v>0</v>
      </c>
      <c r="X323" s="2130">
        <v>0</v>
      </c>
      <c r="Y323" s="2077">
        <v>0</v>
      </c>
      <c r="Z323" s="2077">
        <v>0</v>
      </c>
      <c r="AA323" s="2077">
        <v>0</v>
      </c>
      <c r="AB323" s="2077">
        <v>0</v>
      </c>
      <c r="AC323" s="2077">
        <v>0</v>
      </c>
      <c r="AD323" s="2077">
        <v>0</v>
      </c>
      <c r="AE323" s="2077">
        <v>0</v>
      </c>
      <c r="AF323" s="2077">
        <v>0</v>
      </c>
      <c r="AG323" s="2077">
        <v>0</v>
      </c>
      <c r="AH323" s="2077">
        <v>0</v>
      </c>
      <c r="AI323" s="2077">
        <v>0</v>
      </c>
      <c r="AJ323" s="2077">
        <v>0</v>
      </c>
      <c r="AK323" s="2130">
        <v>0</v>
      </c>
      <c r="AL323" s="2131">
        <v>0</v>
      </c>
      <c r="AM323" s="2132">
        <v>0</v>
      </c>
      <c r="AN323" s="2132">
        <v>8228236</v>
      </c>
      <c r="AO323" s="2132">
        <v>11551268</v>
      </c>
      <c r="AP323" s="2132">
        <v>11693784</v>
      </c>
      <c r="AQ323" s="2132">
        <v>47263002</v>
      </c>
      <c r="AR323" s="1714"/>
      <c r="AS323" s="2071" t="s">
        <v>1680</v>
      </c>
      <c r="AT323" s="2072"/>
      <c r="AV323" s="1821"/>
      <c r="AW323" s="1821"/>
      <c r="AX323" s="1821"/>
      <c r="AY323" s="1821"/>
      <c r="AZ323" s="1821">
        <v>46305313</v>
      </c>
      <c r="BA323" s="1821">
        <v>36024865</v>
      </c>
      <c r="BB323" s="1821">
        <v>0</v>
      </c>
      <c r="BE323" s="1729">
        <v>0</v>
      </c>
      <c r="BF323" s="1729">
        <v>0</v>
      </c>
    </row>
    <row r="324" spans="1:58">
      <c r="A324" s="2081" t="s">
        <v>1682</v>
      </c>
      <c r="B324" s="2081" t="s">
        <v>2349</v>
      </c>
      <c r="C324" s="2081">
        <v>77500000</v>
      </c>
      <c r="D324" s="2081">
        <v>52205495</v>
      </c>
      <c r="E324" s="2081">
        <v>25294505</v>
      </c>
      <c r="F324" s="2130">
        <v>0</v>
      </c>
      <c r="G324" s="2130">
        <v>0</v>
      </c>
      <c r="H324" s="2069">
        <v>0</v>
      </c>
      <c r="I324" s="2069">
        <v>0</v>
      </c>
      <c r="J324" s="2130">
        <v>0</v>
      </c>
      <c r="K324" s="2070">
        <v>0</v>
      </c>
      <c r="L324" s="2070">
        <v>0</v>
      </c>
      <c r="M324" s="2070">
        <v>0</v>
      </c>
      <c r="N324" s="2070">
        <v>0</v>
      </c>
      <c r="O324" s="2070">
        <v>0</v>
      </c>
      <c r="P324" s="2070">
        <v>0</v>
      </c>
      <c r="Q324" s="2070">
        <v>0</v>
      </c>
      <c r="R324" s="2070">
        <v>0</v>
      </c>
      <c r="S324" s="2067">
        <v>0</v>
      </c>
      <c r="T324" s="2067">
        <v>0</v>
      </c>
      <c r="U324" s="2067">
        <v>0</v>
      </c>
      <c r="V324" s="2067">
        <v>0</v>
      </c>
      <c r="W324" s="2130">
        <v>0</v>
      </c>
      <c r="X324" s="2130">
        <v>0</v>
      </c>
      <c r="Y324" s="2077">
        <v>0</v>
      </c>
      <c r="Z324" s="2077">
        <v>0</v>
      </c>
      <c r="AA324" s="2077">
        <v>0</v>
      </c>
      <c r="AB324" s="2077">
        <v>0</v>
      </c>
      <c r="AC324" s="2077">
        <v>0</v>
      </c>
      <c r="AD324" s="2077">
        <v>0</v>
      </c>
      <c r="AE324" s="2077">
        <v>0</v>
      </c>
      <c r="AF324" s="2077">
        <v>0</v>
      </c>
      <c r="AG324" s="2077">
        <v>0</v>
      </c>
      <c r="AH324" s="2077">
        <v>0</v>
      </c>
      <c r="AI324" s="2077">
        <v>0</v>
      </c>
      <c r="AJ324" s="2077">
        <v>0</v>
      </c>
      <c r="AK324" s="2130">
        <v>0</v>
      </c>
      <c r="AL324" s="2131">
        <v>0</v>
      </c>
      <c r="AM324" s="2132">
        <v>0</v>
      </c>
      <c r="AN324" s="2132">
        <v>0</v>
      </c>
      <c r="AO324" s="2132">
        <v>12730944</v>
      </c>
      <c r="AP324" s="2132">
        <v>11993784</v>
      </c>
      <c r="AQ324" s="2132">
        <v>56586358</v>
      </c>
      <c r="AR324" s="1714"/>
      <c r="AS324" s="2071" t="s">
        <v>1682</v>
      </c>
      <c r="AT324" s="2072"/>
      <c r="AV324" s="1821"/>
      <c r="AW324" s="1821"/>
      <c r="AX324" s="1821"/>
      <c r="AY324" s="1821"/>
      <c r="AZ324" s="1821"/>
      <c r="BA324" s="1821">
        <v>55619247</v>
      </c>
      <c r="BB324" s="1821">
        <v>0</v>
      </c>
      <c r="BE324" s="1729">
        <v>0</v>
      </c>
      <c r="BF324" s="1729">
        <v>0</v>
      </c>
    </row>
    <row r="325" spans="1:58">
      <c r="A325" s="2081" t="s">
        <v>1684</v>
      </c>
      <c r="B325" s="2081" t="s">
        <v>2350</v>
      </c>
      <c r="C325" s="2081"/>
      <c r="D325" s="2081"/>
      <c r="E325" s="2133"/>
      <c r="F325" s="2130"/>
      <c r="G325" s="2130"/>
      <c r="H325" s="2069"/>
      <c r="I325" s="2069"/>
      <c r="J325" s="2130"/>
      <c r="K325" s="2070"/>
      <c r="L325" s="2070"/>
      <c r="M325" s="2070"/>
      <c r="N325" s="2070"/>
      <c r="O325" s="2070"/>
      <c r="P325" s="2070"/>
      <c r="Q325" s="2070"/>
      <c r="R325" s="2070"/>
      <c r="S325" s="2067"/>
      <c r="T325" s="2067"/>
      <c r="U325" s="2067"/>
      <c r="V325" s="2067"/>
      <c r="W325" s="2130"/>
      <c r="X325" s="2130"/>
      <c r="Y325" s="2077"/>
      <c r="Z325" s="2077"/>
      <c r="AA325" s="2077"/>
      <c r="AB325" s="2077"/>
      <c r="AC325" s="2077"/>
      <c r="AD325" s="2077"/>
      <c r="AE325" s="2077"/>
      <c r="AF325" s="2077"/>
      <c r="AG325" s="2077"/>
      <c r="AH325" s="2077"/>
      <c r="AI325" s="2077"/>
      <c r="AJ325" s="2077"/>
      <c r="AK325" s="2130"/>
      <c r="AL325" s="2131"/>
      <c r="AM325" s="2132">
        <v>0</v>
      </c>
      <c r="AN325" s="2132">
        <v>0</v>
      </c>
      <c r="AO325" s="2132">
        <v>0</v>
      </c>
      <c r="AP325" s="2132">
        <v>9734598</v>
      </c>
      <c r="AQ325" s="2132">
        <v>73520797</v>
      </c>
      <c r="AR325" s="1714"/>
      <c r="AS325" s="2071" t="s">
        <v>1684</v>
      </c>
      <c r="AT325" s="2072"/>
      <c r="AV325" s="1821"/>
      <c r="AW325" s="1821"/>
      <c r="AX325" s="1821"/>
      <c r="AY325" s="1821"/>
      <c r="AZ325" s="1821"/>
      <c r="BA325" s="1821"/>
      <c r="BB325" s="1821"/>
      <c r="BE325" s="1729"/>
      <c r="BF325" s="1729"/>
    </row>
    <row r="326" spans="1:58" ht="17.25" customHeight="1">
      <c r="A326" s="2066" t="s">
        <v>1199</v>
      </c>
      <c r="B326" s="1043" t="s">
        <v>2351</v>
      </c>
      <c r="C326" s="2067">
        <v>-319176300</v>
      </c>
      <c r="D326" s="2067">
        <v>-319176300</v>
      </c>
      <c r="E326" s="2073">
        <v>0</v>
      </c>
      <c r="F326" s="2130">
        <v>-115422161</v>
      </c>
      <c r="G326" s="2130">
        <v>-59912500</v>
      </c>
      <c r="H326" s="2082">
        <v>-2657000</v>
      </c>
      <c r="I326" s="2069">
        <v>-29395250</v>
      </c>
      <c r="J326" s="2130">
        <v>-30511034</v>
      </c>
      <c r="K326" s="2070">
        <v>-3221000</v>
      </c>
      <c r="L326" s="2070">
        <v>-4997750</v>
      </c>
      <c r="M326" s="2070">
        <v>-2825000</v>
      </c>
      <c r="N326" s="2070">
        <v>-3850500</v>
      </c>
      <c r="O326" s="2070">
        <v>-2945000</v>
      </c>
      <c r="P326" s="2070">
        <v>-4169750</v>
      </c>
      <c r="Q326" s="2070">
        <v>-4729250</v>
      </c>
      <c r="R326" s="2070">
        <v>-2657000</v>
      </c>
      <c r="S326" s="2067">
        <v>-3100000</v>
      </c>
      <c r="T326" s="2067">
        <v>-3462000</v>
      </c>
      <c r="U326" s="2067">
        <v>-6480000</v>
      </c>
      <c r="V326" s="2067">
        <v>11926216</v>
      </c>
      <c r="W326" s="2130">
        <v>-145933195</v>
      </c>
      <c r="X326" s="2130">
        <v>-59918936</v>
      </c>
      <c r="Y326" s="2067">
        <v>-5719703</v>
      </c>
      <c r="Z326" s="2067">
        <v>-3247081</v>
      </c>
      <c r="AA326" s="2067">
        <v>-6726077</v>
      </c>
      <c r="AB326" s="2067">
        <v>-4724425</v>
      </c>
      <c r="AC326" s="2067">
        <v>-4901045</v>
      </c>
      <c r="AD326" s="2067">
        <v>-5141046</v>
      </c>
      <c r="AE326" s="2067">
        <v>-4907386</v>
      </c>
      <c r="AF326" s="2067">
        <v>-3610945</v>
      </c>
      <c r="AG326" s="2067">
        <v>-3361674</v>
      </c>
      <c r="AH326" s="2067">
        <v>-6462815</v>
      </c>
      <c r="AI326" s="2067">
        <v>-4656160</v>
      </c>
      <c r="AJ326" s="2067">
        <v>-6460579</v>
      </c>
      <c r="AK326" s="2130">
        <v>-205852131</v>
      </c>
      <c r="AL326" s="2131">
        <v>0</v>
      </c>
      <c r="AM326" s="2131">
        <v>-29715086</v>
      </c>
      <c r="AN326" s="2131">
        <v>-27492655</v>
      </c>
      <c r="AO326" s="2131">
        <v>-9622923</v>
      </c>
      <c r="AP326" s="2131">
        <v>-7435008</v>
      </c>
      <c r="AQ326" s="2131">
        <v>-58055980</v>
      </c>
      <c r="AR326" s="1714"/>
      <c r="AS326" s="797" t="s">
        <v>1246</v>
      </c>
      <c r="AT326" s="2083"/>
      <c r="AU326" s="881" t="s">
        <v>2342</v>
      </c>
      <c r="AV326" s="2134">
        <v>-173243105</v>
      </c>
      <c r="AW326" s="2134">
        <v>-132321652</v>
      </c>
      <c r="AX326" s="2134">
        <v>-102606566</v>
      </c>
      <c r="AY326" s="2134">
        <v>-75113911</v>
      </c>
      <c r="AZ326" s="2134">
        <v>-65490988</v>
      </c>
      <c r="BA326" s="2134">
        <v>-58055980</v>
      </c>
      <c r="BB326" s="2134">
        <v>0</v>
      </c>
      <c r="BE326" s="1729">
        <v>-51902500</v>
      </c>
      <c r="BF326" s="1729">
        <v>-8016436</v>
      </c>
    </row>
    <row r="327" spans="1:58">
      <c r="A327" s="2066" t="s">
        <v>1201</v>
      </c>
      <c r="B327" s="1043" t="s">
        <v>2352</v>
      </c>
      <c r="C327" s="2084">
        <v>0</v>
      </c>
      <c r="D327" s="2084">
        <v>0</v>
      </c>
      <c r="E327" s="2073">
        <v>0</v>
      </c>
      <c r="F327" s="2130">
        <v>0</v>
      </c>
      <c r="G327" s="2130">
        <v>-326771</v>
      </c>
      <c r="H327" s="2082">
        <v>-277219</v>
      </c>
      <c r="I327" s="2069">
        <v>-1288292</v>
      </c>
      <c r="J327" s="2130">
        <v>-2013870</v>
      </c>
      <c r="K327" s="2070">
        <v>-168097</v>
      </c>
      <c r="L327" s="2070">
        <v>-136338</v>
      </c>
      <c r="M327" s="2070">
        <v>-204030</v>
      </c>
      <c r="N327" s="2070">
        <v>-237167</v>
      </c>
      <c r="O327" s="2070">
        <v>-91397</v>
      </c>
      <c r="P327" s="2070">
        <v>-61447</v>
      </c>
      <c r="Q327" s="2070">
        <v>-112597</v>
      </c>
      <c r="R327" s="2070">
        <v>-277219</v>
      </c>
      <c r="S327" s="2067">
        <v>-155454</v>
      </c>
      <c r="T327" s="2067">
        <v>-119404</v>
      </c>
      <c r="U327" s="2067">
        <v>-226310</v>
      </c>
      <c r="V327" s="2067">
        <v>-224410</v>
      </c>
      <c r="W327" s="2130">
        <v>-2013870</v>
      </c>
      <c r="X327" s="2130">
        <v>-865085</v>
      </c>
      <c r="Y327" s="2067">
        <v>-59561</v>
      </c>
      <c r="Z327" s="2067">
        <v>-59561</v>
      </c>
      <c r="AA327" s="2067">
        <v>-59561</v>
      </c>
      <c r="AB327" s="2067">
        <v>-59561</v>
      </c>
      <c r="AC327" s="2067">
        <v>-59561</v>
      </c>
      <c r="AD327" s="2067">
        <v>-79561</v>
      </c>
      <c r="AE327" s="2067">
        <v>-59561</v>
      </c>
      <c r="AF327" s="2067">
        <v>-59561</v>
      </c>
      <c r="AG327" s="2067">
        <v>-59561</v>
      </c>
      <c r="AH327" s="2067">
        <v>-169914</v>
      </c>
      <c r="AI327" s="2067">
        <v>-59561</v>
      </c>
      <c r="AJ327" s="2067">
        <v>-79561</v>
      </c>
      <c r="AK327" s="2130">
        <v>-2878955</v>
      </c>
      <c r="AL327" s="2131">
        <v>0</v>
      </c>
      <c r="AM327" s="2131">
        <v>-300088</v>
      </c>
      <c r="AN327" s="2131">
        <v>-240431</v>
      </c>
      <c r="AO327" s="2131">
        <v>0</v>
      </c>
      <c r="AP327" s="2131">
        <v>0</v>
      </c>
      <c r="AQ327" s="2131">
        <v>0</v>
      </c>
      <c r="AR327" s="1714"/>
      <c r="AS327" s="2087" t="s">
        <v>2353</v>
      </c>
      <c r="AT327" s="2083"/>
      <c r="AV327" s="2134">
        <v>0</v>
      </c>
      <c r="AW327" s="2134">
        <v>0</v>
      </c>
      <c r="AX327" s="2134">
        <v>0</v>
      </c>
      <c r="AY327" s="2134">
        <v>0</v>
      </c>
      <c r="AZ327" s="2134">
        <v>0</v>
      </c>
      <c r="BA327" s="2134">
        <v>0</v>
      </c>
      <c r="BB327" s="2134">
        <v>0</v>
      </c>
      <c r="BE327" s="1729">
        <v>-326771</v>
      </c>
      <c r="BF327" s="1729">
        <v>-538314</v>
      </c>
    </row>
    <row r="328" spans="1:58">
      <c r="A328" s="2066" t="s">
        <v>1203</v>
      </c>
      <c r="B328" s="1043" t="s">
        <v>2354</v>
      </c>
      <c r="C328" s="2084">
        <v>0</v>
      </c>
      <c r="D328" s="2084">
        <v>0</v>
      </c>
      <c r="E328" s="2073">
        <v>0</v>
      </c>
      <c r="F328" s="2130">
        <v>0</v>
      </c>
      <c r="G328" s="2130">
        <v>-1050000</v>
      </c>
      <c r="H328" s="2082">
        <v>0</v>
      </c>
      <c r="I328" s="2069">
        <v>0</v>
      </c>
      <c r="J328" s="2130">
        <v>-1267500</v>
      </c>
      <c r="K328" s="2070">
        <v>0</v>
      </c>
      <c r="L328" s="2070">
        <v>0</v>
      </c>
      <c r="M328" s="2070">
        <v>0</v>
      </c>
      <c r="N328" s="2070">
        <v>0</v>
      </c>
      <c r="O328" s="2070">
        <v>0</v>
      </c>
      <c r="P328" s="2070">
        <v>0</v>
      </c>
      <c r="Q328" s="2070">
        <v>0</v>
      </c>
      <c r="R328" s="2070">
        <v>0</v>
      </c>
      <c r="S328" s="2067">
        <v>-1180000</v>
      </c>
      <c r="T328" s="2067">
        <v>0</v>
      </c>
      <c r="U328" s="2067">
        <v>0</v>
      </c>
      <c r="V328" s="2067">
        <v>-87500</v>
      </c>
      <c r="W328" s="2130">
        <v>-1267500</v>
      </c>
      <c r="X328" s="2130">
        <v>-1619000</v>
      </c>
      <c r="Y328" s="2067">
        <v>-29500</v>
      </c>
      <c r="Z328" s="2067">
        <v>-29500</v>
      </c>
      <c r="AA328" s="2067">
        <v>-29500</v>
      </c>
      <c r="AB328" s="2067">
        <v>-1294500</v>
      </c>
      <c r="AC328" s="2067">
        <v>-29500</v>
      </c>
      <c r="AD328" s="2067">
        <v>-29500</v>
      </c>
      <c r="AE328" s="2067">
        <v>-29500</v>
      </c>
      <c r="AF328" s="2067">
        <v>-29500</v>
      </c>
      <c r="AG328" s="2067">
        <v>-29500</v>
      </c>
      <c r="AH328" s="2067">
        <v>-29500</v>
      </c>
      <c r="AI328" s="2067">
        <v>-29500</v>
      </c>
      <c r="AJ328" s="2067">
        <v>-29500</v>
      </c>
      <c r="AK328" s="2130">
        <v>-2886500</v>
      </c>
      <c r="AL328" s="2131"/>
      <c r="AM328" s="2131">
        <v>-1050000</v>
      </c>
      <c r="AN328" s="2131">
        <v>-1110000</v>
      </c>
      <c r="AO328" s="2131">
        <v>-1597500</v>
      </c>
      <c r="AP328" s="2131">
        <v>0</v>
      </c>
      <c r="AQ328" s="2131">
        <v>0</v>
      </c>
      <c r="AR328" s="1714"/>
      <c r="AS328" s="2087" t="s">
        <v>2355</v>
      </c>
      <c r="AT328" s="2083"/>
      <c r="AV328" s="2134">
        <v>0</v>
      </c>
      <c r="AW328" s="2134">
        <v>0</v>
      </c>
      <c r="AX328" s="2134">
        <v>0</v>
      </c>
      <c r="AY328" s="2134">
        <v>0</v>
      </c>
      <c r="AZ328" s="2134">
        <v>0</v>
      </c>
      <c r="BA328" s="2134">
        <v>0</v>
      </c>
      <c r="BB328" s="1821">
        <v>0</v>
      </c>
      <c r="BE328" s="1729"/>
      <c r="BF328" s="1729"/>
    </row>
    <row r="329" spans="1:58">
      <c r="A329" s="2075" t="s">
        <v>1743</v>
      </c>
      <c r="B329" s="2075" t="s">
        <v>2356</v>
      </c>
      <c r="C329" s="2075">
        <v>0</v>
      </c>
      <c r="D329" s="2075">
        <v>0</v>
      </c>
      <c r="E329" s="2075">
        <v>0</v>
      </c>
      <c r="F329" s="2135"/>
      <c r="G329" s="2135"/>
      <c r="H329" s="2088"/>
      <c r="I329" s="2076">
        <v>0</v>
      </c>
      <c r="J329" s="2135">
        <v>0</v>
      </c>
      <c r="K329" s="2070">
        <v>0</v>
      </c>
      <c r="L329" s="2070">
        <v>0</v>
      </c>
      <c r="M329" s="2070">
        <v>0</v>
      </c>
      <c r="N329" s="2070">
        <v>0</v>
      </c>
      <c r="O329" s="2070">
        <v>0</v>
      </c>
      <c r="P329" s="2070">
        <v>0</v>
      </c>
      <c r="Q329" s="2070">
        <v>0</v>
      </c>
      <c r="R329" s="2070">
        <v>0</v>
      </c>
      <c r="S329" s="2077">
        <v>0</v>
      </c>
      <c r="T329" s="2077">
        <v>0</v>
      </c>
      <c r="U329" s="2077">
        <v>0</v>
      </c>
      <c r="V329" s="2077">
        <v>0</v>
      </c>
      <c r="W329" s="2135">
        <v>0</v>
      </c>
      <c r="X329" s="2135">
        <v>0</v>
      </c>
      <c r="Y329" s="2077">
        <v>0</v>
      </c>
      <c r="Z329" s="2077">
        <v>0</v>
      </c>
      <c r="AA329" s="2077">
        <v>0</v>
      </c>
      <c r="AB329" s="2077">
        <v>0</v>
      </c>
      <c r="AC329" s="2077">
        <v>0</v>
      </c>
      <c r="AD329" s="2077">
        <v>0</v>
      </c>
      <c r="AE329" s="2077">
        <v>0</v>
      </c>
      <c r="AF329" s="2077">
        <v>0</v>
      </c>
      <c r="AG329" s="2077">
        <v>0</v>
      </c>
      <c r="AH329" s="2077">
        <v>0</v>
      </c>
      <c r="AI329" s="2077">
        <v>0</v>
      </c>
      <c r="AJ329" s="2077">
        <v>0</v>
      </c>
      <c r="AK329" s="2135">
        <v>0</v>
      </c>
      <c r="AL329" s="2132">
        <v>0</v>
      </c>
      <c r="AM329" s="2132">
        <v>0</v>
      </c>
      <c r="AN329" s="2132">
        <v>0</v>
      </c>
      <c r="AO329" s="2132">
        <v>0</v>
      </c>
      <c r="AP329" s="2132">
        <v>0</v>
      </c>
      <c r="AQ329" s="2132">
        <v>0</v>
      </c>
      <c r="AR329" s="1727"/>
      <c r="AS329" s="2079" t="s">
        <v>1673</v>
      </c>
      <c r="AT329" s="2090"/>
      <c r="AV329" s="2134">
        <v>0</v>
      </c>
      <c r="AW329" s="2134">
        <v>0</v>
      </c>
      <c r="AX329" s="2134">
        <v>0</v>
      </c>
      <c r="AY329" s="2134">
        <v>0</v>
      </c>
      <c r="AZ329" s="2134">
        <v>0</v>
      </c>
      <c r="BA329" s="2134">
        <v>0</v>
      </c>
      <c r="BB329" s="2136">
        <v>0</v>
      </c>
      <c r="BE329" s="1729">
        <v>-5660000</v>
      </c>
      <c r="BF329" s="1729">
        <v>5660000</v>
      </c>
    </row>
    <row r="330" spans="1:58" s="663" customFormat="1">
      <c r="A330" s="1630" t="s">
        <v>1744</v>
      </c>
      <c r="B330" s="1630" t="s">
        <v>2107</v>
      </c>
      <c r="C330" s="1630">
        <v>-154715000</v>
      </c>
      <c r="D330" s="1630">
        <v>-154715000</v>
      </c>
      <c r="E330" s="1630">
        <v>0</v>
      </c>
      <c r="F330" s="2130"/>
      <c r="G330" s="2130"/>
      <c r="H330" s="2091"/>
      <c r="I330" s="2069">
        <v>0</v>
      </c>
      <c r="J330" s="2130"/>
      <c r="K330" s="2067">
        <v>0</v>
      </c>
      <c r="L330" s="2067">
        <v>0</v>
      </c>
      <c r="M330" s="2067">
        <v>0</v>
      </c>
      <c r="N330" s="2067">
        <v>0</v>
      </c>
      <c r="O330" s="2067">
        <v>0</v>
      </c>
      <c r="P330" s="2067">
        <v>0</v>
      </c>
      <c r="Q330" s="2067">
        <v>0</v>
      </c>
      <c r="R330" s="2067">
        <v>0</v>
      </c>
      <c r="S330" s="2067">
        <v>0</v>
      </c>
      <c r="T330" s="2067">
        <v>0</v>
      </c>
      <c r="U330" s="2067">
        <v>0</v>
      </c>
      <c r="V330" s="2067">
        <v>0</v>
      </c>
      <c r="W330" s="2130">
        <v>0</v>
      </c>
      <c r="X330" s="2130">
        <v>0</v>
      </c>
      <c r="Y330" s="2094"/>
      <c r="Z330" s="2084"/>
      <c r="AA330" s="2084"/>
      <c r="AB330" s="2084"/>
      <c r="AC330" s="2084"/>
      <c r="AD330" s="2084"/>
      <c r="AE330" s="2084"/>
      <c r="AF330" s="2084"/>
      <c r="AG330" s="2084"/>
      <c r="AH330" s="2084"/>
      <c r="AI330" s="2084"/>
      <c r="AJ330" s="2084"/>
      <c r="AK330" s="2130">
        <v>0</v>
      </c>
      <c r="AL330" s="2131">
        <v>0</v>
      </c>
      <c r="AM330" s="2131">
        <v>-20569214</v>
      </c>
      <c r="AN330" s="2131">
        <v>-22567991</v>
      </c>
      <c r="AO330" s="2131">
        <v>-16133168</v>
      </c>
      <c r="AP330" s="2131">
        <v>-14377583</v>
      </c>
      <c r="AQ330" s="2131">
        <v>-62069561</v>
      </c>
      <c r="AR330" s="1714"/>
      <c r="AS330" s="2071" t="s">
        <v>1676</v>
      </c>
      <c r="AT330" s="2083"/>
      <c r="AV330" s="2134">
        <v>0</v>
      </c>
      <c r="AW330" s="2134">
        <v>-135717517</v>
      </c>
      <c r="AX330" s="2134">
        <v>-115148303</v>
      </c>
      <c r="AY330" s="2134">
        <v>-92580312</v>
      </c>
      <c r="AZ330" s="2134">
        <v>-76447144</v>
      </c>
      <c r="BA330" s="2134">
        <v>-62069561</v>
      </c>
      <c r="BB330" s="1821">
        <v>0</v>
      </c>
      <c r="BE330" s="1718">
        <v>0</v>
      </c>
      <c r="BF330" s="1718">
        <v>0</v>
      </c>
    </row>
    <row r="331" spans="1:58">
      <c r="A331" s="2081" t="s">
        <v>1745</v>
      </c>
      <c r="B331" s="2081" t="s">
        <v>2357</v>
      </c>
      <c r="C331" s="2081">
        <v>-113629000</v>
      </c>
      <c r="D331" s="2081">
        <v>-113629000</v>
      </c>
      <c r="E331" s="2081">
        <v>0</v>
      </c>
      <c r="F331" s="2130"/>
      <c r="G331" s="2130"/>
      <c r="H331" s="2091"/>
      <c r="I331" s="2069">
        <v>0</v>
      </c>
      <c r="J331" s="2130"/>
      <c r="K331" s="2070">
        <v>0</v>
      </c>
      <c r="L331" s="2070">
        <v>0</v>
      </c>
      <c r="M331" s="2070">
        <v>0</v>
      </c>
      <c r="N331" s="2070">
        <v>0</v>
      </c>
      <c r="O331" s="2070">
        <v>0</v>
      </c>
      <c r="P331" s="2070">
        <v>0</v>
      </c>
      <c r="Q331" s="2070">
        <v>0</v>
      </c>
      <c r="R331" s="2070">
        <v>0</v>
      </c>
      <c r="S331" s="2067">
        <v>0</v>
      </c>
      <c r="T331" s="2067">
        <v>0</v>
      </c>
      <c r="U331" s="2067">
        <v>0</v>
      </c>
      <c r="V331" s="2067">
        <v>0</v>
      </c>
      <c r="W331" s="2130">
        <v>0</v>
      </c>
      <c r="X331" s="2130">
        <v>0</v>
      </c>
      <c r="Y331" s="2084"/>
      <c r="Z331" s="2084"/>
      <c r="AA331" s="2084"/>
      <c r="AB331" s="2084"/>
      <c r="AC331" s="2084"/>
      <c r="AD331" s="2084"/>
      <c r="AE331" s="2084"/>
      <c r="AF331" s="2084"/>
      <c r="AG331" s="2084"/>
      <c r="AH331" s="2084"/>
      <c r="AI331" s="2084"/>
      <c r="AJ331" s="2084"/>
      <c r="AK331" s="2130">
        <v>0</v>
      </c>
      <c r="AL331" s="2131">
        <v>0</v>
      </c>
      <c r="AM331" s="2131">
        <v>-16452026</v>
      </c>
      <c r="AN331" s="2131">
        <v>-12875838</v>
      </c>
      <c r="AO331" s="2131">
        <v>-15975102</v>
      </c>
      <c r="AP331" s="2131">
        <v>-14657686</v>
      </c>
      <c r="AQ331" s="2131">
        <v>-53668348</v>
      </c>
      <c r="AR331" s="1714"/>
      <c r="AS331" s="2071" t="s">
        <v>1678</v>
      </c>
      <c r="AT331" s="2083"/>
      <c r="AV331" s="2134">
        <v>0</v>
      </c>
      <c r="AW331" s="2134">
        <v>0</v>
      </c>
      <c r="AX331" s="2134">
        <v>-97176974</v>
      </c>
      <c r="AY331" s="2134">
        <v>-84301136</v>
      </c>
      <c r="AZ331" s="2134">
        <v>-68326034</v>
      </c>
      <c r="BA331" s="2134">
        <v>-53668348</v>
      </c>
      <c r="BB331" s="1821">
        <v>0</v>
      </c>
      <c r="BE331" s="1729">
        <v>0</v>
      </c>
      <c r="BF331" s="1729">
        <v>0</v>
      </c>
    </row>
    <row r="332" spans="1:58">
      <c r="A332" s="2081" t="s">
        <v>1746</v>
      </c>
      <c r="B332" s="2081" t="s">
        <v>2357</v>
      </c>
      <c r="C332" s="2081">
        <v>-114036000</v>
      </c>
      <c r="D332" s="2081">
        <v>-114036000</v>
      </c>
      <c r="E332" s="2081">
        <v>0</v>
      </c>
      <c r="F332" s="2130"/>
      <c r="G332" s="2130"/>
      <c r="H332" s="2094"/>
      <c r="I332" s="2094"/>
      <c r="J332" s="2130"/>
      <c r="K332" s="2070">
        <v>0</v>
      </c>
      <c r="L332" s="2070">
        <v>0</v>
      </c>
      <c r="M332" s="2070">
        <v>0</v>
      </c>
      <c r="N332" s="2070">
        <v>0</v>
      </c>
      <c r="O332" s="2070">
        <v>0</v>
      </c>
      <c r="P332" s="2070">
        <v>0</v>
      </c>
      <c r="Q332" s="2070">
        <v>0</v>
      </c>
      <c r="R332" s="2070">
        <v>0</v>
      </c>
      <c r="S332" s="2067">
        <v>0</v>
      </c>
      <c r="T332" s="2067">
        <v>0</v>
      </c>
      <c r="U332" s="2067">
        <v>0</v>
      </c>
      <c r="V332" s="2067">
        <v>0</v>
      </c>
      <c r="W332" s="2130">
        <v>0</v>
      </c>
      <c r="X332" s="2130">
        <v>0</v>
      </c>
      <c r="Y332" s="2084"/>
      <c r="Z332" s="2084"/>
      <c r="AA332" s="2084"/>
      <c r="AB332" s="2084"/>
      <c r="AC332" s="2084"/>
      <c r="AD332" s="2084"/>
      <c r="AE332" s="2084"/>
      <c r="AF332" s="2084"/>
      <c r="AG332" s="2084"/>
      <c r="AH332" s="2084"/>
      <c r="AI332" s="2084"/>
      <c r="AJ332" s="2084"/>
      <c r="AK332" s="2130">
        <v>0</v>
      </c>
      <c r="AL332" s="2130">
        <v>0</v>
      </c>
      <c r="AM332" s="2131">
        <v>0</v>
      </c>
      <c r="AN332" s="2131">
        <v>-11631788</v>
      </c>
      <c r="AO332" s="2131">
        <v>-16382963</v>
      </c>
      <c r="AP332" s="2131">
        <v>-16597511</v>
      </c>
      <c r="AQ332" s="2131">
        <v>-69423738</v>
      </c>
      <c r="AR332" s="1714"/>
      <c r="AS332" s="2071" t="s">
        <v>1680</v>
      </c>
      <c r="AT332" s="2083"/>
      <c r="AV332" s="2134">
        <v>0</v>
      </c>
      <c r="AW332" s="2134">
        <v>0</v>
      </c>
      <c r="AX332" s="2134">
        <v>0</v>
      </c>
      <c r="AY332" s="2134">
        <v>-102404212</v>
      </c>
      <c r="AZ332" s="2134">
        <v>-86021249</v>
      </c>
      <c r="BA332" s="2134">
        <v>-69423738</v>
      </c>
      <c r="BB332" s="1821">
        <v>0</v>
      </c>
      <c r="BE332" s="1729">
        <v>0</v>
      </c>
      <c r="BF332" s="1729">
        <v>0</v>
      </c>
    </row>
    <row r="333" spans="1:58">
      <c r="A333" s="2081" t="s">
        <v>1747</v>
      </c>
      <c r="B333" s="2081" t="s">
        <v>2357</v>
      </c>
      <c r="C333" s="2081">
        <v>-117167000</v>
      </c>
      <c r="D333" s="2081">
        <v>-81311086</v>
      </c>
      <c r="E333" s="2081">
        <v>-35855914</v>
      </c>
      <c r="F333" s="2130"/>
      <c r="G333" s="2130"/>
      <c r="H333" s="2094"/>
      <c r="I333" s="2094"/>
      <c r="J333" s="2130"/>
      <c r="K333" s="2070">
        <v>0</v>
      </c>
      <c r="L333" s="2070">
        <v>0</v>
      </c>
      <c r="M333" s="2070">
        <v>0</v>
      </c>
      <c r="N333" s="2070">
        <v>0</v>
      </c>
      <c r="O333" s="2070">
        <v>0</v>
      </c>
      <c r="P333" s="2070">
        <v>0</v>
      </c>
      <c r="Q333" s="2070">
        <v>0</v>
      </c>
      <c r="R333" s="2070">
        <v>0</v>
      </c>
      <c r="S333" s="2067">
        <v>0</v>
      </c>
      <c r="T333" s="2067">
        <v>0</v>
      </c>
      <c r="U333" s="2067">
        <v>0</v>
      </c>
      <c r="V333" s="2067">
        <v>0</v>
      </c>
      <c r="W333" s="2130">
        <v>0</v>
      </c>
      <c r="X333" s="2130">
        <v>0</v>
      </c>
      <c r="Y333" s="2084"/>
      <c r="Z333" s="2084"/>
      <c r="AA333" s="2084"/>
      <c r="AB333" s="2084"/>
      <c r="AC333" s="2084"/>
      <c r="AD333" s="2084"/>
      <c r="AE333" s="2084"/>
      <c r="AF333" s="2084"/>
      <c r="AG333" s="2084"/>
      <c r="AH333" s="2084"/>
      <c r="AI333" s="2084"/>
      <c r="AJ333" s="2084"/>
      <c r="AK333" s="2130">
        <v>0</v>
      </c>
      <c r="AL333" s="2130">
        <v>0</v>
      </c>
      <c r="AM333" s="2131">
        <v>0</v>
      </c>
      <c r="AN333" s="2131">
        <v>0</v>
      </c>
      <c r="AO333" s="2131">
        <v>-17859385</v>
      </c>
      <c r="AP333" s="2131">
        <v>-16885454</v>
      </c>
      <c r="AQ333" s="2131">
        <v>-82422161</v>
      </c>
      <c r="AR333" s="1714"/>
      <c r="AS333" s="2071" t="s">
        <v>1682</v>
      </c>
      <c r="AT333" s="2083"/>
      <c r="AV333" s="2134">
        <v>0</v>
      </c>
      <c r="AW333" s="2134">
        <v>0</v>
      </c>
      <c r="AX333" s="2134">
        <v>0</v>
      </c>
      <c r="AY333" s="2134">
        <v>0</v>
      </c>
      <c r="AZ333" s="2134">
        <v>-99307615</v>
      </c>
      <c r="BA333" s="2134">
        <v>-82422161</v>
      </c>
      <c r="BB333" s="1821">
        <v>0</v>
      </c>
      <c r="BE333" s="1729">
        <v>0</v>
      </c>
      <c r="BF333" s="1729">
        <v>0</v>
      </c>
    </row>
    <row r="334" spans="1:58">
      <c r="A334" s="2081" t="s">
        <v>1748</v>
      </c>
      <c r="B334" s="2081" t="s">
        <v>2357</v>
      </c>
      <c r="C334" s="2081">
        <v>-120374000</v>
      </c>
      <c r="D334" s="2081">
        <v>-83255395</v>
      </c>
      <c r="E334" s="2081">
        <v>-37118605</v>
      </c>
      <c r="F334" s="2137"/>
      <c r="G334" s="2137"/>
      <c r="H334" s="2096"/>
      <c r="I334" s="2096"/>
      <c r="J334" s="2137"/>
      <c r="K334" s="2097"/>
      <c r="L334" s="2097"/>
      <c r="M334" s="2097"/>
      <c r="N334" s="2097"/>
      <c r="O334" s="2097"/>
      <c r="P334" s="2097"/>
      <c r="Q334" s="2097"/>
      <c r="R334" s="2138"/>
      <c r="S334" s="2138"/>
      <c r="T334" s="2138"/>
      <c r="U334" s="2138"/>
      <c r="V334" s="2138"/>
      <c r="W334" s="2137"/>
      <c r="X334" s="2137"/>
      <c r="Y334" s="2099"/>
      <c r="Z334" s="2099"/>
      <c r="AA334" s="2099"/>
      <c r="AB334" s="2099"/>
      <c r="AC334" s="2099"/>
      <c r="AD334" s="2099"/>
      <c r="AE334" s="2099"/>
      <c r="AF334" s="2099"/>
      <c r="AG334" s="2099"/>
      <c r="AH334" s="2099"/>
      <c r="AI334" s="2099"/>
      <c r="AJ334" s="2099"/>
      <c r="AK334" s="2137"/>
      <c r="AL334" s="2137"/>
      <c r="AM334" s="2139"/>
      <c r="AN334" s="2139"/>
      <c r="AO334" s="2139"/>
      <c r="AP334" s="2131">
        <v>-13818273</v>
      </c>
      <c r="AQ334" s="2131">
        <v>-106555727</v>
      </c>
      <c r="AR334" s="2100"/>
      <c r="AS334" s="2071" t="s">
        <v>1684</v>
      </c>
      <c r="AT334" s="2101"/>
      <c r="AV334" s="2134">
        <v>0</v>
      </c>
      <c r="AW334" s="2134">
        <v>0</v>
      </c>
      <c r="AX334" s="2134">
        <v>0</v>
      </c>
      <c r="AY334" s="2134">
        <v>0</v>
      </c>
      <c r="AZ334" s="2134">
        <v>0</v>
      </c>
      <c r="BA334" s="2134">
        <v>-106555727</v>
      </c>
      <c r="BB334" s="1821">
        <v>0</v>
      </c>
      <c r="BE334" s="1729"/>
      <c r="BF334" s="1729"/>
    </row>
    <row r="335" spans="1:58" ht="16.2" thickBot="1">
      <c r="A335" s="2102" t="s">
        <v>2112</v>
      </c>
      <c r="B335" s="2103" t="s">
        <v>2366</v>
      </c>
      <c r="C335" s="2103">
        <v>64964620</v>
      </c>
      <c r="D335" s="2103">
        <v>-97950342</v>
      </c>
      <c r="E335" s="2103">
        <v>162914962</v>
      </c>
      <c r="F335" s="2103">
        <v>-35893771</v>
      </c>
      <c r="G335" s="2103">
        <v>-14429416</v>
      </c>
      <c r="H335" s="2103">
        <v>45056</v>
      </c>
      <c r="I335" s="2103">
        <v>-4184905</v>
      </c>
      <c r="J335" s="2103">
        <v>8710212</v>
      </c>
      <c r="K335" s="2103">
        <v>-872547</v>
      </c>
      <c r="L335" s="2103">
        <v>-2499284</v>
      </c>
      <c r="M335" s="2103">
        <v>1135862</v>
      </c>
      <c r="N335" s="2103">
        <v>-1720851</v>
      </c>
      <c r="O335" s="2103">
        <v>-485542</v>
      </c>
      <c r="P335" s="2103">
        <v>858860</v>
      </c>
      <c r="Q335" s="2103">
        <v>-646459</v>
      </c>
      <c r="R335" s="2103">
        <v>45056</v>
      </c>
      <c r="S335" s="2103">
        <v>-1435525</v>
      </c>
      <c r="T335" s="2103">
        <v>117876</v>
      </c>
      <c r="U335" s="2103">
        <v>-2010406</v>
      </c>
      <c r="V335" s="2103">
        <v>16223172</v>
      </c>
      <c r="W335" s="2103">
        <v>-27183559</v>
      </c>
      <c r="X335" s="2103">
        <v>-6410989</v>
      </c>
      <c r="Y335" s="2103">
        <v>-874058</v>
      </c>
      <c r="Z335" s="2103">
        <v>-255015</v>
      </c>
      <c r="AA335" s="2103">
        <v>-797172</v>
      </c>
      <c r="AB335" s="2103">
        <v>-1726755</v>
      </c>
      <c r="AC335" s="2103">
        <v>-618927</v>
      </c>
      <c r="AD335" s="2103">
        <v>-876135</v>
      </c>
      <c r="AE335" s="2103">
        <v>-735768</v>
      </c>
      <c r="AF335" s="2103">
        <v>83782</v>
      </c>
      <c r="AG335" s="2103">
        <v>266245</v>
      </c>
      <c r="AH335" s="2103">
        <v>-2369558</v>
      </c>
      <c r="AI335" s="2103">
        <v>-778690</v>
      </c>
      <c r="AJ335" s="2103">
        <v>2271062</v>
      </c>
      <c r="AK335" s="2103">
        <v>-33594548</v>
      </c>
      <c r="AL335" s="2103">
        <v>0</v>
      </c>
      <c r="AM335" s="2103">
        <v>-15238635</v>
      </c>
      <c r="AN335" s="2103">
        <v>-18738788</v>
      </c>
      <c r="AO335" s="2103">
        <v>-21792443</v>
      </c>
      <c r="AP335" s="2103">
        <v>-21705488</v>
      </c>
      <c r="AQ335" s="2103">
        <v>-132497239</v>
      </c>
      <c r="AR335" s="2103">
        <v>0</v>
      </c>
      <c r="AS335" s="2104">
        <v>0</v>
      </c>
      <c r="AT335" s="2105"/>
      <c r="AV335" s="2106">
        <v>-21864211</v>
      </c>
      <c r="AW335" s="2106">
        <v>-64712480</v>
      </c>
      <c r="AX335" s="2106">
        <v>-85037367</v>
      </c>
      <c r="AY335" s="2106">
        <v>-101859991</v>
      </c>
      <c r="AZ335" s="2106">
        <v>-117204122</v>
      </c>
      <c r="BA335" s="2106">
        <v>-132557239</v>
      </c>
      <c r="BB335" s="2106">
        <v>0</v>
      </c>
      <c r="BD335" s="889" t="s">
        <v>1685</v>
      </c>
      <c r="BE335" s="2107">
        <v>-14429416</v>
      </c>
      <c r="BF335" s="2107">
        <v>8018427</v>
      </c>
    </row>
    <row r="336" spans="1:58">
      <c r="C336" s="956">
        <v>0</v>
      </c>
      <c r="D336" s="956">
        <v>0</v>
      </c>
      <c r="E336" s="956">
        <v>0</v>
      </c>
      <c r="F336" s="2108">
        <v>0</v>
      </c>
      <c r="G336" s="2108">
        <v>0</v>
      </c>
      <c r="H336" s="2108">
        <v>0</v>
      </c>
      <c r="I336" s="2108">
        <v>0</v>
      </c>
      <c r="J336" s="2108">
        <v>0</v>
      </c>
      <c r="K336" s="2108">
        <v>0</v>
      </c>
      <c r="L336" s="2108">
        <v>0</v>
      </c>
      <c r="M336" s="2108">
        <v>0</v>
      </c>
      <c r="N336" s="2108">
        <v>0</v>
      </c>
      <c r="O336" s="2108">
        <v>0</v>
      </c>
      <c r="P336" s="2108">
        <v>0</v>
      </c>
      <c r="Q336" s="2108">
        <v>0</v>
      </c>
      <c r="R336" s="2108">
        <v>0</v>
      </c>
      <c r="S336" s="2108">
        <v>0</v>
      </c>
      <c r="T336" s="2108">
        <v>0</v>
      </c>
      <c r="U336" s="2108">
        <v>0</v>
      </c>
      <c r="V336" s="2108">
        <v>0</v>
      </c>
      <c r="W336" s="2108">
        <v>0</v>
      </c>
      <c r="X336" s="2108">
        <v>0</v>
      </c>
      <c r="Y336" s="2108">
        <v>0</v>
      </c>
      <c r="Z336" s="2108">
        <v>0</v>
      </c>
      <c r="AA336" s="2108">
        <v>0</v>
      </c>
      <c r="AB336" s="2108">
        <v>0</v>
      </c>
      <c r="AC336" s="2108">
        <v>0</v>
      </c>
      <c r="AD336" s="2108">
        <v>0</v>
      </c>
      <c r="AE336" s="2108">
        <v>0</v>
      </c>
      <c r="AF336" s="2108">
        <v>0</v>
      </c>
      <c r="AG336" s="2108">
        <v>0</v>
      </c>
      <c r="AH336" s="2108">
        <v>0</v>
      </c>
      <c r="AI336" s="2108">
        <v>0</v>
      </c>
      <c r="AJ336" s="2108">
        <v>0</v>
      </c>
      <c r="AK336" s="2108">
        <v>0</v>
      </c>
      <c r="AL336" s="2108">
        <v>0</v>
      </c>
      <c r="AM336" s="2108">
        <v>0</v>
      </c>
      <c r="AN336" s="2108">
        <v>0</v>
      </c>
      <c r="AO336" s="2108">
        <v>0</v>
      </c>
      <c r="AP336" s="2108">
        <v>0</v>
      </c>
      <c r="AQ336" s="2108">
        <v>0</v>
      </c>
      <c r="AU336" s="881" t="s">
        <v>2361</v>
      </c>
      <c r="AV336" s="956">
        <v>0</v>
      </c>
      <c r="AW336" s="956">
        <v>0</v>
      </c>
      <c r="AX336" s="956">
        <v>0</v>
      </c>
      <c r="AY336" s="956">
        <v>0</v>
      </c>
      <c r="AZ336" s="956">
        <v>0</v>
      </c>
      <c r="BA336" s="956">
        <v>0</v>
      </c>
      <c r="BB336" s="956"/>
    </row>
    <row r="337" spans="1:58">
      <c r="F337" s="2109" t="s">
        <v>2360</v>
      </c>
      <c r="G337" s="2108"/>
      <c r="H337" s="2108"/>
      <c r="I337" s="2108"/>
      <c r="J337" s="2108"/>
      <c r="K337" s="2110">
        <v>0</v>
      </c>
      <c r="L337" s="2110">
        <v>0</v>
      </c>
      <c r="M337" s="2110">
        <v>0</v>
      </c>
      <c r="N337" s="2110">
        <v>0</v>
      </c>
      <c r="O337" s="2110">
        <v>0</v>
      </c>
      <c r="P337" s="2110">
        <v>0</v>
      </c>
      <c r="Q337" s="2110">
        <v>0</v>
      </c>
      <c r="R337" s="2110">
        <v>0</v>
      </c>
      <c r="S337" s="2110">
        <v>0</v>
      </c>
      <c r="T337" s="2110">
        <v>0</v>
      </c>
      <c r="U337" s="2110">
        <v>0</v>
      </c>
      <c r="V337" s="2110">
        <v>0</v>
      </c>
      <c r="W337" s="2110">
        <v>0</v>
      </c>
      <c r="X337" s="2110">
        <v>0</v>
      </c>
      <c r="Y337" s="2110">
        <v>0</v>
      </c>
      <c r="Z337" s="2110">
        <v>0</v>
      </c>
      <c r="AA337" s="2110">
        <v>0</v>
      </c>
      <c r="AB337" s="2110">
        <v>0</v>
      </c>
      <c r="AC337" s="2110">
        <v>0</v>
      </c>
      <c r="AD337" s="2110">
        <v>0</v>
      </c>
      <c r="AE337" s="2110">
        <v>0</v>
      </c>
      <c r="AF337" s="2110">
        <v>0</v>
      </c>
      <c r="AG337" s="2110">
        <v>0</v>
      </c>
      <c r="AH337" s="2110">
        <v>0</v>
      </c>
      <c r="AI337" s="2110">
        <v>0</v>
      </c>
      <c r="AJ337" s="2110">
        <v>0</v>
      </c>
      <c r="AK337" s="2110">
        <v>0</v>
      </c>
      <c r="AL337" s="2110"/>
      <c r="AM337" s="2110">
        <v>0</v>
      </c>
      <c r="AN337" s="2110">
        <v>0</v>
      </c>
      <c r="AO337" s="2110">
        <v>0</v>
      </c>
      <c r="AP337" s="2110">
        <v>0</v>
      </c>
      <c r="AQ337" s="2110">
        <v>0</v>
      </c>
      <c r="AV337" s="956"/>
      <c r="AW337" s="956"/>
      <c r="AX337" s="956"/>
      <c r="AY337" s="956"/>
      <c r="AZ337" s="956"/>
      <c r="BA337" s="956"/>
    </row>
    <row r="338" spans="1:58">
      <c r="F338" s="2109"/>
      <c r="G338" s="2108"/>
      <c r="H338" s="2108"/>
      <c r="I338" s="2108"/>
      <c r="J338" s="2108"/>
      <c r="K338" s="2110"/>
      <c r="L338" s="2110"/>
      <c r="M338" s="2110"/>
      <c r="N338" s="2110"/>
      <c r="O338" s="2110"/>
      <c r="P338" s="2110"/>
      <c r="Q338" s="2110"/>
      <c r="R338" s="2110"/>
      <c r="S338" s="2110"/>
      <c r="T338" s="2110"/>
      <c r="U338" s="2110"/>
      <c r="V338" s="2110"/>
      <c r="W338" s="2110"/>
      <c r="X338" s="2110"/>
      <c r="Y338" s="2110"/>
      <c r="Z338" s="2110"/>
      <c r="AA338" s="2110"/>
      <c r="AB338" s="2110"/>
      <c r="AC338" s="2110"/>
      <c r="AD338" s="2110"/>
      <c r="AE338" s="2110"/>
      <c r="AF338" s="2110"/>
      <c r="AG338" s="2110"/>
      <c r="AH338" s="2110"/>
      <c r="AI338" s="2110"/>
      <c r="AJ338" s="2110"/>
      <c r="AK338" s="2110"/>
      <c r="AL338" s="2110"/>
      <c r="AM338" s="2110"/>
      <c r="AN338" s="2110"/>
      <c r="AO338" s="2110"/>
      <c r="AP338" s="2110"/>
      <c r="AQ338" s="2110"/>
    </row>
    <row r="339" spans="1:58" ht="16.2" thickBot="1">
      <c r="AV339" s="956"/>
      <c r="AW339" s="956"/>
      <c r="AX339" s="956"/>
      <c r="AY339" s="956"/>
      <c r="AZ339" s="956"/>
    </row>
    <row r="340" spans="1:58" ht="29.25" customHeight="1">
      <c r="A340" s="2565" t="s">
        <v>2370</v>
      </c>
      <c r="B340" s="2566"/>
      <c r="C340" s="2140"/>
      <c r="D340" s="2141"/>
      <c r="E340" s="2142"/>
      <c r="F340" s="2143"/>
      <c r="G340" s="2144"/>
      <c r="H340" s="2567" t="s">
        <v>1764</v>
      </c>
      <c r="I340" s="2568"/>
      <c r="J340" s="2568"/>
      <c r="K340" s="2568"/>
      <c r="L340" s="2568"/>
      <c r="M340" s="2568"/>
      <c r="N340" s="2568"/>
      <c r="O340" s="2568"/>
      <c r="P340" s="2568"/>
      <c r="Q340" s="2568"/>
      <c r="R340" s="2568"/>
      <c r="S340" s="2568"/>
      <c r="T340" s="2568"/>
      <c r="U340" s="2568"/>
      <c r="V340" s="2569"/>
      <c r="W340" s="2143" t="s">
        <v>2333</v>
      </c>
      <c r="X340" s="2144"/>
      <c r="Y340" s="2145"/>
      <c r="Z340" s="2146"/>
      <c r="AA340" s="2146"/>
      <c r="AB340" s="2146"/>
      <c r="AC340" s="2146"/>
      <c r="AD340" s="2146"/>
      <c r="AE340" s="2146" t="s">
        <v>2286</v>
      </c>
      <c r="AF340" s="2146"/>
      <c r="AG340" s="2146"/>
      <c r="AH340" s="2146"/>
      <c r="AI340" s="2146"/>
      <c r="AJ340" s="2147"/>
      <c r="AK340" s="2143" t="s">
        <v>2333</v>
      </c>
      <c r="AL340" s="2148"/>
      <c r="AM340" s="2149"/>
      <c r="AN340" s="2150"/>
      <c r="AO340" s="2150"/>
      <c r="AP340" s="2150"/>
      <c r="AQ340" s="2150"/>
      <c r="AR340" s="2052"/>
      <c r="AS340" s="2053"/>
      <c r="AT340" s="2054"/>
      <c r="AV340" s="2570" t="s">
        <v>1657</v>
      </c>
      <c r="AW340" s="2570"/>
      <c r="AX340" s="2570"/>
      <c r="AY340" s="2570"/>
      <c r="AZ340" s="2570"/>
      <c r="BA340" s="2570"/>
      <c r="BB340" s="2570"/>
    </row>
    <row r="341" spans="1:58" ht="31.2">
      <c r="A341" s="2571" t="s">
        <v>1288</v>
      </c>
      <c r="B341" s="2571" t="s">
        <v>1289</v>
      </c>
      <c r="C341" s="2571" t="s">
        <v>1290</v>
      </c>
      <c r="D341" s="2571" t="s">
        <v>2371</v>
      </c>
      <c r="E341" s="2571" t="s">
        <v>1693</v>
      </c>
      <c r="F341" s="2151" t="s">
        <v>2334</v>
      </c>
      <c r="G341" s="2152" t="s">
        <v>2335</v>
      </c>
      <c r="H341" s="2153">
        <v>8</v>
      </c>
      <c r="I341" s="2154" t="s">
        <v>1756</v>
      </c>
      <c r="J341" s="1862" t="s">
        <v>2257</v>
      </c>
      <c r="K341" s="1860" t="s">
        <v>1753</v>
      </c>
      <c r="L341" s="1860" t="s">
        <v>2212</v>
      </c>
      <c r="M341" s="1860" t="s">
        <v>2213</v>
      </c>
      <c r="N341" s="1860" t="s">
        <v>2214</v>
      </c>
      <c r="O341" s="1860" t="s">
        <v>2215</v>
      </c>
      <c r="P341" s="1860" t="s">
        <v>2216</v>
      </c>
      <c r="Q341" s="1860" t="s">
        <v>2217</v>
      </c>
      <c r="R341" s="1860" t="s">
        <v>2218</v>
      </c>
      <c r="S341" s="1860" t="s">
        <v>2219</v>
      </c>
      <c r="T341" s="1860" t="s">
        <v>2220</v>
      </c>
      <c r="U341" s="1860" t="s">
        <v>2221</v>
      </c>
      <c r="V341" s="1860" t="s">
        <v>2222</v>
      </c>
      <c r="W341" s="2155" t="s">
        <v>2223</v>
      </c>
      <c r="X341" s="1862" t="s">
        <v>2372</v>
      </c>
      <c r="Y341" s="1860" t="s">
        <v>2211</v>
      </c>
      <c r="Z341" s="1860" t="s">
        <v>2212</v>
      </c>
      <c r="AA341" s="1860" t="s">
        <v>2213</v>
      </c>
      <c r="AB341" s="1860" t="s">
        <v>2214</v>
      </c>
      <c r="AC341" s="1860" t="s">
        <v>2215</v>
      </c>
      <c r="AD341" s="1860" t="s">
        <v>2216</v>
      </c>
      <c r="AE341" s="1860" t="s">
        <v>2217</v>
      </c>
      <c r="AF341" s="1860" t="s">
        <v>2218</v>
      </c>
      <c r="AG341" s="1860" t="s">
        <v>2219</v>
      </c>
      <c r="AH341" s="1860" t="s">
        <v>2220</v>
      </c>
      <c r="AI341" s="1860" t="s">
        <v>2221</v>
      </c>
      <c r="AJ341" s="1860" t="s">
        <v>2222</v>
      </c>
      <c r="AK341" s="2155" t="s">
        <v>2258</v>
      </c>
      <c r="AL341" s="2156"/>
      <c r="AM341" s="1865">
        <v>46752</v>
      </c>
      <c r="AN341" s="1866">
        <v>47118</v>
      </c>
      <c r="AO341" s="1866">
        <v>47483</v>
      </c>
      <c r="AP341" s="1867">
        <v>47848</v>
      </c>
      <c r="AQ341" s="1867" t="s">
        <v>2259</v>
      </c>
      <c r="AR341" s="2060" t="s">
        <v>2226</v>
      </c>
      <c r="AS341" s="880" t="s">
        <v>1669</v>
      </c>
      <c r="AT341" s="2061"/>
      <c r="AV341" s="2157">
        <v>46357</v>
      </c>
      <c r="AW341" s="2157">
        <v>46722</v>
      </c>
      <c r="AX341" s="2157">
        <v>47088</v>
      </c>
      <c r="AY341" s="2157">
        <v>47453</v>
      </c>
      <c r="AZ341" s="2157" t="s">
        <v>2373</v>
      </c>
      <c r="BA341" s="2157" t="s">
        <v>2374</v>
      </c>
      <c r="BB341" s="2157" t="s">
        <v>2205</v>
      </c>
    </row>
    <row r="342" spans="1:58" ht="16.2" thickBot="1">
      <c r="A342" s="2572"/>
      <c r="B342" s="2572"/>
      <c r="C342" s="2572"/>
      <c r="D342" s="2572"/>
      <c r="E342" s="2572"/>
      <c r="F342" s="1877" t="s">
        <v>2375</v>
      </c>
      <c r="G342" s="1877" t="s">
        <v>2376</v>
      </c>
      <c r="H342" s="1877" t="s">
        <v>2375</v>
      </c>
      <c r="I342" s="1877" t="s">
        <v>2375</v>
      </c>
      <c r="J342" s="1869" t="s">
        <v>2377</v>
      </c>
      <c r="K342" s="1874" t="s">
        <v>1759</v>
      </c>
      <c r="L342" s="1874" t="s">
        <v>1759</v>
      </c>
      <c r="M342" s="1874" t="s">
        <v>1759</v>
      </c>
      <c r="N342" s="1874" t="s">
        <v>1759</v>
      </c>
      <c r="O342" s="1874" t="s">
        <v>1759</v>
      </c>
      <c r="P342" s="1874" t="s">
        <v>1759</v>
      </c>
      <c r="Q342" s="1874" t="s">
        <v>1759</v>
      </c>
      <c r="R342" s="1870" t="s">
        <v>1759</v>
      </c>
      <c r="S342" s="1874" t="s">
        <v>1760</v>
      </c>
      <c r="T342" s="1874" t="s">
        <v>1760</v>
      </c>
      <c r="U342" s="1874" t="s">
        <v>1760</v>
      </c>
      <c r="V342" s="1874" t="s">
        <v>1760</v>
      </c>
      <c r="W342" s="1872" t="s">
        <v>2378</v>
      </c>
      <c r="X342" s="1873" t="s">
        <v>2377</v>
      </c>
      <c r="Y342" s="1874" t="s">
        <v>2294</v>
      </c>
      <c r="Z342" s="1874" t="s">
        <v>2294</v>
      </c>
      <c r="AA342" s="1874" t="s">
        <v>2294</v>
      </c>
      <c r="AB342" s="1874" t="s">
        <v>2294</v>
      </c>
      <c r="AC342" s="1874" t="s">
        <v>2294</v>
      </c>
      <c r="AD342" s="1874" t="s">
        <v>2294</v>
      </c>
      <c r="AE342" s="1874" t="s">
        <v>2294</v>
      </c>
      <c r="AF342" s="1874" t="s">
        <v>2294</v>
      </c>
      <c r="AG342" s="1874" t="s">
        <v>2294</v>
      </c>
      <c r="AH342" s="1874" t="s">
        <v>2294</v>
      </c>
      <c r="AI342" s="1874" t="s">
        <v>2294</v>
      </c>
      <c r="AJ342" s="1874" t="s">
        <v>2294</v>
      </c>
      <c r="AK342" s="1872" t="s">
        <v>2378</v>
      </c>
      <c r="AL342" s="1877"/>
      <c r="AM342" s="1877" t="s">
        <v>2378</v>
      </c>
      <c r="AN342" s="1877" t="s">
        <v>2378</v>
      </c>
      <c r="AO342" s="1877" t="s">
        <v>2378</v>
      </c>
      <c r="AP342" s="1877" t="s">
        <v>2378</v>
      </c>
      <c r="AQ342" s="1877" t="s">
        <v>2378</v>
      </c>
      <c r="AR342" s="2062"/>
      <c r="AS342" s="2063"/>
      <c r="AT342" s="2064"/>
      <c r="AV342" s="2158" t="s">
        <v>2379</v>
      </c>
      <c r="AW342" s="2159" t="s">
        <v>2379</v>
      </c>
      <c r="AX342" s="2159" t="s">
        <v>2379</v>
      </c>
      <c r="AY342" s="2159" t="s">
        <v>2379</v>
      </c>
      <c r="AZ342" s="2159" t="s">
        <v>2379</v>
      </c>
      <c r="BA342" s="2159" t="s">
        <v>2379</v>
      </c>
      <c r="BB342" s="2159" t="s">
        <v>2379</v>
      </c>
    </row>
    <row r="343" spans="1:58">
      <c r="A343" s="2160" t="s">
        <v>2380</v>
      </c>
      <c r="B343" s="2161"/>
      <c r="C343" s="2161"/>
      <c r="D343" s="2161"/>
      <c r="E343" s="2161"/>
      <c r="R343" s="990"/>
      <c r="AT343" s="2162"/>
      <c r="AV343" s="1015"/>
      <c r="BB343" s="1016"/>
    </row>
    <row r="344" spans="1:58">
      <c r="A344" s="2066" t="s">
        <v>1190</v>
      </c>
      <c r="B344" s="1043" t="s">
        <v>2340</v>
      </c>
      <c r="C344" s="2067">
        <v>384140920</v>
      </c>
      <c r="D344" s="2067">
        <v>270146122</v>
      </c>
      <c r="E344" s="2073">
        <v>113994798</v>
      </c>
      <c r="F344" s="1968">
        <v>56400891</v>
      </c>
      <c r="G344" s="2163">
        <v>19648557</v>
      </c>
      <c r="H344" s="2069">
        <v>1292616</v>
      </c>
      <c r="I344" s="2069">
        <v>8317674</v>
      </c>
      <c r="J344" s="1968">
        <v>-3926640</v>
      </c>
      <c r="K344" s="2070">
        <v>878800</v>
      </c>
      <c r="L344" s="2070">
        <v>2502905</v>
      </c>
      <c r="M344" s="2070">
        <v>-147757</v>
      </c>
      <c r="N344" s="2070">
        <v>1921143</v>
      </c>
      <c r="O344" s="2070">
        <v>1547987</v>
      </c>
      <c r="P344" s="2070">
        <v>-456301</v>
      </c>
      <c r="Q344" s="2070">
        <v>778281</v>
      </c>
      <c r="R344" s="2070">
        <v>1292616</v>
      </c>
      <c r="S344" s="2067">
        <v>1464291</v>
      </c>
      <c r="T344" s="2067">
        <v>256915</v>
      </c>
      <c r="U344" s="2067">
        <v>2065197</v>
      </c>
      <c r="V344" s="2067">
        <v>-16030717</v>
      </c>
      <c r="W344" s="1968">
        <v>52474251</v>
      </c>
      <c r="X344" s="1968">
        <v>15686256</v>
      </c>
      <c r="Y344" s="2067">
        <v>1821506</v>
      </c>
      <c r="Z344" s="2067">
        <v>1153614</v>
      </c>
      <c r="AA344" s="2067">
        <v>2057593</v>
      </c>
      <c r="AB344" s="2067">
        <v>1260903</v>
      </c>
      <c r="AC344" s="2067">
        <v>1109665</v>
      </c>
      <c r="AD344" s="2067">
        <v>1137750</v>
      </c>
      <c r="AE344" s="2067">
        <v>1020829</v>
      </c>
      <c r="AF344" s="2067">
        <v>855496</v>
      </c>
      <c r="AG344" s="2067">
        <v>767658</v>
      </c>
      <c r="AH344" s="2067">
        <v>953532</v>
      </c>
      <c r="AI344" s="2067">
        <v>798311</v>
      </c>
      <c r="AJ344" s="2067">
        <v>2749399</v>
      </c>
      <c r="AK344" s="1968">
        <v>68160507</v>
      </c>
      <c r="AL344" s="2163"/>
      <c r="AM344" s="2163">
        <v>8801267</v>
      </c>
      <c r="AN344" s="2163">
        <v>8163694</v>
      </c>
      <c r="AO344" s="2163">
        <v>3376512</v>
      </c>
      <c r="AP344" s="2163">
        <v>3712920</v>
      </c>
      <c r="AQ344" s="2163">
        <v>19144019</v>
      </c>
      <c r="AR344" s="1714"/>
      <c r="AS344" s="2071" t="s">
        <v>2341</v>
      </c>
      <c r="AT344" s="2072" t="s">
        <v>2232</v>
      </c>
      <c r="AU344" s="881" t="s">
        <v>2342</v>
      </c>
      <c r="AV344" s="1879">
        <v>61520547</v>
      </c>
      <c r="AW344" s="1879">
        <v>-46559539</v>
      </c>
      <c r="AX344" s="1879">
        <v>-30703229</v>
      </c>
      <c r="AY344" s="1879">
        <v>-101394345</v>
      </c>
      <c r="AZ344" s="1879">
        <v>-104559989</v>
      </c>
      <c r="BA344" s="1879">
        <v>-102546891</v>
      </c>
      <c r="BB344" s="1879">
        <v>0</v>
      </c>
      <c r="BE344" s="2005">
        <v>19648557</v>
      </c>
      <c r="BF344" s="2005">
        <v>-3962301</v>
      </c>
    </row>
    <row r="345" spans="1:58">
      <c r="A345" s="2066" t="s">
        <v>1193</v>
      </c>
      <c r="B345" s="1043" t="s">
        <v>2343</v>
      </c>
      <c r="C345" s="2067">
        <v>0</v>
      </c>
      <c r="D345" s="2067">
        <v>0</v>
      </c>
      <c r="E345" s="2073"/>
      <c r="F345" s="1968">
        <v>0</v>
      </c>
      <c r="G345" s="2163">
        <v>1412088</v>
      </c>
      <c r="H345" s="2069">
        <v>-298891</v>
      </c>
      <c r="I345" s="2069">
        <v>-2152561</v>
      </c>
      <c r="J345" s="1968">
        <v>376222</v>
      </c>
      <c r="K345" s="2070">
        <v>-174350</v>
      </c>
      <c r="L345" s="2070">
        <v>-139959</v>
      </c>
      <c r="M345" s="2070">
        <v>-252135</v>
      </c>
      <c r="N345" s="2070">
        <v>-437459</v>
      </c>
      <c r="O345" s="2070">
        <v>-193842</v>
      </c>
      <c r="P345" s="2070">
        <v>-411506</v>
      </c>
      <c r="Q345" s="2070">
        <v>-244419</v>
      </c>
      <c r="R345" s="2070">
        <v>-298891</v>
      </c>
      <c r="S345" s="2067">
        <v>1015780</v>
      </c>
      <c r="T345" s="2067">
        <v>-174195</v>
      </c>
      <c r="U345" s="2067">
        <v>-281101</v>
      </c>
      <c r="V345" s="2067">
        <v>1968299</v>
      </c>
      <c r="W345" s="1968">
        <v>376222</v>
      </c>
      <c r="X345" s="1968">
        <v>849009</v>
      </c>
      <c r="Y345" s="2067">
        <v>-273268</v>
      </c>
      <c r="Z345" s="2067">
        <v>-240317</v>
      </c>
      <c r="AA345" s="2067">
        <v>-301619</v>
      </c>
      <c r="AB345" s="2067">
        <v>984136</v>
      </c>
      <c r="AC345" s="2067">
        <v>-167375</v>
      </c>
      <c r="AD345" s="2067">
        <v>-73885</v>
      </c>
      <c r="AE345" s="2067">
        <v>-53885</v>
      </c>
      <c r="AF345" s="2067">
        <v>-53885</v>
      </c>
      <c r="AG345" s="2067">
        <v>-53885</v>
      </c>
      <c r="AH345" s="2067">
        <v>10762</v>
      </c>
      <c r="AI345" s="2067">
        <v>-53885</v>
      </c>
      <c r="AJ345" s="2067">
        <v>1126115</v>
      </c>
      <c r="AK345" s="1968">
        <v>1225231</v>
      </c>
      <c r="AL345" s="2163"/>
      <c r="AM345" s="2163">
        <v>1470000</v>
      </c>
      <c r="AN345" s="2163">
        <v>1931500</v>
      </c>
      <c r="AO345" s="2163">
        <v>1597500</v>
      </c>
      <c r="AP345" s="2163">
        <v>0</v>
      </c>
      <c r="AQ345" s="2163">
        <v>0</v>
      </c>
      <c r="AR345" s="1714"/>
      <c r="AS345" s="2071"/>
      <c r="AT345" s="2072" t="s">
        <v>2239</v>
      </c>
      <c r="AV345" s="1879">
        <v>0</v>
      </c>
      <c r="AW345" s="1879">
        <v>0</v>
      </c>
      <c r="AX345" s="1879">
        <v>0</v>
      </c>
      <c r="AY345" s="1879">
        <v>0</v>
      </c>
      <c r="AZ345" s="1879">
        <v>0</v>
      </c>
      <c r="BA345" s="1879">
        <v>0</v>
      </c>
      <c r="BB345" s="1879">
        <v>0</v>
      </c>
      <c r="BE345" s="1729">
        <v>1412088</v>
      </c>
      <c r="BF345" s="1729">
        <v>-563079</v>
      </c>
    </row>
    <row r="346" spans="1:58">
      <c r="A346" s="2066" t="s">
        <v>1741</v>
      </c>
      <c r="B346" s="1043" t="s">
        <v>2344</v>
      </c>
      <c r="C346" s="2067">
        <v>0</v>
      </c>
      <c r="D346" s="2067">
        <v>0</v>
      </c>
      <c r="E346" s="2073"/>
      <c r="F346" s="1968">
        <v>0</v>
      </c>
      <c r="G346" s="2163">
        <v>0</v>
      </c>
      <c r="H346" s="2069">
        <v>0</v>
      </c>
      <c r="I346" s="2069">
        <v>0</v>
      </c>
      <c r="J346" s="1968">
        <v>0</v>
      </c>
      <c r="K346" s="2070">
        <v>0</v>
      </c>
      <c r="L346" s="2070">
        <v>0</v>
      </c>
      <c r="M346" s="2070">
        <v>0</v>
      </c>
      <c r="N346" s="2070">
        <v>0</v>
      </c>
      <c r="O346" s="2070">
        <v>0</v>
      </c>
      <c r="P346" s="2070">
        <v>0</v>
      </c>
      <c r="Q346" s="2070">
        <v>0</v>
      </c>
      <c r="R346" s="2070">
        <v>0</v>
      </c>
      <c r="S346" s="2067">
        <v>0</v>
      </c>
      <c r="T346" s="2067">
        <v>0</v>
      </c>
      <c r="U346" s="2067">
        <v>0</v>
      </c>
      <c r="V346" s="2067">
        <v>0</v>
      </c>
      <c r="W346" s="1968">
        <v>0</v>
      </c>
      <c r="X346" s="1968">
        <v>0</v>
      </c>
      <c r="Y346" s="2067">
        <v>0</v>
      </c>
      <c r="Z346" s="2067">
        <v>0</v>
      </c>
      <c r="AA346" s="2067">
        <v>0</v>
      </c>
      <c r="AB346" s="2067">
        <v>0</v>
      </c>
      <c r="AC346" s="2067">
        <v>0</v>
      </c>
      <c r="AD346" s="2067">
        <v>0</v>
      </c>
      <c r="AE346" s="2067">
        <v>0</v>
      </c>
      <c r="AF346" s="2067">
        <v>0</v>
      </c>
      <c r="AG346" s="2067">
        <v>0</v>
      </c>
      <c r="AH346" s="2067">
        <v>0</v>
      </c>
      <c r="AI346" s="2067">
        <v>0</v>
      </c>
      <c r="AJ346" s="2067">
        <v>0</v>
      </c>
      <c r="AK346" s="1968">
        <v>0</v>
      </c>
      <c r="AL346" s="2163"/>
      <c r="AM346" s="2163">
        <v>0</v>
      </c>
      <c r="AN346" s="2163">
        <v>0</v>
      </c>
      <c r="AO346" s="2163">
        <v>0</v>
      </c>
      <c r="AP346" s="2163">
        <v>0</v>
      </c>
      <c r="AQ346" s="2163">
        <v>0</v>
      </c>
      <c r="AR346" s="1714"/>
      <c r="AS346" s="2074" t="s">
        <v>1687</v>
      </c>
      <c r="AT346" s="2072" t="s">
        <v>2239</v>
      </c>
      <c r="AV346" s="1879">
        <v>0</v>
      </c>
      <c r="AW346" s="1879">
        <v>0</v>
      </c>
      <c r="AX346" s="1879">
        <v>0</v>
      </c>
      <c r="AY346" s="1879">
        <v>0</v>
      </c>
      <c r="AZ346" s="1879">
        <v>0</v>
      </c>
      <c r="BA346" s="1879">
        <v>0</v>
      </c>
      <c r="BB346" s="1879">
        <v>0</v>
      </c>
      <c r="BE346" s="1729">
        <v>0</v>
      </c>
      <c r="BF346" s="1729">
        <v>0</v>
      </c>
    </row>
    <row r="347" spans="1:58">
      <c r="A347" s="2164" t="s">
        <v>1673</v>
      </c>
      <c r="B347" s="2075" t="s">
        <v>2345</v>
      </c>
      <c r="C347" s="2081">
        <v>0</v>
      </c>
      <c r="D347" s="2081">
        <v>0</v>
      </c>
      <c r="E347" s="2081">
        <v>0</v>
      </c>
      <c r="F347" s="1968">
        <v>0</v>
      </c>
      <c r="G347" s="2163">
        <v>0</v>
      </c>
      <c r="H347" s="2069">
        <v>0</v>
      </c>
      <c r="I347" s="2069">
        <v>0</v>
      </c>
      <c r="J347" s="1968">
        <v>0</v>
      </c>
      <c r="K347" s="2070">
        <v>0</v>
      </c>
      <c r="L347" s="2070">
        <v>0</v>
      </c>
      <c r="M347" s="2070">
        <v>0</v>
      </c>
      <c r="N347" s="2070">
        <v>0</v>
      </c>
      <c r="O347" s="2070">
        <v>0</v>
      </c>
      <c r="P347" s="2070">
        <v>0</v>
      </c>
      <c r="Q347" s="2070">
        <v>0</v>
      </c>
      <c r="R347" s="2070">
        <v>0</v>
      </c>
      <c r="S347" s="2067">
        <v>0</v>
      </c>
      <c r="T347" s="2067">
        <v>0</v>
      </c>
      <c r="U347" s="2067">
        <v>0</v>
      </c>
      <c r="V347" s="2067">
        <v>0</v>
      </c>
      <c r="W347" s="1968">
        <v>0</v>
      </c>
      <c r="X347" s="1968">
        <v>0</v>
      </c>
      <c r="Y347" s="2067">
        <v>0</v>
      </c>
      <c r="Z347" s="2067">
        <v>0</v>
      </c>
      <c r="AA347" s="2067">
        <v>0</v>
      </c>
      <c r="AB347" s="2067">
        <v>0</v>
      </c>
      <c r="AC347" s="2067">
        <v>0</v>
      </c>
      <c r="AD347" s="2067">
        <v>0</v>
      </c>
      <c r="AE347" s="2067">
        <v>0</v>
      </c>
      <c r="AF347" s="2067">
        <v>0</v>
      </c>
      <c r="AG347" s="2067">
        <v>0</v>
      </c>
      <c r="AH347" s="2067">
        <v>0</v>
      </c>
      <c r="AI347" s="2067">
        <v>0</v>
      </c>
      <c r="AJ347" s="2067">
        <v>0</v>
      </c>
      <c r="AK347" s="1968">
        <v>0</v>
      </c>
      <c r="AL347" s="2163"/>
      <c r="AM347" s="2163">
        <v>0</v>
      </c>
      <c r="AN347" s="2163">
        <v>0</v>
      </c>
      <c r="AO347" s="2163">
        <v>0</v>
      </c>
      <c r="AP347" s="2163">
        <v>0</v>
      </c>
      <c r="AQ347" s="2163">
        <v>0</v>
      </c>
      <c r="AR347" s="1714"/>
      <c r="AS347" s="2071" t="s">
        <v>1673</v>
      </c>
      <c r="AT347" s="2072"/>
      <c r="AU347" s="1841"/>
      <c r="AV347" s="1879">
        <v>0</v>
      </c>
      <c r="AW347" s="1879">
        <v>0</v>
      </c>
      <c r="AX347" s="1879">
        <v>0</v>
      </c>
      <c r="AY347" s="1879">
        <v>0</v>
      </c>
      <c r="AZ347" s="1879">
        <v>0</v>
      </c>
      <c r="BA347" s="1879">
        <v>0</v>
      </c>
      <c r="BB347" s="1879">
        <v>0</v>
      </c>
      <c r="BE347" s="1729">
        <v>0</v>
      </c>
      <c r="BF347" s="1729">
        <v>0</v>
      </c>
    </row>
    <row r="348" spans="1:58" s="663" customFormat="1">
      <c r="A348" s="2165" t="s">
        <v>1676</v>
      </c>
      <c r="B348" s="1630" t="s">
        <v>2346</v>
      </c>
      <c r="C348" s="1630">
        <v>154715000</v>
      </c>
      <c r="D348" s="1630">
        <v>105794836</v>
      </c>
      <c r="E348" s="1630">
        <v>48920164</v>
      </c>
      <c r="F348" s="1968">
        <v>0</v>
      </c>
      <c r="G348" s="2163">
        <v>0</v>
      </c>
      <c r="H348" s="2069">
        <v>0</v>
      </c>
      <c r="I348" s="2069">
        <v>0</v>
      </c>
      <c r="J348" s="1968">
        <v>0</v>
      </c>
      <c r="K348" s="2067">
        <v>0</v>
      </c>
      <c r="L348" s="2067">
        <v>0</v>
      </c>
      <c r="M348" s="2067">
        <v>0</v>
      </c>
      <c r="N348" s="2067">
        <v>0</v>
      </c>
      <c r="O348" s="2067">
        <v>0</v>
      </c>
      <c r="P348" s="2067">
        <v>0</v>
      </c>
      <c r="Q348" s="2067">
        <v>0</v>
      </c>
      <c r="R348" s="2067">
        <v>0</v>
      </c>
      <c r="S348" s="2067">
        <v>0</v>
      </c>
      <c r="T348" s="2067">
        <v>0</v>
      </c>
      <c r="U348" s="2067">
        <v>0</v>
      </c>
      <c r="V348" s="2067">
        <v>0</v>
      </c>
      <c r="W348" s="1968">
        <v>0</v>
      </c>
      <c r="X348" s="1968">
        <v>5596477</v>
      </c>
      <c r="Y348" s="2067">
        <v>65677</v>
      </c>
      <c r="Z348" s="2067">
        <v>36553</v>
      </c>
      <c r="AA348" s="2067">
        <v>141982</v>
      </c>
      <c r="AB348" s="2067">
        <v>275757</v>
      </c>
      <c r="AC348" s="2067">
        <v>513014</v>
      </c>
      <c r="AD348" s="2067">
        <v>502231</v>
      </c>
      <c r="AE348" s="2067">
        <v>544232</v>
      </c>
      <c r="AF348" s="2067">
        <v>-108802</v>
      </c>
      <c r="AG348" s="2067">
        <v>-218217</v>
      </c>
      <c r="AH348" s="2067">
        <v>2242738</v>
      </c>
      <c r="AI348" s="2067">
        <v>766542</v>
      </c>
      <c r="AJ348" s="2067">
        <v>834770</v>
      </c>
      <c r="AK348" s="1968">
        <v>5596477</v>
      </c>
      <c r="AL348" s="2163"/>
      <c r="AM348" s="2163">
        <v>6202097</v>
      </c>
      <c r="AN348" s="2163">
        <v>6779048</v>
      </c>
      <c r="AO348" s="2163">
        <v>5041881</v>
      </c>
      <c r="AP348" s="2163">
        <v>4591229</v>
      </c>
      <c r="AQ348" s="2163">
        <v>20709432</v>
      </c>
      <c r="AR348" s="1714"/>
      <c r="AS348" s="2071" t="s">
        <v>1676</v>
      </c>
      <c r="AT348" s="2072"/>
      <c r="AV348" s="1879">
        <v>0</v>
      </c>
      <c r="AW348" s="1879">
        <v>135717517</v>
      </c>
      <c r="AX348" s="1879">
        <v>115148303</v>
      </c>
      <c r="AY348" s="1879">
        <v>92580312</v>
      </c>
      <c r="AZ348" s="1879">
        <v>76447144</v>
      </c>
      <c r="BA348" s="1879">
        <v>62069561</v>
      </c>
      <c r="BB348" s="1879">
        <v>0</v>
      </c>
      <c r="BE348" s="1718">
        <v>0</v>
      </c>
      <c r="BF348" s="1718">
        <v>5596477</v>
      </c>
    </row>
    <row r="349" spans="1:58">
      <c r="A349" s="2166" t="s">
        <v>1742</v>
      </c>
      <c r="B349" s="2081" t="s">
        <v>2347</v>
      </c>
      <c r="C349" s="2081">
        <v>113629000</v>
      </c>
      <c r="D349" s="2081">
        <v>78305256</v>
      </c>
      <c r="E349" s="2081">
        <v>35323744</v>
      </c>
      <c r="F349" s="1968">
        <v>0</v>
      </c>
      <c r="G349" s="2163">
        <v>0</v>
      </c>
      <c r="H349" s="2069">
        <v>0</v>
      </c>
      <c r="I349" s="2069">
        <v>0</v>
      </c>
      <c r="J349" s="1968">
        <v>0</v>
      </c>
      <c r="K349" s="2070">
        <v>0</v>
      </c>
      <c r="L349" s="2070">
        <v>0</v>
      </c>
      <c r="M349" s="2070">
        <v>0</v>
      </c>
      <c r="N349" s="2070">
        <v>0</v>
      </c>
      <c r="O349" s="2070">
        <v>0</v>
      </c>
      <c r="P349" s="2070">
        <v>0</v>
      </c>
      <c r="Q349" s="2070">
        <v>0</v>
      </c>
      <c r="R349" s="2070">
        <v>0</v>
      </c>
      <c r="S349" s="2067">
        <v>0</v>
      </c>
      <c r="T349" s="2067">
        <v>0</v>
      </c>
      <c r="U349" s="2067">
        <v>0</v>
      </c>
      <c r="V349" s="2067">
        <v>0</v>
      </c>
      <c r="W349" s="1968">
        <v>0</v>
      </c>
      <c r="X349" s="1968">
        <v>0</v>
      </c>
      <c r="Y349" s="2067">
        <v>0</v>
      </c>
      <c r="Z349" s="2067">
        <v>0</v>
      </c>
      <c r="AA349" s="2067">
        <v>0</v>
      </c>
      <c r="AB349" s="2067">
        <v>0</v>
      </c>
      <c r="AC349" s="2067">
        <v>0</v>
      </c>
      <c r="AD349" s="2067">
        <v>0</v>
      </c>
      <c r="AE349" s="2067">
        <v>0</v>
      </c>
      <c r="AF349" s="2067">
        <v>0</v>
      </c>
      <c r="AG349" s="2067">
        <v>0</v>
      </c>
      <c r="AH349" s="2067">
        <v>0</v>
      </c>
      <c r="AI349" s="2067">
        <v>0</v>
      </c>
      <c r="AJ349" s="2067">
        <v>0</v>
      </c>
      <c r="AK349" s="1968">
        <v>0</v>
      </c>
      <c r="AL349" s="2163"/>
      <c r="AM349" s="2163">
        <v>4772713</v>
      </c>
      <c r="AN349" s="2163">
        <v>3806477</v>
      </c>
      <c r="AO349" s="2163">
        <v>4723833</v>
      </c>
      <c r="AP349" s="2163">
        <v>4377238</v>
      </c>
      <c r="AQ349" s="2163">
        <v>17643483</v>
      </c>
      <c r="AR349" s="1714"/>
      <c r="AS349" s="2071" t="s">
        <v>1678</v>
      </c>
      <c r="AT349" s="2072"/>
      <c r="AV349" s="1879">
        <v>0</v>
      </c>
      <c r="AW349" s="1879">
        <v>0</v>
      </c>
      <c r="AX349" s="1879">
        <v>19150261</v>
      </c>
      <c r="AY349" s="1879">
        <v>22063366</v>
      </c>
      <c r="AZ349" s="1879">
        <v>17179551</v>
      </c>
      <c r="BA349" s="1879">
        <v>12308219</v>
      </c>
      <c r="BB349" s="1879">
        <v>0</v>
      </c>
      <c r="BE349" s="1729">
        <v>0</v>
      </c>
      <c r="BF349" s="1729">
        <v>0</v>
      </c>
    </row>
    <row r="350" spans="1:58">
      <c r="A350" s="2166" t="s">
        <v>1680</v>
      </c>
      <c r="B350" s="2081" t="s">
        <v>2348</v>
      </c>
      <c r="C350" s="2081">
        <v>114036000</v>
      </c>
      <c r="D350" s="2081">
        <v>78736290</v>
      </c>
      <c r="E350" s="2081">
        <v>35299710</v>
      </c>
      <c r="F350" s="1968">
        <v>0</v>
      </c>
      <c r="G350" s="2163">
        <v>0</v>
      </c>
      <c r="H350" s="2069">
        <v>0</v>
      </c>
      <c r="I350" s="2069">
        <v>0</v>
      </c>
      <c r="J350" s="1968">
        <v>0</v>
      </c>
      <c r="K350" s="2070">
        <v>0</v>
      </c>
      <c r="L350" s="2070">
        <v>0</v>
      </c>
      <c r="M350" s="2070">
        <v>0</v>
      </c>
      <c r="N350" s="2070">
        <v>0</v>
      </c>
      <c r="O350" s="2070">
        <v>0</v>
      </c>
      <c r="P350" s="2070">
        <v>0</v>
      </c>
      <c r="Q350" s="2070">
        <v>0</v>
      </c>
      <c r="R350" s="2070">
        <v>0</v>
      </c>
      <c r="S350" s="2067">
        <v>0</v>
      </c>
      <c r="T350" s="2067">
        <v>0</v>
      </c>
      <c r="U350" s="2067">
        <v>0</v>
      </c>
      <c r="V350" s="2067">
        <v>0</v>
      </c>
      <c r="W350" s="1968">
        <v>0</v>
      </c>
      <c r="X350" s="1968">
        <v>0</v>
      </c>
      <c r="Y350" s="2067">
        <v>0</v>
      </c>
      <c r="Z350" s="2067">
        <v>0</v>
      </c>
      <c r="AA350" s="2067">
        <v>0</v>
      </c>
      <c r="AB350" s="2067">
        <v>0</v>
      </c>
      <c r="AC350" s="2067">
        <v>0</v>
      </c>
      <c r="AD350" s="2067">
        <v>0</v>
      </c>
      <c r="AE350" s="2067">
        <v>0</v>
      </c>
      <c r="AF350" s="2067">
        <v>0</v>
      </c>
      <c r="AG350" s="2067">
        <v>0</v>
      </c>
      <c r="AH350" s="2067">
        <v>0</v>
      </c>
      <c r="AI350" s="2067">
        <v>0</v>
      </c>
      <c r="AJ350" s="2067">
        <v>0</v>
      </c>
      <c r="AK350" s="1968">
        <v>0</v>
      </c>
      <c r="AL350" s="2163"/>
      <c r="AM350" s="2163">
        <v>0</v>
      </c>
      <c r="AN350" s="2163">
        <v>3403552</v>
      </c>
      <c r="AO350" s="2163">
        <v>4831695</v>
      </c>
      <c r="AP350" s="2163">
        <v>4903727</v>
      </c>
      <c r="AQ350" s="2163">
        <v>22160736</v>
      </c>
      <c r="AR350" s="1714"/>
      <c r="AS350" s="2071" t="s">
        <v>1680</v>
      </c>
      <c r="AT350" s="2072"/>
      <c r="AV350" s="1879">
        <v>0</v>
      </c>
      <c r="AW350" s="1879">
        <v>0</v>
      </c>
      <c r="AX350" s="1879">
        <v>0</v>
      </c>
      <c r="AY350" s="1879">
        <v>102404212</v>
      </c>
      <c r="AZ350" s="1879">
        <v>39715936</v>
      </c>
      <c r="BA350" s="1879">
        <v>33398873</v>
      </c>
      <c r="BB350" s="1879">
        <v>0</v>
      </c>
      <c r="BE350" s="1729">
        <v>0</v>
      </c>
      <c r="BF350" s="1729">
        <v>0</v>
      </c>
    </row>
    <row r="351" spans="1:58">
      <c r="A351" s="2166" t="s">
        <v>1682</v>
      </c>
      <c r="B351" s="2081" t="s">
        <v>2349</v>
      </c>
      <c r="C351" s="2081">
        <v>77500000</v>
      </c>
      <c r="D351" s="2081">
        <v>52205495</v>
      </c>
      <c r="E351" s="2081">
        <v>25294505</v>
      </c>
      <c r="F351" s="1968">
        <v>0</v>
      </c>
      <c r="G351" s="2163">
        <v>0</v>
      </c>
      <c r="H351" s="2069">
        <v>0</v>
      </c>
      <c r="I351" s="2069">
        <v>0</v>
      </c>
      <c r="J351" s="1968">
        <v>0</v>
      </c>
      <c r="K351" s="2070">
        <v>0</v>
      </c>
      <c r="L351" s="2070">
        <v>0</v>
      </c>
      <c r="M351" s="2070">
        <v>0</v>
      </c>
      <c r="N351" s="2070">
        <v>0</v>
      </c>
      <c r="O351" s="2070">
        <v>0</v>
      </c>
      <c r="P351" s="2070">
        <v>0</v>
      </c>
      <c r="Q351" s="2070">
        <v>0</v>
      </c>
      <c r="R351" s="2070">
        <v>0</v>
      </c>
      <c r="S351" s="2067">
        <v>0</v>
      </c>
      <c r="T351" s="2067">
        <v>0</v>
      </c>
      <c r="U351" s="2067">
        <v>0</v>
      </c>
      <c r="V351" s="2067">
        <v>0</v>
      </c>
      <c r="W351" s="1968">
        <v>0</v>
      </c>
      <c r="X351" s="1968">
        <v>0</v>
      </c>
      <c r="Y351" s="2067">
        <v>0</v>
      </c>
      <c r="Z351" s="2067">
        <v>0</v>
      </c>
      <c r="AA351" s="2067">
        <v>0</v>
      </c>
      <c r="AB351" s="2067">
        <v>0</v>
      </c>
      <c r="AC351" s="2067">
        <v>0</v>
      </c>
      <c r="AD351" s="2067">
        <v>0</v>
      </c>
      <c r="AE351" s="2067">
        <v>0</v>
      </c>
      <c r="AF351" s="2067">
        <v>0</v>
      </c>
      <c r="AG351" s="2067">
        <v>0</v>
      </c>
      <c r="AH351" s="2067">
        <v>0</v>
      </c>
      <c r="AI351" s="2067">
        <v>0</v>
      </c>
      <c r="AJ351" s="2067">
        <v>0</v>
      </c>
      <c r="AK351" s="1968">
        <v>0</v>
      </c>
      <c r="AL351" s="2163"/>
      <c r="AM351" s="2163">
        <v>0</v>
      </c>
      <c r="AN351" s="2163">
        <v>0</v>
      </c>
      <c r="AO351" s="2163">
        <v>5128441</v>
      </c>
      <c r="AP351" s="2163">
        <v>4891670</v>
      </c>
      <c r="AQ351" s="2163">
        <v>25835803</v>
      </c>
      <c r="AR351" s="1714"/>
      <c r="AS351" s="2071" t="s">
        <v>1682</v>
      </c>
      <c r="AT351" s="2072"/>
      <c r="AV351" s="1879">
        <v>0</v>
      </c>
      <c r="AW351" s="1879">
        <v>0</v>
      </c>
      <c r="AX351" s="1879">
        <v>0</v>
      </c>
      <c r="AY351" s="1879">
        <v>0</v>
      </c>
      <c r="AZ351" s="1879">
        <v>99307615</v>
      </c>
      <c r="BA351" s="1879">
        <v>26802914</v>
      </c>
      <c r="BB351" s="1879">
        <v>0</v>
      </c>
      <c r="BE351" s="1729">
        <v>0</v>
      </c>
      <c r="BF351" s="1729">
        <v>0</v>
      </c>
    </row>
    <row r="352" spans="1:58">
      <c r="A352" s="2166" t="s">
        <v>1684</v>
      </c>
      <c r="B352" s="2081" t="s">
        <v>2350</v>
      </c>
      <c r="C352" s="2081">
        <v>0</v>
      </c>
      <c r="D352" s="2081">
        <v>0</v>
      </c>
      <c r="E352" s="2081">
        <v>0</v>
      </c>
      <c r="F352" s="1968"/>
      <c r="G352" s="2163"/>
      <c r="H352" s="2069"/>
      <c r="I352" s="2069"/>
      <c r="J352" s="1968"/>
      <c r="K352" s="2070"/>
      <c r="L352" s="2070"/>
      <c r="M352" s="2070"/>
      <c r="N352" s="2070"/>
      <c r="O352" s="2070"/>
      <c r="P352" s="2070"/>
      <c r="Q352" s="2070"/>
      <c r="R352" s="2070"/>
      <c r="S352" s="2067"/>
      <c r="T352" s="2067"/>
      <c r="U352" s="2067"/>
      <c r="V352" s="2067"/>
      <c r="W352" s="1968"/>
      <c r="X352" s="1968"/>
      <c r="Y352" s="2067"/>
      <c r="Z352" s="2067"/>
      <c r="AA352" s="2067"/>
      <c r="AB352" s="2067"/>
      <c r="AC352" s="2067"/>
      <c r="AD352" s="2067"/>
      <c r="AE352" s="2067"/>
      <c r="AF352" s="2067"/>
      <c r="AG352" s="2067"/>
      <c r="AH352" s="2067"/>
      <c r="AI352" s="2067"/>
      <c r="AJ352" s="2067"/>
      <c r="AK352" s="1968"/>
      <c r="AL352" s="2163"/>
      <c r="AM352" s="2163">
        <v>0</v>
      </c>
      <c r="AN352" s="2163">
        <v>0</v>
      </c>
      <c r="AO352" s="2163">
        <v>0</v>
      </c>
      <c r="AP352" s="2163">
        <v>4083675</v>
      </c>
      <c r="AQ352" s="2163">
        <v>33034930</v>
      </c>
      <c r="AR352" s="1714"/>
      <c r="AS352" s="2071" t="s">
        <v>1684</v>
      </c>
      <c r="AT352" s="2072"/>
      <c r="AV352" s="1879"/>
      <c r="AW352" s="1879"/>
      <c r="AX352" s="1879"/>
      <c r="AY352" s="1879"/>
      <c r="AZ352" s="1879"/>
      <c r="BA352" s="1879">
        <v>106555727</v>
      </c>
      <c r="BB352" s="1879">
        <v>0</v>
      </c>
      <c r="BE352" s="1729"/>
      <c r="BF352" s="1729"/>
    </row>
    <row r="353" spans="1:69">
      <c r="A353" s="2066" t="s">
        <v>1199</v>
      </c>
      <c r="B353" s="1043" t="s">
        <v>2351</v>
      </c>
      <c r="C353" s="2067">
        <v>-319176300</v>
      </c>
      <c r="D353" s="2067">
        <v>-319176300</v>
      </c>
      <c r="E353" s="2073">
        <v>0</v>
      </c>
      <c r="F353" s="1968">
        <v>0</v>
      </c>
      <c r="G353" s="2163">
        <v>0</v>
      </c>
      <c r="H353" s="2082">
        <v>0</v>
      </c>
      <c r="I353" s="2069">
        <v>0</v>
      </c>
      <c r="J353" s="1968">
        <v>0</v>
      </c>
      <c r="K353" s="2070">
        <v>0</v>
      </c>
      <c r="L353" s="2070">
        <v>0</v>
      </c>
      <c r="M353" s="2070">
        <v>0</v>
      </c>
      <c r="N353" s="2070">
        <v>0</v>
      </c>
      <c r="O353" s="2070">
        <v>0</v>
      </c>
      <c r="P353" s="2070">
        <v>0</v>
      </c>
      <c r="Q353" s="2070">
        <v>0</v>
      </c>
      <c r="R353" s="2070">
        <v>0</v>
      </c>
      <c r="S353" s="2067">
        <v>0</v>
      </c>
      <c r="T353" s="2067">
        <v>0</v>
      </c>
      <c r="U353" s="2067">
        <v>0</v>
      </c>
      <c r="V353" s="2067">
        <v>0</v>
      </c>
      <c r="W353" s="1968">
        <v>0</v>
      </c>
      <c r="X353" s="1968">
        <v>0</v>
      </c>
      <c r="Y353" s="2067">
        <v>0</v>
      </c>
      <c r="Z353" s="2067">
        <v>0</v>
      </c>
      <c r="AA353" s="2067">
        <v>0</v>
      </c>
      <c r="AB353" s="2067">
        <v>0</v>
      </c>
      <c r="AC353" s="2067">
        <v>0</v>
      </c>
      <c r="AD353" s="2067">
        <v>0</v>
      </c>
      <c r="AE353" s="2067">
        <v>0</v>
      </c>
      <c r="AF353" s="2067">
        <v>0</v>
      </c>
      <c r="AG353" s="2067">
        <v>0</v>
      </c>
      <c r="AH353" s="2067">
        <v>0</v>
      </c>
      <c r="AI353" s="2067">
        <v>0</v>
      </c>
      <c r="AJ353" s="2067">
        <v>0</v>
      </c>
      <c r="AK353" s="1968">
        <v>0</v>
      </c>
      <c r="AL353" s="2163"/>
      <c r="AM353" s="2163">
        <v>0</v>
      </c>
      <c r="AN353" s="2163">
        <v>0</v>
      </c>
      <c r="AO353" s="2163">
        <v>0</v>
      </c>
      <c r="AP353" s="2163">
        <v>0</v>
      </c>
      <c r="AQ353" s="2163">
        <v>0</v>
      </c>
      <c r="AR353" s="1714"/>
      <c r="AS353" s="797" t="s">
        <v>1246</v>
      </c>
      <c r="AT353" s="2083"/>
      <c r="AU353" s="881" t="s">
        <v>2342</v>
      </c>
      <c r="AV353" s="1879">
        <v>0</v>
      </c>
      <c r="AW353" s="1879">
        <v>0</v>
      </c>
      <c r="AX353" s="1879">
        <v>0</v>
      </c>
      <c r="AY353" s="1879">
        <v>0</v>
      </c>
      <c r="AZ353" s="1879">
        <v>0</v>
      </c>
      <c r="BA353" s="1879">
        <v>0</v>
      </c>
      <c r="BB353" s="1879">
        <v>0</v>
      </c>
      <c r="BE353" s="1729">
        <v>0</v>
      </c>
      <c r="BF353" s="1729">
        <v>0</v>
      </c>
    </row>
    <row r="354" spans="1:69">
      <c r="A354" s="2066" t="s">
        <v>1201</v>
      </c>
      <c r="B354" s="1043" t="s">
        <v>2352</v>
      </c>
      <c r="C354" s="2067">
        <v>0</v>
      </c>
      <c r="D354" s="2067">
        <v>0</v>
      </c>
      <c r="E354" s="2073">
        <v>0</v>
      </c>
      <c r="F354" s="1968">
        <v>0</v>
      </c>
      <c r="G354" s="2163">
        <v>-1033229</v>
      </c>
      <c r="H354" s="2082">
        <v>277219</v>
      </c>
      <c r="I354" s="2069">
        <v>1128292</v>
      </c>
      <c r="J354" s="1968">
        <v>-306130</v>
      </c>
      <c r="K354" s="2070">
        <v>168097</v>
      </c>
      <c r="L354" s="2070">
        <v>136338</v>
      </c>
      <c r="M354" s="2070">
        <v>204030</v>
      </c>
      <c r="N354" s="2070">
        <v>237167</v>
      </c>
      <c r="O354" s="2070">
        <v>-68603</v>
      </c>
      <c r="P354" s="2070">
        <v>61447</v>
      </c>
      <c r="Q354" s="2070">
        <v>112597</v>
      </c>
      <c r="R354" s="2070">
        <v>277219</v>
      </c>
      <c r="S354" s="2067">
        <v>155454</v>
      </c>
      <c r="T354" s="2067">
        <v>119404</v>
      </c>
      <c r="U354" s="2067">
        <v>226310</v>
      </c>
      <c r="V354" s="2067">
        <v>-1935590</v>
      </c>
      <c r="W354" s="1968">
        <v>-306130</v>
      </c>
      <c r="X354" s="1968">
        <v>-509915</v>
      </c>
      <c r="Y354" s="2067">
        <v>59561</v>
      </c>
      <c r="Z354" s="2067">
        <v>59561</v>
      </c>
      <c r="AA354" s="2067">
        <v>59561</v>
      </c>
      <c r="AB354" s="2067">
        <v>59561</v>
      </c>
      <c r="AC354" s="2067">
        <v>59561</v>
      </c>
      <c r="AD354" s="2067">
        <v>79561</v>
      </c>
      <c r="AE354" s="2067">
        <v>59561</v>
      </c>
      <c r="AF354" s="2067">
        <v>59561</v>
      </c>
      <c r="AG354" s="2067">
        <v>59561</v>
      </c>
      <c r="AH354" s="2067">
        <v>-5086</v>
      </c>
      <c r="AI354" s="2067">
        <v>59561</v>
      </c>
      <c r="AJ354" s="2067">
        <v>-1120439</v>
      </c>
      <c r="AK354" s="1968">
        <v>-816045</v>
      </c>
      <c r="AL354" s="1968"/>
      <c r="AM354" s="2163">
        <v>-119912</v>
      </c>
      <c r="AN354" s="2163">
        <v>-581069</v>
      </c>
      <c r="AO354" s="2163">
        <v>0</v>
      </c>
      <c r="AP354" s="2163">
        <v>0</v>
      </c>
      <c r="AQ354" s="2163">
        <v>0</v>
      </c>
      <c r="AR354" s="1714"/>
      <c r="AS354" s="2087" t="s">
        <v>2353</v>
      </c>
      <c r="AT354" s="2083"/>
      <c r="AV354" s="1879">
        <v>0</v>
      </c>
      <c r="AW354" s="1879">
        <v>0</v>
      </c>
      <c r="AX354" s="1879">
        <v>0</v>
      </c>
      <c r="AY354" s="1879">
        <v>0</v>
      </c>
      <c r="AZ354" s="1879">
        <v>0</v>
      </c>
      <c r="BA354" s="1879">
        <v>0</v>
      </c>
      <c r="BB354" s="1879">
        <v>0</v>
      </c>
      <c r="BE354" s="1729">
        <v>-1033229</v>
      </c>
      <c r="BF354" s="1729">
        <v>523314</v>
      </c>
    </row>
    <row r="355" spans="1:69">
      <c r="A355" s="2066" t="s">
        <v>1203</v>
      </c>
      <c r="B355" s="1043" t="s">
        <v>2354</v>
      </c>
      <c r="C355" s="2067">
        <v>0</v>
      </c>
      <c r="D355" s="2067">
        <v>0</v>
      </c>
      <c r="E355" s="2073">
        <v>0</v>
      </c>
      <c r="F355" s="1968"/>
      <c r="G355" s="2163"/>
      <c r="H355" s="2082">
        <v>0</v>
      </c>
      <c r="I355" s="2069">
        <v>0</v>
      </c>
      <c r="J355" s="1968">
        <v>0</v>
      </c>
      <c r="K355" s="2070">
        <v>0</v>
      </c>
      <c r="L355" s="2070">
        <v>0</v>
      </c>
      <c r="M355" s="2070">
        <v>0</v>
      </c>
      <c r="N355" s="2070">
        <v>0</v>
      </c>
      <c r="O355" s="2070">
        <v>0</v>
      </c>
      <c r="P355" s="2070">
        <v>0</v>
      </c>
      <c r="Q355" s="2070">
        <v>0</v>
      </c>
      <c r="R355" s="2070">
        <v>0</v>
      </c>
      <c r="S355" s="2067">
        <v>0</v>
      </c>
      <c r="T355" s="2067">
        <v>0</v>
      </c>
      <c r="U355" s="2067">
        <v>0</v>
      </c>
      <c r="V355" s="2067">
        <v>0</v>
      </c>
      <c r="W355" s="1968">
        <v>0</v>
      </c>
      <c r="X355" s="1968">
        <v>0</v>
      </c>
      <c r="Y355" s="2067">
        <v>0</v>
      </c>
      <c r="Z355" s="2067">
        <v>0</v>
      </c>
      <c r="AA355" s="2067">
        <v>0</v>
      </c>
      <c r="AB355" s="2067">
        <v>0</v>
      </c>
      <c r="AC355" s="2067">
        <v>0</v>
      </c>
      <c r="AD355" s="2067">
        <v>0</v>
      </c>
      <c r="AE355" s="2067">
        <v>0</v>
      </c>
      <c r="AF355" s="2067">
        <v>0</v>
      </c>
      <c r="AG355" s="2067">
        <v>0</v>
      </c>
      <c r="AH355" s="2067">
        <v>0</v>
      </c>
      <c r="AI355" s="2067">
        <v>0</v>
      </c>
      <c r="AJ355" s="2067">
        <v>0</v>
      </c>
      <c r="AK355" s="1968">
        <v>0</v>
      </c>
      <c r="AL355" s="1968"/>
      <c r="AM355" s="2163">
        <v>0</v>
      </c>
      <c r="AN355" s="2163">
        <v>0</v>
      </c>
      <c r="AO355" s="2163">
        <v>0</v>
      </c>
      <c r="AP355" s="2163">
        <v>0</v>
      </c>
      <c r="AQ355" s="2163">
        <v>0</v>
      </c>
      <c r="AR355" s="1714"/>
      <c r="AS355" s="2087" t="s">
        <v>2355</v>
      </c>
      <c r="AT355" s="2083"/>
      <c r="AV355" s="1879">
        <v>0</v>
      </c>
      <c r="AW355" s="1879">
        <v>0</v>
      </c>
      <c r="AX355" s="1879">
        <v>0</v>
      </c>
      <c r="AY355" s="1879">
        <v>0</v>
      </c>
      <c r="AZ355" s="1879">
        <v>0</v>
      </c>
      <c r="BA355" s="1879">
        <v>0</v>
      </c>
      <c r="BB355" s="1879">
        <v>0</v>
      </c>
      <c r="BE355" s="1729"/>
      <c r="BF355" s="1729"/>
    </row>
    <row r="356" spans="1:69">
      <c r="A356" s="2164" t="s">
        <v>1743</v>
      </c>
      <c r="B356" s="2075" t="s">
        <v>2356</v>
      </c>
      <c r="C356" s="2075">
        <v>0</v>
      </c>
      <c r="D356" s="2075">
        <v>0</v>
      </c>
      <c r="E356" s="2075">
        <v>0</v>
      </c>
      <c r="F356" s="1967">
        <v>0</v>
      </c>
      <c r="G356" s="2167">
        <v>0</v>
      </c>
      <c r="H356" s="2076"/>
      <c r="I356" s="2076">
        <v>0</v>
      </c>
      <c r="J356" s="1967">
        <v>0</v>
      </c>
      <c r="K356" s="2070">
        <v>0</v>
      </c>
      <c r="L356" s="2070">
        <v>0</v>
      </c>
      <c r="M356" s="2070">
        <v>0</v>
      </c>
      <c r="N356" s="2070">
        <v>0</v>
      </c>
      <c r="O356" s="2070">
        <v>0</v>
      </c>
      <c r="P356" s="2070">
        <v>0</v>
      </c>
      <c r="Q356" s="2070">
        <v>0</v>
      </c>
      <c r="R356" s="2070">
        <v>0</v>
      </c>
      <c r="S356" s="2077">
        <v>0</v>
      </c>
      <c r="T356" s="2077">
        <v>0</v>
      </c>
      <c r="U356" s="2077">
        <v>0</v>
      </c>
      <c r="V356" s="2077">
        <v>0</v>
      </c>
      <c r="W356" s="1967">
        <v>0</v>
      </c>
      <c r="X356" s="1967">
        <v>0</v>
      </c>
      <c r="Y356" s="2077">
        <v>0</v>
      </c>
      <c r="Z356" s="2077">
        <v>0</v>
      </c>
      <c r="AA356" s="2077">
        <v>0</v>
      </c>
      <c r="AB356" s="2077">
        <v>0</v>
      </c>
      <c r="AC356" s="2077">
        <v>0</v>
      </c>
      <c r="AD356" s="2077">
        <v>0</v>
      </c>
      <c r="AE356" s="2077">
        <v>0</v>
      </c>
      <c r="AF356" s="2077">
        <v>0</v>
      </c>
      <c r="AG356" s="2077">
        <v>0</v>
      </c>
      <c r="AH356" s="2077">
        <v>0</v>
      </c>
      <c r="AI356" s="2077">
        <v>0</v>
      </c>
      <c r="AJ356" s="2077">
        <v>0</v>
      </c>
      <c r="AK356" s="1967">
        <v>0</v>
      </c>
      <c r="AL356" s="2167"/>
      <c r="AM356" s="2167">
        <v>0</v>
      </c>
      <c r="AN356" s="2167">
        <v>0</v>
      </c>
      <c r="AO356" s="2167">
        <v>0</v>
      </c>
      <c r="AP356" s="2167">
        <v>0</v>
      </c>
      <c r="AQ356" s="2167">
        <v>0</v>
      </c>
      <c r="AR356" s="1727"/>
      <c r="AS356" s="2079" t="s">
        <v>1673</v>
      </c>
      <c r="AT356" s="2080"/>
      <c r="AV356" s="1917">
        <v>0</v>
      </c>
      <c r="AW356" s="1917">
        <v>0</v>
      </c>
      <c r="AX356" s="1917">
        <v>0</v>
      </c>
      <c r="AY356" s="1917">
        <v>0</v>
      </c>
      <c r="AZ356" s="1917">
        <v>0</v>
      </c>
      <c r="BA356" s="1917">
        <v>0</v>
      </c>
      <c r="BB356" s="1917">
        <v>0</v>
      </c>
      <c r="BE356" s="1729">
        <v>0</v>
      </c>
      <c r="BF356" s="1729">
        <v>0</v>
      </c>
    </row>
    <row r="357" spans="1:69" s="663" customFormat="1">
      <c r="A357" s="2165" t="s">
        <v>1744</v>
      </c>
      <c r="B357" s="1630" t="s">
        <v>2107</v>
      </c>
      <c r="C357" s="1630">
        <v>-154715000</v>
      </c>
      <c r="D357" s="1630">
        <v>-154715000</v>
      </c>
      <c r="E357" s="1630">
        <v>0</v>
      </c>
      <c r="F357" s="1968">
        <v>0</v>
      </c>
      <c r="G357" s="2163">
        <v>0</v>
      </c>
      <c r="H357" s="2091"/>
      <c r="I357" s="2069">
        <v>0</v>
      </c>
      <c r="J357" s="1968">
        <v>0</v>
      </c>
      <c r="K357" s="2067">
        <v>0</v>
      </c>
      <c r="L357" s="2067">
        <v>0</v>
      </c>
      <c r="M357" s="2067">
        <v>0</v>
      </c>
      <c r="N357" s="2067">
        <v>0</v>
      </c>
      <c r="O357" s="2067">
        <v>0</v>
      </c>
      <c r="P357" s="2067">
        <v>0</v>
      </c>
      <c r="Q357" s="2067">
        <v>0</v>
      </c>
      <c r="R357" s="2067">
        <v>0</v>
      </c>
      <c r="S357" s="2067">
        <v>0</v>
      </c>
      <c r="T357" s="2067">
        <v>0</v>
      </c>
      <c r="U357" s="2067">
        <v>0</v>
      </c>
      <c r="V357" s="2067">
        <v>0</v>
      </c>
      <c r="W357" s="1968">
        <v>0</v>
      </c>
      <c r="X357" s="1968">
        <v>0</v>
      </c>
      <c r="Y357" s="2067">
        <v>0</v>
      </c>
      <c r="Z357" s="2067">
        <v>0</v>
      </c>
      <c r="AA357" s="2067">
        <v>0</v>
      </c>
      <c r="AB357" s="2067">
        <v>0</v>
      </c>
      <c r="AC357" s="2067">
        <v>0</v>
      </c>
      <c r="AD357" s="2067">
        <v>0</v>
      </c>
      <c r="AE357" s="2067">
        <v>0</v>
      </c>
      <c r="AF357" s="2067">
        <v>0</v>
      </c>
      <c r="AG357" s="2067">
        <v>0</v>
      </c>
      <c r="AH357" s="2067">
        <v>0</v>
      </c>
      <c r="AI357" s="2067">
        <v>0</v>
      </c>
      <c r="AJ357" s="2067">
        <v>0</v>
      </c>
      <c r="AK357" s="1968">
        <v>0</v>
      </c>
      <c r="AL357" s="2163"/>
      <c r="AM357" s="2163">
        <v>0</v>
      </c>
      <c r="AN357" s="2163">
        <v>0</v>
      </c>
      <c r="AO357" s="2163">
        <v>0</v>
      </c>
      <c r="AP357" s="2163">
        <v>0</v>
      </c>
      <c r="AQ357" s="2163">
        <v>0</v>
      </c>
      <c r="AR357" s="1714"/>
      <c r="AS357" s="2071" t="s">
        <v>1676</v>
      </c>
      <c r="AT357" s="2083"/>
      <c r="AV357" s="1879">
        <v>0</v>
      </c>
      <c r="AW357" s="1879">
        <v>0</v>
      </c>
      <c r="AX357" s="1879">
        <v>0</v>
      </c>
      <c r="AY357" s="1879">
        <v>0</v>
      </c>
      <c r="AZ357" s="1879">
        <v>0</v>
      </c>
      <c r="BA357" s="1879">
        <v>0</v>
      </c>
      <c r="BB357" s="1879">
        <v>0</v>
      </c>
      <c r="BE357" s="1718">
        <v>0</v>
      </c>
      <c r="BF357" s="1718">
        <v>0</v>
      </c>
    </row>
    <row r="358" spans="1:69">
      <c r="A358" s="2166" t="s">
        <v>1745</v>
      </c>
      <c r="B358" s="2081" t="s">
        <v>2357</v>
      </c>
      <c r="C358" s="2081">
        <v>-113629000</v>
      </c>
      <c r="D358" s="2081">
        <v>-113629000</v>
      </c>
      <c r="E358" s="2081">
        <v>0</v>
      </c>
      <c r="F358" s="1968">
        <v>0</v>
      </c>
      <c r="G358" s="2163">
        <v>0</v>
      </c>
      <c r="H358" s="2091"/>
      <c r="I358" s="2069">
        <v>0</v>
      </c>
      <c r="J358" s="1968">
        <v>0</v>
      </c>
      <c r="K358" s="2070"/>
      <c r="L358" s="2070"/>
      <c r="M358" s="2070"/>
      <c r="N358" s="2070"/>
      <c r="O358" s="2070"/>
      <c r="P358" s="2070"/>
      <c r="Q358" s="2070"/>
      <c r="R358" s="2070"/>
      <c r="S358" s="2067"/>
      <c r="T358" s="2067"/>
      <c r="U358" s="2067"/>
      <c r="V358" s="2067"/>
      <c r="W358" s="1968">
        <v>0</v>
      </c>
      <c r="X358" s="1968">
        <v>0</v>
      </c>
      <c r="Y358" s="2067"/>
      <c r="Z358" s="2067"/>
      <c r="AA358" s="2067"/>
      <c r="AB358" s="2067"/>
      <c r="AC358" s="2067"/>
      <c r="AD358" s="2067"/>
      <c r="AE358" s="2067"/>
      <c r="AF358" s="2067"/>
      <c r="AG358" s="2067"/>
      <c r="AH358" s="2067"/>
      <c r="AI358" s="2067"/>
      <c r="AJ358" s="2067"/>
      <c r="AK358" s="1968">
        <v>0</v>
      </c>
      <c r="AL358" s="2163"/>
      <c r="AM358" s="2163">
        <v>0</v>
      </c>
      <c r="AN358" s="2163">
        <v>0</v>
      </c>
      <c r="AO358" s="2163">
        <v>0</v>
      </c>
      <c r="AP358" s="2163">
        <v>0</v>
      </c>
      <c r="AQ358" s="2163">
        <v>0</v>
      </c>
      <c r="AR358" s="1714"/>
      <c r="AS358" s="2071" t="s">
        <v>1678</v>
      </c>
      <c r="AT358" s="2083"/>
      <c r="AV358" s="1879">
        <v>0</v>
      </c>
      <c r="AW358" s="1879">
        <v>0</v>
      </c>
      <c r="AX358" s="1879">
        <v>0</v>
      </c>
      <c r="AY358" s="1879">
        <v>0</v>
      </c>
      <c r="AZ358" s="1879">
        <v>0</v>
      </c>
      <c r="BA358" s="1917">
        <v>0</v>
      </c>
      <c r="BB358" s="1879">
        <v>0</v>
      </c>
      <c r="BE358" s="1729">
        <v>0</v>
      </c>
      <c r="BF358" s="1729">
        <v>0</v>
      </c>
    </row>
    <row r="359" spans="1:69">
      <c r="A359" s="2166" t="s">
        <v>1746</v>
      </c>
      <c r="B359" s="2081" t="s">
        <v>2357</v>
      </c>
      <c r="C359" s="2081">
        <v>-114036000</v>
      </c>
      <c r="D359" s="2081">
        <v>-114036000</v>
      </c>
      <c r="E359" s="2081">
        <v>0</v>
      </c>
      <c r="F359" s="1968"/>
      <c r="G359" s="1968"/>
      <c r="H359" s="2094"/>
      <c r="I359" s="2094"/>
      <c r="J359" s="1968"/>
      <c r="K359" s="2070"/>
      <c r="L359" s="2070"/>
      <c r="M359" s="2070"/>
      <c r="N359" s="2070"/>
      <c r="O359" s="2070"/>
      <c r="P359" s="2070"/>
      <c r="Q359" s="2070"/>
      <c r="R359" s="2070"/>
      <c r="S359" s="2067"/>
      <c r="T359" s="2067"/>
      <c r="U359" s="2067"/>
      <c r="V359" s="2067"/>
      <c r="W359" s="1968">
        <v>0</v>
      </c>
      <c r="X359" s="1968">
        <v>0</v>
      </c>
      <c r="Y359" s="2067"/>
      <c r="Z359" s="2067"/>
      <c r="AA359" s="2067"/>
      <c r="AB359" s="2067"/>
      <c r="AC359" s="2067"/>
      <c r="AD359" s="2067"/>
      <c r="AE359" s="2067"/>
      <c r="AF359" s="2067"/>
      <c r="AG359" s="2067"/>
      <c r="AH359" s="2067"/>
      <c r="AI359" s="2067"/>
      <c r="AJ359" s="2067"/>
      <c r="AK359" s="1968">
        <v>0</v>
      </c>
      <c r="AL359" s="1968"/>
      <c r="AM359" s="2163">
        <v>0</v>
      </c>
      <c r="AN359" s="2163">
        <v>0</v>
      </c>
      <c r="AO359" s="2163">
        <v>0</v>
      </c>
      <c r="AP359" s="2163">
        <v>0</v>
      </c>
      <c r="AQ359" s="2163">
        <v>0</v>
      </c>
      <c r="AR359" s="1714"/>
      <c r="AS359" s="2071" t="s">
        <v>1680</v>
      </c>
      <c r="AT359" s="2083"/>
      <c r="AV359" s="1879">
        <v>0</v>
      </c>
      <c r="AW359" s="1879">
        <v>0</v>
      </c>
      <c r="AX359" s="1879">
        <v>0</v>
      </c>
      <c r="AY359" s="1879">
        <v>0</v>
      </c>
      <c r="AZ359" s="1879">
        <v>0</v>
      </c>
      <c r="BA359" s="1917">
        <v>0</v>
      </c>
      <c r="BB359" s="1879">
        <v>0</v>
      </c>
      <c r="BE359" s="1729">
        <v>0</v>
      </c>
      <c r="BF359" s="1729">
        <v>0</v>
      </c>
    </row>
    <row r="360" spans="1:69">
      <c r="A360" s="2166" t="s">
        <v>1747</v>
      </c>
      <c r="B360" s="2081" t="s">
        <v>2357</v>
      </c>
      <c r="C360" s="2081">
        <v>-117167000</v>
      </c>
      <c r="D360" s="2081">
        <v>-81311086</v>
      </c>
      <c r="E360" s="2081">
        <v>-35855914</v>
      </c>
      <c r="F360" s="1968"/>
      <c r="G360" s="1968"/>
      <c r="H360" s="2094"/>
      <c r="I360" s="2094"/>
      <c r="J360" s="1968"/>
      <c r="K360" s="2168"/>
      <c r="L360" s="2168"/>
      <c r="M360" s="2168"/>
      <c r="N360" s="2168"/>
      <c r="O360" s="2168"/>
      <c r="P360" s="2168"/>
      <c r="Q360" s="2168"/>
      <c r="R360" s="2168"/>
      <c r="S360" s="2094"/>
      <c r="T360" s="2094"/>
      <c r="U360" s="2094"/>
      <c r="V360" s="2094"/>
      <c r="W360" s="1968"/>
      <c r="X360" s="1968"/>
      <c r="Y360" s="2094"/>
      <c r="Z360" s="2094"/>
      <c r="AA360" s="2094"/>
      <c r="AB360" s="2094"/>
      <c r="AC360" s="2094"/>
      <c r="AD360" s="2094"/>
      <c r="AE360" s="2094"/>
      <c r="AF360" s="2094"/>
      <c r="AG360" s="2094"/>
      <c r="AH360" s="2094"/>
      <c r="AI360" s="2094"/>
      <c r="AJ360" s="2094"/>
      <c r="AK360" s="1968"/>
      <c r="AL360" s="1968"/>
      <c r="AM360" s="2163">
        <v>0</v>
      </c>
      <c r="AN360" s="2163">
        <v>0</v>
      </c>
      <c r="AO360" s="2163">
        <v>0</v>
      </c>
      <c r="AP360" s="2163">
        <v>0</v>
      </c>
      <c r="AQ360" s="2163">
        <v>0</v>
      </c>
      <c r="AR360" s="1714"/>
      <c r="AS360" s="2071" t="s">
        <v>1682</v>
      </c>
      <c r="AT360" s="2083"/>
      <c r="AV360" s="1879"/>
      <c r="AW360" s="1879"/>
      <c r="AX360" s="1879"/>
      <c r="AY360" s="1879"/>
      <c r="AZ360" s="1879">
        <v>0</v>
      </c>
      <c r="BA360" s="1917">
        <v>0</v>
      </c>
      <c r="BB360" s="1879">
        <v>0</v>
      </c>
      <c r="BE360" s="1729"/>
      <c r="BF360" s="1729"/>
    </row>
    <row r="361" spans="1:69" ht="16.2" thickBot="1">
      <c r="A361" s="2169" t="s">
        <v>1748</v>
      </c>
      <c r="B361" s="2170" t="s">
        <v>2357</v>
      </c>
      <c r="C361" s="2170">
        <v>-120374000</v>
      </c>
      <c r="D361" s="2170">
        <v>-83255395</v>
      </c>
      <c r="E361" s="2170">
        <v>-37118605</v>
      </c>
      <c r="F361" s="2171"/>
      <c r="G361" s="2171"/>
      <c r="H361" s="2172"/>
      <c r="I361" s="2172"/>
      <c r="J361" s="2171"/>
      <c r="K361" s="2173"/>
      <c r="L361" s="2173"/>
      <c r="M361" s="2173"/>
      <c r="N361" s="2173"/>
      <c r="O361" s="2173"/>
      <c r="P361" s="2173"/>
      <c r="Q361" s="2173"/>
      <c r="R361" s="2173"/>
      <c r="S361" s="2172"/>
      <c r="T361" s="2172"/>
      <c r="U361" s="2172"/>
      <c r="V361" s="2172"/>
      <c r="W361" s="2171">
        <v>0</v>
      </c>
      <c r="X361" s="2171">
        <v>0</v>
      </c>
      <c r="Y361" s="2172"/>
      <c r="Z361" s="2172"/>
      <c r="AA361" s="2172"/>
      <c r="AB361" s="2172"/>
      <c r="AC361" s="2172"/>
      <c r="AD361" s="2172"/>
      <c r="AE361" s="2172"/>
      <c r="AF361" s="2172"/>
      <c r="AG361" s="2172"/>
      <c r="AH361" s="2172"/>
      <c r="AI361" s="2172"/>
      <c r="AJ361" s="2172"/>
      <c r="AK361" s="2171">
        <v>0</v>
      </c>
      <c r="AL361" s="2171"/>
      <c r="AM361" s="2163">
        <v>0</v>
      </c>
      <c r="AN361" s="2163">
        <v>0</v>
      </c>
      <c r="AO361" s="2163">
        <v>0</v>
      </c>
      <c r="AP361" s="2163">
        <v>0</v>
      </c>
      <c r="AQ361" s="2163">
        <v>0</v>
      </c>
      <c r="AR361" s="2174"/>
      <c r="AS361" s="2071" t="s">
        <v>1684</v>
      </c>
      <c r="AT361" s="2175"/>
      <c r="AV361" s="1879">
        <v>0</v>
      </c>
      <c r="AW361" s="1879">
        <v>0</v>
      </c>
      <c r="AX361" s="1879">
        <v>0</v>
      </c>
      <c r="AY361" s="1879">
        <v>0</v>
      </c>
      <c r="AZ361" s="1879">
        <v>0</v>
      </c>
      <c r="BA361" s="1917">
        <v>0</v>
      </c>
      <c r="BB361" s="1879">
        <v>0</v>
      </c>
      <c r="BE361" s="1729">
        <v>0</v>
      </c>
      <c r="BF361" s="1729">
        <v>0</v>
      </c>
    </row>
    <row r="362" spans="1:69" ht="16.2" thickBot="1">
      <c r="A362" s="2176" t="s">
        <v>2112</v>
      </c>
      <c r="B362" s="2177" t="s">
        <v>2377</v>
      </c>
      <c r="C362" s="2177">
        <v>64964620</v>
      </c>
      <c r="D362" s="2177">
        <v>-49030178</v>
      </c>
      <c r="E362" s="2177">
        <v>113994798</v>
      </c>
      <c r="F362" s="2177">
        <v>56400891</v>
      </c>
      <c r="G362" s="2177">
        <v>20027416</v>
      </c>
      <c r="H362" s="2177">
        <v>1270944</v>
      </c>
      <c r="I362" s="2177">
        <v>7293405</v>
      </c>
      <c r="J362" s="2177">
        <v>-3856548</v>
      </c>
      <c r="K362" s="2177">
        <v>872547</v>
      </c>
      <c r="L362" s="2177">
        <v>2499284</v>
      </c>
      <c r="M362" s="2177">
        <v>-195862</v>
      </c>
      <c r="N362" s="2177">
        <v>1720851</v>
      </c>
      <c r="O362" s="2177">
        <v>1285542</v>
      </c>
      <c r="P362" s="2177">
        <v>-806360</v>
      </c>
      <c r="Q362" s="2177">
        <v>646459</v>
      </c>
      <c r="R362" s="2178">
        <v>1270944</v>
      </c>
      <c r="S362" s="2177">
        <v>2635525</v>
      </c>
      <c r="T362" s="2177">
        <v>202124</v>
      </c>
      <c r="U362" s="2177">
        <v>2010406</v>
      </c>
      <c r="V362" s="2177">
        <v>-15998008</v>
      </c>
      <c r="W362" s="2177">
        <v>52544343</v>
      </c>
      <c r="X362" s="2177">
        <v>21621827</v>
      </c>
      <c r="Y362" s="2177">
        <v>1673476</v>
      </c>
      <c r="Z362" s="2177">
        <v>1009411</v>
      </c>
      <c r="AA362" s="2177">
        <v>1957517</v>
      </c>
      <c r="AB362" s="2177">
        <v>2580357</v>
      </c>
      <c r="AC362" s="2177">
        <v>1514865</v>
      </c>
      <c r="AD362" s="2177">
        <v>1645657</v>
      </c>
      <c r="AE362" s="2177">
        <v>1570737</v>
      </c>
      <c r="AF362" s="2177">
        <v>752370</v>
      </c>
      <c r="AG362" s="2177">
        <v>555117</v>
      </c>
      <c r="AH362" s="2177">
        <v>3201946</v>
      </c>
      <c r="AI362" s="2177">
        <v>1570529</v>
      </c>
      <c r="AJ362" s="2177">
        <v>3589845</v>
      </c>
      <c r="AK362" s="2177">
        <v>74166170</v>
      </c>
      <c r="AL362" s="2177">
        <v>0</v>
      </c>
      <c r="AM362" s="2177">
        <v>21126165</v>
      </c>
      <c r="AN362" s="2177">
        <v>23503202</v>
      </c>
      <c r="AO362" s="2177">
        <v>24699862</v>
      </c>
      <c r="AP362" s="2177">
        <v>26560459</v>
      </c>
      <c r="AQ362" s="2177">
        <v>138528403</v>
      </c>
      <c r="AR362" s="2177">
        <v>0</v>
      </c>
      <c r="AS362" s="2179">
        <v>0</v>
      </c>
      <c r="AT362" s="2180"/>
      <c r="AV362" s="2106">
        <v>61520547</v>
      </c>
      <c r="AW362" s="2106">
        <v>89157978</v>
      </c>
      <c r="AX362" s="2106">
        <v>103595335</v>
      </c>
      <c r="AY362" s="2106">
        <v>115653545</v>
      </c>
      <c r="AZ362" s="2106">
        <v>128090257</v>
      </c>
      <c r="BA362" s="2106">
        <v>138588403</v>
      </c>
      <c r="BB362" s="2106">
        <v>0</v>
      </c>
      <c r="BC362" s="1015"/>
      <c r="BD362" s="889" t="s">
        <v>1685</v>
      </c>
      <c r="BE362" s="2107">
        <v>20027416</v>
      </c>
      <c r="BF362" s="2107">
        <v>1594411</v>
      </c>
    </row>
    <row r="363" spans="1:69">
      <c r="F363" s="956">
        <v>0</v>
      </c>
      <c r="G363" s="956">
        <v>0</v>
      </c>
      <c r="L363" s="537">
        <v>0</v>
      </c>
      <c r="M363" s="537">
        <v>0</v>
      </c>
      <c r="N363" s="537">
        <v>0</v>
      </c>
      <c r="O363" s="537">
        <v>0</v>
      </c>
      <c r="P363" s="537">
        <v>0</v>
      </c>
      <c r="Q363" s="537">
        <v>0</v>
      </c>
      <c r="R363" s="537">
        <v>0</v>
      </c>
      <c r="S363" s="537">
        <v>0</v>
      </c>
      <c r="T363" s="537">
        <v>0</v>
      </c>
      <c r="U363" s="537">
        <v>0</v>
      </c>
      <c r="V363" s="537">
        <v>0</v>
      </c>
      <c r="W363" s="537"/>
      <c r="X363" s="537">
        <v>0</v>
      </c>
      <c r="Y363" s="537">
        <v>0</v>
      </c>
      <c r="Z363" s="537">
        <v>0</v>
      </c>
      <c r="AA363" s="537">
        <v>0</v>
      </c>
      <c r="AB363" s="537">
        <v>0</v>
      </c>
      <c r="AC363" s="537">
        <v>0</v>
      </c>
      <c r="AD363" s="537">
        <v>0</v>
      </c>
      <c r="AE363" s="537">
        <v>0</v>
      </c>
      <c r="AF363" s="537">
        <v>0</v>
      </c>
      <c r="AG363" s="537">
        <v>0</v>
      </c>
      <c r="AH363" s="537">
        <v>0</v>
      </c>
      <c r="AI363" s="537">
        <v>0</v>
      </c>
      <c r="AJ363" s="537">
        <v>0</v>
      </c>
      <c r="AK363" s="537">
        <v>0</v>
      </c>
      <c r="AL363" s="537"/>
      <c r="AM363" s="537">
        <v>0</v>
      </c>
      <c r="AN363" s="537">
        <v>0</v>
      </c>
      <c r="AO363" s="537">
        <v>0</v>
      </c>
      <c r="AP363" s="537">
        <v>0</v>
      </c>
      <c r="AQ363" s="537">
        <v>0</v>
      </c>
      <c r="AU363" s="881" t="s">
        <v>2381</v>
      </c>
      <c r="AV363" s="956">
        <v>0</v>
      </c>
      <c r="AW363" s="956">
        <v>0</v>
      </c>
      <c r="AX363" s="956">
        <v>0</v>
      </c>
      <c r="AY363" s="956">
        <v>0</v>
      </c>
      <c r="AZ363" s="956">
        <v>0</v>
      </c>
      <c r="BA363" s="956">
        <v>0</v>
      </c>
      <c r="BB363" s="956">
        <v>0</v>
      </c>
    </row>
    <row r="364" spans="1:69">
      <c r="G364" s="956"/>
      <c r="H364" s="537">
        <v>0</v>
      </c>
      <c r="I364" s="537">
        <v>0</v>
      </c>
      <c r="J364" s="537">
        <v>0</v>
      </c>
      <c r="K364" s="537">
        <v>0</v>
      </c>
      <c r="L364" s="537"/>
      <c r="M364" s="537"/>
      <c r="N364" s="537"/>
      <c r="O364" s="537"/>
      <c r="P364" s="537"/>
      <c r="Q364" s="537"/>
      <c r="R364" s="537"/>
      <c r="S364" s="537"/>
      <c r="T364" s="537"/>
      <c r="U364" s="537"/>
      <c r="V364" s="537"/>
      <c r="W364" s="537"/>
      <c r="X364" s="537"/>
      <c r="Y364" s="537"/>
      <c r="Z364" s="537"/>
      <c r="AA364" s="537"/>
      <c r="AB364" s="537"/>
      <c r="AC364" s="537"/>
      <c r="AD364" s="537"/>
      <c r="AE364" s="537"/>
      <c r="AF364" s="537"/>
      <c r="AG364" s="537"/>
      <c r="AH364" s="537"/>
      <c r="AI364" s="537"/>
      <c r="AJ364" s="537"/>
      <c r="AK364" s="537"/>
      <c r="AL364" s="537"/>
      <c r="AM364" s="537"/>
      <c r="AN364" s="537"/>
      <c r="AO364" s="537"/>
      <c r="AP364" s="537"/>
      <c r="AQ364" s="537"/>
      <c r="AV364" s="956"/>
      <c r="AW364" s="956"/>
      <c r="AX364" s="956"/>
      <c r="AY364" s="956"/>
      <c r="AZ364" s="956"/>
      <c r="BA364" s="956"/>
      <c r="BB364" s="956"/>
    </row>
    <row r="365" spans="1:69">
      <c r="F365" s="2109" t="s">
        <v>2360</v>
      </c>
      <c r="G365" s="956"/>
      <c r="H365" s="537">
        <v>0</v>
      </c>
      <c r="I365" s="537">
        <v>0</v>
      </c>
      <c r="J365" s="537">
        <v>0</v>
      </c>
      <c r="K365" s="537">
        <v>0</v>
      </c>
      <c r="L365" s="537">
        <v>0</v>
      </c>
      <c r="M365" s="537">
        <v>0</v>
      </c>
      <c r="N365" s="537">
        <v>0</v>
      </c>
      <c r="O365" s="537">
        <v>0</v>
      </c>
      <c r="P365" s="537">
        <v>0</v>
      </c>
      <c r="Q365" s="537">
        <v>0</v>
      </c>
      <c r="R365" s="537">
        <v>0</v>
      </c>
      <c r="S365" s="537">
        <v>0</v>
      </c>
      <c r="T365" s="537">
        <v>0</v>
      </c>
      <c r="U365" s="537">
        <v>0</v>
      </c>
      <c r="V365" s="537">
        <v>0</v>
      </c>
      <c r="W365" s="537"/>
      <c r="X365" s="537">
        <v>0</v>
      </c>
      <c r="Y365" s="537">
        <v>0</v>
      </c>
      <c r="Z365" s="537">
        <v>0</v>
      </c>
      <c r="AA365" s="537">
        <v>0</v>
      </c>
      <c r="AB365" s="537">
        <v>0</v>
      </c>
      <c r="AC365" s="537">
        <v>0</v>
      </c>
      <c r="AD365" s="537">
        <v>0</v>
      </c>
      <c r="AE365" s="537">
        <v>0</v>
      </c>
      <c r="AF365" s="537">
        <v>0</v>
      </c>
      <c r="AG365" s="537">
        <v>0</v>
      </c>
      <c r="AH365" s="537">
        <v>0</v>
      </c>
      <c r="AI365" s="537">
        <v>0</v>
      </c>
      <c r="AJ365" s="537">
        <v>0</v>
      </c>
      <c r="AK365" s="537">
        <v>0</v>
      </c>
      <c r="AL365" s="537"/>
      <c r="AM365" s="537">
        <v>0</v>
      </c>
      <c r="AN365" s="537">
        <v>0</v>
      </c>
      <c r="AO365" s="537">
        <v>0</v>
      </c>
      <c r="AP365" s="537">
        <v>0</v>
      </c>
      <c r="AQ365" s="537">
        <v>0</v>
      </c>
      <c r="AV365" s="956"/>
      <c r="AW365" s="956"/>
      <c r="AX365" s="956"/>
      <c r="AY365" s="956"/>
      <c r="AZ365" s="956"/>
    </row>
    <row r="366" spans="1:69">
      <c r="AV366" s="956"/>
      <c r="AW366" s="956"/>
      <c r="AX366" s="956"/>
      <c r="AY366" s="956"/>
      <c r="AZ366" s="956"/>
    </row>
    <row r="367" spans="1:69">
      <c r="AV367" s="956"/>
      <c r="AW367" s="956"/>
      <c r="AX367" s="956"/>
      <c r="AY367" s="956"/>
      <c r="AZ367" s="956"/>
    </row>
    <row r="368" spans="1:69" s="1954" customFormat="1" ht="15.9" customHeight="1" outlineLevel="1">
      <c r="A368" s="1954" t="s">
        <v>2382</v>
      </c>
      <c r="K368" s="1641"/>
      <c r="L368" s="1641"/>
      <c r="M368" s="1641"/>
      <c r="N368" s="1641"/>
      <c r="O368" s="1641"/>
      <c r="P368" s="1641"/>
      <c r="Q368" s="1641"/>
      <c r="R368" s="1641"/>
      <c r="S368" s="1641"/>
      <c r="T368" s="1641"/>
      <c r="U368" s="1641"/>
      <c r="V368" s="1641"/>
      <c r="AL368" s="872"/>
      <c r="AV368" s="956"/>
      <c r="AW368" s="956"/>
      <c r="AX368" s="956"/>
      <c r="AY368" s="956"/>
      <c r="AZ368" s="956"/>
      <c r="BA368" s="956"/>
      <c r="BB368" s="956"/>
      <c r="BC368" s="956"/>
      <c r="BD368" s="956"/>
      <c r="BE368" s="956"/>
      <c r="BF368" s="956"/>
      <c r="BG368" s="2108"/>
      <c r="BI368" s="2181"/>
      <c r="BL368" s="2041"/>
      <c r="BM368" s="2041"/>
      <c r="BQ368" s="956"/>
    </row>
    <row r="369" spans="1:69" s="956" customFormat="1" ht="16.5" customHeight="1" outlineLevel="1">
      <c r="A369" s="2182" t="s">
        <v>1703</v>
      </c>
      <c r="B369" s="2182" t="s">
        <v>2383</v>
      </c>
      <c r="C369" s="2182"/>
      <c r="D369" s="2182"/>
      <c r="E369" s="2182"/>
      <c r="F369" s="2182"/>
      <c r="G369" s="1031">
        <v>59947027</v>
      </c>
      <c r="H369" s="956">
        <v>4959434</v>
      </c>
      <c r="I369" s="537">
        <v>37127126</v>
      </c>
      <c r="J369" s="2182">
        <v>55371047</v>
      </c>
      <c r="K369" s="1031">
        <v>4614403</v>
      </c>
      <c r="L369" s="1031">
        <v>4639587</v>
      </c>
      <c r="M369" s="1031">
        <v>4616729</v>
      </c>
      <c r="N369" s="1031">
        <v>4659892</v>
      </c>
      <c r="O369" s="1031">
        <v>4361220</v>
      </c>
      <c r="P369" s="1031">
        <v>4368277</v>
      </c>
      <c r="Q369" s="1031">
        <v>4907584</v>
      </c>
      <c r="R369" s="1031">
        <v>4959434</v>
      </c>
      <c r="S369" s="1031">
        <v>5250711</v>
      </c>
      <c r="T369" s="1031">
        <v>4749719</v>
      </c>
      <c r="U369" s="1031">
        <v>4876740</v>
      </c>
      <c r="V369" s="1031">
        <v>3366751</v>
      </c>
      <c r="X369" s="2182">
        <v>66969088</v>
      </c>
      <c r="Y369" s="1031">
        <v>6865290</v>
      </c>
      <c r="Z369" s="1031">
        <v>5474441</v>
      </c>
      <c r="AA369" s="1031">
        <v>5204501</v>
      </c>
      <c r="AB369" s="1031">
        <v>5244529</v>
      </c>
      <c r="AC369" s="1031">
        <v>5744213</v>
      </c>
      <c r="AD369" s="1031">
        <v>5701626</v>
      </c>
      <c r="AE369" s="1031">
        <v>5540105</v>
      </c>
      <c r="AF369" s="1031">
        <v>5601885</v>
      </c>
      <c r="AG369" s="1031">
        <v>5861059</v>
      </c>
      <c r="AH369" s="1031">
        <v>5750726</v>
      </c>
      <c r="AI369" s="1031">
        <v>5450659</v>
      </c>
      <c r="AJ369" s="1031">
        <v>4530054</v>
      </c>
      <c r="AL369" s="872"/>
      <c r="AM369" s="1031">
        <v>73041754</v>
      </c>
      <c r="AN369" s="1031">
        <v>76847933</v>
      </c>
      <c r="AO369" s="1031">
        <v>81007966</v>
      </c>
      <c r="AP369" s="1031">
        <v>84397696</v>
      </c>
      <c r="AQ369" s="1031">
        <v>0</v>
      </c>
      <c r="BG369" s="2108"/>
      <c r="BI369" s="693"/>
      <c r="BL369" s="2041"/>
      <c r="BM369" s="2041"/>
      <c r="BN369" s="1954"/>
      <c r="BO369" s="1954"/>
      <c r="BP369" s="1954"/>
      <c r="BQ369" s="1954"/>
    </row>
    <row r="370" spans="1:69" s="956" customFormat="1" ht="16.5" customHeight="1" outlineLevel="1">
      <c r="A370" s="2182" t="s">
        <v>2384</v>
      </c>
      <c r="B370" s="2182" t="s">
        <v>2385</v>
      </c>
      <c r="C370" s="2182"/>
      <c r="D370" s="1034"/>
      <c r="E370" s="1034"/>
      <c r="F370" s="2182"/>
      <c r="G370" s="2182">
        <v>-42874826</v>
      </c>
      <c r="H370" s="956">
        <v>-3028580</v>
      </c>
      <c r="I370" s="537">
        <v>-20412320</v>
      </c>
      <c r="J370" s="2182">
        <v>-34763486</v>
      </c>
      <c r="K370" s="2182">
        <v>-2648114</v>
      </c>
      <c r="L370" s="2182">
        <v>-1752137</v>
      </c>
      <c r="M370" s="2182">
        <v>-2764792</v>
      </c>
      <c r="N370" s="2182">
        <v>-2460066</v>
      </c>
      <c r="O370" s="2182">
        <v>-2415689</v>
      </c>
      <c r="P370" s="2182">
        <v>-2494306</v>
      </c>
      <c r="Q370" s="2182">
        <v>-2848636</v>
      </c>
      <c r="R370" s="2182">
        <v>-3028580</v>
      </c>
      <c r="S370" s="2182">
        <v>-3082179</v>
      </c>
      <c r="T370" s="2182">
        <v>-3781530</v>
      </c>
      <c r="U370" s="2182">
        <v>-3925904</v>
      </c>
      <c r="V370" s="2182">
        <v>-3561553</v>
      </c>
      <c r="X370" s="2182">
        <v>-48386566</v>
      </c>
      <c r="Y370" s="2182">
        <v>-4205319</v>
      </c>
      <c r="Z370" s="2182">
        <v>-3144259</v>
      </c>
      <c r="AA370" s="2182">
        <v>-4954576</v>
      </c>
      <c r="AB370" s="2182">
        <v>-4029224</v>
      </c>
      <c r="AC370" s="2182">
        <v>-4448671</v>
      </c>
      <c r="AD370" s="2182">
        <v>-3851465</v>
      </c>
      <c r="AE370" s="2182">
        <v>-3939797</v>
      </c>
      <c r="AF370" s="2182">
        <v>-3865725</v>
      </c>
      <c r="AG370" s="2182">
        <v>-3798916</v>
      </c>
      <c r="AH370" s="2182">
        <v>-3975353</v>
      </c>
      <c r="AI370" s="2182">
        <v>-4038341</v>
      </c>
      <c r="AJ370" s="2182">
        <v>-4134920</v>
      </c>
      <c r="AL370" s="872"/>
      <c r="AM370" s="2182">
        <v>-49223529</v>
      </c>
      <c r="AN370" s="2182">
        <v>-52432465</v>
      </c>
      <c r="AO370" s="2182">
        <v>-55178598</v>
      </c>
      <c r="AP370" s="2182">
        <v>-57229195</v>
      </c>
      <c r="AQ370" s="2182">
        <v>0</v>
      </c>
      <c r="BG370" s="2108"/>
      <c r="BI370" s="693"/>
      <c r="BL370" s="2041"/>
      <c r="BM370" s="2041"/>
      <c r="BN370" s="1954"/>
      <c r="BO370" s="1954"/>
      <c r="BP370" s="1954"/>
      <c r="BQ370" s="1954"/>
    </row>
    <row r="371" spans="1:69" s="956" customFormat="1" ht="16.5" customHeight="1" outlineLevel="2">
      <c r="A371" s="2183" t="s">
        <v>1706</v>
      </c>
      <c r="B371" s="2183" t="s">
        <v>2304</v>
      </c>
      <c r="C371" s="2184"/>
      <c r="D371" s="2184"/>
      <c r="E371" s="2184"/>
      <c r="F371" s="2184"/>
      <c r="G371" s="2184">
        <v>-36977422</v>
      </c>
      <c r="H371" s="956">
        <v>-2432051</v>
      </c>
      <c r="I371" s="537">
        <v>-17903346</v>
      </c>
      <c r="J371" s="2184">
        <v>-30905312</v>
      </c>
      <c r="K371" s="2185">
        <v>-2339372</v>
      </c>
      <c r="L371" s="2185">
        <v>-1507374</v>
      </c>
      <c r="M371" s="2185">
        <v>-2413042</v>
      </c>
      <c r="N371" s="2185">
        <v>-2175530</v>
      </c>
      <c r="O371" s="2185">
        <v>-2158949</v>
      </c>
      <c r="P371" s="2185">
        <v>-2266237</v>
      </c>
      <c r="Q371" s="2185">
        <v>-2610791</v>
      </c>
      <c r="R371" s="2185">
        <v>-2432051</v>
      </c>
      <c r="S371" s="2185">
        <v>-2779514</v>
      </c>
      <c r="T371" s="2185">
        <v>-3295595</v>
      </c>
      <c r="U371" s="2185">
        <v>-3627486</v>
      </c>
      <c r="V371" s="2185">
        <v>-3299371</v>
      </c>
      <c r="X371" s="2185">
        <v>-41895793</v>
      </c>
      <c r="Y371" s="2185">
        <v>-3690986</v>
      </c>
      <c r="Z371" s="2185">
        <v>-2660940</v>
      </c>
      <c r="AA371" s="2185">
        <v>-4410768</v>
      </c>
      <c r="AB371" s="2185">
        <v>-3544244</v>
      </c>
      <c r="AC371" s="2185">
        <v>-3560717</v>
      </c>
      <c r="AD371" s="2185">
        <v>-3362560</v>
      </c>
      <c r="AE371" s="2185">
        <v>-3455291</v>
      </c>
      <c r="AF371" s="2185">
        <v>-3386448</v>
      </c>
      <c r="AG371" s="2185">
        <v>-3313337</v>
      </c>
      <c r="AH371" s="2185">
        <v>-3309820</v>
      </c>
      <c r="AI371" s="2185">
        <v>-3552647</v>
      </c>
      <c r="AJ371" s="2185">
        <v>-3648035</v>
      </c>
      <c r="AL371" s="872"/>
      <c r="AM371" s="2185">
        <v>-42153136</v>
      </c>
      <c r="AN371" s="2185">
        <v>-44929501</v>
      </c>
      <c r="AO371" s="2185">
        <v>-47056483</v>
      </c>
      <c r="AP371" s="2185">
        <v>-48746738</v>
      </c>
      <c r="AQ371" s="2185">
        <v>0</v>
      </c>
      <c r="BG371" s="2108"/>
      <c r="BI371" s="693"/>
      <c r="BL371" s="2041"/>
      <c r="BM371" s="2041"/>
      <c r="BN371" s="1954"/>
      <c r="BO371" s="1954"/>
      <c r="BP371" s="1954"/>
    </row>
    <row r="372" spans="1:69" s="956" customFormat="1" ht="16.5" customHeight="1" outlineLevel="2">
      <c r="A372" s="2183" t="s">
        <v>1708</v>
      </c>
      <c r="B372" s="2183" t="s">
        <v>2386</v>
      </c>
      <c r="C372" s="2184"/>
      <c r="D372" s="2184"/>
      <c r="E372" s="2184"/>
      <c r="F372" s="2184"/>
      <c r="G372" s="2184">
        <v>-3529933</v>
      </c>
      <c r="H372" s="956">
        <v>-539914</v>
      </c>
      <c r="I372" s="537">
        <v>-1837916</v>
      </c>
      <c r="J372" s="2184">
        <v>-2962616</v>
      </c>
      <c r="K372" s="2185">
        <v>-176738</v>
      </c>
      <c r="L372" s="2185">
        <v>-151068</v>
      </c>
      <c r="M372" s="2185">
        <v>-187012</v>
      </c>
      <c r="N372" s="2185">
        <v>-189943</v>
      </c>
      <c r="O372" s="2185">
        <v>-190973</v>
      </c>
      <c r="P372" s="2185">
        <v>-197964</v>
      </c>
      <c r="Q372" s="2185">
        <v>-204304</v>
      </c>
      <c r="R372" s="2185">
        <v>-539914</v>
      </c>
      <c r="S372" s="2185">
        <v>-220415</v>
      </c>
      <c r="T372" s="2185">
        <v>-403685</v>
      </c>
      <c r="U372" s="2185">
        <v>-268418</v>
      </c>
      <c r="V372" s="2185">
        <v>-232182</v>
      </c>
      <c r="X372" s="2185">
        <v>-5830773</v>
      </c>
      <c r="Y372" s="2185">
        <v>-459333</v>
      </c>
      <c r="Z372" s="2185">
        <v>-428319</v>
      </c>
      <c r="AA372" s="2185">
        <v>-488808</v>
      </c>
      <c r="AB372" s="2185">
        <v>-429980</v>
      </c>
      <c r="AC372" s="2185">
        <v>-832954</v>
      </c>
      <c r="AD372" s="2185">
        <v>-433905</v>
      </c>
      <c r="AE372" s="2185">
        <v>-429506</v>
      </c>
      <c r="AF372" s="2185">
        <v>-424277</v>
      </c>
      <c r="AG372" s="2185">
        <v>-430579</v>
      </c>
      <c r="AH372" s="2185">
        <v>-610533</v>
      </c>
      <c r="AI372" s="2185">
        <v>-430694</v>
      </c>
      <c r="AJ372" s="2185">
        <v>-431885</v>
      </c>
      <c r="AL372" s="872"/>
      <c r="AM372" s="2185">
        <v>-7070393</v>
      </c>
      <c r="AN372" s="2185">
        <v>-7502964</v>
      </c>
      <c r="AO372" s="2185">
        <v>-8122115</v>
      </c>
      <c r="AP372" s="2185">
        <v>-8482457</v>
      </c>
      <c r="AQ372" s="2185">
        <v>0</v>
      </c>
      <c r="BG372" s="2108"/>
      <c r="BI372" s="693"/>
      <c r="BL372" s="2041"/>
      <c r="BM372" s="2041"/>
      <c r="BN372" s="1954"/>
      <c r="BO372" s="1954"/>
      <c r="BP372" s="1954"/>
    </row>
    <row r="373" spans="1:69" s="956" customFormat="1" ht="16.5" customHeight="1" outlineLevel="2">
      <c r="A373" s="2183" t="s">
        <v>1706</v>
      </c>
      <c r="B373" s="2183" t="s">
        <v>2306</v>
      </c>
      <c r="C373" s="2184"/>
      <c r="D373" s="2184"/>
      <c r="E373" s="2184"/>
      <c r="F373" s="2184"/>
      <c r="G373" s="2184">
        <v>-2367471</v>
      </c>
      <c r="H373" s="956">
        <v>-56615</v>
      </c>
      <c r="I373" s="537">
        <v>-671058</v>
      </c>
      <c r="J373" s="2184">
        <v>-895558</v>
      </c>
      <c r="K373" s="2185">
        <v>-132004</v>
      </c>
      <c r="L373" s="2185">
        <v>-93695</v>
      </c>
      <c r="M373" s="2185">
        <v>-164738</v>
      </c>
      <c r="N373" s="2185">
        <v>-94593</v>
      </c>
      <c r="O373" s="2185">
        <v>-65767</v>
      </c>
      <c r="P373" s="2185">
        <v>-30105</v>
      </c>
      <c r="Q373" s="2185">
        <v>-33541</v>
      </c>
      <c r="R373" s="2185">
        <v>-56615</v>
      </c>
      <c r="S373" s="2185">
        <v>-82250</v>
      </c>
      <c r="T373" s="2185">
        <v>-82250</v>
      </c>
      <c r="U373" s="2185">
        <v>-30000</v>
      </c>
      <c r="V373" s="2185">
        <v>-30000</v>
      </c>
      <c r="X373" s="2185">
        <v>-660000</v>
      </c>
      <c r="Y373" s="2185">
        <v>-55000</v>
      </c>
      <c r="Z373" s="2185">
        <v>-55000</v>
      </c>
      <c r="AA373" s="2185">
        <v>-55000</v>
      </c>
      <c r="AB373" s="2185">
        <v>-55000</v>
      </c>
      <c r="AC373" s="2185">
        <v>-55000</v>
      </c>
      <c r="AD373" s="2185">
        <v>-55000</v>
      </c>
      <c r="AE373" s="2185">
        <v>-55000</v>
      </c>
      <c r="AF373" s="2185">
        <v>-55000</v>
      </c>
      <c r="AG373" s="2185">
        <v>-55000</v>
      </c>
      <c r="AH373" s="2185">
        <v>-55000</v>
      </c>
      <c r="AI373" s="2185">
        <v>-55000</v>
      </c>
      <c r="AJ373" s="2185">
        <v>-55000</v>
      </c>
      <c r="AL373" s="872"/>
      <c r="AM373" s="2185">
        <v>0</v>
      </c>
      <c r="AN373" s="2185">
        <v>0</v>
      </c>
      <c r="AO373" s="2185">
        <v>0</v>
      </c>
      <c r="AP373" s="2185">
        <v>0</v>
      </c>
      <c r="AQ373" s="2185">
        <v>0</v>
      </c>
      <c r="BG373" s="2108"/>
      <c r="BI373" s="693"/>
      <c r="BL373" s="2041"/>
      <c r="BM373" s="2041"/>
      <c r="BN373" s="1954"/>
      <c r="BO373" s="1954"/>
      <c r="BP373" s="1954"/>
    </row>
    <row r="374" spans="1:69" s="956" customFormat="1" ht="16.5" customHeight="1" outlineLevel="1">
      <c r="A374" s="1982" t="s">
        <v>1749</v>
      </c>
      <c r="B374" s="1982" t="s">
        <v>2387</v>
      </c>
      <c r="C374" s="1982"/>
      <c r="D374" s="1982"/>
      <c r="E374" s="1982"/>
      <c r="F374" s="1982"/>
      <c r="G374" s="1982">
        <v>17072201</v>
      </c>
      <c r="H374" s="956">
        <v>1930854</v>
      </c>
      <c r="I374" s="537">
        <v>16714806</v>
      </c>
      <c r="J374" s="1982">
        <v>20607561</v>
      </c>
      <c r="K374" s="2186">
        <v>1966289</v>
      </c>
      <c r="L374" s="2186">
        <v>2887450</v>
      </c>
      <c r="M374" s="2186">
        <v>1851937</v>
      </c>
      <c r="N374" s="2186">
        <v>2199826</v>
      </c>
      <c r="O374" s="2186">
        <v>1945531</v>
      </c>
      <c r="P374" s="2186">
        <v>1873971</v>
      </c>
      <c r="Q374" s="2186">
        <v>2058948</v>
      </c>
      <c r="R374" s="2186">
        <v>1930854</v>
      </c>
      <c r="S374" s="2186">
        <v>2168532</v>
      </c>
      <c r="T374" s="2186">
        <v>968189</v>
      </c>
      <c r="U374" s="2186">
        <v>950836</v>
      </c>
      <c r="V374" s="2186">
        <v>-194802</v>
      </c>
      <c r="X374" s="1982">
        <v>18582522</v>
      </c>
      <c r="Y374" s="2186">
        <v>2659971</v>
      </c>
      <c r="Z374" s="2186">
        <v>2330182</v>
      </c>
      <c r="AA374" s="2186">
        <v>249925</v>
      </c>
      <c r="AB374" s="2186">
        <v>1215305</v>
      </c>
      <c r="AC374" s="2186">
        <v>1295542</v>
      </c>
      <c r="AD374" s="2186">
        <v>1850161</v>
      </c>
      <c r="AE374" s="2186">
        <v>1600308</v>
      </c>
      <c r="AF374" s="2186">
        <v>1736160</v>
      </c>
      <c r="AG374" s="2186">
        <v>2062143</v>
      </c>
      <c r="AH374" s="2186">
        <v>1775373</v>
      </c>
      <c r="AI374" s="2186">
        <v>1412318</v>
      </c>
      <c r="AJ374" s="2186">
        <v>395134</v>
      </c>
      <c r="AL374" s="872"/>
      <c r="AM374" s="2186">
        <v>23818225</v>
      </c>
      <c r="AN374" s="2186">
        <v>24415468</v>
      </c>
      <c r="AO374" s="2186">
        <v>25829368</v>
      </c>
      <c r="AP374" s="2186">
        <v>27168501</v>
      </c>
      <c r="AQ374" s="2186">
        <v>0</v>
      </c>
      <c r="BG374" s="2108"/>
      <c r="BI374" s="693"/>
      <c r="BL374" s="2041"/>
      <c r="BM374" s="2041"/>
      <c r="BN374" s="1954"/>
      <c r="BO374" s="1954"/>
      <c r="BP374" s="1954"/>
    </row>
    <row r="375" spans="1:69" s="956" customFormat="1" ht="16.5" customHeight="1" outlineLevel="1">
      <c r="A375" s="1982" t="s">
        <v>1750</v>
      </c>
      <c r="B375" s="1982" t="s">
        <v>2388</v>
      </c>
      <c r="C375" s="1982"/>
      <c r="D375" s="1982"/>
      <c r="E375" s="1982"/>
      <c r="F375" s="1982"/>
      <c r="G375" s="1982">
        <v>5808497</v>
      </c>
      <c r="H375" s="956">
        <v>394006</v>
      </c>
      <c r="I375" s="537">
        <v>3440308</v>
      </c>
      <c r="J375" s="1982">
        <v>5024042.3999999994</v>
      </c>
      <c r="K375" s="2186">
        <v>474024</v>
      </c>
      <c r="L375" s="2186">
        <v>454252</v>
      </c>
      <c r="M375" s="2186">
        <v>467898</v>
      </c>
      <c r="N375" s="2186">
        <v>479410</v>
      </c>
      <c r="O375" s="2186">
        <v>385293</v>
      </c>
      <c r="P375" s="2186">
        <v>384518</v>
      </c>
      <c r="Q375" s="2186">
        <v>400907</v>
      </c>
      <c r="R375" s="2186">
        <v>394006</v>
      </c>
      <c r="S375" s="2186">
        <v>395933.60000000003</v>
      </c>
      <c r="T375" s="2186">
        <v>395933.60000000003</v>
      </c>
      <c r="U375" s="2186">
        <v>395933.60000000003</v>
      </c>
      <c r="V375" s="2186">
        <v>395933.60000000003</v>
      </c>
      <c r="X375" s="1982">
        <v>6174107</v>
      </c>
      <c r="Y375" s="2186">
        <v>503093</v>
      </c>
      <c r="Z375" s="2186">
        <v>503093</v>
      </c>
      <c r="AA375" s="2186">
        <v>503093</v>
      </c>
      <c r="AB375" s="2186">
        <v>503093</v>
      </c>
      <c r="AC375" s="2186">
        <v>503093</v>
      </c>
      <c r="AD375" s="2186">
        <v>503093</v>
      </c>
      <c r="AE375" s="2186">
        <v>525839</v>
      </c>
      <c r="AF375" s="2186">
        <v>525942</v>
      </c>
      <c r="AG375" s="2186">
        <v>525942</v>
      </c>
      <c r="AH375" s="2186">
        <v>525942</v>
      </c>
      <c r="AI375" s="2186">
        <v>525942</v>
      </c>
      <c r="AJ375" s="2186">
        <v>525942</v>
      </c>
      <c r="AL375" s="872"/>
      <c r="AM375" s="2186">
        <v>5486380</v>
      </c>
      <c r="AN375" s="2186">
        <v>5733267</v>
      </c>
      <c r="AO375" s="2186">
        <v>5991264</v>
      </c>
      <c r="AP375" s="2186">
        <v>6260871</v>
      </c>
      <c r="AQ375" s="2186">
        <v>0</v>
      </c>
      <c r="BG375" s="2108"/>
      <c r="BI375" s="693"/>
      <c r="BL375" s="2041"/>
      <c r="BM375" s="2041"/>
      <c r="BN375" s="1954"/>
      <c r="BO375" s="1954"/>
      <c r="BP375" s="1954"/>
    </row>
    <row r="376" spans="1:69" s="956" customFormat="1" ht="16.5" customHeight="1" outlineLevel="1">
      <c r="A376" s="1982" t="s">
        <v>1715</v>
      </c>
      <c r="B376" s="1982" t="s">
        <v>2389</v>
      </c>
      <c r="C376" s="1982"/>
      <c r="D376" s="1982"/>
      <c r="E376" s="1982"/>
      <c r="F376" s="1982"/>
      <c r="G376" s="1982">
        <v>2367471</v>
      </c>
      <c r="H376" s="956">
        <v>56615</v>
      </c>
      <c r="I376" s="537">
        <v>671058</v>
      </c>
      <c r="J376" s="1982">
        <v>895558</v>
      </c>
      <c r="K376" s="2186">
        <v>132004</v>
      </c>
      <c r="L376" s="2186">
        <v>93695</v>
      </c>
      <c r="M376" s="2186">
        <v>164738</v>
      </c>
      <c r="N376" s="2186">
        <v>94593</v>
      </c>
      <c r="O376" s="2186">
        <v>65767</v>
      </c>
      <c r="P376" s="2186">
        <v>30105</v>
      </c>
      <c r="Q376" s="2186">
        <v>33541</v>
      </c>
      <c r="R376" s="2186">
        <v>56615</v>
      </c>
      <c r="S376" s="2186">
        <v>82250</v>
      </c>
      <c r="T376" s="2186">
        <v>82250</v>
      </c>
      <c r="U376" s="2186">
        <v>30000</v>
      </c>
      <c r="V376" s="2186">
        <v>30000</v>
      </c>
      <c r="X376" s="1982">
        <v>660000</v>
      </c>
      <c r="Y376" s="2186">
        <v>55000</v>
      </c>
      <c r="Z376" s="2186">
        <v>55000</v>
      </c>
      <c r="AA376" s="2186">
        <v>55000</v>
      </c>
      <c r="AB376" s="2186">
        <v>55000</v>
      </c>
      <c r="AC376" s="2186">
        <v>55000</v>
      </c>
      <c r="AD376" s="2186">
        <v>55000</v>
      </c>
      <c r="AE376" s="2186">
        <v>55000</v>
      </c>
      <c r="AF376" s="2186">
        <v>55000</v>
      </c>
      <c r="AG376" s="2186">
        <v>55000</v>
      </c>
      <c r="AH376" s="2186">
        <v>55000</v>
      </c>
      <c r="AI376" s="2186">
        <v>55000</v>
      </c>
      <c r="AJ376" s="2186">
        <v>55000</v>
      </c>
      <c r="AL376" s="872"/>
      <c r="AM376" s="2186">
        <v>0</v>
      </c>
      <c r="AN376" s="2186">
        <v>0</v>
      </c>
      <c r="AO376" s="2186">
        <v>0</v>
      </c>
      <c r="AP376" s="2186">
        <v>0</v>
      </c>
      <c r="AQ376" s="2186">
        <v>0</v>
      </c>
      <c r="BG376" s="2108"/>
      <c r="BI376" s="693"/>
      <c r="BL376" s="2041"/>
      <c r="BM376" s="2041"/>
      <c r="BN376" s="1954"/>
      <c r="BO376" s="1954"/>
      <c r="BP376" s="1954"/>
    </row>
    <row r="377" spans="1:69" s="956" customFormat="1" ht="16.5" customHeight="1" outlineLevel="1">
      <c r="A377" s="1982" t="s">
        <v>1751</v>
      </c>
      <c r="B377" s="1982" t="s">
        <v>2390</v>
      </c>
      <c r="C377" s="1982"/>
      <c r="D377" s="1982"/>
      <c r="E377" s="1982"/>
      <c r="F377" s="1982"/>
      <c r="G377" s="1982">
        <v>1033241</v>
      </c>
      <c r="H377" s="956">
        <v>23938</v>
      </c>
      <c r="I377" s="537">
        <v>254473</v>
      </c>
      <c r="J377" s="1982">
        <v>1035721</v>
      </c>
      <c r="K377" s="2186">
        <v>24586</v>
      </c>
      <c r="L377" s="2186">
        <v>21941</v>
      </c>
      <c r="M377" s="2186">
        <v>60426</v>
      </c>
      <c r="N377" s="2186">
        <v>39545</v>
      </c>
      <c r="O377" s="2186">
        <v>23944</v>
      </c>
      <c r="P377" s="2186">
        <v>23953</v>
      </c>
      <c r="Q377" s="2186">
        <v>36140</v>
      </c>
      <c r="R377" s="2186">
        <v>23938</v>
      </c>
      <c r="S377" s="2186">
        <v>27339</v>
      </c>
      <c r="T377" s="2186">
        <v>49338</v>
      </c>
      <c r="U377" s="2186">
        <v>24836</v>
      </c>
      <c r="V377" s="2186">
        <v>679735</v>
      </c>
      <c r="X377" s="1982">
        <v>1556352</v>
      </c>
      <c r="Y377" s="2186">
        <v>193174</v>
      </c>
      <c r="Z377" s="2186">
        <v>43174</v>
      </c>
      <c r="AA377" s="2186">
        <v>56569</v>
      </c>
      <c r="AB377" s="2186">
        <v>357171</v>
      </c>
      <c r="AC377" s="2186">
        <v>46372</v>
      </c>
      <c r="AD377" s="2186">
        <v>117671</v>
      </c>
      <c r="AE377" s="2186">
        <v>43169</v>
      </c>
      <c r="AF377" s="2186">
        <v>55171</v>
      </c>
      <c r="AG377" s="2186">
        <v>52672</v>
      </c>
      <c r="AH377" s="2186">
        <v>63171</v>
      </c>
      <c r="AI377" s="2186">
        <v>43169</v>
      </c>
      <c r="AJ377" s="2186">
        <v>484869</v>
      </c>
      <c r="AL377" s="872"/>
      <c r="AM377" s="2186">
        <v>1868951</v>
      </c>
      <c r="AN377" s="2186">
        <v>1631701</v>
      </c>
      <c r="AO377" s="2186">
        <v>1698556.6666666667</v>
      </c>
      <c r="AP377" s="2186">
        <v>1922556.6666666667</v>
      </c>
      <c r="AQ377" s="2186">
        <v>0</v>
      </c>
      <c r="BG377" s="2108"/>
      <c r="BI377" s="693"/>
      <c r="BL377" s="2041"/>
      <c r="BM377" s="2041"/>
      <c r="BN377" s="1954"/>
      <c r="BO377" s="1954"/>
      <c r="BP377" s="1954"/>
    </row>
    <row r="378" spans="1:69" s="956" customFormat="1" ht="16.5" customHeight="1" outlineLevel="1">
      <c r="A378" s="1982" t="s">
        <v>1719</v>
      </c>
      <c r="B378" s="1982" t="s">
        <v>2391</v>
      </c>
      <c r="C378" s="1982"/>
      <c r="D378" s="1982"/>
      <c r="E378" s="1982"/>
      <c r="F378" s="1982"/>
      <c r="G378" s="1982">
        <v>0</v>
      </c>
      <c r="H378" s="956">
        <v>0</v>
      </c>
      <c r="I378" s="537">
        <v>-776973</v>
      </c>
      <c r="J378" s="1982">
        <v>-1176973</v>
      </c>
      <c r="K378" s="2186">
        <v>0</v>
      </c>
      <c r="L378" s="2186">
        <v>0</v>
      </c>
      <c r="M378" s="2186">
        <v>0</v>
      </c>
      <c r="N378" s="2186">
        <v>0</v>
      </c>
      <c r="O378" s="2186">
        <v>0</v>
      </c>
      <c r="P378" s="2186">
        <v>-776973</v>
      </c>
      <c r="Q378" s="2186">
        <v>0</v>
      </c>
      <c r="R378" s="2186">
        <v>0</v>
      </c>
      <c r="S378" s="2186">
        <v>0</v>
      </c>
      <c r="T378" s="2186">
        <v>0</v>
      </c>
      <c r="U378" s="2186">
        <v>0</v>
      </c>
      <c r="V378" s="2186">
        <v>-400000</v>
      </c>
      <c r="X378" s="1982">
        <v>-1200000</v>
      </c>
      <c r="Y378" s="2186">
        <v>0</v>
      </c>
      <c r="Z378" s="2186">
        <v>0</v>
      </c>
      <c r="AA378" s="2186">
        <v>0</v>
      </c>
      <c r="AB378" s="2186">
        <v>0</v>
      </c>
      <c r="AC378" s="2186">
        <v>0</v>
      </c>
      <c r="AD378" s="2186">
        <v>-600000</v>
      </c>
      <c r="AE378" s="2186">
        <v>0</v>
      </c>
      <c r="AF378" s="2186">
        <v>0</v>
      </c>
      <c r="AG378" s="2186">
        <v>0</v>
      </c>
      <c r="AH378" s="2186">
        <v>0</v>
      </c>
      <c r="AI378" s="2186">
        <v>0</v>
      </c>
      <c r="AJ378" s="2186">
        <v>-600000</v>
      </c>
      <c r="AL378" s="872"/>
      <c r="AM378" s="2186">
        <v>0</v>
      </c>
      <c r="AN378" s="2186">
        <v>0</v>
      </c>
      <c r="AO378" s="2186">
        <v>0</v>
      </c>
      <c r="AP378" s="2186">
        <v>0</v>
      </c>
      <c r="AQ378" s="2186">
        <v>0</v>
      </c>
      <c r="BG378" s="2108"/>
      <c r="BI378" s="693"/>
      <c r="BL378" s="2041"/>
      <c r="BM378" s="2041"/>
      <c r="BN378" s="1954"/>
      <c r="BO378" s="1954"/>
      <c r="BP378" s="1954"/>
    </row>
    <row r="379" spans="1:69" s="956" customFormat="1" ht="16.5" customHeight="1" outlineLevel="1">
      <c r="A379" s="1982" t="s">
        <v>1752</v>
      </c>
      <c r="B379" s="1982" t="s">
        <v>2392</v>
      </c>
      <c r="C379" s="1982"/>
      <c r="D379" s="1982"/>
      <c r="E379" s="1982"/>
      <c r="F379" s="1982"/>
      <c r="G379" s="1982">
        <v>14293792</v>
      </c>
      <c r="H379" s="956">
        <v>1120189</v>
      </c>
      <c r="I379" s="537">
        <v>8869574</v>
      </c>
      <c r="J379" s="1982">
        <v>13488587</v>
      </c>
      <c r="K379" s="2186">
        <v>698149</v>
      </c>
      <c r="L379" s="2186">
        <v>1384971</v>
      </c>
      <c r="M379" s="2186">
        <v>1160176</v>
      </c>
      <c r="N379" s="2186">
        <v>1110927</v>
      </c>
      <c r="O379" s="2186">
        <v>1185372</v>
      </c>
      <c r="P379" s="2186">
        <v>1104725</v>
      </c>
      <c r="Q379" s="2186">
        <v>1105065</v>
      </c>
      <c r="R379" s="2186">
        <v>1120189</v>
      </c>
      <c r="S379" s="2186">
        <v>1143215</v>
      </c>
      <c r="T379" s="2186">
        <v>1139784</v>
      </c>
      <c r="U379" s="2186">
        <v>1160784</v>
      </c>
      <c r="V379" s="2186">
        <v>1175230</v>
      </c>
      <c r="X379" s="2186">
        <v>13748886</v>
      </c>
      <c r="Y379" s="2186">
        <v>1122823</v>
      </c>
      <c r="Z379" s="2186">
        <v>1135826</v>
      </c>
      <c r="AA379" s="2186">
        <v>1122822</v>
      </c>
      <c r="AB379" s="2186">
        <v>1135825</v>
      </c>
      <c r="AC379" s="2186">
        <v>1187823</v>
      </c>
      <c r="AD379" s="2186">
        <v>1135826</v>
      </c>
      <c r="AE379" s="2186">
        <v>1129822</v>
      </c>
      <c r="AF379" s="2186">
        <v>1147823</v>
      </c>
      <c r="AG379" s="2186">
        <v>1174825</v>
      </c>
      <c r="AH379" s="2186">
        <v>1157825</v>
      </c>
      <c r="AI379" s="2186">
        <v>1154823</v>
      </c>
      <c r="AJ379" s="2186">
        <v>1142823</v>
      </c>
      <c r="AL379" s="872"/>
      <c r="AM379" s="2186">
        <v>13828374.186666669</v>
      </c>
      <c r="AN379" s="2186">
        <v>10456506.048959998</v>
      </c>
      <c r="AO379" s="2186">
        <v>10460946.837603839</v>
      </c>
      <c r="AP379" s="2186">
        <v>10586524.528672053</v>
      </c>
      <c r="AQ379" s="2186">
        <v>0</v>
      </c>
      <c r="BG379" s="2108"/>
      <c r="BI379" s="693"/>
      <c r="BL379" s="2041"/>
      <c r="BM379" s="2041"/>
      <c r="BN379" s="1954"/>
      <c r="BO379" s="1954"/>
      <c r="BP379" s="1954"/>
    </row>
    <row r="380" spans="1:69" s="956" customFormat="1" ht="16.5" customHeight="1" outlineLevel="1">
      <c r="A380" s="1982" t="s">
        <v>2393</v>
      </c>
      <c r="B380" s="1982" t="s">
        <v>2394</v>
      </c>
      <c r="C380" s="1982"/>
      <c r="D380" s="1982"/>
      <c r="E380" s="1982"/>
      <c r="F380" s="1982"/>
      <c r="G380" s="1982">
        <v>-12225975.094462262</v>
      </c>
      <c r="H380" s="956">
        <v>-963362.54</v>
      </c>
      <c r="I380" s="537">
        <v>-7627834.1400000006</v>
      </c>
      <c r="J380" s="1982">
        <v>-11600185.320000002</v>
      </c>
      <c r="K380" s="2186">
        <v>-600408.14</v>
      </c>
      <c r="L380" s="2186">
        <v>-1191075.06</v>
      </c>
      <c r="M380" s="2186">
        <v>-997751.36</v>
      </c>
      <c r="N380" s="2186">
        <v>-955397.22</v>
      </c>
      <c r="O380" s="2186">
        <v>-1019419.92</v>
      </c>
      <c r="P380" s="2186">
        <v>-950064</v>
      </c>
      <c r="Q380" s="2186">
        <v>-950355.9</v>
      </c>
      <c r="R380" s="2186">
        <v>-963362.54</v>
      </c>
      <c r="S380" s="2186">
        <v>-983164.9</v>
      </c>
      <c r="T380" s="2186">
        <v>-980214.24</v>
      </c>
      <c r="U380" s="2186">
        <v>-998274.24</v>
      </c>
      <c r="V380" s="2186">
        <v>-1010697.7999999999</v>
      </c>
      <c r="X380" s="2186">
        <v>-11824046</v>
      </c>
      <c r="Y380" s="2186">
        <v>-965628</v>
      </c>
      <c r="Z380" s="2186">
        <v>-976811</v>
      </c>
      <c r="AA380" s="2186">
        <v>-965627</v>
      </c>
      <c r="AB380" s="2186">
        <v>-976810</v>
      </c>
      <c r="AC380" s="2186">
        <v>-1021528</v>
      </c>
      <c r="AD380" s="2186">
        <v>-976811</v>
      </c>
      <c r="AE380" s="2186">
        <v>-971647</v>
      </c>
      <c r="AF380" s="2186">
        <v>-987128</v>
      </c>
      <c r="AG380" s="2186">
        <v>-1010350</v>
      </c>
      <c r="AH380" s="2186">
        <v>-995730</v>
      </c>
      <c r="AI380" s="2186">
        <v>-993148</v>
      </c>
      <c r="AJ380" s="2186">
        <v>-982828</v>
      </c>
      <c r="AL380" s="872"/>
      <c r="AM380" s="2186">
        <v>-11892402</v>
      </c>
      <c r="AN380" s="2186">
        <v>-8992596</v>
      </c>
      <c r="AO380" s="2186">
        <v>-8996414</v>
      </c>
      <c r="AP380" s="2186">
        <v>-9104412</v>
      </c>
      <c r="AQ380" s="2186">
        <v>0</v>
      </c>
      <c r="BG380" s="2108"/>
      <c r="BI380" s="693"/>
      <c r="BL380" s="2041"/>
      <c r="BM380" s="2041"/>
      <c r="BN380" s="1954"/>
      <c r="BO380" s="1954"/>
      <c r="BP380" s="1954"/>
    </row>
    <row r="381" spans="1:69" s="956" customFormat="1" ht="16.5" customHeight="1" outlineLevel="1">
      <c r="A381" s="2187" t="s">
        <v>2395</v>
      </c>
      <c r="B381" s="2187" t="s">
        <v>2396</v>
      </c>
      <c r="C381" s="2187"/>
      <c r="D381" s="2187"/>
      <c r="E381" s="2187"/>
      <c r="F381" s="2187"/>
      <c r="G381" s="2188">
        <v>28349226.905537739</v>
      </c>
      <c r="H381" s="956">
        <v>2562239.46</v>
      </c>
      <c r="I381" s="537">
        <v>21545411.859999999</v>
      </c>
      <c r="J381" s="2187">
        <v>28274311.079999998</v>
      </c>
      <c r="K381" s="2188">
        <v>2694643.86</v>
      </c>
      <c r="L381" s="2188">
        <v>3651233.94</v>
      </c>
      <c r="M381" s="2188">
        <v>2707423.64</v>
      </c>
      <c r="N381" s="2188">
        <v>2968903.7800000003</v>
      </c>
      <c r="O381" s="2188">
        <v>2586487.08</v>
      </c>
      <c r="P381" s="2188">
        <v>1690235</v>
      </c>
      <c r="Q381" s="2188">
        <v>2684245.1</v>
      </c>
      <c r="R381" s="2188">
        <v>2562239.46</v>
      </c>
      <c r="S381" s="2188">
        <v>2834104.7</v>
      </c>
      <c r="T381" s="2188">
        <v>1655280.36</v>
      </c>
      <c r="U381" s="2188">
        <v>1564115.36</v>
      </c>
      <c r="V381" s="2188">
        <v>675398.80000000016</v>
      </c>
      <c r="X381" s="2188">
        <v>27697821</v>
      </c>
      <c r="Y381" s="2188">
        <v>3568433</v>
      </c>
      <c r="Z381" s="2188">
        <v>3090464</v>
      </c>
      <c r="AA381" s="2188">
        <v>1021782</v>
      </c>
      <c r="AB381" s="2188">
        <v>2289584</v>
      </c>
      <c r="AC381" s="2188">
        <v>2066302</v>
      </c>
      <c r="AD381" s="2188">
        <v>2084940</v>
      </c>
      <c r="AE381" s="2188">
        <v>2382491</v>
      </c>
      <c r="AF381" s="2188">
        <v>2532968</v>
      </c>
      <c r="AG381" s="2188">
        <v>2860232</v>
      </c>
      <c r="AH381" s="2188">
        <v>2581581</v>
      </c>
      <c r="AI381" s="2188">
        <v>2198104</v>
      </c>
      <c r="AJ381" s="2188">
        <v>1020940</v>
      </c>
      <c r="AL381" s="872"/>
      <c r="AM381" s="2188">
        <v>33109528.186666667</v>
      </c>
      <c r="AN381" s="2188">
        <v>33244346.04896</v>
      </c>
      <c r="AO381" s="2188">
        <v>34983721.504270509</v>
      </c>
      <c r="AP381" s="2188">
        <v>36834041.195338719</v>
      </c>
      <c r="AQ381" s="2188">
        <v>0</v>
      </c>
      <c r="BG381" s="2108"/>
      <c r="BI381" s="693"/>
      <c r="BL381" s="2041"/>
      <c r="BM381" s="2041"/>
      <c r="BN381" s="1954"/>
      <c r="BO381" s="1954"/>
      <c r="BP381" s="1954"/>
    </row>
    <row r="382" spans="1:69" s="858" customFormat="1" ht="16.5" customHeight="1" outlineLevel="1">
      <c r="I382" s="537"/>
      <c r="AL382" s="872"/>
      <c r="AP382" s="1954"/>
      <c r="AQ382" s="1954"/>
      <c r="BI382" s="2189"/>
      <c r="BL382" s="2041"/>
      <c r="BM382" s="2041"/>
      <c r="BN382" s="1954"/>
      <c r="BO382" s="1954"/>
      <c r="BP382" s="1954"/>
      <c r="BQ382" s="956"/>
    </row>
    <row r="383" spans="1:69" s="858" customFormat="1" ht="16.5" customHeight="1" outlineLevel="1">
      <c r="I383" s="537"/>
      <c r="AL383" s="872"/>
      <c r="AP383" s="1954"/>
      <c r="AQ383" s="1954"/>
      <c r="BI383" s="2189"/>
      <c r="BL383" s="2041"/>
      <c r="BM383" s="2041"/>
      <c r="BN383" s="1954"/>
      <c r="BO383" s="1954"/>
      <c r="BP383" s="1954"/>
      <c r="BQ383" s="956"/>
    </row>
    <row r="384" spans="1:69" s="858" customFormat="1" ht="16.5" customHeight="1" outlineLevel="1">
      <c r="A384" s="537" t="s">
        <v>1726</v>
      </c>
      <c r="B384" s="956" t="s">
        <v>2317</v>
      </c>
      <c r="G384" s="956">
        <v>3258</v>
      </c>
      <c r="H384" s="956">
        <v>0</v>
      </c>
      <c r="I384" s="537">
        <v>17724</v>
      </c>
      <c r="J384" s="956">
        <v>21500</v>
      </c>
      <c r="K384" s="956">
        <v>0</v>
      </c>
      <c r="L384" s="956">
        <v>0</v>
      </c>
      <c r="M384" s="956">
        <v>0</v>
      </c>
      <c r="N384" s="956">
        <v>0</v>
      </c>
      <c r="O384" s="956">
        <v>0</v>
      </c>
      <c r="P384" s="956">
        <v>17724</v>
      </c>
      <c r="Q384" s="956">
        <v>0</v>
      </c>
      <c r="R384" s="956">
        <v>0</v>
      </c>
      <c r="S384" s="956">
        <v>0</v>
      </c>
      <c r="T384" s="956">
        <v>0</v>
      </c>
      <c r="U384" s="956">
        <v>0</v>
      </c>
      <c r="V384" s="956">
        <v>3776</v>
      </c>
      <c r="W384" s="956"/>
      <c r="X384" s="956">
        <v>21332</v>
      </c>
      <c r="Y384" s="956">
        <v>0</v>
      </c>
      <c r="Z384" s="956">
        <v>0</v>
      </c>
      <c r="AA384" s="956">
        <v>0</v>
      </c>
      <c r="AB384" s="956">
        <v>0</v>
      </c>
      <c r="AC384" s="956">
        <v>0</v>
      </c>
      <c r="AD384" s="956">
        <v>6397</v>
      </c>
      <c r="AE384" s="956">
        <v>0</v>
      </c>
      <c r="AF384" s="956">
        <v>0</v>
      </c>
      <c r="AG384" s="956">
        <v>0</v>
      </c>
      <c r="AH384" s="956">
        <v>0</v>
      </c>
      <c r="AI384" s="956">
        <v>0</v>
      </c>
      <c r="AJ384" s="956">
        <v>14935</v>
      </c>
      <c r="AK384" s="956"/>
      <c r="AL384" s="872"/>
      <c r="AM384" s="956">
        <v>0</v>
      </c>
      <c r="AN384" s="956">
        <v>0</v>
      </c>
      <c r="AO384" s="956">
        <v>0</v>
      </c>
      <c r="AP384" s="956">
        <v>0</v>
      </c>
      <c r="AQ384" s="956">
        <v>0</v>
      </c>
      <c r="BI384" s="2189"/>
      <c r="BL384" s="2041"/>
      <c r="BM384" s="2041"/>
      <c r="BN384" s="1954"/>
      <c r="BO384" s="2190"/>
      <c r="BP384" s="2190"/>
    </row>
    <row r="385" spans="1:69" s="956" customFormat="1" ht="16.5" customHeight="1" outlineLevel="1">
      <c r="A385" s="956" t="s">
        <v>1727</v>
      </c>
      <c r="B385" s="956" t="s">
        <v>2319</v>
      </c>
      <c r="G385" s="956">
        <v>534654</v>
      </c>
      <c r="H385" s="956">
        <v>42370</v>
      </c>
      <c r="I385" s="537">
        <v>379930</v>
      </c>
      <c r="J385" s="956">
        <v>534654</v>
      </c>
      <c r="K385" s="956">
        <v>52591</v>
      </c>
      <c r="L385" s="956">
        <v>51140</v>
      </c>
      <c r="M385" s="956">
        <v>49686</v>
      </c>
      <c r="N385" s="956">
        <v>48229</v>
      </c>
      <c r="O385" s="956">
        <v>46769</v>
      </c>
      <c r="P385" s="956">
        <v>45306</v>
      </c>
      <c r="Q385" s="956">
        <v>43839</v>
      </c>
      <c r="R385" s="956">
        <v>42370</v>
      </c>
      <c r="S385" s="956">
        <v>40897</v>
      </c>
      <c r="T385" s="956">
        <v>39421</v>
      </c>
      <c r="U385" s="956">
        <v>37943</v>
      </c>
      <c r="V385" s="956">
        <v>36463</v>
      </c>
      <c r="X385" s="956">
        <v>333050</v>
      </c>
      <c r="Y385" s="956">
        <v>35989</v>
      </c>
      <c r="Z385" s="956">
        <v>34503</v>
      </c>
      <c r="AA385" s="956">
        <v>33013</v>
      </c>
      <c r="AB385" s="956">
        <v>31519</v>
      </c>
      <c r="AC385" s="956">
        <v>30024</v>
      </c>
      <c r="AD385" s="956">
        <v>28524</v>
      </c>
      <c r="AE385" s="956">
        <v>27021</v>
      </c>
      <c r="AF385" s="956">
        <v>25516</v>
      </c>
      <c r="AG385" s="956">
        <v>24007</v>
      </c>
      <c r="AH385" s="956">
        <v>22495</v>
      </c>
      <c r="AI385" s="956">
        <v>20979</v>
      </c>
      <c r="AJ385" s="956">
        <v>19460</v>
      </c>
      <c r="AL385" s="872"/>
      <c r="AM385" s="956">
        <v>111577</v>
      </c>
      <c r="AN385" s="956">
        <v>533925</v>
      </c>
      <c r="AO385" s="956">
        <v>318222</v>
      </c>
      <c r="AP385" s="956">
        <v>109165</v>
      </c>
      <c r="AQ385" s="956">
        <v>0</v>
      </c>
      <c r="BI385" s="693"/>
      <c r="BL385" s="2191"/>
      <c r="BM385" s="2191"/>
      <c r="BN385" s="2190"/>
      <c r="BO385" s="2190"/>
      <c r="BP385" s="2190"/>
      <c r="BQ385" s="858"/>
    </row>
    <row r="386" spans="1:69" s="956" customFormat="1" ht="16.5" customHeight="1" outlineLevel="1">
      <c r="A386" s="2187" t="s">
        <v>1729</v>
      </c>
      <c r="B386" s="2187" t="s">
        <v>2320</v>
      </c>
      <c r="C386" s="2187"/>
      <c r="D386" s="2187"/>
      <c r="E386" s="2187"/>
      <c r="F386" s="2187"/>
      <c r="G386" s="2188">
        <v>-531396</v>
      </c>
      <c r="H386" s="956">
        <v>-42370</v>
      </c>
      <c r="I386" s="537">
        <v>-362206</v>
      </c>
      <c r="J386" s="2187">
        <v>-513154</v>
      </c>
      <c r="K386" s="2188">
        <v>-52591</v>
      </c>
      <c r="L386" s="2188">
        <v>-51140</v>
      </c>
      <c r="M386" s="2188">
        <v>-49686</v>
      </c>
      <c r="N386" s="2188">
        <v>-48229</v>
      </c>
      <c r="O386" s="2188">
        <v>-46769</v>
      </c>
      <c r="P386" s="2188">
        <v>-27582</v>
      </c>
      <c r="Q386" s="2188">
        <v>-43839</v>
      </c>
      <c r="R386" s="2188">
        <v>-42370</v>
      </c>
      <c r="S386" s="2188">
        <v>-40897</v>
      </c>
      <c r="T386" s="2188">
        <v>-39421</v>
      </c>
      <c r="U386" s="2188">
        <v>-37943</v>
      </c>
      <c r="V386" s="2188">
        <v>-32687</v>
      </c>
      <c r="X386" s="2188">
        <v>-311718</v>
      </c>
      <c r="Y386" s="2188">
        <v>-35989</v>
      </c>
      <c r="Z386" s="2188">
        <v>-34503</v>
      </c>
      <c r="AA386" s="2188">
        <v>-33013</v>
      </c>
      <c r="AB386" s="2188">
        <v>-31519</v>
      </c>
      <c r="AC386" s="2188">
        <v>-30024</v>
      </c>
      <c r="AD386" s="2188">
        <v>-22127</v>
      </c>
      <c r="AE386" s="2188">
        <v>-27021</v>
      </c>
      <c r="AF386" s="2188">
        <v>-25516</v>
      </c>
      <c r="AG386" s="2188">
        <v>-24007</v>
      </c>
      <c r="AH386" s="2188">
        <v>-22495</v>
      </c>
      <c r="AI386" s="2188">
        <v>-20979</v>
      </c>
      <c r="AJ386" s="2188">
        <v>-4525</v>
      </c>
      <c r="AL386" s="872"/>
      <c r="AM386" s="2188">
        <v>-111577</v>
      </c>
      <c r="AN386" s="2188">
        <v>-533925</v>
      </c>
      <c r="AO386" s="2188">
        <v>-318222</v>
      </c>
      <c r="AP386" s="2188">
        <v>-109165</v>
      </c>
      <c r="AQ386" s="2188">
        <v>0</v>
      </c>
      <c r="BG386" s="2108"/>
      <c r="BI386" s="693"/>
      <c r="BL386" s="2191"/>
      <c r="BM386" s="2191"/>
      <c r="BN386" s="2190"/>
      <c r="BO386" s="2190"/>
      <c r="BP386" s="2190"/>
      <c r="BQ386" s="858"/>
    </row>
    <row r="387" spans="1:69" s="956" customFormat="1" ht="16.5" customHeight="1" outlineLevel="1">
      <c r="I387" s="537">
        <v>0</v>
      </c>
      <c r="K387" s="537"/>
      <c r="L387" s="537"/>
      <c r="M387" s="537"/>
      <c r="N387" s="537"/>
      <c r="O387" s="537"/>
      <c r="P387" s="537"/>
      <c r="Q387" s="537"/>
      <c r="R387" s="537"/>
      <c r="S387" s="537"/>
      <c r="T387" s="537"/>
      <c r="U387" s="537"/>
      <c r="V387" s="537"/>
      <c r="X387" s="537"/>
      <c r="Y387" s="537"/>
      <c r="Z387" s="537"/>
      <c r="AA387" s="537"/>
      <c r="AB387" s="537"/>
      <c r="AC387" s="537"/>
      <c r="AD387" s="537"/>
      <c r="AE387" s="537"/>
      <c r="AF387" s="537"/>
      <c r="AG387" s="537"/>
      <c r="AH387" s="537"/>
      <c r="AI387" s="537"/>
      <c r="AJ387" s="537"/>
      <c r="AL387" s="872"/>
      <c r="AM387" s="537"/>
      <c r="AN387" s="537"/>
      <c r="AO387" s="537"/>
      <c r="AP387" s="537"/>
      <c r="AQ387" s="537"/>
      <c r="BG387" s="2108"/>
      <c r="BI387" s="693"/>
      <c r="BL387" s="2191"/>
      <c r="BM387" s="2191"/>
      <c r="BN387" s="2190"/>
      <c r="BO387" s="1954"/>
      <c r="BP387" s="1954"/>
    </row>
    <row r="388" spans="1:69" s="956" customFormat="1" ht="16.5" customHeight="1" outlineLevel="1">
      <c r="A388" s="2187" t="s">
        <v>1731</v>
      </c>
      <c r="B388" s="2187" t="s">
        <v>2323</v>
      </c>
      <c r="C388" s="2187"/>
      <c r="D388" s="2187"/>
      <c r="E388" s="2187"/>
      <c r="F388" s="2187"/>
      <c r="G388" s="2188">
        <v>-8853206.9055377394</v>
      </c>
      <c r="H388" s="956">
        <v>-1333665.46</v>
      </c>
      <c r="I388" s="537">
        <v>-14614212.859999999</v>
      </c>
      <c r="J388" s="2187">
        <v>-32644013.079999998</v>
      </c>
      <c r="K388" s="2188">
        <v>-1874687.8599999999</v>
      </c>
      <c r="L388" s="2188">
        <v>-1203089.94</v>
      </c>
      <c r="M388" s="2188">
        <v>-2952971.64</v>
      </c>
      <c r="N388" s="2188">
        <v>-1296281.7800000003</v>
      </c>
      <c r="O388" s="2188">
        <v>-1347714.08</v>
      </c>
      <c r="P388" s="2188">
        <v>-2524177</v>
      </c>
      <c r="Q388" s="2188">
        <v>-2081625.1</v>
      </c>
      <c r="R388" s="2188">
        <v>-1333665.46</v>
      </c>
      <c r="S388" s="2188">
        <v>-239476.70000000019</v>
      </c>
      <c r="T388" s="2188">
        <v>-1492577.36</v>
      </c>
      <c r="U388" s="2188">
        <v>408347.6399999999</v>
      </c>
      <c r="V388" s="2188">
        <v>-16706093.800000001</v>
      </c>
      <c r="X388" s="2188">
        <v>-6387712</v>
      </c>
      <c r="Y388" s="2188">
        <v>-1930946</v>
      </c>
      <c r="Z388" s="2188">
        <v>-2115556</v>
      </c>
      <c r="AA388" s="2188">
        <v>902722</v>
      </c>
      <c r="AB388" s="2188">
        <v>259254</v>
      </c>
      <c r="AC388" s="2188">
        <v>-581461</v>
      </c>
      <c r="AD388" s="2188">
        <v>-461410</v>
      </c>
      <c r="AE388" s="2188">
        <v>-838775</v>
      </c>
      <c r="AF388" s="2188">
        <v>-1806114</v>
      </c>
      <c r="AG388" s="2188">
        <v>-2329122</v>
      </c>
      <c r="AH388" s="2188">
        <v>597870</v>
      </c>
      <c r="AI388" s="2188">
        <v>-648554</v>
      </c>
      <c r="AJ388" s="2188">
        <v>2564380</v>
      </c>
      <c r="AL388" s="872"/>
      <c r="AM388" s="2188">
        <v>-12094940.186666667</v>
      </c>
      <c r="AN388" s="2188">
        <v>-10275069.04896</v>
      </c>
      <c r="AO388" s="2188">
        <v>-10602081.504270509</v>
      </c>
      <c r="AP388" s="2188">
        <v>-10382747.195338719</v>
      </c>
      <c r="AQ388" s="2188">
        <v>138528403</v>
      </c>
      <c r="BG388" s="2108"/>
      <c r="BI388" s="693"/>
      <c r="BL388" s="2041"/>
      <c r="BM388" s="2041"/>
      <c r="BN388" s="1954"/>
      <c r="BO388" s="1954"/>
      <c r="BP388" s="1954"/>
    </row>
    <row r="389" spans="1:69">
      <c r="G389" s="956">
        <v>0</v>
      </c>
      <c r="H389" s="956">
        <v>0</v>
      </c>
      <c r="I389" s="956">
        <v>0</v>
      </c>
      <c r="J389" s="956">
        <v>0</v>
      </c>
      <c r="K389" s="956">
        <v>0</v>
      </c>
      <c r="L389" s="956">
        <v>0</v>
      </c>
      <c r="M389" s="956">
        <v>0</v>
      </c>
      <c r="N389" s="956">
        <v>0</v>
      </c>
      <c r="O389" s="956">
        <v>0</v>
      </c>
      <c r="P389" s="956">
        <v>0</v>
      </c>
      <c r="Q389" s="956">
        <v>0</v>
      </c>
      <c r="R389" s="956">
        <v>0</v>
      </c>
      <c r="S389" s="956">
        <v>0</v>
      </c>
      <c r="T389" s="956">
        <v>0</v>
      </c>
      <c r="U389" s="956">
        <v>0</v>
      </c>
      <c r="V389" s="956">
        <v>0</v>
      </c>
      <c r="X389" s="956">
        <v>0</v>
      </c>
      <c r="Y389" s="956">
        <v>0</v>
      </c>
      <c r="Z389" s="956">
        <v>0</v>
      </c>
      <c r="AA389" s="956">
        <v>0</v>
      </c>
      <c r="AB389" s="956">
        <v>0</v>
      </c>
      <c r="AC389" s="956">
        <v>0</v>
      </c>
      <c r="AD389" s="956">
        <v>0</v>
      </c>
      <c r="AE389" s="956">
        <v>0</v>
      </c>
      <c r="AF389" s="956">
        <v>0</v>
      </c>
      <c r="AG389" s="956">
        <v>0</v>
      </c>
      <c r="AH389" s="956">
        <v>0</v>
      </c>
      <c r="AI389" s="956">
        <v>0</v>
      </c>
      <c r="AJ389" s="956">
        <v>0</v>
      </c>
      <c r="AM389" s="956">
        <v>0</v>
      </c>
      <c r="AN389" s="956">
        <v>0</v>
      </c>
      <c r="AO389" s="956">
        <v>0</v>
      </c>
      <c r="AP389" s="956">
        <v>0</v>
      </c>
      <c r="AQ389" s="956">
        <v>0</v>
      </c>
    </row>
    <row r="390" spans="1:69">
      <c r="I390" s="537">
        <v>0</v>
      </c>
      <c r="M390" s="956"/>
      <c r="O390" s="956"/>
      <c r="R390" s="956">
        <v>-0.4599999999627471</v>
      </c>
      <c r="S390" s="956"/>
    </row>
    <row r="394" spans="1:69" ht="16.5" customHeight="1">
      <c r="A394" s="2036" t="s">
        <v>2397</v>
      </c>
      <c r="B394" s="2037"/>
      <c r="C394" s="2038"/>
      <c r="D394" s="2038"/>
      <c r="E394" s="2038"/>
      <c r="F394" s="2038"/>
      <c r="G394" s="2038"/>
      <c r="H394" s="2038"/>
      <c r="I394" s="2038"/>
      <c r="J394" s="2038"/>
      <c r="K394" s="2039"/>
      <c r="L394" s="2039"/>
      <c r="M394" s="2039"/>
      <c r="N394" s="2039"/>
      <c r="O394" s="2039"/>
      <c r="P394" s="2039"/>
      <c r="Q394" s="2039"/>
      <c r="R394" s="2039"/>
      <c r="S394" s="2039"/>
      <c r="T394" s="2039"/>
      <c r="U394" s="2039"/>
      <c r="V394" s="2039"/>
      <c r="W394" s="2038"/>
      <c r="X394" s="2038"/>
      <c r="Y394" s="2038"/>
      <c r="Z394" s="2038"/>
      <c r="AA394" s="2038"/>
      <c r="AB394" s="2038"/>
      <c r="AC394" s="2038"/>
      <c r="AD394" s="2038"/>
      <c r="AE394" s="2038"/>
      <c r="AF394" s="2038"/>
      <c r="AG394" s="2038"/>
      <c r="AH394" s="2038"/>
      <c r="AI394" s="2038"/>
      <c r="AJ394" s="2038"/>
      <c r="AM394" s="2038"/>
      <c r="AN394" s="2038"/>
      <c r="AO394" s="2038"/>
      <c r="AP394" s="2038"/>
      <c r="AQ394" s="2038"/>
      <c r="AR394" s="2037"/>
      <c r="AS394" s="2037"/>
      <c r="AT394" s="2037"/>
      <c r="AU394" s="2037"/>
      <c r="AV394" s="2037"/>
      <c r="AW394" s="2038"/>
      <c r="AX394" s="2038"/>
      <c r="AY394" s="2038"/>
      <c r="AZ394" s="2038"/>
      <c r="BA394" s="2038"/>
      <c r="BB394" s="2038"/>
      <c r="BC394" s="2038"/>
      <c r="BD394" s="2038"/>
      <c r="BE394" s="2038"/>
      <c r="BF394" s="2038"/>
      <c r="BG394" s="2038"/>
      <c r="BH394" s="2037"/>
      <c r="BI394" s="2040"/>
      <c r="BJ394" s="2041"/>
      <c r="BK394" s="2041"/>
    </row>
    <row r="395" spans="1:69" ht="16.2" thickBot="1"/>
    <row r="396" spans="1:69" s="534" customFormat="1" ht="21" customHeight="1">
      <c r="A396" s="2192"/>
      <c r="B396" s="2193" t="s">
        <v>2202</v>
      </c>
      <c r="C396" s="1419"/>
      <c r="D396" s="2042"/>
      <c r="E396" s="2043"/>
      <c r="F396" s="2194"/>
      <c r="G396" s="2194"/>
      <c r="H396" s="2550" t="s">
        <v>2398</v>
      </c>
      <c r="I396" s="2551"/>
      <c r="J396" s="2551"/>
      <c r="K396" s="2551"/>
      <c r="L396" s="2551"/>
      <c r="M396" s="2551"/>
      <c r="N396" s="2551"/>
      <c r="O396" s="2551"/>
      <c r="P396" s="2551"/>
      <c r="Q396" s="2551"/>
      <c r="R396" s="2551"/>
      <c r="S396" s="2551"/>
      <c r="T396" s="2551"/>
      <c r="U396" s="2551"/>
      <c r="V396" s="2552"/>
      <c r="W396" s="2044"/>
      <c r="X396" s="2045"/>
      <c r="Y396" s="2046"/>
      <c r="Z396" s="2047"/>
      <c r="AA396" s="2047"/>
      <c r="AB396" s="2047"/>
      <c r="AC396" s="2047"/>
      <c r="AD396" s="2047"/>
      <c r="AE396" s="2047" t="s">
        <v>1656</v>
      </c>
      <c r="AF396" s="2047"/>
      <c r="AG396" s="2047"/>
      <c r="AH396" s="2047"/>
      <c r="AI396" s="2047"/>
      <c r="AJ396" s="2048"/>
      <c r="AK396" s="872"/>
      <c r="AL396" s="872"/>
      <c r="AM396" s="2050"/>
      <c r="AN396" s="2051"/>
      <c r="AO396" s="2051"/>
      <c r="AP396" s="2051"/>
      <c r="AQ396" s="2051"/>
      <c r="AR396" s="2052"/>
      <c r="AS396" s="2053"/>
      <c r="AT396" s="2054"/>
      <c r="AW396" s="880"/>
      <c r="AX396" s="880"/>
      <c r="AY396" s="880"/>
      <c r="AZ396" s="880"/>
      <c r="BA396" s="880"/>
      <c r="BB396" s="880"/>
      <c r="BC396" s="880"/>
      <c r="BD396" s="880"/>
      <c r="BE396" s="880"/>
      <c r="BF396" s="880"/>
      <c r="BG396" s="880"/>
      <c r="BI396" s="762"/>
      <c r="BL396" s="2041"/>
      <c r="BM396" s="2041"/>
      <c r="BN396" s="1954"/>
      <c r="BO396" s="1954"/>
      <c r="BP396" s="1954"/>
      <c r="BQ396" s="872"/>
    </row>
    <row r="397" spans="1:69" s="762" customFormat="1" ht="31.2">
      <c r="A397" s="2195" t="s">
        <v>1288</v>
      </c>
      <c r="B397" s="908" t="s">
        <v>1289</v>
      </c>
      <c r="C397" s="2196" t="s">
        <v>1290</v>
      </c>
      <c r="D397" s="2196" t="s">
        <v>1291</v>
      </c>
      <c r="E397" s="2197" t="s">
        <v>1693</v>
      </c>
      <c r="F397" s="2198" t="s">
        <v>2334</v>
      </c>
      <c r="G397" s="2198" t="s">
        <v>2335</v>
      </c>
      <c r="H397" s="2199">
        <v>8</v>
      </c>
      <c r="I397" s="2200" t="s">
        <v>1756</v>
      </c>
      <c r="J397" s="2201" t="s">
        <v>1239</v>
      </c>
      <c r="K397" s="2202" t="s">
        <v>2399</v>
      </c>
      <c r="L397" s="2203" t="s">
        <v>2400</v>
      </c>
      <c r="M397" s="2203" t="s">
        <v>2401</v>
      </c>
      <c r="N397" s="2203" t="s">
        <v>2402</v>
      </c>
      <c r="O397" s="2203" t="s">
        <v>2403</v>
      </c>
      <c r="P397" s="2203" t="s">
        <v>2404</v>
      </c>
      <c r="Q397" s="2203" t="s">
        <v>2405</v>
      </c>
      <c r="R397" s="2203" t="s">
        <v>2406</v>
      </c>
      <c r="S397" s="2203" t="s">
        <v>2407</v>
      </c>
      <c r="T397" s="2203" t="s">
        <v>2408</v>
      </c>
      <c r="U397" s="2203" t="s">
        <v>2409</v>
      </c>
      <c r="V397" s="2203" t="s">
        <v>2410</v>
      </c>
      <c r="W397" s="2204" t="s">
        <v>1273</v>
      </c>
      <c r="X397" s="1417" t="s">
        <v>1758</v>
      </c>
      <c r="Y397" s="2202" t="s">
        <v>2399</v>
      </c>
      <c r="Z397" s="2203" t="s">
        <v>2400</v>
      </c>
      <c r="AA397" s="2203" t="s">
        <v>2401</v>
      </c>
      <c r="AB397" s="2203" t="s">
        <v>2402</v>
      </c>
      <c r="AC397" s="2203" t="s">
        <v>2403</v>
      </c>
      <c r="AD397" s="2203" t="s">
        <v>2404</v>
      </c>
      <c r="AE397" s="2203" t="s">
        <v>2405</v>
      </c>
      <c r="AF397" s="2203" t="s">
        <v>2406</v>
      </c>
      <c r="AG397" s="2203" t="s">
        <v>2407</v>
      </c>
      <c r="AH397" s="2203" t="s">
        <v>2408</v>
      </c>
      <c r="AI397" s="2203" t="s">
        <v>2409</v>
      </c>
      <c r="AJ397" s="2203" t="s">
        <v>2410</v>
      </c>
      <c r="AK397" s="872"/>
      <c r="AL397" s="872"/>
      <c r="AM397" s="2205">
        <v>47088</v>
      </c>
      <c r="AN397" s="2205">
        <v>47453</v>
      </c>
      <c r="AO397" s="2205">
        <v>47818</v>
      </c>
      <c r="AP397" s="2205">
        <v>48183</v>
      </c>
      <c r="AQ397" s="2206" t="s">
        <v>1757</v>
      </c>
      <c r="AR397" s="2062" t="s">
        <v>2226</v>
      </c>
      <c r="AS397" s="2207" t="s">
        <v>1669</v>
      </c>
      <c r="AT397" s="2208"/>
      <c r="AU397" s="880"/>
      <c r="AW397" s="2209"/>
      <c r="AX397" s="2209"/>
      <c r="AY397" s="2209"/>
      <c r="AZ397" s="2209"/>
      <c r="BA397" s="2209"/>
      <c r="BB397" s="2209"/>
      <c r="BC397" s="2209"/>
      <c r="BD397" s="2209"/>
      <c r="BE397" s="2209"/>
      <c r="BF397" s="2209"/>
      <c r="BG397" s="2209"/>
      <c r="BL397" s="2041"/>
      <c r="BM397" s="2041"/>
      <c r="BN397" s="1954"/>
      <c r="BO397" s="1954"/>
      <c r="BP397" s="1954"/>
      <c r="BQ397" s="872"/>
    </row>
    <row r="398" spans="1:69" s="537" customFormat="1" ht="16.5" customHeight="1">
      <c r="A398" s="2066" t="s">
        <v>2411</v>
      </c>
      <c r="B398" s="1043" t="s">
        <v>1272</v>
      </c>
      <c r="C398" s="2067"/>
      <c r="D398" s="2067"/>
      <c r="E398" s="2073"/>
      <c r="F398" s="588"/>
      <c r="G398" s="588">
        <v>4125000</v>
      </c>
      <c r="H398" s="2210">
        <v>0</v>
      </c>
      <c r="I398" s="2211">
        <v>6219750</v>
      </c>
      <c r="J398" s="2212">
        <v>7019750</v>
      </c>
      <c r="K398" s="2067">
        <v>975000</v>
      </c>
      <c r="L398" s="2067">
        <v>1910250</v>
      </c>
      <c r="M398" s="2067">
        <v>0</v>
      </c>
      <c r="N398" s="2067">
        <v>200000</v>
      </c>
      <c r="O398" s="2067">
        <v>0</v>
      </c>
      <c r="P398" s="2067">
        <v>1567250</v>
      </c>
      <c r="Q398" s="2067">
        <v>1567250</v>
      </c>
      <c r="R398" s="2067">
        <v>0</v>
      </c>
      <c r="S398" s="2067">
        <v>0</v>
      </c>
      <c r="T398" s="2067">
        <v>0</v>
      </c>
      <c r="U398" s="2067">
        <v>800000</v>
      </c>
      <c r="V398" s="2067">
        <v>0</v>
      </c>
      <c r="W398" s="588"/>
      <c r="X398" s="588">
        <v>3428282</v>
      </c>
      <c r="Y398" s="2067">
        <v>0</v>
      </c>
      <c r="Z398" s="2067">
        <v>1061032</v>
      </c>
      <c r="AA398" s="2067">
        <v>1167250</v>
      </c>
      <c r="AB398" s="2067">
        <v>400000</v>
      </c>
      <c r="AC398" s="2067">
        <v>0</v>
      </c>
      <c r="AD398" s="2067">
        <v>0</v>
      </c>
      <c r="AE398" s="2067">
        <v>400000</v>
      </c>
      <c r="AF398" s="2067">
        <v>0</v>
      </c>
      <c r="AG398" s="2067">
        <v>0</v>
      </c>
      <c r="AH398" s="2067">
        <v>400000</v>
      </c>
      <c r="AI398" s="2067">
        <v>0</v>
      </c>
      <c r="AJ398" s="2067">
        <v>0</v>
      </c>
      <c r="AK398" s="872"/>
      <c r="AL398" s="872"/>
      <c r="AM398" s="2067">
        <v>2000000</v>
      </c>
      <c r="AN398" s="2067">
        <v>1600000</v>
      </c>
      <c r="AO398" s="2067">
        <v>0</v>
      </c>
      <c r="AP398" s="2067">
        <v>0</v>
      </c>
      <c r="AQ398" s="2067">
        <v>0</v>
      </c>
      <c r="AR398" s="1714"/>
      <c r="AS398" s="2071"/>
      <c r="AT398" s="2072"/>
      <c r="AU398" s="883"/>
      <c r="AW398" s="2209"/>
      <c r="AX398" s="2209"/>
      <c r="AY398" s="2209"/>
      <c r="AZ398" s="2209"/>
      <c r="BA398" s="2209"/>
      <c r="BB398" s="2209"/>
      <c r="BC398" s="2209"/>
      <c r="BD398" s="2209"/>
      <c r="BE398" s="2209"/>
      <c r="BF398" s="2209"/>
      <c r="BG398" s="2209"/>
      <c r="BI398" s="535"/>
      <c r="BL398" s="2041"/>
      <c r="BM398" s="2041"/>
      <c r="BN398" s="1954"/>
      <c r="BO398" s="2213"/>
      <c r="BP398" s="2213"/>
      <c r="BQ398" s="534"/>
    </row>
    <row r="399" spans="1:69" s="537" customFormat="1" ht="16.5" customHeight="1">
      <c r="A399" s="2214" t="s">
        <v>1754</v>
      </c>
      <c r="B399" s="2215" t="s">
        <v>2412</v>
      </c>
      <c r="C399" s="2216"/>
      <c r="D399" s="2216"/>
      <c r="E399" s="2217"/>
      <c r="F399" s="2218"/>
      <c r="G399" s="2216">
        <v>0</v>
      </c>
      <c r="H399" s="2219">
        <v>0</v>
      </c>
      <c r="I399" s="2220">
        <v>0</v>
      </c>
      <c r="J399" s="2221">
        <v>0</v>
      </c>
      <c r="K399" s="2216">
        <v>0</v>
      </c>
      <c r="L399" s="2216">
        <v>0</v>
      </c>
      <c r="M399" s="2216">
        <v>0</v>
      </c>
      <c r="N399" s="2216">
        <v>0</v>
      </c>
      <c r="O399" s="2216">
        <v>0</v>
      </c>
      <c r="P399" s="2216">
        <v>0</v>
      </c>
      <c r="Q399" s="2216">
        <v>0</v>
      </c>
      <c r="R399" s="2216">
        <v>0</v>
      </c>
      <c r="S399" s="2216">
        <v>0</v>
      </c>
      <c r="T399" s="2216">
        <v>0</v>
      </c>
      <c r="U399" s="2216">
        <v>0</v>
      </c>
      <c r="V399" s="2216">
        <v>0</v>
      </c>
      <c r="W399" s="2218"/>
      <c r="X399" s="2218">
        <v>0</v>
      </c>
      <c r="Y399" s="2216">
        <v>0</v>
      </c>
      <c r="Z399" s="2216">
        <v>0</v>
      </c>
      <c r="AA399" s="2216">
        <v>0</v>
      </c>
      <c r="AB399" s="2216">
        <v>0</v>
      </c>
      <c r="AC399" s="2216">
        <v>0</v>
      </c>
      <c r="AD399" s="2216">
        <v>0</v>
      </c>
      <c r="AE399" s="2216">
        <v>0</v>
      </c>
      <c r="AF399" s="2216">
        <v>0</v>
      </c>
      <c r="AG399" s="2216">
        <v>0</v>
      </c>
      <c r="AH399" s="2216">
        <v>0</v>
      </c>
      <c r="AI399" s="2216">
        <v>0</v>
      </c>
      <c r="AJ399" s="2216">
        <v>0</v>
      </c>
      <c r="AK399" s="872"/>
      <c r="AL399" s="872"/>
      <c r="AM399" s="2216">
        <v>0</v>
      </c>
      <c r="AN399" s="2216">
        <v>0</v>
      </c>
      <c r="AO399" s="2216">
        <v>0</v>
      </c>
      <c r="AP399" s="2216">
        <v>0</v>
      </c>
      <c r="AQ399" s="2216">
        <v>0</v>
      </c>
      <c r="AR399" s="1714"/>
      <c r="AS399" s="2071"/>
      <c r="AT399" s="2072"/>
      <c r="AU399" s="883"/>
      <c r="AW399" s="2209"/>
      <c r="AX399" s="2209"/>
      <c r="AY399" s="2209"/>
      <c r="AZ399" s="2209"/>
      <c r="BA399" s="2209"/>
      <c r="BB399" s="2209"/>
      <c r="BC399" s="2209"/>
      <c r="BD399" s="2209"/>
      <c r="BE399" s="2209"/>
      <c r="BF399" s="2209"/>
      <c r="BG399" s="2209"/>
      <c r="BI399" s="535"/>
      <c r="BL399" s="2041"/>
      <c r="BM399" s="2041"/>
      <c r="BN399" s="1954"/>
      <c r="BO399" s="2213"/>
      <c r="BP399" s="2213"/>
      <c r="BQ399" s="534"/>
    </row>
    <row r="400" spans="1:69" s="537" customFormat="1" ht="16.5" customHeight="1">
      <c r="A400" s="2214" t="s">
        <v>1754</v>
      </c>
      <c r="B400" s="2215" t="s">
        <v>2413</v>
      </c>
      <c r="C400" s="2216"/>
      <c r="D400" s="2216"/>
      <c r="E400" s="2217"/>
      <c r="F400" s="2218"/>
      <c r="G400" s="2216">
        <v>0</v>
      </c>
      <c r="H400" s="2219">
        <v>0</v>
      </c>
      <c r="I400" s="2220">
        <v>0</v>
      </c>
      <c r="J400" s="2221">
        <v>0</v>
      </c>
      <c r="K400" s="2216">
        <v>0</v>
      </c>
      <c r="L400" s="2216">
        <v>0</v>
      </c>
      <c r="M400" s="2216">
        <v>0</v>
      </c>
      <c r="N400" s="2216">
        <v>0</v>
      </c>
      <c r="O400" s="2216">
        <v>0</v>
      </c>
      <c r="P400" s="2216">
        <v>0</v>
      </c>
      <c r="Q400" s="2216">
        <v>0</v>
      </c>
      <c r="R400" s="2216">
        <v>0</v>
      </c>
      <c r="S400" s="2216">
        <v>0</v>
      </c>
      <c r="T400" s="2216">
        <v>0</v>
      </c>
      <c r="U400" s="2216">
        <v>0</v>
      </c>
      <c r="V400" s="2216">
        <v>0</v>
      </c>
      <c r="W400" s="2218"/>
      <c r="X400" s="2218">
        <v>1061032</v>
      </c>
      <c r="Y400" s="2216">
        <v>0</v>
      </c>
      <c r="Z400" s="2216">
        <v>1061032</v>
      </c>
      <c r="AA400" s="2216">
        <v>0</v>
      </c>
      <c r="AB400" s="2216">
        <v>0</v>
      </c>
      <c r="AC400" s="2216">
        <v>0</v>
      </c>
      <c r="AD400" s="2216">
        <v>0</v>
      </c>
      <c r="AE400" s="2216">
        <v>0</v>
      </c>
      <c r="AF400" s="2216">
        <v>0</v>
      </c>
      <c r="AG400" s="2216">
        <v>0</v>
      </c>
      <c r="AH400" s="2216">
        <v>0</v>
      </c>
      <c r="AI400" s="2216">
        <v>0</v>
      </c>
      <c r="AJ400" s="2216">
        <v>0</v>
      </c>
      <c r="AK400" s="872"/>
      <c r="AL400" s="872"/>
      <c r="AM400" s="2216">
        <v>0</v>
      </c>
      <c r="AN400" s="2216">
        <v>0</v>
      </c>
      <c r="AO400" s="2216">
        <v>0</v>
      </c>
      <c r="AP400" s="2216">
        <v>0</v>
      </c>
      <c r="AQ400" s="2216">
        <v>0</v>
      </c>
      <c r="AR400" s="1714"/>
      <c r="AS400" s="2071"/>
      <c r="AT400" s="2072"/>
      <c r="AU400" s="883"/>
      <c r="AW400" s="2209"/>
      <c r="AX400" s="2209"/>
      <c r="AY400" s="2209"/>
      <c r="AZ400" s="2209"/>
      <c r="BA400" s="2209"/>
      <c r="BB400" s="2209"/>
      <c r="BC400" s="2209"/>
      <c r="BD400" s="2209"/>
      <c r="BE400" s="2209"/>
      <c r="BF400" s="2209"/>
      <c r="BG400" s="2209"/>
      <c r="BI400" s="535"/>
      <c r="BL400" s="2041"/>
      <c r="BM400" s="2041"/>
      <c r="BN400" s="1954"/>
      <c r="BO400" s="2213"/>
      <c r="BP400" s="2213"/>
      <c r="BQ400" s="534"/>
    </row>
    <row r="401" spans="1:69" s="537" customFormat="1" ht="16.5" customHeight="1">
      <c r="A401" s="2214" t="s">
        <v>1754</v>
      </c>
      <c r="B401" s="2215" t="s">
        <v>2414</v>
      </c>
      <c r="C401" s="2216"/>
      <c r="D401" s="2216"/>
      <c r="E401" s="2217"/>
      <c r="F401" s="2218"/>
      <c r="G401" s="2216">
        <v>0</v>
      </c>
      <c r="H401" s="2219">
        <v>0</v>
      </c>
      <c r="I401" s="2220">
        <v>0</v>
      </c>
      <c r="J401" s="2221">
        <v>0</v>
      </c>
      <c r="K401" s="2216">
        <v>0</v>
      </c>
      <c r="L401" s="2216">
        <v>0</v>
      </c>
      <c r="M401" s="2216">
        <v>0</v>
      </c>
      <c r="N401" s="2216">
        <v>0</v>
      </c>
      <c r="O401" s="2216">
        <v>0</v>
      </c>
      <c r="P401" s="2216">
        <v>0</v>
      </c>
      <c r="Q401" s="2216">
        <v>0</v>
      </c>
      <c r="R401" s="2216">
        <v>0</v>
      </c>
      <c r="S401" s="2216">
        <v>0</v>
      </c>
      <c r="T401" s="2216">
        <v>0</v>
      </c>
      <c r="U401" s="2216">
        <v>0</v>
      </c>
      <c r="V401" s="2216">
        <v>0</v>
      </c>
      <c r="W401" s="2218"/>
      <c r="X401" s="2218">
        <v>0</v>
      </c>
      <c r="Y401" s="2216">
        <v>0</v>
      </c>
      <c r="Z401" s="2216">
        <v>0</v>
      </c>
      <c r="AA401" s="2216">
        <v>0</v>
      </c>
      <c r="AB401" s="2216">
        <v>0</v>
      </c>
      <c r="AC401" s="2216">
        <v>0</v>
      </c>
      <c r="AD401" s="2216">
        <v>0</v>
      </c>
      <c r="AE401" s="2216">
        <v>0</v>
      </c>
      <c r="AF401" s="2216">
        <v>0</v>
      </c>
      <c r="AG401" s="2216">
        <v>0</v>
      </c>
      <c r="AH401" s="2216">
        <v>0</v>
      </c>
      <c r="AI401" s="2216">
        <v>0</v>
      </c>
      <c r="AJ401" s="2216">
        <v>0</v>
      </c>
      <c r="AK401" s="872"/>
      <c r="AL401" s="872"/>
      <c r="AM401" s="2216">
        <v>0</v>
      </c>
      <c r="AN401" s="2216">
        <v>0</v>
      </c>
      <c r="AO401" s="2216">
        <v>0</v>
      </c>
      <c r="AP401" s="2216">
        <v>0</v>
      </c>
      <c r="AQ401" s="2216">
        <v>0</v>
      </c>
      <c r="AR401" s="1714"/>
      <c r="AS401" s="2071"/>
      <c r="AT401" s="2072"/>
      <c r="AU401" s="883"/>
      <c r="AW401" s="2209"/>
      <c r="AX401" s="2209"/>
      <c r="AY401" s="2209"/>
      <c r="AZ401" s="2209"/>
      <c r="BA401" s="2209"/>
      <c r="BB401" s="2209"/>
      <c r="BC401" s="2209"/>
      <c r="BD401" s="2209"/>
      <c r="BE401" s="2209"/>
      <c r="BF401" s="2209"/>
      <c r="BG401" s="2209"/>
      <c r="BI401" s="535"/>
      <c r="BL401" s="2041"/>
      <c r="BM401" s="2041"/>
      <c r="BN401" s="1954"/>
      <c r="BO401" s="2213"/>
      <c r="BP401" s="2213"/>
      <c r="BQ401" s="534"/>
    </row>
    <row r="402" spans="1:69" s="537" customFormat="1" ht="16.5" customHeight="1">
      <c r="A402" s="2214" t="s">
        <v>1754</v>
      </c>
      <c r="B402" s="2215" t="s">
        <v>2415</v>
      </c>
      <c r="C402" s="2216"/>
      <c r="D402" s="2216"/>
      <c r="E402" s="2217"/>
      <c r="F402" s="2218"/>
      <c r="G402" s="2216">
        <v>0</v>
      </c>
      <c r="H402" s="2219">
        <v>0</v>
      </c>
      <c r="I402" s="2220">
        <v>0</v>
      </c>
      <c r="J402" s="2221">
        <v>0</v>
      </c>
      <c r="K402" s="2216">
        <v>0</v>
      </c>
      <c r="L402" s="2216">
        <v>0</v>
      </c>
      <c r="M402" s="2216">
        <v>0</v>
      </c>
      <c r="N402" s="2216">
        <v>0</v>
      </c>
      <c r="O402" s="2216">
        <v>0</v>
      </c>
      <c r="P402" s="2216">
        <v>0</v>
      </c>
      <c r="Q402" s="2216">
        <v>0</v>
      </c>
      <c r="R402" s="2216">
        <v>0</v>
      </c>
      <c r="S402" s="2216">
        <v>0</v>
      </c>
      <c r="T402" s="2216">
        <v>0</v>
      </c>
      <c r="U402" s="2216">
        <v>0</v>
      </c>
      <c r="V402" s="2216">
        <v>0</v>
      </c>
      <c r="W402" s="2218"/>
      <c r="X402" s="2218">
        <v>0</v>
      </c>
      <c r="Y402" s="2216">
        <v>0</v>
      </c>
      <c r="Z402" s="2216">
        <v>0</v>
      </c>
      <c r="AA402" s="2216">
        <v>0</v>
      </c>
      <c r="AB402" s="2216">
        <v>0</v>
      </c>
      <c r="AC402" s="2216">
        <v>0</v>
      </c>
      <c r="AD402" s="2216">
        <v>0</v>
      </c>
      <c r="AE402" s="2216">
        <v>0</v>
      </c>
      <c r="AF402" s="2216">
        <v>0</v>
      </c>
      <c r="AG402" s="2216">
        <v>0</v>
      </c>
      <c r="AH402" s="2216">
        <v>0</v>
      </c>
      <c r="AI402" s="2216">
        <v>0</v>
      </c>
      <c r="AJ402" s="2216">
        <v>0</v>
      </c>
      <c r="AK402" s="872"/>
      <c r="AL402" s="872"/>
      <c r="AM402" s="2216">
        <v>0</v>
      </c>
      <c r="AN402" s="2216">
        <v>0</v>
      </c>
      <c r="AO402" s="2216">
        <v>0</v>
      </c>
      <c r="AP402" s="2216">
        <v>0</v>
      </c>
      <c r="AQ402" s="2216">
        <v>0</v>
      </c>
      <c r="AR402" s="1714"/>
      <c r="AS402" s="2071"/>
      <c r="AT402" s="2072"/>
      <c r="AU402" s="883"/>
      <c r="AW402" s="2209"/>
      <c r="AX402" s="2209"/>
      <c r="AY402" s="2209"/>
      <c r="AZ402" s="2209"/>
      <c r="BA402" s="2209"/>
      <c r="BB402" s="2209"/>
      <c r="BC402" s="2209"/>
      <c r="BD402" s="2209"/>
      <c r="BE402" s="2209"/>
      <c r="BF402" s="2209"/>
      <c r="BG402" s="2209"/>
      <c r="BI402" s="535"/>
      <c r="BL402" s="2041"/>
      <c r="BM402" s="2041"/>
      <c r="BN402" s="1954"/>
      <c r="BO402" s="2213"/>
      <c r="BP402" s="2213"/>
      <c r="BQ402" s="534"/>
    </row>
    <row r="403" spans="1:69" s="537" customFormat="1" ht="16.5" customHeight="1">
      <c r="A403" s="2214" t="s">
        <v>1755</v>
      </c>
      <c r="B403" s="2215" t="s">
        <v>2416</v>
      </c>
      <c r="C403" s="2216"/>
      <c r="D403" s="2216"/>
      <c r="E403" s="2217"/>
      <c r="F403" s="2218"/>
      <c r="G403" s="2216">
        <v>2925000</v>
      </c>
      <c r="H403" s="2219">
        <v>0</v>
      </c>
      <c r="I403" s="2220">
        <v>975000</v>
      </c>
      <c r="J403" s="2221">
        <v>975000</v>
      </c>
      <c r="K403" s="2216">
        <v>975000</v>
      </c>
      <c r="L403" s="2216">
        <v>0</v>
      </c>
      <c r="M403" s="2216">
        <v>0</v>
      </c>
      <c r="N403" s="2216">
        <v>0</v>
      </c>
      <c r="O403" s="2216">
        <v>0</v>
      </c>
      <c r="P403" s="2216">
        <v>0</v>
      </c>
      <c r="Q403" s="2216">
        <v>0</v>
      </c>
      <c r="R403" s="2216">
        <v>0</v>
      </c>
      <c r="S403" s="2216">
        <v>0</v>
      </c>
      <c r="T403" s="2216">
        <v>0</v>
      </c>
      <c r="U403" s="2216">
        <v>0</v>
      </c>
      <c r="V403" s="2216">
        <v>0</v>
      </c>
      <c r="W403" s="2218"/>
      <c r="X403" s="2218">
        <v>0</v>
      </c>
      <c r="Y403" s="2216">
        <v>0</v>
      </c>
      <c r="Z403" s="2216">
        <v>0</v>
      </c>
      <c r="AA403" s="2216">
        <v>0</v>
      </c>
      <c r="AB403" s="2216">
        <v>0</v>
      </c>
      <c r="AC403" s="2216">
        <v>0</v>
      </c>
      <c r="AD403" s="2216">
        <v>0</v>
      </c>
      <c r="AE403" s="2216">
        <v>0</v>
      </c>
      <c r="AF403" s="2216">
        <v>0</v>
      </c>
      <c r="AG403" s="2216">
        <v>0</v>
      </c>
      <c r="AH403" s="2216">
        <v>0</v>
      </c>
      <c r="AI403" s="2216">
        <v>0</v>
      </c>
      <c r="AJ403" s="2216">
        <v>0</v>
      </c>
      <c r="AK403" s="872"/>
      <c r="AL403" s="872"/>
      <c r="AM403" s="2216">
        <v>0</v>
      </c>
      <c r="AN403" s="2216">
        <v>0</v>
      </c>
      <c r="AO403" s="2216">
        <v>0</v>
      </c>
      <c r="AP403" s="2216">
        <v>0</v>
      </c>
      <c r="AQ403" s="2216">
        <v>0</v>
      </c>
      <c r="AR403" s="1714"/>
      <c r="AS403" s="2071"/>
      <c r="AT403" s="2072"/>
      <c r="AU403" s="883"/>
      <c r="AW403" s="2209"/>
      <c r="AX403" s="2209"/>
      <c r="AY403" s="2209"/>
      <c r="AZ403" s="2209"/>
      <c r="BA403" s="2209"/>
      <c r="BB403" s="2209"/>
      <c r="BC403" s="2209"/>
      <c r="BD403" s="2209"/>
      <c r="BE403" s="2209"/>
      <c r="BF403" s="2209"/>
      <c r="BG403" s="2209"/>
      <c r="BI403" s="535"/>
      <c r="BL403" s="2041"/>
      <c r="BM403" s="2041"/>
      <c r="BN403" s="1954"/>
      <c r="BO403" s="2213"/>
      <c r="BP403" s="2213"/>
      <c r="BQ403" s="534"/>
    </row>
    <row r="404" spans="1:69" s="537" customFormat="1" ht="16.5" customHeight="1" thickBot="1">
      <c r="A404" s="2222" t="s">
        <v>1755</v>
      </c>
      <c r="B404" s="2223" t="s">
        <v>2417</v>
      </c>
      <c r="C404" s="2224"/>
      <c r="D404" s="2224"/>
      <c r="E404" s="2225"/>
      <c r="F404" s="2226"/>
      <c r="G404" s="2224">
        <v>1200000</v>
      </c>
      <c r="H404" s="2227">
        <v>0</v>
      </c>
      <c r="I404" s="2228">
        <v>5244750</v>
      </c>
      <c r="J404" s="2229">
        <v>6044750</v>
      </c>
      <c r="K404" s="2224">
        <v>0</v>
      </c>
      <c r="L404" s="2224">
        <v>1910250</v>
      </c>
      <c r="M404" s="2224">
        <v>0</v>
      </c>
      <c r="N404" s="2224">
        <v>200000</v>
      </c>
      <c r="O404" s="2224">
        <v>0</v>
      </c>
      <c r="P404" s="2224">
        <v>1567250</v>
      </c>
      <c r="Q404" s="2224">
        <v>1567250</v>
      </c>
      <c r="R404" s="2224">
        <v>0</v>
      </c>
      <c r="S404" s="2224">
        <v>0</v>
      </c>
      <c r="T404" s="2224">
        <v>0</v>
      </c>
      <c r="U404" s="2224">
        <v>800000</v>
      </c>
      <c r="V404" s="2224">
        <v>0</v>
      </c>
      <c r="W404" s="2226"/>
      <c r="X404" s="2226">
        <v>2367250</v>
      </c>
      <c r="Y404" s="2224">
        <v>0</v>
      </c>
      <c r="Z404" s="2224">
        <v>0</v>
      </c>
      <c r="AA404" s="2224">
        <v>1167250</v>
      </c>
      <c r="AB404" s="2224">
        <v>400000</v>
      </c>
      <c r="AC404" s="2224">
        <v>0</v>
      </c>
      <c r="AD404" s="2224">
        <v>0</v>
      </c>
      <c r="AE404" s="2224">
        <v>400000</v>
      </c>
      <c r="AF404" s="2224">
        <v>0</v>
      </c>
      <c r="AG404" s="2224">
        <v>0</v>
      </c>
      <c r="AH404" s="2224">
        <v>400000</v>
      </c>
      <c r="AI404" s="2224">
        <v>0</v>
      </c>
      <c r="AJ404" s="2224">
        <v>0</v>
      </c>
      <c r="AK404" s="872"/>
      <c r="AL404" s="872"/>
      <c r="AM404" s="2224">
        <v>2000000</v>
      </c>
      <c r="AN404" s="2224">
        <v>1600000</v>
      </c>
      <c r="AO404" s="2224">
        <v>0</v>
      </c>
      <c r="AP404" s="2224">
        <v>0</v>
      </c>
      <c r="AQ404" s="2224">
        <v>0</v>
      </c>
      <c r="AR404" s="2174"/>
      <c r="AS404" s="2230"/>
      <c r="AT404" s="2231"/>
      <c r="AU404" s="883"/>
      <c r="AW404" s="2209"/>
      <c r="AX404" s="2209"/>
      <c r="AY404" s="2209"/>
      <c r="AZ404" s="2209"/>
      <c r="BA404" s="2209"/>
      <c r="BB404" s="2209"/>
      <c r="BC404" s="2209"/>
      <c r="BD404" s="2209"/>
      <c r="BE404" s="2209"/>
      <c r="BF404" s="2209"/>
      <c r="BG404" s="2209"/>
      <c r="BI404" s="535"/>
      <c r="BL404" s="2041"/>
      <c r="BM404" s="2041"/>
      <c r="BN404" s="1954"/>
      <c r="BO404" s="2213"/>
      <c r="BP404" s="2213"/>
      <c r="BQ404" s="534"/>
    </row>
    <row r="405" spans="1:69" s="537" customFormat="1" ht="16.5" customHeight="1">
      <c r="A405" s="2232" t="s">
        <v>2418</v>
      </c>
      <c r="B405" s="2233" t="s">
        <v>1272</v>
      </c>
      <c r="C405" s="2234"/>
      <c r="D405" s="2234"/>
      <c r="E405" s="2235"/>
      <c r="F405" s="1321"/>
      <c r="G405" s="588">
        <v>5752500</v>
      </c>
      <c r="H405" s="2236">
        <v>0</v>
      </c>
      <c r="I405" s="2237">
        <v>5630000</v>
      </c>
      <c r="J405" s="2238">
        <v>6430000</v>
      </c>
      <c r="K405" s="2234">
        <v>0</v>
      </c>
      <c r="L405" s="2234">
        <v>975000</v>
      </c>
      <c r="M405" s="2234">
        <v>1550000</v>
      </c>
      <c r="N405" s="2234">
        <v>0</v>
      </c>
      <c r="O405" s="2234">
        <v>200000</v>
      </c>
      <c r="P405" s="2234">
        <v>1527500</v>
      </c>
      <c r="Q405" s="2234">
        <v>1377500</v>
      </c>
      <c r="R405" s="2234">
        <v>0</v>
      </c>
      <c r="S405" s="2234">
        <v>0</v>
      </c>
      <c r="T405" s="2234">
        <v>0</v>
      </c>
      <c r="U405" s="2234">
        <v>800000</v>
      </c>
      <c r="V405" s="2234">
        <v>0</v>
      </c>
      <c r="W405" s="1321"/>
      <c r="X405" s="1321">
        <v>3132500</v>
      </c>
      <c r="Y405" s="2234">
        <v>805000</v>
      </c>
      <c r="Z405" s="2234">
        <v>0</v>
      </c>
      <c r="AA405" s="2234">
        <v>1127500</v>
      </c>
      <c r="AB405" s="2234">
        <v>400000</v>
      </c>
      <c r="AC405" s="2234">
        <v>0</v>
      </c>
      <c r="AD405" s="2234">
        <v>0</v>
      </c>
      <c r="AE405" s="2234">
        <v>400000</v>
      </c>
      <c r="AF405" s="2234">
        <v>0</v>
      </c>
      <c r="AG405" s="2234">
        <v>0</v>
      </c>
      <c r="AH405" s="2234">
        <v>400000</v>
      </c>
      <c r="AI405" s="2234">
        <v>0</v>
      </c>
      <c r="AJ405" s="2234">
        <v>0</v>
      </c>
      <c r="AK405" s="872"/>
      <c r="AL405" s="872"/>
      <c r="AM405" s="2234">
        <v>2000000</v>
      </c>
      <c r="AN405" s="2234">
        <v>1600000</v>
      </c>
      <c r="AO405" s="2234">
        <v>0</v>
      </c>
      <c r="AP405" s="2234">
        <v>0</v>
      </c>
      <c r="AQ405" s="2234">
        <v>0</v>
      </c>
      <c r="AR405" s="2239"/>
      <c r="AS405" s="1662"/>
      <c r="AT405" s="2240"/>
      <c r="AU405" s="883"/>
      <c r="AW405" s="534"/>
      <c r="AX405" s="534"/>
      <c r="AY405" s="534"/>
      <c r="AZ405" s="534"/>
      <c r="BA405" s="534"/>
      <c r="BB405" s="534"/>
      <c r="BC405" s="534"/>
      <c r="BD405" s="534"/>
      <c r="BE405" s="534"/>
      <c r="BF405" s="534"/>
      <c r="BG405" s="534"/>
      <c r="BI405" s="535"/>
      <c r="BL405" s="2241"/>
      <c r="BM405" s="2241"/>
      <c r="BN405" s="2213"/>
      <c r="BO405" s="2242"/>
      <c r="BP405" s="2242"/>
      <c r="BQ405" s="762"/>
    </row>
    <row r="406" spans="1:69" s="537" customFormat="1" ht="16.5" customHeight="1">
      <c r="A406" s="2214" t="s">
        <v>1754</v>
      </c>
      <c r="B406" s="2215" t="s">
        <v>2419</v>
      </c>
      <c r="C406" s="2216"/>
      <c r="D406" s="2216"/>
      <c r="E406" s="2217"/>
      <c r="F406" s="2218"/>
      <c r="G406" s="2216">
        <v>0</v>
      </c>
      <c r="H406" s="2243">
        <v>0</v>
      </c>
      <c r="I406" s="2244">
        <v>0</v>
      </c>
      <c r="J406" s="2221">
        <v>0</v>
      </c>
      <c r="K406" s="2216">
        <v>0</v>
      </c>
      <c r="L406" s="2216">
        <v>0</v>
      </c>
      <c r="M406" s="2216">
        <v>0</v>
      </c>
      <c r="N406" s="2216">
        <v>0</v>
      </c>
      <c r="O406" s="2216">
        <v>0</v>
      </c>
      <c r="P406" s="2216">
        <v>0</v>
      </c>
      <c r="Q406" s="2216">
        <v>0</v>
      </c>
      <c r="R406" s="2216">
        <v>0</v>
      </c>
      <c r="S406" s="2216">
        <v>0</v>
      </c>
      <c r="T406" s="2216">
        <v>0</v>
      </c>
      <c r="U406" s="2216">
        <v>0</v>
      </c>
      <c r="V406" s="2216">
        <v>0</v>
      </c>
      <c r="W406" s="2218"/>
      <c r="X406" s="2218">
        <v>0</v>
      </c>
      <c r="Y406" s="2216">
        <v>0</v>
      </c>
      <c r="Z406" s="2216">
        <v>0</v>
      </c>
      <c r="AA406" s="2216">
        <v>0</v>
      </c>
      <c r="AB406" s="2216">
        <v>0</v>
      </c>
      <c r="AC406" s="2216">
        <v>0</v>
      </c>
      <c r="AD406" s="2216">
        <v>0</v>
      </c>
      <c r="AE406" s="2216">
        <v>0</v>
      </c>
      <c r="AF406" s="2216">
        <v>0</v>
      </c>
      <c r="AG406" s="2216">
        <v>0</v>
      </c>
      <c r="AH406" s="2216">
        <v>0</v>
      </c>
      <c r="AI406" s="2216">
        <v>0</v>
      </c>
      <c r="AJ406" s="2216">
        <v>0</v>
      </c>
      <c r="AK406" s="872"/>
      <c r="AL406" s="872"/>
      <c r="AM406" s="2216">
        <v>0</v>
      </c>
      <c r="AN406" s="2216">
        <v>0</v>
      </c>
      <c r="AO406" s="2216">
        <v>0</v>
      </c>
      <c r="AP406" s="2216">
        <v>0</v>
      </c>
      <c r="AQ406" s="2216">
        <v>0</v>
      </c>
      <c r="AR406" s="1714"/>
      <c r="AS406" s="2071"/>
      <c r="AT406" s="2072"/>
      <c r="AU406" s="883"/>
      <c r="AW406" s="2209"/>
      <c r="AX406" s="2209"/>
      <c r="AY406" s="2209"/>
      <c r="AZ406" s="2209"/>
      <c r="BA406" s="2209"/>
      <c r="BB406" s="2209"/>
      <c r="BC406" s="2209"/>
      <c r="BD406" s="2209"/>
      <c r="BE406" s="2209"/>
      <c r="BF406" s="2209"/>
      <c r="BG406" s="2209"/>
      <c r="BI406" s="535"/>
      <c r="BL406" s="2041"/>
      <c r="BM406" s="2041"/>
      <c r="BN406" s="1954"/>
      <c r="BO406" s="2213"/>
      <c r="BP406" s="2213"/>
      <c r="BQ406" s="534"/>
    </row>
    <row r="407" spans="1:69" s="537" customFormat="1" ht="16.5" customHeight="1">
      <c r="A407" s="2214" t="s">
        <v>1754</v>
      </c>
      <c r="B407" s="2215" t="s">
        <v>2420</v>
      </c>
      <c r="C407" s="2216"/>
      <c r="D407" s="2216"/>
      <c r="E407" s="2217"/>
      <c r="F407" s="2218"/>
      <c r="G407" s="2216">
        <v>0</v>
      </c>
      <c r="H407" s="2243">
        <v>0</v>
      </c>
      <c r="I407" s="2244">
        <v>0</v>
      </c>
      <c r="J407" s="2221">
        <v>0</v>
      </c>
      <c r="K407" s="2216">
        <v>0</v>
      </c>
      <c r="L407" s="2216">
        <v>0</v>
      </c>
      <c r="M407" s="2216">
        <v>0</v>
      </c>
      <c r="N407" s="2216">
        <v>0</v>
      </c>
      <c r="O407" s="2216">
        <v>0</v>
      </c>
      <c r="P407" s="2216">
        <v>0</v>
      </c>
      <c r="Q407" s="2216">
        <v>0</v>
      </c>
      <c r="R407" s="2216">
        <v>0</v>
      </c>
      <c r="S407" s="2216">
        <v>0</v>
      </c>
      <c r="T407" s="2216">
        <v>0</v>
      </c>
      <c r="U407" s="2216">
        <v>0</v>
      </c>
      <c r="V407" s="2216">
        <v>0</v>
      </c>
      <c r="W407" s="2218"/>
      <c r="X407" s="2218">
        <v>805000</v>
      </c>
      <c r="Y407" s="2216">
        <v>805000</v>
      </c>
      <c r="Z407" s="2216">
        <v>0</v>
      </c>
      <c r="AA407" s="2216">
        <v>0</v>
      </c>
      <c r="AB407" s="2216">
        <v>0</v>
      </c>
      <c r="AC407" s="2216">
        <v>0</v>
      </c>
      <c r="AD407" s="2216">
        <v>0</v>
      </c>
      <c r="AE407" s="2216">
        <v>0</v>
      </c>
      <c r="AF407" s="2216">
        <v>0</v>
      </c>
      <c r="AG407" s="2216">
        <v>0</v>
      </c>
      <c r="AH407" s="2216">
        <v>0</v>
      </c>
      <c r="AI407" s="2216">
        <v>0</v>
      </c>
      <c r="AJ407" s="2216">
        <v>0</v>
      </c>
      <c r="AK407" s="872"/>
      <c r="AL407" s="872"/>
      <c r="AM407" s="2216">
        <v>0</v>
      </c>
      <c r="AN407" s="2216">
        <v>0</v>
      </c>
      <c r="AO407" s="2216">
        <v>0</v>
      </c>
      <c r="AP407" s="2216">
        <v>0</v>
      </c>
      <c r="AQ407" s="2216">
        <v>0</v>
      </c>
      <c r="AR407" s="1714"/>
      <c r="AS407" s="2071"/>
      <c r="AT407" s="2072"/>
      <c r="AU407" s="883"/>
      <c r="AW407" s="2209"/>
      <c r="AX407" s="2209"/>
      <c r="AY407" s="2209"/>
      <c r="AZ407" s="2209"/>
      <c r="BA407" s="2209"/>
      <c r="BB407" s="2209"/>
      <c r="BC407" s="2209"/>
      <c r="BD407" s="2209"/>
      <c r="BE407" s="2209"/>
      <c r="BF407" s="2209"/>
      <c r="BG407" s="2209"/>
      <c r="BI407" s="535"/>
      <c r="BL407" s="2041"/>
      <c r="BM407" s="2041"/>
      <c r="BN407" s="1954"/>
      <c r="BO407" s="2213"/>
      <c r="BP407" s="2213"/>
      <c r="BQ407" s="534"/>
    </row>
    <row r="408" spans="1:69" s="537" customFormat="1" ht="16.5" customHeight="1">
      <c r="A408" s="2214" t="s">
        <v>1754</v>
      </c>
      <c r="B408" s="2215" t="s">
        <v>2421</v>
      </c>
      <c r="C408" s="2216"/>
      <c r="D408" s="2216"/>
      <c r="E408" s="2217"/>
      <c r="F408" s="2218"/>
      <c r="G408" s="2216">
        <v>0</v>
      </c>
      <c r="H408" s="2243">
        <v>0</v>
      </c>
      <c r="I408" s="2244">
        <v>0</v>
      </c>
      <c r="J408" s="2221">
        <v>0</v>
      </c>
      <c r="K408" s="2216">
        <v>0</v>
      </c>
      <c r="L408" s="2216">
        <v>0</v>
      </c>
      <c r="M408" s="2216">
        <v>0</v>
      </c>
      <c r="N408" s="2216">
        <v>0</v>
      </c>
      <c r="O408" s="2216">
        <v>0</v>
      </c>
      <c r="P408" s="2216">
        <v>0</v>
      </c>
      <c r="Q408" s="2216">
        <v>0</v>
      </c>
      <c r="R408" s="2216">
        <v>0</v>
      </c>
      <c r="S408" s="2216">
        <v>0</v>
      </c>
      <c r="T408" s="2216">
        <v>0</v>
      </c>
      <c r="U408" s="2216">
        <v>0</v>
      </c>
      <c r="V408" s="2216">
        <v>0</v>
      </c>
      <c r="W408" s="2218"/>
      <c r="X408" s="2218"/>
      <c r="Y408" s="2216">
        <v>0</v>
      </c>
      <c r="Z408" s="2216">
        <v>0</v>
      </c>
      <c r="AA408" s="2216">
        <v>0</v>
      </c>
      <c r="AB408" s="2216">
        <v>0</v>
      </c>
      <c r="AC408" s="2216">
        <v>0</v>
      </c>
      <c r="AD408" s="2216">
        <v>0</v>
      </c>
      <c r="AE408" s="2216">
        <v>0</v>
      </c>
      <c r="AF408" s="2216">
        <v>0</v>
      </c>
      <c r="AG408" s="2216">
        <v>0</v>
      </c>
      <c r="AH408" s="2216">
        <v>0</v>
      </c>
      <c r="AI408" s="2216">
        <v>0</v>
      </c>
      <c r="AJ408" s="2216">
        <v>0</v>
      </c>
      <c r="AK408" s="872"/>
      <c r="AL408" s="872"/>
      <c r="AM408" s="2216">
        <v>0</v>
      </c>
      <c r="AN408" s="2216">
        <v>0</v>
      </c>
      <c r="AO408" s="2216">
        <v>0</v>
      </c>
      <c r="AP408" s="2216">
        <v>0</v>
      </c>
      <c r="AQ408" s="2216">
        <v>0</v>
      </c>
      <c r="AR408" s="1714"/>
      <c r="AS408" s="2071"/>
      <c r="AT408" s="2072"/>
      <c r="AU408" s="883"/>
      <c r="AW408" s="2209"/>
      <c r="AX408" s="2209"/>
      <c r="AY408" s="2209"/>
      <c r="AZ408" s="2209"/>
      <c r="BA408" s="2209"/>
      <c r="BB408" s="2209"/>
      <c r="BC408" s="2209"/>
      <c r="BD408" s="2209"/>
      <c r="BE408" s="2209"/>
      <c r="BF408" s="2209"/>
      <c r="BG408" s="2209"/>
      <c r="BI408" s="535"/>
      <c r="BL408" s="2041"/>
      <c r="BM408" s="2041"/>
      <c r="BN408" s="1954"/>
      <c r="BO408" s="2213"/>
      <c r="BP408" s="2213"/>
      <c r="BQ408" s="534"/>
    </row>
    <row r="409" spans="1:69" s="537" customFormat="1" ht="16.5" customHeight="1">
      <c r="A409" s="2214" t="s">
        <v>1754</v>
      </c>
      <c r="B409" s="2215" t="s">
        <v>2422</v>
      </c>
      <c r="C409" s="2216"/>
      <c r="D409" s="2216"/>
      <c r="E409" s="2217"/>
      <c r="F409" s="2218"/>
      <c r="G409" s="2216">
        <v>0</v>
      </c>
      <c r="H409" s="2243">
        <v>0</v>
      </c>
      <c r="I409" s="2244">
        <v>0</v>
      </c>
      <c r="J409" s="2221">
        <v>0</v>
      </c>
      <c r="K409" s="2216">
        <v>0</v>
      </c>
      <c r="L409" s="2216">
        <v>0</v>
      </c>
      <c r="M409" s="2216">
        <v>0</v>
      </c>
      <c r="N409" s="2216">
        <v>0</v>
      </c>
      <c r="O409" s="2216">
        <v>0</v>
      </c>
      <c r="P409" s="2216">
        <v>0</v>
      </c>
      <c r="Q409" s="2216">
        <v>0</v>
      </c>
      <c r="R409" s="2216">
        <v>0</v>
      </c>
      <c r="S409" s="2216">
        <v>0</v>
      </c>
      <c r="T409" s="2216">
        <v>0</v>
      </c>
      <c r="U409" s="2216">
        <v>0</v>
      </c>
      <c r="V409" s="2216">
        <v>0</v>
      </c>
      <c r="W409" s="2218"/>
      <c r="X409" s="2218">
        <v>0</v>
      </c>
      <c r="Y409" s="2216">
        <v>0</v>
      </c>
      <c r="Z409" s="2216">
        <v>0</v>
      </c>
      <c r="AA409" s="2216">
        <v>0</v>
      </c>
      <c r="AB409" s="2216">
        <v>0</v>
      </c>
      <c r="AC409" s="2216">
        <v>0</v>
      </c>
      <c r="AD409" s="2216">
        <v>0</v>
      </c>
      <c r="AE409" s="2216">
        <v>0</v>
      </c>
      <c r="AF409" s="2216">
        <v>0</v>
      </c>
      <c r="AG409" s="2216">
        <v>0</v>
      </c>
      <c r="AH409" s="2216">
        <v>0</v>
      </c>
      <c r="AI409" s="2216">
        <v>0</v>
      </c>
      <c r="AJ409" s="2216">
        <v>0</v>
      </c>
      <c r="AK409" s="872"/>
      <c r="AL409" s="872"/>
      <c r="AM409" s="2216">
        <v>0</v>
      </c>
      <c r="AN409" s="2216">
        <v>0</v>
      </c>
      <c r="AO409" s="2216">
        <v>0</v>
      </c>
      <c r="AP409" s="2216">
        <v>0</v>
      </c>
      <c r="AQ409" s="2216">
        <v>0</v>
      </c>
      <c r="AR409" s="1714"/>
      <c r="AS409" s="2071"/>
      <c r="AT409" s="2072"/>
      <c r="AU409" s="883"/>
      <c r="AW409" s="2209"/>
      <c r="AX409" s="2209"/>
      <c r="AY409" s="2209"/>
      <c r="AZ409" s="2209"/>
      <c r="BA409" s="2209"/>
      <c r="BB409" s="2209"/>
      <c r="BC409" s="2209"/>
      <c r="BD409" s="2209"/>
      <c r="BE409" s="2209"/>
      <c r="BF409" s="2209"/>
      <c r="BG409" s="2209"/>
      <c r="BI409" s="535"/>
      <c r="BL409" s="2041"/>
      <c r="BM409" s="2041"/>
      <c r="BN409" s="1954"/>
      <c r="BO409" s="2213"/>
      <c r="BP409" s="2213"/>
      <c r="BQ409" s="534"/>
    </row>
    <row r="410" spans="1:69" s="537" customFormat="1" ht="16.5" customHeight="1">
      <c r="A410" s="2214" t="s">
        <v>1755</v>
      </c>
      <c r="B410" s="2215" t="s">
        <v>2423</v>
      </c>
      <c r="C410" s="2216"/>
      <c r="D410" s="2216"/>
      <c r="E410" s="2217"/>
      <c r="F410" s="2218"/>
      <c r="G410" s="2216">
        <v>780000</v>
      </c>
      <c r="H410" s="2243">
        <v>0</v>
      </c>
      <c r="I410" s="2244">
        <v>975000</v>
      </c>
      <c r="J410" s="2221">
        <v>975000</v>
      </c>
      <c r="K410" s="2216">
        <v>0</v>
      </c>
      <c r="L410" s="2216">
        <v>975000</v>
      </c>
      <c r="M410" s="2216">
        <v>0</v>
      </c>
      <c r="N410" s="2216">
        <v>0</v>
      </c>
      <c r="O410" s="2216">
        <v>0</v>
      </c>
      <c r="P410" s="2216">
        <v>0</v>
      </c>
      <c r="Q410" s="2216">
        <v>0</v>
      </c>
      <c r="R410" s="2216">
        <v>0</v>
      </c>
      <c r="S410" s="2216">
        <v>0</v>
      </c>
      <c r="T410" s="2216">
        <v>0</v>
      </c>
      <c r="U410" s="2216">
        <v>0</v>
      </c>
      <c r="V410" s="2216">
        <v>0</v>
      </c>
      <c r="W410" s="2218"/>
      <c r="X410" s="2218">
        <v>0</v>
      </c>
      <c r="Y410" s="2216">
        <v>0</v>
      </c>
      <c r="Z410" s="2216">
        <v>0</v>
      </c>
      <c r="AA410" s="2216">
        <v>0</v>
      </c>
      <c r="AB410" s="2216">
        <v>0</v>
      </c>
      <c r="AC410" s="2216">
        <v>0</v>
      </c>
      <c r="AD410" s="2216">
        <v>0</v>
      </c>
      <c r="AE410" s="2216">
        <v>0</v>
      </c>
      <c r="AF410" s="2216">
        <v>0</v>
      </c>
      <c r="AG410" s="2216">
        <v>0</v>
      </c>
      <c r="AH410" s="2216">
        <v>0</v>
      </c>
      <c r="AI410" s="2216">
        <v>0</v>
      </c>
      <c r="AJ410" s="2216">
        <v>0</v>
      </c>
      <c r="AK410" s="872"/>
      <c r="AL410" s="872"/>
      <c r="AM410" s="2216">
        <v>0</v>
      </c>
      <c r="AN410" s="2216">
        <v>0</v>
      </c>
      <c r="AO410" s="2216">
        <v>0</v>
      </c>
      <c r="AP410" s="2216" t="s">
        <v>1275</v>
      </c>
      <c r="AQ410" s="2216">
        <v>0</v>
      </c>
      <c r="AR410" s="1714"/>
      <c r="AS410" s="2071"/>
      <c r="AT410" s="2072"/>
      <c r="AU410" s="883"/>
      <c r="AW410" s="2209"/>
      <c r="AX410" s="2209"/>
      <c r="AY410" s="2209"/>
      <c r="AZ410" s="2209"/>
      <c r="BA410" s="2209"/>
      <c r="BB410" s="2209"/>
      <c r="BC410" s="2209"/>
      <c r="BD410" s="2209"/>
      <c r="BE410" s="2209"/>
      <c r="BF410" s="2209"/>
      <c r="BG410" s="2209"/>
      <c r="BI410" s="535"/>
      <c r="BL410" s="2041"/>
      <c r="BM410" s="2041"/>
      <c r="BN410" s="1954"/>
      <c r="BO410" s="2213"/>
      <c r="BP410" s="2213"/>
      <c r="BQ410" s="534"/>
    </row>
    <row r="411" spans="1:69" s="537" customFormat="1" ht="16.5" customHeight="1">
      <c r="A411" s="2214" t="s">
        <v>1755</v>
      </c>
      <c r="B411" s="2215" t="s">
        <v>2424</v>
      </c>
      <c r="C411" s="2216"/>
      <c r="D411" s="2216"/>
      <c r="E411" s="2217"/>
      <c r="F411" s="2218"/>
      <c r="G411" s="2216">
        <v>4972500</v>
      </c>
      <c r="H411" s="2243">
        <v>0</v>
      </c>
      <c r="I411" s="2244">
        <v>4655000</v>
      </c>
      <c r="J411" s="2221">
        <v>5455000</v>
      </c>
      <c r="K411" s="2216">
        <v>0</v>
      </c>
      <c r="L411" s="2216">
        <v>0</v>
      </c>
      <c r="M411" s="2216">
        <v>1550000</v>
      </c>
      <c r="N411" s="2216">
        <v>0</v>
      </c>
      <c r="O411" s="2216">
        <v>200000</v>
      </c>
      <c r="P411" s="2216">
        <v>1527500</v>
      </c>
      <c r="Q411" s="2216">
        <v>1377500</v>
      </c>
      <c r="R411" s="2216">
        <v>0</v>
      </c>
      <c r="S411" s="2216">
        <v>0</v>
      </c>
      <c r="T411" s="2216">
        <v>0</v>
      </c>
      <c r="U411" s="2216">
        <v>800000</v>
      </c>
      <c r="V411" s="2216">
        <v>0</v>
      </c>
      <c r="W411" s="2218"/>
      <c r="X411" s="2218">
        <v>2327500</v>
      </c>
      <c r="Y411" s="2216">
        <v>0</v>
      </c>
      <c r="Z411" s="2216">
        <v>0</v>
      </c>
      <c r="AA411" s="2216">
        <v>1127500</v>
      </c>
      <c r="AB411" s="2216">
        <v>400000</v>
      </c>
      <c r="AC411" s="2216">
        <v>0</v>
      </c>
      <c r="AD411" s="2216">
        <v>0</v>
      </c>
      <c r="AE411" s="2216">
        <v>400000</v>
      </c>
      <c r="AF411" s="2216">
        <v>0</v>
      </c>
      <c r="AG411" s="2216">
        <v>0</v>
      </c>
      <c r="AH411" s="2216">
        <v>400000</v>
      </c>
      <c r="AI411" s="2216">
        <v>0</v>
      </c>
      <c r="AJ411" s="2216">
        <v>0</v>
      </c>
      <c r="AK411" s="872"/>
      <c r="AL411" s="872"/>
      <c r="AM411" s="2216">
        <v>2000000</v>
      </c>
      <c r="AN411" s="2216">
        <v>1600000</v>
      </c>
      <c r="AO411" s="2216">
        <v>0</v>
      </c>
      <c r="AP411" s="2216" t="s">
        <v>1275</v>
      </c>
      <c r="AQ411" s="2216">
        <v>0</v>
      </c>
      <c r="AR411" s="1714"/>
      <c r="AS411" s="2071"/>
      <c r="AT411" s="2072"/>
      <c r="AU411" s="883"/>
      <c r="AW411" s="2209"/>
      <c r="AX411" s="2209"/>
      <c r="AY411" s="2209"/>
      <c r="AZ411" s="2209"/>
      <c r="BA411" s="2209"/>
      <c r="BB411" s="2209"/>
      <c r="BC411" s="2209"/>
      <c r="BD411" s="2209"/>
      <c r="BE411" s="2209"/>
      <c r="BF411" s="2209"/>
      <c r="BG411" s="2209"/>
      <c r="BI411" s="535"/>
      <c r="BL411" s="2041"/>
      <c r="BM411" s="2041"/>
      <c r="BN411" s="1954"/>
      <c r="BO411" s="2213"/>
      <c r="BP411" s="2213"/>
      <c r="BQ411" s="534"/>
    </row>
    <row r="412" spans="1:69" s="537" customFormat="1" ht="16.5" customHeight="1">
      <c r="A412" s="2214" t="s">
        <v>1755</v>
      </c>
      <c r="B412" s="2215" t="s">
        <v>2425</v>
      </c>
      <c r="C412" s="2216"/>
      <c r="D412" s="2216"/>
      <c r="E412" s="2217"/>
      <c r="F412" s="2218"/>
      <c r="G412" s="2216">
        <v>0</v>
      </c>
      <c r="H412" s="2243">
        <v>0</v>
      </c>
      <c r="I412" s="2244">
        <v>0</v>
      </c>
      <c r="J412" s="2221">
        <v>0</v>
      </c>
      <c r="K412" s="2216" t="s">
        <v>1275</v>
      </c>
      <c r="L412" s="2216" t="s">
        <v>1275</v>
      </c>
      <c r="M412" s="2216" t="s">
        <v>1275</v>
      </c>
      <c r="N412" s="2216">
        <v>0</v>
      </c>
      <c r="O412" s="2216">
        <v>0</v>
      </c>
      <c r="P412" s="2216">
        <v>0</v>
      </c>
      <c r="Q412" s="2216">
        <v>0</v>
      </c>
      <c r="R412" s="2216">
        <v>0</v>
      </c>
      <c r="S412" s="2216">
        <v>0</v>
      </c>
      <c r="T412" s="2216">
        <v>0</v>
      </c>
      <c r="U412" s="2216">
        <v>0</v>
      </c>
      <c r="V412" s="2216">
        <v>0</v>
      </c>
      <c r="W412" s="2218"/>
      <c r="X412" s="2218">
        <v>0</v>
      </c>
      <c r="Y412" s="2216" t="s">
        <v>1275</v>
      </c>
      <c r="Z412" s="2216" t="s">
        <v>1275</v>
      </c>
      <c r="AA412" s="2216" t="s">
        <v>1275</v>
      </c>
      <c r="AB412" s="2216" t="s">
        <v>1275</v>
      </c>
      <c r="AC412" s="2216" t="s">
        <v>1275</v>
      </c>
      <c r="AD412" s="2216" t="s">
        <v>1275</v>
      </c>
      <c r="AE412" s="2216" t="s">
        <v>1275</v>
      </c>
      <c r="AF412" s="2216" t="s">
        <v>1275</v>
      </c>
      <c r="AG412" s="2216" t="s">
        <v>1275</v>
      </c>
      <c r="AH412" s="2216" t="s">
        <v>1275</v>
      </c>
      <c r="AI412" s="2216" t="s">
        <v>1275</v>
      </c>
      <c r="AJ412" s="2216" t="s">
        <v>1275</v>
      </c>
      <c r="AK412" s="872"/>
      <c r="AL412" s="872"/>
      <c r="AM412" s="2216">
        <v>0</v>
      </c>
      <c r="AN412" s="2216">
        <v>0</v>
      </c>
      <c r="AO412" s="2216">
        <v>0</v>
      </c>
      <c r="AP412" s="2216">
        <v>0</v>
      </c>
      <c r="AQ412" s="2216">
        <v>0</v>
      </c>
      <c r="AR412" s="1714"/>
      <c r="AS412" s="2071"/>
      <c r="AT412" s="2072"/>
      <c r="AU412" s="883"/>
      <c r="AW412" s="2209"/>
      <c r="AX412" s="2209"/>
      <c r="AY412" s="2209"/>
      <c r="AZ412" s="2209"/>
      <c r="BA412" s="2209"/>
      <c r="BB412" s="2209"/>
      <c r="BC412" s="2209"/>
      <c r="BD412" s="2209"/>
      <c r="BE412" s="2209"/>
      <c r="BF412" s="2209"/>
      <c r="BG412" s="2209"/>
      <c r="BI412" s="535"/>
      <c r="BL412" s="2041"/>
      <c r="BM412" s="2041"/>
      <c r="BN412" s="1954"/>
      <c r="BO412" s="2213"/>
      <c r="BP412" s="2213"/>
      <c r="BQ412" s="534"/>
    </row>
    <row r="413" spans="1:69" s="534" customFormat="1" ht="16.5" customHeight="1" thickBot="1">
      <c r="A413" s="2102" t="s">
        <v>2426</v>
      </c>
      <c r="B413" s="2103"/>
      <c r="C413" s="2103"/>
      <c r="D413" s="2103"/>
      <c r="E413" s="2103"/>
      <c r="F413" s="2103"/>
      <c r="G413" s="2103">
        <v>-1627500</v>
      </c>
      <c r="H413" s="2103">
        <v>0</v>
      </c>
      <c r="I413" s="2103">
        <v>589750</v>
      </c>
      <c r="J413" s="2103">
        <v>589750</v>
      </c>
      <c r="K413" s="2103">
        <v>975000</v>
      </c>
      <c r="L413" s="2103">
        <v>935250</v>
      </c>
      <c r="M413" s="2103">
        <v>-1550000</v>
      </c>
      <c r="N413" s="2103">
        <v>200000</v>
      </c>
      <c r="O413" s="2103">
        <v>-200000</v>
      </c>
      <c r="P413" s="2103">
        <v>39750</v>
      </c>
      <c r="Q413" s="2103">
        <v>189750</v>
      </c>
      <c r="R413" s="2103">
        <v>0</v>
      </c>
      <c r="S413" s="2103">
        <v>0</v>
      </c>
      <c r="T413" s="2103">
        <v>0</v>
      </c>
      <c r="U413" s="2103">
        <v>0</v>
      </c>
      <c r="V413" s="2103">
        <v>0</v>
      </c>
      <c r="W413" s="2103">
        <v>0</v>
      </c>
      <c r="X413" s="2103">
        <v>295782</v>
      </c>
      <c r="Y413" s="2103">
        <v>-805000</v>
      </c>
      <c r="Z413" s="2103">
        <v>1061032</v>
      </c>
      <c r="AA413" s="2103">
        <v>39750</v>
      </c>
      <c r="AB413" s="2103">
        <v>0</v>
      </c>
      <c r="AC413" s="2103">
        <v>0</v>
      </c>
      <c r="AD413" s="2103">
        <v>0</v>
      </c>
      <c r="AE413" s="2103">
        <v>0</v>
      </c>
      <c r="AF413" s="2103">
        <v>0</v>
      </c>
      <c r="AG413" s="2103">
        <v>0</v>
      </c>
      <c r="AH413" s="2103">
        <v>0</v>
      </c>
      <c r="AI413" s="2103">
        <v>0</v>
      </c>
      <c r="AJ413" s="2103">
        <v>0</v>
      </c>
      <c r="AK413" s="872"/>
      <c r="AL413" s="872"/>
      <c r="AM413" s="2103">
        <v>0</v>
      </c>
      <c r="AN413" s="2103">
        <v>0</v>
      </c>
      <c r="AO413" s="2103">
        <v>0</v>
      </c>
      <c r="AP413" s="2103">
        <v>0</v>
      </c>
      <c r="AQ413" s="2103">
        <v>0</v>
      </c>
      <c r="AR413" s="2103"/>
      <c r="AS413" s="2104"/>
      <c r="AT413" s="2105"/>
      <c r="AW413" s="956"/>
      <c r="AX413" s="956"/>
      <c r="AY413" s="956"/>
      <c r="AZ413" s="956"/>
      <c r="BA413" s="956"/>
      <c r="BB413" s="956"/>
      <c r="BC413" s="956"/>
      <c r="BD413" s="956"/>
      <c r="BE413" s="956"/>
      <c r="BF413" s="956"/>
      <c r="BG413" s="872"/>
      <c r="BI413" s="762"/>
      <c r="BL413" s="2245"/>
      <c r="BM413" s="2245"/>
      <c r="BN413" s="2242"/>
      <c r="BO413" s="1641"/>
      <c r="BP413" s="1641"/>
      <c r="BQ413" s="537"/>
    </row>
    <row r="414" spans="1:69">
      <c r="G414" s="956">
        <v>0</v>
      </c>
      <c r="H414" s="956">
        <v>0</v>
      </c>
      <c r="I414" s="956">
        <v>0</v>
      </c>
      <c r="J414" s="956">
        <v>0</v>
      </c>
      <c r="K414" s="956">
        <v>0</v>
      </c>
      <c r="L414" s="956">
        <v>0</v>
      </c>
      <c r="M414" s="956">
        <v>0</v>
      </c>
      <c r="N414" s="956">
        <v>0</v>
      </c>
      <c r="O414" s="956">
        <v>0</v>
      </c>
      <c r="P414" s="956">
        <v>0</v>
      </c>
      <c r="Q414" s="956">
        <v>0</v>
      </c>
      <c r="R414" s="956">
        <v>0</v>
      </c>
      <c r="S414" s="956">
        <v>0</v>
      </c>
      <c r="T414" s="956">
        <v>0</v>
      </c>
      <c r="U414" s="956">
        <v>0</v>
      </c>
      <c r="V414" s="956">
        <v>0</v>
      </c>
      <c r="W414" s="956">
        <v>0</v>
      </c>
      <c r="X414" s="956">
        <v>0</v>
      </c>
      <c r="Y414" s="956">
        <v>0</v>
      </c>
      <c r="Z414" s="956">
        <v>0</v>
      </c>
      <c r="AA414" s="956">
        <v>0</v>
      </c>
      <c r="AB414" s="956">
        <v>0</v>
      </c>
      <c r="AC414" s="956">
        <v>0</v>
      </c>
      <c r="AD414" s="956">
        <v>0</v>
      </c>
      <c r="AE414" s="956">
        <v>0</v>
      </c>
      <c r="AF414" s="956">
        <v>0</v>
      </c>
      <c r="AG414" s="956">
        <v>0</v>
      </c>
      <c r="AH414" s="956">
        <v>0</v>
      </c>
      <c r="AI414" s="956">
        <v>0</v>
      </c>
      <c r="AJ414" s="956">
        <v>0</v>
      </c>
      <c r="AK414" s="956"/>
      <c r="AL414" s="956"/>
      <c r="AM414" s="956">
        <v>0</v>
      </c>
      <c r="AN414" s="956">
        <v>0</v>
      </c>
      <c r="AO414" s="956">
        <v>0</v>
      </c>
      <c r="AP414" s="956">
        <v>0</v>
      </c>
      <c r="AQ414" s="956">
        <v>0</v>
      </c>
    </row>
    <row r="419" spans="1:69" ht="16.5" customHeight="1">
      <c r="A419" s="2036" t="s">
        <v>2427</v>
      </c>
      <c r="B419" s="2037"/>
      <c r="C419" s="2038"/>
      <c r="D419" s="2038"/>
      <c r="E419" s="2038"/>
      <c r="F419" s="2038"/>
      <c r="G419" s="2038"/>
      <c r="H419" s="2038"/>
      <c r="I419" s="2038"/>
      <c r="J419" s="2038"/>
      <c r="K419" s="2039"/>
      <c r="L419" s="2039"/>
      <c r="M419" s="2039"/>
      <c r="N419" s="2039"/>
      <c r="O419" s="2039"/>
      <c r="P419" s="2039"/>
      <c r="Q419" s="2039"/>
      <c r="R419" s="2039"/>
      <c r="S419" s="2039"/>
      <c r="T419" s="2039"/>
      <c r="U419" s="2039"/>
      <c r="V419" s="2039"/>
      <c r="W419" s="2038"/>
      <c r="X419" s="2038"/>
      <c r="Y419" s="2038"/>
      <c r="Z419" s="2038"/>
      <c r="AA419" s="2038"/>
      <c r="AB419" s="2038"/>
      <c r="AC419" s="2038"/>
      <c r="AD419" s="2038"/>
      <c r="AE419" s="2038"/>
      <c r="AF419" s="2038"/>
      <c r="AG419" s="2038"/>
      <c r="AH419" s="2038"/>
      <c r="AI419" s="2038"/>
      <c r="AJ419" s="2038"/>
      <c r="AM419" s="2038"/>
      <c r="AN419" s="2038"/>
      <c r="AO419" s="2038"/>
      <c r="AP419" s="2038"/>
      <c r="AQ419" s="2038"/>
      <c r="AR419" s="2037"/>
      <c r="AS419" s="2037"/>
      <c r="AT419" s="2037"/>
      <c r="AU419" s="2037"/>
      <c r="AV419" s="2037"/>
      <c r="AW419" s="2038"/>
      <c r="AX419" s="2038"/>
      <c r="AY419" s="2038"/>
      <c r="AZ419" s="2038"/>
      <c r="BA419" s="2038"/>
      <c r="BB419" s="2038"/>
      <c r="BC419" s="2038"/>
      <c r="BD419" s="2038"/>
      <c r="BE419" s="2038"/>
      <c r="BF419" s="2038"/>
      <c r="BG419" s="2038"/>
      <c r="BH419" s="2037"/>
      <c r="BI419" s="2040"/>
      <c r="BJ419" s="2041"/>
      <c r="BK419" s="2041"/>
    </row>
    <row r="420" spans="1:69" ht="16.5" customHeight="1">
      <c r="A420" s="2246"/>
      <c r="B420" s="1079"/>
      <c r="C420" s="2247"/>
      <c r="D420" s="2247"/>
      <c r="E420" s="2247"/>
      <c r="F420" s="2247"/>
      <c r="G420" s="2247"/>
      <c r="H420" s="2247"/>
      <c r="I420" s="2247"/>
      <c r="J420" s="2247"/>
      <c r="K420" s="2028"/>
      <c r="L420" s="2028"/>
      <c r="M420" s="2028"/>
      <c r="N420" s="2028"/>
      <c r="O420" s="2028"/>
      <c r="P420" s="2028"/>
      <c r="Q420" s="2028"/>
      <c r="R420" s="2028"/>
      <c r="S420" s="2028"/>
      <c r="T420" s="2028"/>
      <c r="U420" s="2028"/>
      <c r="V420" s="2028"/>
      <c r="W420" s="2247"/>
      <c r="X420" s="2247"/>
      <c r="Y420" s="2247"/>
      <c r="Z420" s="2247"/>
      <c r="AA420" s="2247"/>
      <c r="AB420" s="2247"/>
      <c r="AC420" s="2247"/>
      <c r="AD420" s="2247"/>
      <c r="AE420" s="2247"/>
      <c r="AF420" s="2247"/>
      <c r="AG420" s="2247"/>
      <c r="AH420" s="2247"/>
      <c r="AI420" s="2247"/>
      <c r="AJ420" s="2247"/>
      <c r="AM420" s="2247"/>
      <c r="AN420" s="2247"/>
      <c r="AO420" s="2247"/>
      <c r="AP420" s="2247"/>
      <c r="AQ420" s="2247"/>
      <c r="AR420" s="1079"/>
      <c r="AS420" s="1079"/>
      <c r="AT420" s="1079"/>
      <c r="AW420" s="956"/>
      <c r="AX420" s="956"/>
      <c r="AY420" s="956"/>
      <c r="AZ420" s="956"/>
      <c r="BA420" s="956"/>
      <c r="BB420" s="956"/>
      <c r="BC420" s="956"/>
      <c r="BD420" s="956"/>
      <c r="BE420" s="956"/>
      <c r="BF420" s="956"/>
      <c r="BG420" s="956"/>
      <c r="BI420" s="878"/>
      <c r="BL420" s="2041"/>
      <c r="BM420" s="2041"/>
      <c r="BN420" s="1954"/>
      <c r="BO420" s="1954"/>
      <c r="BP420" s="1954"/>
    </row>
    <row r="421" spans="1:69" s="762" customFormat="1" ht="31.2">
      <c r="A421" s="2248" t="s">
        <v>1288</v>
      </c>
      <c r="B421" s="2249" t="s">
        <v>1289</v>
      </c>
      <c r="C421" s="2060" t="s">
        <v>1290</v>
      </c>
      <c r="D421" s="2060" t="s">
        <v>1291</v>
      </c>
      <c r="E421" s="2250" t="s">
        <v>1693</v>
      </c>
      <c r="F421" s="2055" t="s">
        <v>1765</v>
      </c>
      <c r="G421" s="2055" t="s">
        <v>1238</v>
      </c>
      <c r="H421" s="1704">
        <v>8</v>
      </c>
      <c r="I421" s="1705" t="s">
        <v>1756</v>
      </c>
      <c r="J421" s="1709" t="s">
        <v>1239</v>
      </c>
      <c r="K421" s="2251" t="s">
        <v>1753</v>
      </c>
      <c r="L421" s="2251" t="s">
        <v>1658</v>
      </c>
      <c r="M421" s="2251" t="s">
        <v>1659</v>
      </c>
      <c r="N421" s="2251" t="s">
        <v>1660</v>
      </c>
      <c r="O421" s="2251" t="s">
        <v>1661</v>
      </c>
      <c r="P421" s="2251" t="s">
        <v>1662</v>
      </c>
      <c r="Q421" s="2251" t="s">
        <v>1663</v>
      </c>
      <c r="R421" s="2251" t="s">
        <v>1664</v>
      </c>
      <c r="S421" s="2251" t="s">
        <v>1665</v>
      </c>
      <c r="T421" s="2251" t="s">
        <v>1666</v>
      </c>
      <c r="U421" s="2251" t="s">
        <v>1667</v>
      </c>
      <c r="V421" s="2251" t="s">
        <v>1668</v>
      </c>
      <c r="W421" s="2252" t="s">
        <v>1273</v>
      </c>
      <c r="X421" s="1709" t="s">
        <v>1758</v>
      </c>
      <c r="Y421" s="2251" t="s">
        <v>2399</v>
      </c>
      <c r="Z421" s="2253" t="s">
        <v>2400</v>
      </c>
      <c r="AA421" s="2253" t="s">
        <v>2401</v>
      </c>
      <c r="AB421" s="2253" t="s">
        <v>2402</v>
      </c>
      <c r="AC421" s="2253" t="s">
        <v>2403</v>
      </c>
      <c r="AD421" s="2253" t="s">
        <v>2404</v>
      </c>
      <c r="AE421" s="2253" t="s">
        <v>2405</v>
      </c>
      <c r="AF421" s="2253" t="s">
        <v>2406</v>
      </c>
      <c r="AG421" s="2253" t="s">
        <v>2407</v>
      </c>
      <c r="AH421" s="2253" t="s">
        <v>2408</v>
      </c>
      <c r="AI421" s="2253" t="s">
        <v>2409</v>
      </c>
      <c r="AJ421" s="2253" t="s">
        <v>2410</v>
      </c>
      <c r="AK421" s="872"/>
      <c r="AL421" s="872"/>
      <c r="AM421" s="2254">
        <v>47088</v>
      </c>
      <c r="AN421" s="2254">
        <v>47453</v>
      </c>
      <c r="AO421" s="2254">
        <v>47818</v>
      </c>
      <c r="AP421" s="2254">
        <v>48183</v>
      </c>
      <c r="AQ421" s="2255" t="s">
        <v>1757</v>
      </c>
      <c r="AR421" s="2060" t="s">
        <v>2226</v>
      </c>
      <c r="AS421" s="880" t="s">
        <v>1669</v>
      </c>
      <c r="AT421" s="2061"/>
      <c r="AU421" s="880"/>
      <c r="AW421" s="880"/>
      <c r="AX421" s="880"/>
      <c r="AY421" s="880"/>
      <c r="AZ421" s="880"/>
      <c r="BA421" s="880"/>
      <c r="BB421" s="880"/>
      <c r="BC421" s="880"/>
      <c r="BD421" s="880"/>
      <c r="BE421" s="880"/>
      <c r="BF421" s="880"/>
      <c r="BG421" s="880"/>
      <c r="BL421" s="2041"/>
      <c r="BM421" s="2041"/>
      <c r="BN421" s="1954"/>
      <c r="BO421" s="1954"/>
      <c r="BP421" s="1954"/>
      <c r="BQ421" s="872"/>
    </row>
    <row r="422" spans="1:69" s="537" customFormat="1" ht="16.5" customHeight="1">
      <c r="A422" s="1598" t="s">
        <v>2428</v>
      </c>
      <c r="B422" s="1043" t="s">
        <v>2429</v>
      </c>
      <c r="C422" s="2067"/>
      <c r="D422" s="2067"/>
      <c r="E422" s="2073"/>
      <c r="F422" s="588"/>
      <c r="G422" s="588">
        <v>2399914</v>
      </c>
      <c r="H422" s="2069">
        <v>177143</v>
      </c>
      <c r="I422" s="2069">
        <v>1361620</v>
      </c>
      <c r="J422" s="588">
        <v>2070166</v>
      </c>
      <c r="K422" s="2067">
        <v>167472</v>
      </c>
      <c r="L422" s="2067">
        <v>167472</v>
      </c>
      <c r="M422" s="2067">
        <v>167472</v>
      </c>
      <c r="N422" s="2067">
        <v>168306</v>
      </c>
      <c r="O422" s="2067">
        <v>168304</v>
      </c>
      <c r="P422" s="2067">
        <v>168315</v>
      </c>
      <c r="Q422" s="2067">
        <v>177136</v>
      </c>
      <c r="R422" s="2067">
        <v>177143</v>
      </c>
      <c r="S422" s="2067">
        <v>177134</v>
      </c>
      <c r="T422" s="2067">
        <v>177138</v>
      </c>
      <c r="U422" s="2067">
        <v>177136</v>
      </c>
      <c r="V422" s="2067">
        <v>177138</v>
      </c>
      <c r="W422" s="588"/>
      <c r="X422" s="588">
        <v>2945156</v>
      </c>
      <c r="Y422" s="2067">
        <v>192480</v>
      </c>
      <c r="Z422" s="2067">
        <v>192479</v>
      </c>
      <c r="AA422" s="2067">
        <v>246646</v>
      </c>
      <c r="AB422" s="2067">
        <v>201091</v>
      </c>
      <c r="AC422" s="2067">
        <v>307978</v>
      </c>
      <c r="AD422" s="2067">
        <v>307987</v>
      </c>
      <c r="AE422" s="2067">
        <v>307974</v>
      </c>
      <c r="AF422" s="2067">
        <v>237712</v>
      </c>
      <c r="AG422" s="2067">
        <v>237703</v>
      </c>
      <c r="AH422" s="2067">
        <v>237702</v>
      </c>
      <c r="AI422" s="2067">
        <v>237705</v>
      </c>
      <c r="AJ422" s="2067">
        <v>237699</v>
      </c>
      <c r="AK422" s="872"/>
      <c r="AL422" s="872"/>
      <c r="AM422" s="2068">
        <v>3597145</v>
      </c>
      <c r="AN422" s="2068">
        <v>3659949</v>
      </c>
      <c r="AO422" s="2068">
        <v>3917220</v>
      </c>
      <c r="AP422" s="2068">
        <v>4184584</v>
      </c>
      <c r="AQ422" s="2068">
        <v>0</v>
      </c>
      <c r="AR422" s="1714"/>
      <c r="AS422" s="2071"/>
      <c r="AT422" s="2072"/>
      <c r="AU422" s="883"/>
      <c r="AW422" s="2209"/>
      <c r="AX422" s="2209"/>
      <c r="AY422" s="2209"/>
      <c r="AZ422" s="2209"/>
      <c r="BA422" s="2209"/>
      <c r="BB422" s="2209"/>
      <c r="BC422" s="2209"/>
      <c r="BD422" s="2209"/>
      <c r="BE422" s="2209"/>
      <c r="BF422" s="2209"/>
      <c r="BG422" s="2209"/>
      <c r="BI422" s="535"/>
      <c r="BL422" s="2041"/>
      <c r="BM422" s="2041"/>
      <c r="BN422" s="1954"/>
      <c r="BO422" s="1954"/>
      <c r="BP422" s="1954"/>
      <c r="BQ422" s="872"/>
    </row>
    <row r="423" spans="1:69" s="537" customFormat="1" ht="16.5" customHeight="1">
      <c r="A423" s="1514" t="s">
        <v>2430</v>
      </c>
      <c r="B423" s="1043" t="s">
        <v>2431</v>
      </c>
      <c r="C423" s="2067"/>
      <c r="D423" s="2067"/>
      <c r="E423" s="2073"/>
      <c r="F423" s="588"/>
      <c r="G423" s="588">
        <v>233621</v>
      </c>
      <c r="H423" s="2069">
        <v>19469</v>
      </c>
      <c r="I423" s="2069">
        <v>155752</v>
      </c>
      <c r="J423" s="588">
        <v>233621</v>
      </c>
      <c r="K423" s="2067">
        <v>19469</v>
      </c>
      <c r="L423" s="2067">
        <v>19469</v>
      </c>
      <c r="M423" s="2067">
        <v>19469</v>
      </c>
      <c r="N423" s="2067">
        <v>19469</v>
      </c>
      <c r="O423" s="2067">
        <v>19469</v>
      </c>
      <c r="P423" s="2067">
        <v>19469</v>
      </c>
      <c r="Q423" s="2067">
        <v>19469</v>
      </c>
      <c r="R423" s="2067">
        <v>19469</v>
      </c>
      <c r="S423" s="2067">
        <v>19469</v>
      </c>
      <c r="T423" s="2067">
        <v>19469</v>
      </c>
      <c r="U423" s="2067">
        <v>19469</v>
      </c>
      <c r="V423" s="2067">
        <v>19462</v>
      </c>
      <c r="W423" s="588"/>
      <c r="X423" s="588">
        <v>234132</v>
      </c>
      <c r="Y423" s="2067">
        <v>19511</v>
      </c>
      <c r="Z423" s="2067">
        <v>19511</v>
      </c>
      <c r="AA423" s="2067">
        <v>19511</v>
      </c>
      <c r="AB423" s="2067">
        <v>19511</v>
      </c>
      <c r="AC423" s="2067">
        <v>19511</v>
      </c>
      <c r="AD423" s="2067">
        <v>19511</v>
      </c>
      <c r="AE423" s="2067">
        <v>19511</v>
      </c>
      <c r="AF423" s="2067">
        <v>19511</v>
      </c>
      <c r="AG423" s="2067">
        <v>19511</v>
      </c>
      <c r="AH423" s="2067">
        <v>19511</v>
      </c>
      <c r="AI423" s="2067">
        <v>19511</v>
      </c>
      <c r="AJ423" s="2067">
        <v>19511</v>
      </c>
      <c r="AK423" s="872"/>
      <c r="AL423" s="872"/>
      <c r="AM423" s="2068">
        <v>234121</v>
      </c>
      <c r="AN423" s="2068">
        <v>234132</v>
      </c>
      <c r="AO423" s="2068">
        <v>234121</v>
      </c>
      <c r="AP423" s="2068">
        <v>234132</v>
      </c>
      <c r="AQ423" s="2068">
        <v>0</v>
      </c>
      <c r="AR423" s="1714"/>
      <c r="AS423" s="2071"/>
      <c r="AT423" s="2072"/>
      <c r="AU423" s="883"/>
      <c r="AW423" s="2209"/>
      <c r="AX423" s="2209"/>
      <c r="AY423" s="2209"/>
      <c r="AZ423" s="2209"/>
      <c r="BA423" s="2209"/>
      <c r="BB423" s="2209"/>
      <c r="BC423" s="2209"/>
      <c r="BD423" s="2209"/>
      <c r="BE423" s="2209"/>
      <c r="BF423" s="2209"/>
      <c r="BG423" s="2209"/>
      <c r="BI423" s="535"/>
      <c r="BL423" s="2041"/>
      <c r="BM423" s="2041"/>
      <c r="BN423" s="1954"/>
      <c r="BO423" s="1954"/>
      <c r="BP423" s="1954"/>
      <c r="BQ423" s="872"/>
    </row>
    <row r="424" spans="1:69" s="537" customFormat="1" ht="16.5" customHeight="1">
      <c r="A424" s="1514" t="s">
        <v>2430</v>
      </c>
      <c r="B424" s="1043" t="s">
        <v>2429</v>
      </c>
      <c r="C424" s="2067"/>
      <c r="D424" s="2067"/>
      <c r="E424" s="2073"/>
      <c r="F424" s="588"/>
      <c r="G424" s="588">
        <v>1349377</v>
      </c>
      <c r="H424" s="2069">
        <v>110790</v>
      </c>
      <c r="I424" s="2069">
        <v>850352</v>
      </c>
      <c r="J424" s="588">
        <v>1293502</v>
      </c>
      <c r="K424" s="2067">
        <v>98799</v>
      </c>
      <c r="L424" s="2067">
        <v>98807</v>
      </c>
      <c r="M424" s="2067">
        <v>98799</v>
      </c>
      <c r="N424" s="2067">
        <v>110792</v>
      </c>
      <c r="O424" s="2067">
        <v>110788</v>
      </c>
      <c r="P424" s="2067">
        <v>110791</v>
      </c>
      <c r="Q424" s="2067">
        <v>110786</v>
      </c>
      <c r="R424" s="2067">
        <v>110790</v>
      </c>
      <c r="S424" s="2067">
        <v>110788</v>
      </c>
      <c r="T424" s="2067">
        <v>110790</v>
      </c>
      <c r="U424" s="2067">
        <v>110785</v>
      </c>
      <c r="V424" s="2067">
        <v>110787</v>
      </c>
      <c r="W424" s="588"/>
      <c r="X424" s="588">
        <v>3156959</v>
      </c>
      <c r="Y424" s="2067">
        <v>263077</v>
      </c>
      <c r="Z424" s="2067">
        <v>263085</v>
      </c>
      <c r="AA424" s="2067">
        <v>263078</v>
      </c>
      <c r="AB424" s="2067">
        <v>263082</v>
      </c>
      <c r="AC424" s="2067">
        <v>263079</v>
      </c>
      <c r="AD424" s="2067">
        <v>263083</v>
      </c>
      <c r="AE424" s="2067">
        <v>263077</v>
      </c>
      <c r="AF424" s="2067">
        <v>263082</v>
      </c>
      <c r="AG424" s="2067">
        <v>263079</v>
      </c>
      <c r="AH424" s="2067">
        <v>263082</v>
      </c>
      <c r="AI424" s="2067">
        <v>263077</v>
      </c>
      <c r="AJ424" s="2067">
        <v>263078</v>
      </c>
      <c r="AK424" s="872"/>
      <c r="AL424" s="872"/>
      <c r="AM424" s="2068">
        <v>3244625</v>
      </c>
      <c r="AN424" s="2068">
        <v>3361865</v>
      </c>
      <c r="AO424" s="2068">
        <v>3701168</v>
      </c>
      <c r="AP424" s="2068">
        <v>3627443</v>
      </c>
      <c r="AQ424" s="2068">
        <v>0</v>
      </c>
      <c r="AR424" s="1714"/>
      <c r="AS424" s="2071"/>
      <c r="AT424" s="2072"/>
      <c r="AU424" s="883"/>
      <c r="AW424" s="2209"/>
      <c r="AX424" s="2209"/>
      <c r="AY424" s="2209"/>
      <c r="AZ424" s="2209"/>
      <c r="BA424" s="2209"/>
      <c r="BB424" s="2209"/>
      <c r="BC424" s="2209"/>
      <c r="BD424" s="2209"/>
      <c r="BE424" s="2209"/>
      <c r="BF424" s="2209"/>
      <c r="BG424" s="2209"/>
      <c r="BI424" s="535"/>
      <c r="BL424" s="2041"/>
      <c r="BM424" s="2041"/>
      <c r="BN424" s="1954"/>
      <c r="BO424" s="1954"/>
      <c r="BP424" s="1954"/>
      <c r="BQ424" s="872"/>
    </row>
    <row r="425" spans="1:69" s="537" customFormat="1" ht="16.5" customHeight="1">
      <c r="A425" s="1598" t="s">
        <v>2432</v>
      </c>
      <c r="B425" s="1043" t="s">
        <v>2429</v>
      </c>
      <c r="C425" s="2067"/>
      <c r="D425" s="2067"/>
      <c r="E425" s="2073"/>
      <c r="F425" s="588"/>
      <c r="G425" s="588">
        <v>285751</v>
      </c>
      <c r="H425" s="2069">
        <v>23938</v>
      </c>
      <c r="I425" s="2069">
        <v>185502</v>
      </c>
      <c r="J425" s="588">
        <v>281251</v>
      </c>
      <c r="K425" s="2067">
        <v>21936</v>
      </c>
      <c r="L425" s="2067">
        <v>21941</v>
      </c>
      <c r="M425" s="2067">
        <v>21936</v>
      </c>
      <c r="N425" s="2067">
        <v>23938</v>
      </c>
      <c r="O425" s="2067">
        <v>23939</v>
      </c>
      <c r="P425" s="2067">
        <v>23938</v>
      </c>
      <c r="Q425" s="2067">
        <v>23936</v>
      </c>
      <c r="R425" s="2067">
        <v>23938</v>
      </c>
      <c r="S425" s="2067">
        <v>23939</v>
      </c>
      <c r="T425" s="2067">
        <v>23938</v>
      </c>
      <c r="U425" s="2067">
        <v>23936</v>
      </c>
      <c r="V425" s="2067">
        <v>23936</v>
      </c>
      <c r="W425" s="588"/>
      <c r="X425" s="588">
        <v>507247</v>
      </c>
      <c r="Y425" s="2067">
        <v>42269</v>
      </c>
      <c r="Z425" s="2067">
        <v>42274</v>
      </c>
      <c r="AA425" s="2067">
        <v>42269</v>
      </c>
      <c r="AB425" s="2067">
        <v>42271</v>
      </c>
      <c r="AC425" s="2067">
        <v>42272</v>
      </c>
      <c r="AD425" s="2067">
        <v>42271</v>
      </c>
      <c r="AE425" s="2067">
        <v>42269</v>
      </c>
      <c r="AF425" s="2067">
        <v>42271</v>
      </c>
      <c r="AG425" s="2067">
        <v>42272</v>
      </c>
      <c r="AH425" s="2067">
        <v>42271</v>
      </c>
      <c r="AI425" s="2067">
        <v>42269</v>
      </c>
      <c r="AJ425" s="2067">
        <v>42269</v>
      </c>
      <c r="AK425" s="872"/>
      <c r="AL425" s="872"/>
      <c r="AM425" s="2068">
        <v>874771</v>
      </c>
      <c r="AN425" s="2068">
        <v>637521</v>
      </c>
      <c r="AO425" s="2068">
        <v>704376.66666666674</v>
      </c>
      <c r="AP425" s="2068">
        <v>928376.66666666674</v>
      </c>
      <c r="AQ425" s="2068">
        <v>0</v>
      </c>
      <c r="AR425" s="1714"/>
      <c r="AS425" s="2071"/>
      <c r="AT425" s="2072"/>
      <c r="AU425" s="883"/>
      <c r="AW425" s="2209"/>
      <c r="AX425" s="2209"/>
      <c r="AY425" s="2209"/>
      <c r="AZ425" s="2209"/>
      <c r="BA425" s="2209"/>
      <c r="BB425" s="2209"/>
      <c r="BC425" s="2209"/>
      <c r="BD425" s="2209"/>
      <c r="BE425" s="2209"/>
      <c r="BF425" s="2209"/>
      <c r="BG425" s="2209"/>
      <c r="BI425" s="535"/>
      <c r="BL425" s="2041"/>
      <c r="BM425" s="2041"/>
      <c r="BN425" s="1954"/>
      <c r="BO425" s="2242"/>
      <c r="BP425" s="2242"/>
      <c r="BQ425" s="762"/>
    </row>
    <row r="426" spans="1:69" s="537" customFormat="1" ht="16.5" customHeight="1">
      <c r="A426" s="2256" t="s">
        <v>2433</v>
      </c>
      <c r="B426" s="1043" t="s">
        <v>2431</v>
      </c>
      <c r="C426" s="2138"/>
      <c r="D426" s="2138"/>
      <c r="E426" s="1996"/>
      <c r="F426" s="2095"/>
      <c r="G426" s="2095">
        <v>8159448</v>
      </c>
      <c r="H426" s="2069">
        <v>679954</v>
      </c>
      <c r="I426" s="2069">
        <v>5439632</v>
      </c>
      <c r="J426" s="588">
        <v>8159448</v>
      </c>
      <c r="K426" s="2138">
        <v>679954</v>
      </c>
      <c r="L426" s="2138">
        <v>679954</v>
      </c>
      <c r="M426" s="2138">
        <v>679954</v>
      </c>
      <c r="N426" s="2138">
        <v>679954</v>
      </c>
      <c r="O426" s="2138">
        <v>679954</v>
      </c>
      <c r="P426" s="2138">
        <v>679954</v>
      </c>
      <c r="Q426" s="2138">
        <v>679954</v>
      </c>
      <c r="R426" s="2138">
        <v>679954</v>
      </c>
      <c r="S426" s="2138">
        <v>679954</v>
      </c>
      <c r="T426" s="2138">
        <v>679954</v>
      </c>
      <c r="U426" s="2138">
        <v>679954</v>
      </c>
      <c r="V426" s="2138">
        <v>679954</v>
      </c>
      <c r="W426" s="2095"/>
      <c r="X426" s="588">
        <v>8159448</v>
      </c>
      <c r="Y426" s="2138">
        <v>679954</v>
      </c>
      <c r="Z426" s="2138">
        <v>679954</v>
      </c>
      <c r="AA426" s="2138">
        <v>679954</v>
      </c>
      <c r="AB426" s="2138">
        <v>679954</v>
      </c>
      <c r="AC426" s="2138">
        <v>679954</v>
      </c>
      <c r="AD426" s="2138">
        <v>679954</v>
      </c>
      <c r="AE426" s="2138">
        <v>679954</v>
      </c>
      <c r="AF426" s="2138">
        <v>679954</v>
      </c>
      <c r="AG426" s="2138">
        <v>679954</v>
      </c>
      <c r="AH426" s="2138">
        <v>679954</v>
      </c>
      <c r="AI426" s="2138">
        <v>679954</v>
      </c>
      <c r="AJ426" s="2138">
        <v>679954</v>
      </c>
      <c r="AK426" s="872"/>
      <c r="AL426" s="872"/>
      <c r="AM426" s="2257">
        <v>8159452</v>
      </c>
      <c r="AN426" s="2257">
        <v>8178228</v>
      </c>
      <c r="AO426" s="2257">
        <v>8178228</v>
      </c>
      <c r="AP426" s="2257">
        <v>8178257</v>
      </c>
      <c r="AQ426" s="2257">
        <v>0</v>
      </c>
      <c r="AR426" s="2100"/>
      <c r="AS426" s="2258"/>
      <c r="AT426" s="2259"/>
      <c r="AU426" s="883"/>
      <c r="AW426" s="2209"/>
      <c r="AX426" s="2209"/>
      <c r="AY426" s="2209"/>
      <c r="AZ426" s="2209"/>
      <c r="BA426" s="2209"/>
      <c r="BB426" s="2209"/>
      <c r="BC426" s="2209"/>
      <c r="BD426" s="2209"/>
      <c r="BE426" s="2209"/>
      <c r="BF426" s="2209"/>
      <c r="BG426" s="2209"/>
      <c r="BI426" s="535"/>
      <c r="BL426" s="2041"/>
      <c r="BM426" s="2041"/>
      <c r="BN426" s="1954"/>
      <c r="BO426" s="2242"/>
      <c r="BP426" s="2242"/>
      <c r="BQ426" s="762"/>
    </row>
    <row r="427" spans="1:69" s="537" customFormat="1" ht="16.5" customHeight="1">
      <c r="A427" s="2256" t="s">
        <v>2433</v>
      </c>
      <c r="B427" s="1043" t="s">
        <v>2434</v>
      </c>
      <c r="C427" s="2138"/>
      <c r="D427" s="2138"/>
      <c r="E427" s="1996"/>
      <c r="F427" s="2095"/>
      <c r="G427" s="2095">
        <v>4428000</v>
      </c>
      <c r="H427" s="2069">
        <v>290820</v>
      </c>
      <c r="I427" s="2069">
        <v>2326566</v>
      </c>
      <c r="J427" s="588">
        <v>3489850</v>
      </c>
      <c r="K427" s="2138">
        <v>0</v>
      </c>
      <c r="L427" s="2138">
        <v>581642</v>
      </c>
      <c r="M427" s="2138">
        <v>290820</v>
      </c>
      <c r="N427" s="2138">
        <v>290822</v>
      </c>
      <c r="O427" s="2138">
        <v>290820</v>
      </c>
      <c r="P427" s="2138">
        <v>290822</v>
      </c>
      <c r="Q427" s="2138">
        <v>290820</v>
      </c>
      <c r="R427" s="2138">
        <v>290820</v>
      </c>
      <c r="S427" s="2138">
        <v>290822</v>
      </c>
      <c r="T427" s="2138">
        <v>290821</v>
      </c>
      <c r="U427" s="2138">
        <v>290820</v>
      </c>
      <c r="V427" s="2138">
        <v>290821</v>
      </c>
      <c r="W427" s="2095"/>
      <c r="X427" s="588">
        <v>3489850</v>
      </c>
      <c r="Y427" s="2138">
        <v>290821</v>
      </c>
      <c r="Z427" s="2138">
        <v>290821</v>
      </c>
      <c r="AA427" s="2138">
        <v>290820</v>
      </c>
      <c r="AB427" s="2138">
        <v>290822</v>
      </c>
      <c r="AC427" s="2138">
        <v>290820</v>
      </c>
      <c r="AD427" s="2138">
        <v>290822</v>
      </c>
      <c r="AE427" s="2138">
        <v>290820</v>
      </c>
      <c r="AF427" s="2138">
        <v>290820</v>
      </c>
      <c r="AG427" s="2138">
        <v>290822</v>
      </c>
      <c r="AH427" s="2138">
        <v>290821</v>
      </c>
      <c r="AI427" s="2138">
        <v>290820</v>
      </c>
      <c r="AJ427" s="2138">
        <v>290821</v>
      </c>
      <c r="AK427" s="872"/>
      <c r="AL427" s="872"/>
      <c r="AM427" s="2257">
        <v>3489850.6666666674</v>
      </c>
      <c r="AN427" s="2257">
        <v>11</v>
      </c>
      <c r="AO427" s="2257">
        <v>0</v>
      </c>
      <c r="AP427" s="2257">
        <v>0</v>
      </c>
      <c r="AQ427" s="2257">
        <v>0</v>
      </c>
      <c r="AR427" s="2100"/>
      <c r="AS427" s="2258"/>
      <c r="AT427" s="2259"/>
      <c r="AU427" s="883"/>
      <c r="AW427" s="2209"/>
      <c r="AX427" s="2209"/>
      <c r="AY427" s="2209"/>
      <c r="AZ427" s="2209"/>
      <c r="BA427" s="2209"/>
      <c r="BB427" s="2209"/>
      <c r="BC427" s="2209"/>
      <c r="BD427" s="2209"/>
      <c r="BE427" s="2209"/>
      <c r="BF427" s="2209"/>
      <c r="BG427" s="2209"/>
      <c r="BI427" s="535"/>
      <c r="BL427" s="2041"/>
      <c r="BM427" s="2041"/>
      <c r="BN427" s="1954"/>
      <c r="BO427" s="2242"/>
      <c r="BP427" s="2242"/>
      <c r="BQ427" s="762"/>
    </row>
    <row r="428" spans="1:69" s="537" customFormat="1" ht="16.5" customHeight="1">
      <c r="A428" s="2256" t="s">
        <v>2433</v>
      </c>
      <c r="B428" s="1043" t="s">
        <v>2435</v>
      </c>
      <c r="C428" s="2138"/>
      <c r="D428" s="2138"/>
      <c r="E428" s="1996"/>
      <c r="F428" s="2095"/>
      <c r="G428" s="2095">
        <v>112500</v>
      </c>
      <c r="H428" s="2069">
        <v>9375</v>
      </c>
      <c r="I428" s="2069">
        <v>75000</v>
      </c>
      <c r="J428" s="588">
        <v>112500</v>
      </c>
      <c r="K428" s="2138">
        <v>9374</v>
      </c>
      <c r="L428" s="2138">
        <v>9377</v>
      </c>
      <c r="M428" s="2138">
        <v>9374</v>
      </c>
      <c r="N428" s="2138">
        <v>9375</v>
      </c>
      <c r="O428" s="2138">
        <v>9375</v>
      </c>
      <c r="P428" s="2138">
        <v>9376</v>
      </c>
      <c r="Q428" s="2138">
        <v>9374</v>
      </c>
      <c r="R428" s="2138">
        <v>9375</v>
      </c>
      <c r="S428" s="2138">
        <v>9375</v>
      </c>
      <c r="T428" s="2138">
        <v>9375</v>
      </c>
      <c r="U428" s="2138">
        <v>9376</v>
      </c>
      <c r="V428" s="2138">
        <v>9374</v>
      </c>
      <c r="W428" s="2095"/>
      <c r="X428" s="588">
        <v>112500</v>
      </c>
      <c r="Y428" s="2138">
        <v>9374</v>
      </c>
      <c r="Z428" s="2138">
        <v>9377</v>
      </c>
      <c r="AA428" s="2138">
        <v>9374</v>
      </c>
      <c r="AB428" s="2138">
        <v>9375</v>
      </c>
      <c r="AC428" s="2138">
        <v>9375</v>
      </c>
      <c r="AD428" s="2138">
        <v>9376</v>
      </c>
      <c r="AE428" s="2138">
        <v>9374</v>
      </c>
      <c r="AF428" s="2138">
        <v>9375</v>
      </c>
      <c r="AG428" s="2138">
        <v>9375</v>
      </c>
      <c r="AH428" s="2138">
        <v>9376</v>
      </c>
      <c r="AI428" s="2138">
        <v>9375</v>
      </c>
      <c r="AJ428" s="2138">
        <v>9374</v>
      </c>
      <c r="AK428" s="872"/>
      <c r="AL428" s="872"/>
      <c r="AM428" s="2257">
        <v>112500</v>
      </c>
      <c r="AN428" s="2257">
        <v>112500</v>
      </c>
      <c r="AO428" s="2257">
        <v>0</v>
      </c>
      <c r="AP428" s="2257">
        <v>0</v>
      </c>
      <c r="AQ428" s="2257">
        <v>0</v>
      </c>
      <c r="AR428" s="2100"/>
      <c r="AS428" s="2258"/>
      <c r="AT428" s="2259"/>
      <c r="AU428" s="883"/>
      <c r="AW428" s="2209"/>
      <c r="AX428" s="2209"/>
      <c r="AY428" s="2209"/>
      <c r="AZ428" s="2209"/>
      <c r="BA428" s="2209"/>
      <c r="BB428" s="2209"/>
      <c r="BC428" s="2209"/>
      <c r="BD428" s="2209"/>
      <c r="BE428" s="2209"/>
      <c r="BF428" s="2209"/>
      <c r="BG428" s="2209"/>
      <c r="BI428" s="535"/>
      <c r="BL428" s="2041"/>
      <c r="BM428" s="2041"/>
      <c r="BN428" s="1954"/>
      <c r="BO428" s="2242"/>
      <c r="BP428" s="2242"/>
      <c r="BQ428" s="762"/>
    </row>
    <row r="429" spans="1:69" s="534" customFormat="1" ht="15.75" customHeight="1" thickBot="1">
      <c r="A429" s="2102" t="s">
        <v>1272</v>
      </c>
      <c r="B429" s="2103"/>
      <c r="C429" s="2103"/>
      <c r="D429" s="2103"/>
      <c r="E429" s="2103"/>
      <c r="F429" s="2103"/>
      <c r="G429" s="2103">
        <v>16968611</v>
      </c>
      <c r="H429" s="2103">
        <v>1311489</v>
      </c>
      <c r="I429" s="2103">
        <v>10394424</v>
      </c>
      <c r="J429" s="2103">
        <v>15640338</v>
      </c>
      <c r="K429" s="2103">
        <v>997004</v>
      </c>
      <c r="L429" s="2103">
        <v>1578662</v>
      </c>
      <c r="M429" s="2103">
        <v>1287824</v>
      </c>
      <c r="N429" s="2103">
        <v>1302656</v>
      </c>
      <c r="O429" s="2103">
        <v>1302649</v>
      </c>
      <c r="P429" s="2103">
        <v>1302665</v>
      </c>
      <c r="Q429" s="2103">
        <v>1311475</v>
      </c>
      <c r="R429" s="2103">
        <v>1311489</v>
      </c>
      <c r="S429" s="2103">
        <v>1311481</v>
      </c>
      <c r="T429" s="2103">
        <v>1311485</v>
      </c>
      <c r="U429" s="2103">
        <v>1311476</v>
      </c>
      <c r="V429" s="2103">
        <v>1311472</v>
      </c>
      <c r="W429" s="2103">
        <v>0</v>
      </c>
      <c r="X429" s="2103">
        <v>18605292</v>
      </c>
      <c r="Y429" s="2103">
        <v>1497486</v>
      </c>
      <c r="Z429" s="2103">
        <v>1497501</v>
      </c>
      <c r="AA429" s="2103">
        <v>1551652</v>
      </c>
      <c r="AB429" s="2103">
        <v>1506106</v>
      </c>
      <c r="AC429" s="2103">
        <v>1612989</v>
      </c>
      <c r="AD429" s="2103">
        <v>1613004</v>
      </c>
      <c r="AE429" s="2103">
        <v>1612979</v>
      </c>
      <c r="AF429" s="2103">
        <v>1542725</v>
      </c>
      <c r="AG429" s="2103">
        <v>1542716</v>
      </c>
      <c r="AH429" s="2103">
        <v>1542717</v>
      </c>
      <c r="AI429" s="2103">
        <v>1542711</v>
      </c>
      <c r="AJ429" s="2103">
        <v>1542706</v>
      </c>
      <c r="AK429" s="872"/>
      <c r="AL429" s="872"/>
      <c r="AM429" s="2103">
        <v>19712464.666666668</v>
      </c>
      <c r="AN429" s="2103">
        <v>16184206</v>
      </c>
      <c r="AO429" s="2103">
        <v>16735113.666666666</v>
      </c>
      <c r="AP429" s="2103">
        <v>17152792.666666664</v>
      </c>
      <c r="AQ429" s="2103">
        <v>0</v>
      </c>
      <c r="AR429" s="2103"/>
      <c r="AS429" s="2104"/>
      <c r="AT429" s="2105"/>
      <c r="BI429" s="762"/>
      <c r="BL429" s="2245"/>
      <c r="BM429" s="2245"/>
      <c r="BN429" s="2242"/>
      <c r="BO429" s="1641"/>
      <c r="BP429" s="1641"/>
      <c r="BQ429" s="537"/>
    </row>
    <row r="432" spans="1:69">
      <c r="K432" s="956">
        <v>0</v>
      </c>
      <c r="L432" s="956">
        <v>0</v>
      </c>
      <c r="M432" s="956">
        <v>0</v>
      </c>
      <c r="N432" s="956">
        <v>0</v>
      </c>
      <c r="O432" s="956">
        <v>0</v>
      </c>
      <c r="P432" s="956">
        <v>0</v>
      </c>
      <c r="Q432" s="956">
        <v>0</v>
      </c>
      <c r="R432" s="956">
        <v>0</v>
      </c>
      <c r="S432" s="956">
        <v>0</v>
      </c>
      <c r="T432" s="956">
        <v>0</v>
      </c>
      <c r="U432" s="956">
        <v>0</v>
      </c>
      <c r="V432" s="956">
        <v>0</v>
      </c>
      <c r="Y432" s="956">
        <v>0</v>
      </c>
      <c r="Z432" s="956">
        <v>0</v>
      </c>
      <c r="AA432" s="956">
        <v>0</v>
      </c>
      <c r="AB432" s="956">
        <v>0</v>
      </c>
      <c r="AC432" s="956">
        <v>0</v>
      </c>
      <c r="AD432" s="956">
        <v>0</v>
      </c>
      <c r="AE432" s="956">
        <v>0</v>
      </c>
      <c r="AF432" s="956">
        <v>0</v>
      </c>
      <c r="AG432" s="956">
        <v>0</v>
      </c>
      <c r="AH432" s="956">
        <v>0</v>
      </c>
      <c r="AI432" s="956">
        <v>0</v>
      </c>
      <c r="AJ432" s="956">
        <v>0</v>
      </c>
      <c r="AM432" s="956">
        <v>0</v>
      </c>
      <c r="AN432" s="956">
        <v>0</v>
      </c>
      <c r="AO432" s="956">
        <v>0</v>
      </c>
      <c r="AP432" s="956">
        <v>0</v>
      </c>
      <c r="AQ432" s="956">
        <v>0</v>
      </c>
    </row>
  </sheetData>
  <mergeCells count="63">
    <mergeCell ref="H396:V396"/>
    <mergeCell ref="A340:B340"/>
    <mergeCell ref="H340:V340"/>
    <mergeCell ref="AV340:BB340"/>
    <mergeCell ref="A341:A342"/>
    <mergeCell ref="B341:B342"/>
    <mergeCell ref="C341:C342"/>
    <mergeCell ref="D341:D342"/>
    <mergeCell ref="E341:E342"/>
    <mergeCell ref="A314:A315"/>
    <mergeCell ref="B314:B315"/>
    <mergeCell ref="C314:C315"/>
    <mergeCell ref="D314:D315"/>
    <mergeCell ref="E314:E315"/>
    <mergeCell ref="A286:B286"/>
    <mergeCell ref="H286:V286"/>
    <mergeCell ref="AV286:BB286"/>
    <mergeCell ref="A313:B313"/>
    <mergeCell ref="H313:V313"/>
    <mergeCell ref="AV313:BB313"/>
    <mergeCell ref="A287:A288"/>
    <mergeCell ref="B287:B288"/>
    <mergeCell ref="C287:C288"/>
    <mergeCell ref="D287:D288"/>
    <mergeCell ref="E287:E288"/>
    <mergeCell ref="BF150:BF152"/>
    <mergeCell ref="A151:A152"/>
    <mergeCell ref="B151:B152"/>
    <mergeCell ref="C151:C152"/>
    <mergeCell ref="D151:D152"/>
    <mergeCell ref="A150:E150"/>
    <mergeCell ref="G150:W150"/>
    <mergeCell ref="X150:AK150"/>
    <mergeCell ref="AV150:BA150"/>
    <mergeCell ref="BE150:BE152"/>
    <mergeCell ref="E151:E152"/>
    <mergeCell ref="F151:F152"/>
    <mergeCell ref="BF77:BF79"/>
    <mergeCell ref="A78:A79"/>
    <mergeCell ref="B78:B79"/>
    <mergeCell ref="C78:C79"/>
    <mergeCell ref="D78:D79"/>
    <mergeCell ref="E78:E79"/>
    <mergeCell ref="F78:F79"/>
    <mergeCell ref="A77:E77"/>
    <mergeCell ref="G77:W77"/>
    <mergeCell ref="X77:AK77"/>
    <mergeCell ref="AV77:BA77"/>
    <mergeCell ref="BB77:BB78"/>
    <mergeCell ref="BE77:BE79"/>
    <mergeCell ref="BF6:BF8"/>
    <mergeCell ref="A7:A8"/>
    <mergeCell ref="B7:B8"/>
    <mergeCell ref="C7:C8"/>
    <mergeCell ref="D7:D8"/>
    <mergeCell ref="E7:E8"/>
    <mergeCell ref="F7:F8"/>
    <mergeCell ref="A6:E6"/>
    <mergeCell ref="G6:W6"/>
    <mergeCell ref="X6:AK6"/>
    <mergeCell ref="AV6:BA6"/>
    <mergeCell ref="BB6:BB7"/>
    <mergeCell ref="BE6:BE8"/>
  </mergeCells>
  <phoneticPr fontId="101" type="noConversion"/>
  <conditionalFormatting sqref="A1:BI429">
    <cfRule type="expression" dxfId="130" priority="31">
      <formula>$AR1="外部"</formula>
    </cfRule>
  </conditionalFormatting>
  <conditionalFormatting sqref="C300:D301">
    <cfRule type="cellIs" dxfId="129" priority="18" stopIfTrue="1" operator="notEqual">
      <formula>SUM(#REF!)</formula>
    </cfRule>
  </conditionalFormatting>
  <conditionalFormatting sqref="F290:F302 J290:J307 X290:X307 G293:G302 F317:G334 J317:J334 X317:X334 C327:D328 F344:F358 J344:J361 X344:X361">
    <cfRule type="cellIs" dxfId="128" priority="7" stopIfTrue="1" operator="notEqual">
      <formula>SUM(#REF!)</formula>
    </cfRule>
  </conditionalFormatting>
  <conditionalFormatting sqref="F406:F412">
    <cfRule type="cellIs" dxfId="127" priority="6" stopIfTrue="1" operator="notEqual">
      <formula>SUM(#REF!)</formula>
    </cfRule>
  </conditionalFormatting>
  <conditionalFormatting sqref="F303:G307">
    <cfRule type="cellIs" dxfId="126" priority="15" stopIfTrue="1" operator="notEqual">
      <formula>SUM(#REF!)</formula>
    </cfRule>
  </conditionalFormatting>
  <conditionalFormatting sqref="F359:G361">
    <cfRule type="cellIs" dxfId="125" priority="9" stopIfTrue="1" operator="notEqual">
      <formula>SUM(#REF!)</formula>
    </cfRule>
  </conditionalFormatting>
  <conditionalFormatting sqref="F398:G398 F399:F404 F405:G405">
    <cfRule type="cellIs" dxfId="124" priority="8" stopIfTrue="1" operator="notEqual">
      <formula>SUM(#REF!)</formula>
    </cfRule>
  </conditionalFormatting>
  <conditionalFormatting sqref="F422:G428 J422:J428 X422:X428">
    <cfRule type="cellIs" dxfId="123" priority="16" stopIfTrue="1" operator="notEqual">
      <formula>SUM(#REF!)</formula>
    </cfRule>
  </conditionalFormatting>
  <conditionalFormatting sqref="J398:J412">
    <cfRule type="cellIs" dxfId="122" priority="5" stopIfTrue="1" operator="notEqual">
      <formula>SUM(#REF!)</formula>
    </cfRule>
  </conditionalFormatting>
  <conditionalFormatting sqref="K8:V8">
    <cfRule type="cellIs" dxfId="121" priority="29" operator="equal">
      <formula>"實際收入"</formula>
    </cfRule>
  </conditionalFormatting>
  <conditionalFormatting sqref="K79:V79">
    <cfRule type="cellIs" dxfId="120" priority="25" operator="equal">
      <formula>"實際收入"</formula>
    </cfRule>
  </conditionalFormatting>
  <conditionalFormatting sqref="K152:V152">
    <cfRule type="cellIs" dxfId="119" priority="23" operator="equal">
      <formula>"實際收入"</formula>
    </cfRule>
  </conditionalFormatting>
  <conditionalFormatting sqref="K288:V288">
    <cfRule type="cellIs" dxfId="118" priority="20" operator="equal">
      <formula>"實際收入"</formula>
    </cfRule>
  </conditionalFormatting>
  <conditionalFormatting sqref="K300:V301">
    <cfRule type="cellIs" dxfId="117" priority="17" stopIfTrue="1" operator="notEqual">
      <formula>SUM(#REF!)</formula>
    </cfRule>
  </conditionalFormatting>
  <conditionalFormatting sqref="K315:V315">
    <cfRule type="cellIs" dxfId="116" priority="14" operator="equal">
      <formula>"實際收入"</formula>
    </cfRule>
  </conditionalFormatting>
  <conditionalFormatting sqref="K342:V342">
    <cfRule type="cellIs" dxfId="115" priority="12" operator="equal">
      <formula>"實際收入"</formula>
    </cfRule>
  </conditionalFormatting>
  <conditionalFormatting sqref="X398:X412">
    <cfRule type="cellIs" dxfId="114" priority="4" stopIfTrue="1" operator="notEqual">
      <formula>SUM(#REF!)</formula>
    </cfRule>
  </conditionalFormatting>
  <conditionalFormatting sqref="Y8:AJ8">
    <cfRule type="cellIs" dxfId="113" priority="26" operator="equal">
      <formula>"實際收入"</formula>
    </cfRule>
  </conditionalFormatting>
  <conditionalFormatting sqref="Y67:AJ69">
    <cfRule type="expression" dxfId="112" priority="27">
      <formula>estimate&gt;=Y$6</formula>
    </cfRule>
  </conditionalFormatting>
  <conditionalFormatting sqref="Y79:AJ79">
    <cfRule type="cellIs" dxfId="111" priority="24" operator="equal">
      <formula>"實際收入"</formula>
    </cfRule>
  </conditionalFormatting>
  <conditionalFormatting sqref="Y152:AJ152">
    <cfRule type="cellIs" dxfId="110" priority="22" operator="equal">
      <formula>"實際收入"</formula>
    </cfRule>
  </conditionalFormatting>
  <conditionalFormatting sqref="Y288:AJ288">
    <cfRule type="cellIs" dxfId="109" priority="19" operator="equal">
      <formula>"實際收入"</formula>
    </cfRule>
  </conditionalFormatting>
  <conditionalFormatting sqref="Y301:AJ301">
    <cfRule type="cellIs" dxfId="108" priority="3" stopIfTrue="1" operator="notEqual">
      <formula>SUM(#REF!)</formula>
    </cfRule>
  </conditionalFormatting>
  <conditionalFormatting sqref="Y315:AJ315">
    <cfRule type="cellIs" dxfId="107" priority="13" operator="equal">
      <formula>"實際收入"</formula>
    </cfRule>
  </conditionalFormatting>
  <conditionalFormatting sqref="Y342:AJ342">
    <cfRule type="cellIs" dxfId="106" priority="11" operator="equal">
      <formula>"實際收入"</formula>
    </cfRule>
  </conditionalFormatting>
  <conditionalFormatting sqref="Y300:AK300">
    <cfRule type="cellIs" dxfId="105" priority="2" stopIfTrue="1" operator="notEqual">
      <formula>SUM(#REF!)</formula>
    </cfRule>
  </conditionalFormatting>
  <conditionalFormatting sqref="AL354:AL355">
    <cfRule type="cellIs" dxfId="104" priority="10" stopIfTrue="1" operator="notEqual">
      <formula>SUM(#REF!)</formula>
    </cfRule>
  </conditionalFormatting>
  <conditionalFormatting sqref="AL300:AQ301">
    <cfRule type="cellIs" dxfId="103" priority="1" stopIfTrue="1" operator="notEqual">
      <formula>SUM(#REF!)</formula>
    </cfRule>
  </conditionalFormatting>
  <conditionalFormatting sqref="AM67:AQ69">
    <cfRule type="expression" dxfId="102" priority="28">
      <formula>estimate&gt;=AM$6</formula>
    </cfRule>
  </conditionalFormatting>
  <conditionalFormatting sqref="AR67:AS69">
    <cfRule type="expression" dxfId="101" priority="30">
      <formula>estimate&gt;=AR$7</formula>
    </cfRule>
  </conditionalFormatting>
  <conditionalFormatting sqref="AT67:AT69 K140:V140 AT140">
    <cfRule type="expression" dxfId="100" priority="21">
      <formula>estimate&gt;=K$6</formula>
    </cfRule>
  </conditionalFormatting>
  <dataValidations count="4">
    <dataValidation type="list" allowBlank="1" showInputMessage="1" showErrorMessage="1" sqref="AL27 AR97 AR91:AR94 AR170 AL14 AL16:AL18 AL24:AL25 AR164:AR167" xr:uid="{2E745AF8-9C3E-4590-9AA1-BA497B0F0D9C}">
      <formula1>"內部, 外部,內無"</formula1>
    </dataValidation>
    <dataValidation type="list" allowBlank="1" showInputMessage="1" showErrorMessage="1" sqref="AS203 AR80:AR90 AR96:AS96 AR153:AR163 AR169:AS169 AS25 AS58 AS128 AR95 AR168 AR9:AR34 AR37:AR66 AR98:AR105 AR107:AR137 AR171:AR180 AR182:AR211" xr:uid="{5F5EE069-2934-4F76-A34F-21A6C342455A}">
      <formula1>"內部, 外部, 內部-備標,內部-其他,內無"</formula1>
    </dataValidation>
    <dataValidation type="list" allowBlank="1" showInputMessage="1" showErrorMessage="1" sqref="AR212:AR217 AR35 AR8 AR152 AR79 AR138:AR140" xr:uid="{9E8BE3F5-8095-4C19-8950-03FAE2E8E7F0}">
      <formula1>"內部, 外部, 內部-備標,內部-其他"</formula1>
    </dataValidation>
    <dataValidation type="list" allowBlank="1" showInputMessage="1" showErrorMessage="1" sqref="AR305:AR307 AR353:AR355 AR332:AR334 AR326:AR328 AR359:AR361 AR299:AR301 AL9:AL13 AL28:AL34 AL38:AL39 AL41:AL48 AL50:AL66 AL80:AL105 AL107:AL139 AL153:AL180 AL182:AL217" xr:uid="{A1BD7D19-525D-40C7-9D2B-06F9A163784F}">
      <formula1>"內部, 外部"</formula1>
    </dataValidation>
  </dataValidation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37-E049-4E0A-A97F-FE0DB6918585}">
  <sheetPr>
    <tabColor rgb="FFFFC000"/>
  </sheetPr>
  <dimension ref="A1:CH112"/>
  <sheetViews>
    <sheetView topLeftCell="D7" zoomScale="70" zoomScaleNormal="70" workbookViewId="0">
      <selection activeCell="P61" sqref="P61"/>
    </sheetView>
  </sheetViews>
  <sheetFormatPr defaultRowHeight="22.35" customHeight="1" outlineLevelCol="1"/>
  <cols>
    <col min="1" max="1" width="11" style="743" customWidth="1"/>
    <col min="2" max="2" width="31.6640625" style="529" customWidth="1"/>
    <col min="3" max="3" width="17.109375" style="806" customWidth="1"/>
    <col min="4" max="4" width="17.109375" style="532" customWidth="1"/>
    <col min="5" max="5" width="17.109375" style="807" customWidth="1"/>
    <col min="6" max="6" width="7.33203125" style="807" customWidth="1"/>
    <col min="7" max="9" width="14.88671875" style="533" customWidth="1"/>
    <col min="10" max="10" width="6.77734375" style="533" customWidth="1"/>
    <col min="11" max="11" width="14" style="535" customWidth="1"/>
    <col min="12" max="13" width="14.88671875" style="535" customWidth="1"/>
    <col min="14" max="14" width="6.6640625" style="808" customWidth="1"/>
    <col min="15" max="20" width="14.88671875" style="533" customWidth="1"/>
    <col min="21" max="21" width="9.77734375" style="533" customWidth="1"/>
    <col min="22" max="23" width="15.6640625" style="533" customWidth="1"/>
    <col min="24" max="24" width="13.88671875" style="533" customWidth="1"/>
    <col min="25" max="25" width="6.77734375" style="533" bestFit="1" customWidth="1"/>
    <col min="26" max="26" width="14.88671875" style="529" customWidth="1" outlineLevel="1"/>
    <col min="27" max="27" width="11.88671875" style="529" customWidth="1" outlineLevel="1"/>
    <col min="28" max="28" width="10" style="529" customWidth="1" outlineLevel="1"/>
    <col min="29" max="29" width="13.109375" style="529" customWidth="1" outlineLevel="1"/>
    <col min="30" max="31" width="8" style="529" customWidth="1" outlineLevel="1"/>
    <col min="32" max="32" width="10.44140625" style="529" bestFit="1" customWidth="1" outlineLevel="1"/>
    <col min="33" max="33" width="8" style="529" customWidth="1" outlineLevel="1"/>
    <col min="34" max="34" width="7.44140625" style="532" customWidth="1" outlineLevel="1"/>
    <col min="35" max="35" width="8.33203125" style="532" customWidth="1" outlineLevel="1"/>
    <col min="36" max="36" width="6" style="532" customWidth="1" outlineLevel="1"/>
    <col min="37" max="37" width="12.88671875" style="533" customWidth="1" outlineLevel="1"/>
    <col min="38" max="38" width="11" style="533" customWidth="1" outlineLevel="1"/>
    <col min="39" max="39" width="5.88671875" style="532" customWidth="1" outlineLevel="1"/>
    <col min="40" max="40" width="16" style="532" customWidth="1" outlineLevel="1"/>
    <col min="41" max="41" width="5.109375" style="533" customWidth="1" outlineLevel="1"/>
    <col min="42" max="42" width="12.88671875" style="537" customWidth="1" outlineLevel="1"/>
    <col min="43" max="43" width="47.88671875" style="537" customWidth="1" outlineLevel="1"/>
    <col min="44" max="46" width="14.33203125" style="537" customWidth="1" outlineLevel="1"/>
    <col min="47" max="47" width="10" style="535" customWidth="1" outlineLevel="1"/>
    <col min="48" max="50" width="15.88671875" style="537" customWidth="1" outlineLevel="1"/>
    <col min="51" max="63" width="16.88671875" style="537" customWidth="1" outlineLevel="1"/>
    <col min="64" max="64" width="14.109375" style="537" customWidth="1" outlineLevel="1"/>
    <col min="65" max="67" width="16.88671875" style="537" customWidth="1" outlineLevel="1"/>
    <col min="68" max="68" width="6.77734375" style="537" customWidth="1" outlineLevel="1"/>
    <col min="69" max="69" width="9.109375" style="529" customWidth="1"/>
    <col min="70" max="70" width="16.88671875" style="532" customWidth="1" outlineLevel="1"/>
    <col min="71" max="71" width="33.33203125" style="532" customWidth="1" outlineLevel="1"/>
    <col min="72" max="80" width="16.88671875" style="532" customWidth="1" outlineLevel="1"/>
    <col min="81" max="81" width="16.88671875" style="532" customWidth="1"/>
    <col min="82" max="82" width="20.88671875" style="529" customWidth="1"/>
    <col min="83" max="83" width="10.33203125" style="529" bestFit="1" customWidth="1"/>
    <col min="84" max="84" width="10.109375" style="529" bestFit="1" customWidth="1"/>
    <col min="85" max="85" width="9.109375" style="529" bestFit="1" customWidth="1"/>
    <col min="86" max="86" width="16.88671875" style="529" customWidth="1"/>
    <col min="87" max="87" width="20.88671875" style="529" customWidth="1"/>
    <col min="88" max="100" width="13" style="529" customWidth="1"/>
    <col min="101" max="111" width="8.88671875" style="529" customWidth="1"/>
    <col min="112" max="245" width="9" style="529"/>
    <col min="246" max="246" width="20.109375" style="529" customWidth="1"/>
    <col min="247" max="247" width="53" style="529" customWidth="1"/>
    <col min="248" max="248" width="30.88671875" style="529" customWidth="1"/>
    <col min="249" max="249" width="30.44140625" style="529" customWidth="1"/>
    <col min="250" max="250" width="28.109375" style="529" customWidth="1"/>
    <col min="251" max="252" width="30.88671875" style="529" customWidth="1"/>
    <col min="253" max="253" width="26.109375" style="529" customWidth="1"/>
    <col min="254" max="255" width="30.88671875" style="529" customWidth="1"/>
    <col min="256" max="256" width="26.109375" style="529" customWidth="1"/>
    <col min="257" max="257" width="17.88671875" style="529" customWidth="1"/>
    <col min="258" max="259" width="28.44140625" style="529" customWidth="1"/>
    <col min="260" max="260" width="24" style="529" customWidth="1"/>
    <col min="261" max="262" width="30.88671875" style="529" customWidth="1"/>
    <col min="263" max="263" width="26.109375" style="529" customWidth="1"/>
    <col min="264" max="265" width="30.88671875" style="529" customWidth="1"/>
    <col min="266" max="266" width="28.44140625" style="529" customWidth="1"/>
    <col min="267" max="269" width="8.88671875" style="529" customWidth="1"/>
    <col min="270" max="272" width="25.44140625" style="529" customWidth="1"/>
    <col min="273" max="273" width="27.44140625" style="529" customWidth="1"/>
    <col min="274" max="323" width="8.88671875" style="529" customWidth="1"/>
    <col min="324" max="324" width="22.88671875" style="529" customWidth="1"/>
    <col min="325" max="325" width="23.88671875" style="529" customWidth="1"/>
    <col min="326" max="326" width="14.44140625" style="529" customWidth="1"/>
    <col min="327" max="501" width="9" style="529"/>
    <col min="502" max="502" width="20.109375" style="529" customWidth="1"/>
    <col min="503" max="503" width="53" style="529" customWidth="1"/>
    <col min="504" max="504" width="30.88671875" style="529" customWidth="1"/>
    <col min="505" max="505" width="30.44140625" style="529" customWidth="1"/>
    <col min="506" max="506" width="28.109375" style="529" customWidth="1"/>
    <col min="507" max="508" width="30.88671875" style="529" customWidth="1"/>
    <col min="509" max="509" width="26.109375" style="529" customWidth="1"/>
    <col min="510" max="511" width="30.88671875" style="529" customWidth="1"/>
    <col min="512" max="512" width="26.109375" style="529" customWidth="1"/>
    <col min="513" max="513" width="17.88671875" style="529" customWidth="1"/>
    <col min="514" max="515" width="28.44140625" style="529" customWidth="1"/>
    <col min="516" max="516" width="24" style="529" customWidth="1"/>
    <col min="517" max="518" width="30.88671875" style="529" customWidth="1"/>
    <col min="519" max="519" width="26.109375" style="529" customWidth="1"/>
    <col min="520" max="521" width="30.88671875" style="529" customWidth="1"/>
    <col min="522" max="522" width="28.44140625" style="529" customWidth="1"/>
    <col min="523" max="525" width="8.88671875" style="529" customWidth="1"/>
    <col min="526" max="528" width="25.44140625" style="529" customWidth="1"/>
    <col min="529" max="529" width="27.44140625" style="529" customWidth="1"/>
    <col min="530" max="579" width="8.88671875" style="529" customWidth="1"/>
    <col min="580" max="580" width="22.88671875" style="529" customWidth="1"/>
    <col min="581" max="581" width="23.88671875" style="529" customWidth="1"/>
    <col min="582" max="582" width="14.44140625" style="529" customWidth="1"/>
    <col min="583" max="757" width="9" style="529"/>
    <col min="758" max="758" width="20.109375" style="529" customWidth="1"/>
    <col min="759" max="759" width="53" style="529" customWidth="1"/>
    <col min="760" max="760" width="30.88671875" style="529" customWidth="1"/>
    <col min="761" max="761" width="30.44140625" style="529" customWidth="1"/>
    <col min="762" max="762" width="28.109375" style="529" customWidth="1"/>
    <col min="763" max="764" width="30.88671875" style="529" customWidth="1"/>
    <col min="765" max="765" width="26.109375" style="529" customWidth="1"/>
    <col min="766" max="767" width="30.88671875" style="529" customWidth="1"/>
    <col min="768" max="768" width="26.109375" style="529" customWidth="1"/>
    <col min="769" max="769" width="17.88671875" style="529" customWidth="1"/>
    <col min="770" max="771" width="28.44140625" style="529" customWidth="1"/>
    <col min="772" max="772" width="24" style="529" customWidth="1"/>
    <col min="773" max="774" width="30.88671875" style="529" customWidth="1"/>
    <col min="775" max="775" width="26.109375" style="529" customWidth="1"/>
    <col min="776" max="777" width="30.88671875" style="529" customWidth="1"/>
    <col min="778" max="778" width="28.44140625" style="529" customWidth="1"/>
    <col min="779" max="781" width="8.88671875" style="529" customWidth="1"/>
    <col min="782" max="784" width="25.44140625" style="529" customWidth="1"/>
    <col min="785" max="785" width="27.44140625" style="529" customWidth="1"/>
    <col min="786" max="835" width="8.88671875" style="529" customWidth="1"/>
    <col min="836" max="836" width="22.88671875" style="529" customWidth="1"/>
    <col min="837" max="837" width="23.88671875" style="529" customWidth="1"/>
    <col min="838" max="838" width="14.44140625" style="529" customWidth="1"/>
    <col min="839" max="1013" width="9" style="529"/>
    <col min="1014" max="1014" width="20.109375" style="529" customWidth="1"/>
    <col min="1015" max="1015" width="53" style="529" customWidth="1"/>
    <col min="1016" max="1016" width="30.88671875" style="529" customWidth="1"/>
    <col min="1017" max="1017" width="30.44140625" style="529" customWidth="1"/>
    <col min="1018" max="1018" width="28.109375" style="529" customWidth="1"/>
    <col min="1019" max="1020" width="30.88671875" style="529" customWidth="1"/>
    <col min="1021" max="1021" width="26.109375" style="529" customWidth="1"/>
    <col min="1022" max="1023" width="30.88671875" style="529" customWidth="1"/>
    <col min="1024" max="1024" width="26.109375" style="529" customWidth="1"/>
    <col min="1025" max="1025" width="17.88671875" style="529" customWidth="1"/>
    <col min="1026" max="1027" width="28.44140625" style="529" customWidth="1"/>
    <col min="1028" max="1028" width="24" style="529" customWidth="1"/>
    <col min="1029" max="1030" width="30.88671875" style="529" customWidth="1"/>
    <col min="1031" max="1031" width="26.109375" style="529" customWidth="1"/>
    <col min="1032" max="1033" width="30.88671875" style="529" customWidth="1"/>
    <col min="1034" max="1034" width="28.44140625" style="529" customWidth="1"/>
    <col min="1035" max="1037" width="8.88671875" style="529" customWidth="1"/>
    <col min="1038" max="1040" width="25.44140625" style="529" customWidth="1"/>
    <col min="1041" max="1041" width="27.44140625" style="529" customWidth="1"/>
    <col min="1042" max="1091" width="8.88671875" style="529" customWidth="1"/>
    <col min="1092" max="1092" width="22.88671875" style="529" customWidth="1"/>
    <col min="1093" max="1093" width="23.88671875" style="529" customWidth="1"/>
    <col min="1094" max="1094" width="14.44140625" style="529" customWidth="1"/>
    <col min="1095" max="1269" width="9" style="529"/>
    <col min="1270" max="1270" width="20.109375" style="529" customWidth="1"/>
    <col min="1271" max="1271" width="53" style="529" customWidth="1"/>
    <col min="1272" max="1272" width="30.88671875" style="529" customWidth="1"/>
    <col min="1273" max="1273" width="30.44140625" style="529" customWidth="1"/>
    <col min="1274" max="1274" width="28.109375" style="529" customWidth="1"/>
    <col min="1275" max="1276" width="30.88671875" style="529" customWidth="1"/>
    <col min="1277" max="1277" width="26.109375" style="529" customWidth="1"/>
    <col min="1278" max="1279" width="30.88671875" style="529" customWidth="1"/>
    <col min="1280" max="1280" width="26.109375" style="529" customWidth="1"/>
    <col min="1281" max="1281" width="17.88671875" style="529" customWidth="1"/>
    <col min="1282" max="1283" width="28.44140625" style="529" customWidth="1"/>
    <col min="1284" max="1284" width="24" style="529" customWidth="1"/>
    <col min="1285" max="1286" width="30.88671875" style="529" customWidth="1"/>
    <col min="1287" max="1287" width="26.109375" style="529" customWidth="1"/>
    <col min="1288" max="1289" width="30.88671875" style="529" customWidth="1"/>
    <col min="1290" max="1290" width="28.44140625" style="529" customWidth="1"/>
    <col min="1291" max="1293" width="8.88671875" style="529" customWidth="1"/>
    <col min="1294" max="1296" width="25.44140625" style="529" customWidth="1"/>
    <col min="1297" max="1297" width="27.44140625" style="529" customWidth="1"/>
    <col min="1298" max="1347" width="8.88671875" style="529" customWidth="1"/>
    <col min="1348" max="1348" width="22.88671875" style="529" customWidth="1"/>
    <col min="1349" max="1349" width="23.88671875" style="529" customWidth="1"/>
    <col min="1350" max="1350" width="14.44140625" style="529" customWidth="1"/>
    <col min="1351" max="1525" width="9" style="529"/>
    <col min="1526" max="1526" width="20.109375" style="529" customWidth="1"/>
    <col min="1527" max="1527" width="53" style="529" customWidth="1"/>
    <col min="1528" max="1528" width="30.88671875" style="529" customWidth="1"/>
    <col min="1529" max="1529" width="30.44140625" style="529" customWidth="1"/>
    <col min="1530" max="1530" width="28.109375" style="529" customWidth="1"/>
    <col min="1531" max="1532" width="30.88671875" style="529" customWidth="1"/>
    <col min="1533" max="1533" width="26.109375" style="529" customWidth="1"/>
    <col min="1534" max="1535" width="30.88671875" style="529" customWidth="1"/>
    <col min="1536" max="1536" width="26.109375" style="529" customWidth="1"/>
    <col min="1537" max="1537" width="17.88671875" style="529" customWidth="1"/>
    <col min="1538" max="1539" width="28.44140625" style="529" customWidth="1"/>
    <col min="1540" max="1540" width="24" style="529" customWidth="1"/>
    <col min="1541" max="1542" width="30.88671875" style="529" customWidth="1"/>
    <col min="1543" max="1543" width="26.109375" style="529" customWidth="1"/>
    <col min="1544" max="1545" width="30.88671875" style="529" customWidth="1"/>
    <col min="1546" max="1546" width="28.44140625" style="529" customWidth="1"/>
    <col min="1547" max="1549" width="8.88671875" style="529" customWidth="1"/>
    <col min="1550" max="1552" width="25.44140625" style="529" customWidth="1"/>
    <col min="1553" max="1553" width="27.44140625" style="529" customWidth="1"/>
    <col min="1554" max="1603" width="8.88671875" style="529" customWidth="1"/>
    <col min="1604" max="1604" width="22.88671875" style="529" customWidth="1"/>
    <col min="1605" max="1605" width="23.88671875" style="529" customWidth="1"/>
    <col min="1606" max="1606" width="14.44140625" style="529" customWidth="1"/>
    <col min="1607" max="1781" width="9" style="529"/>
    <col min="1782" max="1782" width="20.109375" style="529" customWidth="1"/>
    <col min="1783" max="1783" width="53" style="529" customWidth="1"/>
    <col min="1784" max="1784" width="30.88671875" style="529" customWidth="1"/>
    <col min="1785" max="1785" width="30.44140625" style="529" customWidth="1"/>
    <col min="1786" max="1786" width="28.109375" style="529" customWidth="1"/>
    <col min="1787" max="1788" width="30.88671875" style="529" customWidth="1"/>
    <col min="1789" max="1789" width="26.109375" style="529" customWidth="1"/>
    <col min="1790" max="1791" width="30.88671875" style="529" customWidth="1"/>
    <col min="1792" max="1792" width="26.109375" style="529" customWidth="1"/>
    <col min="1793" max="1793" width="17.88671875" style="529" customWidth="1"/>
    <col min="1794" max="1795" width="28.44140625" style="529" customWidth="1"/>
    <col min="1796" max="1796" width="24" style="529" customWidth="1"/>
    <col min="1797" max="1798" width="30.88671875" style="529" customWidth="1"/>
    <col min="1799" max="1799" width="26.109375" style="529" customWidth="1"/>
    <col min="1800" max="1801" width="30.88671875" style="529" customWidth="1"/>
    <col min="1802" max="1802" width="28.44140625" style="529" customWidth="1"/>
    <col min="1803" max="1805" width="8.88671875" style="529" customWidth="1"/>
    <col min="1806" max="1808" width="25.44140625" style="529" customWidth="1"/>
    <col min="1809" max="1809" width="27.44140625" style="529" customWidth="1"/>
    <col min="1810" max="1859" width="8.88671875" style="529" customWidth="1"/>
    <col min="1860" max="1860" width="22.88671875" style="529" customWidth="1"/>
    <col min="1861" max="1861" width="23.88671875" style="529" customWidth="1"/>
    <col min="1862" max="1862" width="14.44140625" style="529" customWidth="1"/>
    <col min="1863" max="2037" width="9" style="529"/>
    <col min="2038" max="2038" width="20.109375" style="529" customWidth="1"/>
    <col min="2039" max="2039" width="53" style="529" customWidth="1"/>
    <col min="2040" max="2040" width="30.88671875" style="529" customWidth="1"/>
    <col min="2041" max="2041" width="30.44140625" style="529" customWidth="1"/>
    <col min="2042" max="2042" width="28.109375" style="529" customWidth="1"/>
    <col min="2043" max="2044" width="30.88671875" style="529" customWidth="1"/>
    <col min="2045" max="2045" width="26.109375" style="529" customWidth="1"/>
    <col min="2046" max="2047" width="30.88671875" style="529" customWidth="1"/>
    <col min="2048" max="2048" width="26.109375" style="529" customWidth="1"/>
    <col min="2049" max="2049" width="17.88671875" style="529" customWidth="1"/>
    <col min="2050" max="2051" width="28.44140625" style="529" customWidth="1"/>
    <col min="2052" max="2052" width="24" style="529" customWidth="1"/>
    <col min="2053" max="2054" width="30.88671875" style="529" customWidth="1"/>
    <col min="2055" max="2055" width="26.109375" style="529" customWidth="1"/>
    <col min="2056" max="2057" width="30.88671875" style="529" customWidth="1"/>
    <col min="2058" max="2058" width="28.44140625" style="529" customWidth="1"/>
    <col min="2059" max="2061" width="8.88671875" style="529" customWidth="1"/>
    <col min="2062" max="2064" width="25.44140625" style="529" customWidth="1"/>
    <col min="2065" max="2065" width="27.44140625" style="529" customWidth="1"/>
    <col min="2066" max="2115" width="8.88671875" style="529" customWidth="1"/>
    <col min="2116" max="2116" width="22.88671875" style="529" customWidth="1"/>
    <col min="2117" max="2117" width="23.88671875" style="529" customWidth="1"/>
    <col min="2118" max="2118" width="14.44140625" style="529" customWidth="1"/>
    <col min="2119" max="2293" width="9" style="529"/>
    <col min="2294" max="2294" width="20.109375" style="529" customWidth="1"/>
    <col min="2295" max="2295" width="53" style="529" customWidth="1"/>
    <col min="2296" max="2296" width="30.88671875" style="529" customWidth="1"/>
    <col min="2297" max="2297" width="30.44140625" style="529" customWidth="1"/>
    <col min="2298" max="2298" width="28.109375" style="529" customWidth="1"/>
    <col min="2299" max="2300" width="30.88671875" style="529" customWidth="1"/>
    <col min="2301" max="2301" width="26.109375" style="529" customWidth="1"/>
    <col min="2302" max="2303" width="30.88671875" style="529" customWidth="1"/>
    <col min="2304" max="2304" width="26.109375" style="529" customWidth="1"/>
    <col min="2305" max="2305" width="17.88671875" style="529" customWidth="1"/>
    <col min="2306" max="2307" width="28.44140625" style="529" customWidth="1"/>
    <col min="2308" max="2308" width="24" style="529" customWidth="1"/>
    <col min="2309" max="2310" width="30.88671875" style="529" customWidth="1"/>
    <col min="2311" max="2311" width="26.109375" style="529" customWidth="1"/>
    <col min="2312" max="2313" width="30.88671875" style="529" customWidth="1"/>
    <col min="2314" max="2314" width="28.44140625" style="529" customWidth="1"/>
    <col min="2315" max="2317" width="8.88671875" style="529" customWidth="1"/>
    <col min="2318" max="2320" width="25.44140625" style="529" customWidth="1"/>
    <col min="2321" max="2321" width="27.44140625" style="529" customWidth="1"/>
    <col min="2322" max="2371" width="8.88671875" style="529" customWidth="1"/>
    <col min="2372" max="2372" width="22.88671875" style="529" customWidth="1"/>
    <col min="2373" max="2373" width="23.88671875" style="529" customWidth="1"/>
    <col min="2374" max="2374" width="14.44140625" style="529" customWidth="1"/>
    <col min="2375" max="2549" width="9" style="529"/>
    <col min="2550" max="2550" width="20.109375" style="529" customWidth="1"/>
    <col min="2551" max="2551" width="53" style="529" customWidth="1"/>
    <col min="2552" max="2552" width="30.88671875" style="529" customWidth="1"/>
    <col min="2553" max="2553" width="30.44140625" style="529" customWidth="1"/>
    <col min="2554" max="2554" width="28.109375" style="529" customWidth="1"/>
    <col min="2555" max="2556" width="30.88671875" style="529" customWidth="1"/>
    <col min="2557" max="2557" width="26.109375" style="529" customWidth="1"/>
    <col min="2558" max="2559" width="30.88671875" style="529" customWidth="1"/>
    <col min="2560" max="2560" width="26.109375" style="529" customWidth="1"/>
    <col min="2561" max="2561" width="17.88671875" style="529" customWidth="1"/>
    <col min="2562" max="2563" width="28.44140625" style="529" customWidth="1"/>
    <col min="2564" max="2564" width="24" style="529" customWidth="1"/>
    <col min="2565" max="2566" width="30.88671875" style="529" customWidth="1"/>
    <col min="2567" max="2567" width="26.109375" style="529" customWidth="1"/>
    <col min="2568" max="2569" width="30.88671875" style="529" customWidth="1"/>
    <col min="2570" max="2570" width="28.44140625" style="529" customWidth="1"/>
    <col min="2571" max="2573" width="8.88671875" style="529" customWidth="1"/>
    <col min="2574" max="2576" width="25.44140625" style="529" customWidth="1"/>
    <col min="2577" max="2577" width="27.44140625" style="529" customWidth="1"/>
    <col min="2578" max="2627" width="8.88671875" style="529" customWidth="1"/>
    <col min="2628" max="2628" width="22.88671875" style="529" customWidth="1"/>
    <col min="2629" max="2629" width="23.88671875" style="529" customWidth="1"/>
    <col min="2630" max="2630" width="14.44140625" style="529" customWidth="1"/>
    <col min="2631" max="2805" width="9" style="529"/>
    <col min="2806" max="2806" width="20.109375" style="529" customWidth="1"/>
    <col min="2807" max="2807" width="53" style="529" customWidth="1"/>
    <col min="2808" max="2808" width="30.88671875" style="529" customWidth="1"/>
    <col min="2809" max="2809" width="30.44140625" style="529" customWidth="1"/>
    <col min="2810" max="2810" width="28.109375" style="529" customWidth="1"/>
    <col min="2811" max="2812" width="30.88671875" style="529" customWidth="1"/>
    <col min="2813" max="2813" width="26.109375" style="529" customWidth="1"/>
    <col min="2814" max="2815" width="30.88671875" style="529" customWidth="1"/>
    <col min="2816" max="2816" width="26.109375" style="529" customWidth="1"/>
    <col min="2817" max="2817" width="17.88671875" style="529" customWidth="1"/>
    <col min="2818" max="2819" width="28.44140625" style="529" customWidth="1"/>
    <col min="2820" max="2820" width="24" style="529" customWidth="1"/>
    <col min="2821" max="2822" width="30.88671875" style="529" customWidth="1"/>
    <col min="2823" max="2823" width="26.109375" style="529" customWidth="1"/>
    <col min="2824" max="2825" width="30.88671875" style="529" customWidth="1"/>
    <col min="2826" max="2826" width="28.44140625" style="529" customWidth="1"/>
    <col min="2827" max="2829" width="8.88671875" style="529" customWidth="1"/>
    <col min="2830" max="2832" width="25.44140625" style="529" customWidth="1"/>
    <col min="2833" max="2833" width="27.44140625" style="529" customWidth="1"/>
    <col min="2834" max="2883" width="8.88671875" style="529" customWidth="1"/>
    <col min="2884" max="2884" width="22.88671875" style="529" customWidth="1"/>
    <col min="2885" max="2885" width="23.88671875" style="529" customWidth="1"/>
    <col min="2886" max="2886" width="14.44140625" style="529" customWidth="1"/>
    <col min="2887" max="3061" width="9" style="529"/>
    <col min="3062" max="3062" width="20.109375" style="529" customWidth="1"/>
    <col min="3063" max="3063" width="53" style="529" customWidth="1"/>
    <col min="3064" max="3064" width="30.88671875" style="529" customWidth="1"/>
    <col min="3065" max="3065" width="30.44140625" style="529" customWidth="1"/>
    <col min="3066" max="3066" width="28.109375" style="529" customWidth="1"/>
    <col min="3067" max="3068" width="30.88671875" style="529" customWidth="1"/>
    <col min="3069" max="3069" width="26.109375" style="529" customWidth="1"/>
    <col min="3070" max="3071" width="30.88671875" style="529" customWidth="1"/>
    <col min="3072" max="3072" width="26.109375" style="529" customWidth="1"/>
    <col min="3073" max="3073" width="17.88671875" style="529" customWidth="1"/>
    <col min="3074" max="3075" width="28.44140625" style="529" customWidth="1"/>
    <col min="3076" max="3076" width="24" style="529" customWidth="1"/>
    <col min="3077" max="3078" width="30.88671875" style="529" customWidth="1"/>
    <col min="3079" max="3079" width="26.109375" style="529" customWidth="1"/>
    <col min="3080" max="3081" width="30.88671875" style="529" customWidth="1"/>
    <col min="3082" max="3082" width="28.44140625" style="529" customWidth="1"/>
    <col min="3083" max="3085" width="8.88671875" style="529" customWidth="1"/>
    <col min="3086" max="3088" width="25.44140625" style="529" customWidth="1"/>
    <col min="3089" max="3089" width="27.44140625" style="529" customWidth="1"/>
    <col min="3090" max="3139" width="8.88671875" style="529" customWidth="1"/>
    <col min="3140" max="3140" width="22.88671875" style="529" customWidth="1"/>
    <col min="3141" max="3141" width="23.88671875" style="529" customWidth="1"/>
    <col min="3142" max="3142" width="14.44140625" style="529" customWidth="1"/>
    <col min="3143" max="3317" width="9" style="529"/>
    <col min="3318" max="3318" width="20.109375" style="529" customWidth="1"/>
    <col min="3319" max="3319" width="53" style="529" customWidth="1"/>
    <col min="3320" max="3320" width="30.88671875" style="529" customWidth="1"/>
    <col min="3321" max="3321" width="30.44140625" style="529" customWidth="1"/>
    <col min="3322" max="3322" width="28.109375" style="529" customWidth="1"/>
    <col min="3323" max="3324" width="30.88671875" style="529" customWidth="1"/>
    <col min="3325" max="3325" width="26.109375" style="529" customWidth="1"/>
    <col min="3326" max="3327" width="30.88671875" style="529" customWidth="1"/>
    <col min="3328" max="3328" width="26.109375" style="529" customWidth="1"/>
    <col min="3329" max="3329" width="17.88671875" style="529" customWidth="1"/>
    <col min="3330" max="3331" width="28.44140625" style="529" customWidth="1"/>
    <col min="3332" max="3332" width="24" style="529" customWidth="1"/>
    <col min="3333" max="3334" width="30.88671875" style="529" customWidth="1"/>
    <col min="3335" max="3335" width="26.109375" style="529" customWidth="1"/>
    <col min="3336" max="3337" width="30.88671875" style="529" customWidth="1"/>
    <col min="3338" max="3338" width="28.44140625" style="529" customWidth="1"/>
    <col min="3339" max="3341" width="8.88671875" style="529" customWidth="1"/>
    <col min="3342" max="3344" width="25.44140625" style="529" customWidth="1"/>
    <col min="3345" max="3345" width="27.44140625" style="529" customWidth="1"/>
    <col min="3346" max="3395" width="8.88671875" style="529" customWidth="1"/>
    <col min="3396" max="3396" width="22.88671875" style="529" customWidth="1"/>
    <col min="3397" max="3397" width="23.88671875" style="529" customWidth="1"/>
    <col min="3398" max="3398" width="14.44140625" style="529" customWidth="1"/>
    <col min="3399" max="3573" width="9" style="529"/>
    <col min="3574" max="3574" width="20.109375" style="529" customWidth="1"/>
    <col min="3575" max="3575" width="53" style="529" customWidth="1"/>
    <col min="3576" max="3576" width="30.88671875" style="529" customWidth="1"/>
    <col min="3577" max="3577" width="30.44140625" style="529" customWidth="1"/>
    <col min="3578" max="3578" width="28.109375" style="529" customWidth="1"/>
    <col min="3579" max="3580" width="30.88671875" style="529" customWidth="1"/>
    <col min="3581" max="3581" width="26.109375" style="529" customWidth="1"/>
    <col min="3582" max="3583" width="30.88671875" style="529" customWidth="1"/>
    <col min="3584" max="3584" width="26.109375" style="529" customWidth="1"/>
    <col min="3585" max="3585" width="17.88671875" style="529" customWidth="1"/>
    <col min="3586" max="3587" width="28.44140625" style="529" customWidth="1"/>
    <col min="3588" max="3588" width="24" style="529" customWidth="1"/>
    <col min="3589" max="3590" width="30.88671875" style="529" customWidth="1"/>
    <col min="3591" max="3591" width="26.109375" style="529" customWidth="1"/>
    <col min="3592" max="3593" width="30.88671875" style="529" customWidth="1"/>
    <col min="3594" max="3594" width="28.44140625" style="529" customWidth="1"/>
    <col min="3595" max="3597" width="8.88671875" style="529" customWidth="1"/>
    <col min="3598" max="3600" width="25.44140625" style="529" customWidth="1"/>
    <col min="3601" max="3601" width="27.44140625" style="529" customWidth="1"/>
    <col min="3602" max="3651" width="8.88671875" style="529" customWidth="1"/>
    <col min="3652" max="3652" width="22.88671875" style="529" customWidth="1"/>
    <col min="3653" max="3653" width="23.88671875" style="529" customWidth="1"/>
    <col min="3654" max="3654" width="14.44140625" style="529" customWidth="1"/>
    <col min="3655" max="3829" width="9" style="529"/>
    <col min="3830" max="3830" width="20.109375" style="529" customWidth="1"/>
    <col min="3831" max="3831" width="53" style="529" customWidth="1"/>
    <col min="3832" max="3832" width="30.88671875" style="529" customWidth="1"/>
    <col min="3833" max="3833" width="30.44140625" style="529" customWidth="1"/>
    <col min="3834" max="3834" width="28.109375" style="529" customWidth="1"/>
    <col min="3835" max="3836" width="30.88671875" style="529" customWidth="1"/>
    <col min="3837" max="3837" width="26.109375" style="529" customWidth="1"/>
    <col min="3838" max="3839" width="30.88671875" style="529" customWidth="1"/>
    <col min="3840" max="3840" width="26.109375" style="529" customWidth="1"/>
    <col min="3841" max="3841" width="17.88671875" style="529" customWidth="1"/>
    <col min="3842" max="3843" width="28.44140625" style="529" customWidth="1"/>
    <col min="3844" max="3844" width="24" style="529" customWidth="1"/>
    <col min="3845" max="3846" width="30.88671875" style="529" customWidth="1"/>
    <col min="3847" max="3847" width="26.109375" style="529" customWidth="1"/>
    <col min="3848" max="3849" width="30.88671875" style="529" customWidth="1"/>
    <col min="3850" max="3850" width="28.44140625" style="529" customWidth="1"/>
    <col min="3851" max="3853" width="8.88671875" style="529" customWidth="1"/>
    <col min="3854" max="3856" width="25.44140625" style="529" customWidth="1"/>
    <col min="3857" max="3857" width="27.44140625" style="529" customWidth="1"/>
    <col min="3858" max="3907" width="8.88671875" style="529" customWidth="1"/>
    <col min="3908" max="3908" width="22.88671875" style="529" customWidth="1"/>
    <col min="3909" max="3909" width="23.88671875" style="529" customWidth="1"/>
    <col min="3910" max="3910" width="14.44140625" style="529" customWidth="1"/>
    <col min="3911" max="4085" width="9" style="529"/>
    <col min="4086" max="4086" width="20.109375" style="529" customWidth="1"/>
    <col min="4087" max="4087" width="53" style="529" customWidth="1"/>
    <col min="4088" max="4088" width="30.88671875" style="529" customWidth="1"/>
    <col min="4089" max="4089" width="30.44140625" style="529" customWidth="1"/>
    <col min="4090" max="4090" width="28.109375" style="529" customWidth="1"/>
    <col min="4091" max="4092" width="30.88671875" style="529" customWidth="1"/>
    <col min="4093" max="4093" width="26.109375" style="529" customWidth="1"/>
    <col min="4094" max="4095" width="30.88671875" style="529" customWidth="1"/>
    <col min="4096" max="4096" width="26.109375" style="529" customWidth="1"/>
    <col min="4097" max="4097" width="17.88671875" style="529" customWidth="1"/>
    <col min="4098" max="4099" width="28.44140625" style="529" customWidth="1"/>
    <col min="4100" max="4100" width="24" style="529" customWidth="1"/>
    <col min="4101" max="4102" width="30.88671875" style="529" customWidth="1"/>
    <col min="4103" max="4103" width="26.109375" style="529" customWidth="1"/>
    <col min="4104" max="4105" width="30.88671875" style="529" customWidth="1"/>
    <col min="4106" max="4106" width="28.44140625" style="529" customWidth="1"/>
    <col min="4107" max="4109" width="8.88671875" style="529" customWidth="1"/>
    <col min="4110" max="4112" width="25.44140625" style="529" customWidth="1"/>
    <col min="4113" max="4113" width="27.44140625" style="529" customWidth="1"/>
    <col min="4114" max="4163" width="8.88671875" style="529" customWidth="1"/>
    <col min="4164" max="4164" width="22.88671875" style="529" customWidth="1"/>
    <col min="4165" max="4165" width="23.88671875" style="529" customWidth="1"/>
    <col min="4166" max="4166" width="14.44140625" style="529" customWidth="1"/>
    <col min="4167" max="4341" width="9" style="529"/>
    <col min="4342" max="4342" width="20.109375" style="529" customWidth="1"/>
    <col min="4343" max="4343" width="53" style="529" customWidth="1"/>
    <col min="4344" max="4344" width="30.88671875" style="529" customWidth="1"/>
    <col min="4345" max="4345" width="30.44140625" style="529" customWidth="1"/>
    <col min="4346" max="4346" width="28.109375" style="529" customWidth="1"/>
    <col min="4347" max="4348" width="30.88671875" style="529" customWidth="1"/>
    <col min="4349" max="4349" width="26.109375" style="529" customWidth="1"/>
    <col min="4350" max="4351" width="30.88671875" style="529" customWidth="1"/>
    <col min="4352" max="4352" width="26.109375" style="529" customWidth="1"/>
    <col min="4353" max="4353" width="17.88671875" style="529" customWidth="1"/>
    <col min="4354" max="4355" width="28.44140625" style="529" customWidth="1"/>
    <col min="4356" max="4356" width="24" style="529" customWidth="1"/>
    <col min="4357" max="4358" width="30.88671875" style="529" customWidth="1"/>
    <col min="4359" max="4359" width="26.109375" style="529" customWidth="1"/>
    <col min="4360" max="4361" width="30.88671875" style="529" customWidth="1"/>
    <col min="4362" max="4362" width="28.44140625" style="529" customWidth="1"/>
    <col min="4363" max="4365" width="8.88671875" style="529" customWidth="1"/>
    <col min="4366" max="4368" width="25.44140625" style="529" customWidth="1"/>
    <col min="4369" max="4369" width="27.44140625" style="529" customWidth="1"/>
    <col min="4370" max="4419" width="8.88671875" style="529" customWidth="1"/>
    <col min="4420" max="4420" width="22.88671875" style="529" customWidth="1"/>
    <col min="4421" max="4421" width="23.88671875" style="529" customWidth="1"/>
    <col min="4422" max="4422" width="14.44140625" style="529" customWidth="1"/>
    <col min="4423" max="4597" width="9" style="529"/>
    <col min="4598" max="4598" width="20.109375" style="529" customWidth="1"/>
    <col min="4599" max="4599" width="53" style="529" customWidth="1"/>
    <col min="4600" max="4600" width="30.88671875" style="529" customWidth="1"/>
    <col min="4601" max="4601" width="30.44140625" style="529" customWidth="1"/>
    <col min="4602" max="4602" width="28.109375" style="529" customWidth="1"/>
    <col min="4603" max="4604" width="30.88671875" style="529" customWidth="1"/>
    <col min="4605" max="4605" width="26.109375" style="529" customWidth="1"/>
    <col min="4606" max="4607" width="30.88671875" style="529" customWidth="1"/>
    <col min="4608" max="4608" width="26.109375" style="529" customWidth="1"/>
    <col min="4609" max="4609" width="17.88671875" style="529" customWidth="1"/>
    <col min="4610" max="4611" width="28.44140625" style="529" customWidth="1"/>
    <col min="4612" max="4612" width="24" style="529" customWidth="1"/>
    <col min="4613" max="4614" width="30.88671875" style="529" customWidth="1"/>
    <col min="4615" max="4615" width="26.109375" style="529" customWidth="1"/>
    <col min="4616" max="4617" width="30.88671875" style="529" customWidth="1"/>
    <col min="4618" max="4618" width="28.44140625" style="529" customWidth="1"/>
    <col min="4619" max="4621" width="8.88671875" style="529" customWidth="1"/>
    <col min="4622" max="4624" width="25.44140625" style="529" customWidth="1"/>
    <col min="4625" max="4625" width="27.44140625" style="529" customWidth="1"/>
    <col min="4626" max="4675" width="8.88671875" style="529" customWidth="1"/>
    <col min="4676" max="4676" width="22.88671875" style="529" customWidth="1"/>
    <col min="4677" max="4677" width="23.88671875" style="529" customWidth="1"/>
    <col min="4678" max="4678" width="14.44140625" style="529" customWidth="1"/>
    <col min="4679" max="4853" width="9" style="529"/>
    <col min="4854" max="4854" width="20.109375" style="529" customWidth="1"/>
    <col min="4855" max="4855" width="53" style="529" customWidth="1"/>
    <col min="4856" max="4856" width="30.88671875" style="529" customWidth="1"/>
    <col min="4857" max="4857" width="30.44140625" style="529" customWidth="1"/>
    <col min="4858" max="4858" width="28.109375" style="529" customWidth="1"/>
    <col min="4859" max="4860" width="30.88671875" style="529" customWidth="1"/>
    <col min="4861" max="4861" width="26.109375" style="529" customWidth="1"/>
    <col min="4862" max="4863" width="30.88671875" style="529" customWidth="1"/>
    <col min="4864" max="4864" width="26.109375" style="529" customWidth="1"/>
    <col min="4865" max="4865" width="17.88671875" style="529" customWidth="1"/>
    <col min="4866" max="4867" width="28.44140625" style="529" customWidth="1"/>
    <col min="4868" max="4868" width="24" style="529" customWidth="1"/>
    <col min="4869" max="4870" width="30.88671875" style="529" customWidth="1"/>
    <col min="4871" max="4871" width="26.109375" style="529" customWidth="1"/>
    <col min="4872" max="4873" width="30.88671875" style="529" customWidth="1"/>
    <col min="4874" max="4874" width="28.44140625" style="529" customWidth="1"/>
    <col min="4875" max="4877" width="8.88671875" style="529" customWidth="1"/>
    <col min="4878" max="4880" width="25.44140625" style="529" customWidth="1"/>
    <col min="4881" max="4881" width="27.44140625" style="529" customWidth="1"/>
    <col min="4882" max="4931" width="8.88671875" style="529" customWidth="1"/>
    <col min="4932" max="4932" width="22.88671875" style="529" customWidth="1"/>
    <col min="4933" max="4933" width="23.88671875" style="529" customWidth="1"/>
    <col min="4934" max="4934" width="14.44140625" style="529" customWidth="1"/>
    <col min="4935" max="5109" width="9" style="529"/>
    <col min="5110" max="5110" width="20.109375" style="529" customWidth="1"/>
    <col min="5111" max="5111" width="53" style="529" customWidth="1"/>
    <col min="5112" max="5112" width="30.88671875" style="529" customWidth="1"/>
    <col min="5113" max="5113" width="30.44140625" style="529" customWidth="1"/>
    <col min="5114" max="5114" width="28.109375" style="529" customWidth="1"/>
    <col min="5115" max="5116" width="30.88671875" style="529" customWidth="1"/>
    <col min="5117" max="5117" width="26.109375" style="529" customWidth="1"/>
    <col min="5118" max="5119" width="30.88671875" style="529" customWidth="1"/>
    <col min="5120" max="5120" width="26.109375" style="529" customWidth="1"/>
    <col min="5121" max="5121" width="17.88671875" style="529" customWidth="1"/>
    <col min="5122" max="5123" width="28.44140625" style="529" customWidth="1"/>
    <col min="5124" max="5124" width="24" style="529" customWidth="1"/>
    <col min="5125" max="5126" width="30.88671875" style="529" customWidth="1"/>
    <col min="5127" max="5127" width="26.109375" style="529" customWidth="1"/>
    <col min="5128" max="5129" width="30.88671875" style="529" customWidth="1"/>
    <col min="5130" max="5130" width="28.44140625" style="529" customWidth="1"/>
    <col min="5131" max="5133" width="8.88671875" style="529" customWidth="1"/>
    <col min="5134" max="5136" width="25.44140625" style="529" customWidth="1"/>
    <col min="5137" max="5137" width="27.44140625" style="529" customWidth="1"/>
    <col min="5138" max="5187" width="8.88671875" style="529" customWidth="1"/>
    <col min="5188" max="5188" width="22.88671875" style="529" customWidth="1"/>
    <col min="5189" max="5189" width="23.88671875" style="529" customWidth="1"/>
    <col min="5190" max="5190" width="14.44140625" style="529" customWidth="1"/>
    <col min="5191" max="5365" width="9" style="529"/>
    <col min="5366" max="5366" width="20.109375" style="529" customWidth="1"/>
    <col min="5367" max="5367" width="53" style="529" customWidth="1"/>
    <col min="5368" max="5368" width="30.88671875" style="529" customWidth="1"/>
    <col min="5369" max="5369" width="30.44140625" style="529" customWidth="1"/>
    <col min="5370" max="5370" width="28.109375" style="529" customWidth="1"/>
    <col min="5371" max="5372" width="30.88671875" style="529" customWidth="1"/>
    <col min="5373" max="5373" width="26.109375" style="529" customWidth="1"/>
    <col min="5374" max="5375" width="30.88671875" style="529" customWidth="1"/>
    <col min="5376" max="5376" width="26.109375" style="529" customWidth="1"/>
    <col min="5377" max="5377" width="17.88671875" style="529" customWidth="1"/>
    <col min="5378" max="5379" width="28.44140625" style="529" customWidth="1"/>
    <col min="5380" max="5380" width="24" style="529" customWidth="1"/>
    <col min="5381" max="5382" width="30.88671875" style="529" customWidth="1"/>
    <col min="5383" max="5383" width="26.109375" style="529" customWidth="1"/>
    <col min="5384" max="5385" width="30.88671875" style="529" customWidth="1"/>
    <col min="5386" max="5386" width="28.44140625" style="529" customWidth="1"/>
    <col min="5387" max="5389" width="8.88671875" style="529" customWidth="1"/>
    <col min="5390" max="5392" width="25.44140625" style="529" customWidth="1"/>
    <col min="5393" max="5393" width="27.44140625" style="529" customWidth="1"/>
    <col min="5394" max="5443" width="8.88671875" style="529" customWidth="1"/>
    <col min="5444" max="5444" width="22.88671875" style="529" customWidth="1"/>
    <col min="5445" max="5445" width="23.88671875" style="529" customWidth="1"/>
    <col min="5446" max="5446" width="14.44140625" style="529" customWidth="1"/>
    <col min="5447" max="5621" width="9" style="529"/>
    <col min="5622" max="5622" width="20.109375" style="529" customWidth="1"/>
    <col min="5623" max="5623" width="53" style="529" customWidth="1"/>
    <col min="5624" max="5624" width="30.88671875" style="529" customWidth="1"/>
    <col min="5625" max="5625" width="30.44140625" style="529" customWidth="1"/>
    <col min="5626" max="5626" width="28.109375" style="529" customWidth="1"/>
    <col min="5627" max="5628" width="30.88671875" style="529" customWidth="1"/>
    <col min="5629" max="5629" width="26.109375" style="529" customWidth="1"/>
    <col min="5630" max="5631" width="30.88671875" style="529" customWidth="1"/>
    <col min="5632" max="5632" width="26.109375" style="529" customWidth="1"/>
    <col min="5633" max="5633" width="17.88671875" style="529" customWidth="1"/>
    <col min="5634" max="5635" width="28.44140625" style="529" customWidth="1"/>
    <col min="5636" max="5636" width="24" style="529" customWidth="1"/>
    <col min="5637" max="5638" width="30.88671875" style="529" customWidth="1"/>
    <col min="5639" max="5639" width="26.109375" style="529" customWidth="1"/>
    <col min="5640" max="5641" width="30.88671875" style="529" customWidth="1"/>
    <col min="5642" max="5642" width="28.44140625" style="529" customWidth="1"/>
    <col min="5643" max="5645" width="8.88671875" style="529" customWidth="1"/>
    <col min="5646" max="5648" width="25.44140625" style="529" customWidth="1"/>
    <col min="5649" max="5649" width="27.44140625" style="529" customWidth="1"/>
    <col min="5650" max="5699" width="8.88671875" style="529" customWidth="1"/>
    <col min="5700" max="5700" width="22.88671875" style="529" customWidth="1"/>
    <col min="5701" max="5701" width="23.88671875" style="529" customWidth="1"/>
    <col min="5702" max="5702" width="14.44140625" style="529" customWidth="1"/>
    <col min="5703" max="5877" width="9" style="529"/>
    <col min="5878" max="5878" width="20.109375" style="529" customWidth="1"/>
    <col min="5879" max="5879" width="53" style="529" customWidth="1"/>
    <col min="5880" max="5880" width="30.88671875" style="529" customWidth="1"/>
    <col min="5881" max="5881" width="30.44140625" style="529" customWidth="1"/>
    <col min="5882" max="5882" width="28.109375" style="529" customWidth="1"/>
    <col min="5883" max="5884" width="30.88671875" style="529" customWidth="1"/>
    <col min="5885" max="5885" width="26.109375" style="529" customWidth="1"/>
    <col min="5886" max="5887" width="30.88671875" style="529" customWidth="1"/>
    <col min="5888" max="5888" width="26.109375" style="529" customWidth="1"/>
    <col min="5889" max="5889" width="17.88671875" style="529" customWidth="1"/>
    <col min="5890" max="5891" width="28.44140625" style="529" customWidth="1"/>
    <col min="5892" max="5892" width="24" style="529" customWidth="1"/>
    <col min="5893" max="5894" width="30.88671875" style="529" customWidth="1"/>
    <col min="5895" max="5895" width="26.109375" style="529" customWidth="1"/>
    <col min="5896" max="5897" width="30.88671875" style="529" customWidth="1"/>
    <col min="5898" max="5898" width="28.44140625" style="529" customWidth="1"/>
    <col min="5899" max="5901" width="8.88671875" style="529" customWidth="1"/>
    <col min="5902" max="5904" width="25.44140625" style="529" customWidth="1"/>
    <col min="5905" max="5905" width="27.44140625" style="529" customWidth="1"/>
    <col min="5906" max="5955" width="8.88671875" style="529" customWidth="1"/>
    <col min="5956" max="5956" width="22.88671875" style="529" customWidth="1"/>
    <col min="5957" max="5957" width="23.88671875" style="529" customWidth="1"/>
    <col min="5958" max="5958" width="14.44140625" style="529" customWidth="1"/>
    <col min="5959" max="6133" width="9" style="529"/>
    <col min="6134" max="6134" width="20.109375" style="529" customWidth="1"/>
    <col min="6135" max="6135" width="53" style="529" customWidth="1"/>
    <col min="6136" max="6136" width="30.88671875" style="529" customWidth="1"/>
    <col min="6137" max="6137" width="30.44140625" style="529" customWidth="1"/>
    <col min="6138" max="6138" width="28.109375" style="529" customWidth="1"/>
    <col min="6139" max="6140" width="30.88671875" style="529" customWidth="1"/>
    <col min="6141" max="6141" width="26.109375" style="529" customWidth="1"/>
    <col min="6142" max="6143" width="30.88671875" style="529" customWidth="1"/>
    <col min="6144" max="6144" width="26.109375" style="529" customWidth="1"/>
    <col min="6145" max="6145" width="17.88671875" style="529" customWidth="1"/>
    <col min="6146" max="6147" width="28.44140625" style="529" customWidth="1"/>
    <col min="6148" max="6148" width="24" style="529" customWidth="1"/>
    <col min="6149" max="6150" width="30.88671875" style="529" customWidth="1"/>
    <col min="6151" max="6151" width="26.109375" style="529" customWidth="1"/>
    <col min="6152" max="6153" width="30.88671875" style="529" customWidth="1"/>
    <col min="6154" max="6154" width="28.44140625" style="529" customWidth="1"/>
    <col min="6155" max="6157" width="8.88671875" style="529" customWidth="1"/>
    <col min="6158" max="6160" width="25.44140625" style="529" customWidth="1"/>
    <col min="6161" max="6161" width="27.44140625" style="529" customWidth="1"/>
    <col min="6162" max="6211" width="8.88671875" style="529" customWidth="1"/>
    <col min="6212" max="6212" width="22.88671875" style="529" customWidth="1"/>
    <col min="6213" max="6213" width="23.88671875" style="529" customWidth="1"/>
    <col min="6214" max="6214" width="14.44140625" style="529" customWidth="1"/>
    <col min="6215" max="6389" width="9" style="529"/>
    <col min="6390" max="6390" width="20.109375" style="529" customWidth="1"/>
    <col min="6391" max="6391" width="53" style="529" customWidth="1"/>
    <col min="6392" max="6392" width="30.88671875" style="529" customWidth="1"/>
    <col min="6393" max="6393" width="30.44140625" style="529" customWidth="1"/>
    <col min="6394" max="6394" width="28.109375" style="529" customWidth="1"/>
    <col min="6395" max="6396" width="30.88671875" style="529" customWidth="1"/>
    <col min="6397" max="6397" width="26.109375" style="529" customWidth="1"/>
    <col min="6398" max="6399" width="30.88671875" style="529" customWidth="1"/>
    <col min="6400" max="6400" width="26.109375" style="529" customWidth="1"/>
    <col min="6401" max="6401" width="17.88671875" style="529" customWidth="1"/>
    <col min="6402" max="6403" width="28.44140625" style="529" customWidth="1"/>
    <col min="6404" max="6404" width="24" style="529" customWidth="1"/>
    <col min="6405" max="6406" width="30.88671875" style="529" customWidth="1"/>
    <col min="6407" max="6407" width="26.109375" style="529" customWidth="1"/>
    <col min="6408" max="6409" width="30.88671875" style="529" customWidth="1"/>
    <col min="6410" max="6410" width="28.44140625" style="529" customWidth="1"/>
    <col min="6411" max="6413" width="8.88671875" style="529" customWidth="1"/>
    <col min="6414" max="6416" width="25.44140625" style="529" customWidth="1"/>
    <col min="6417" max="6417" width="27.44140625" style="529" customWidth="1"/>
    <col min="6418" max="6467" width="8.88671875" style="529" customWidth="1"/>
    <col min="6468" max="6468" width="22.88671875" style="529" customWidth="1"/>
    <col min="6469" max="6469" width="23.88671875" style="529" customWidth="1"/>
    <col min="6470" max="6470" width="14.44140625" style="529" customWidth="1"/>
    <col min="6471" max="6645" width="9" style="529"/>
    <col min="6646" max="6646" width="20.109375" style="529" customWidth="1"/>
    <col min="6647" max="6647" width="53" style="529" customWidth="1"/>
    <col min="6648" max="6648" width="30.88671875" style="529" customWidth="1"/>
    <col min="6649" max="6649" width="30.44140625" style="529" customWidth="1"/>
    <col min="6650" max="6650" width="28.109375" style="529" customWidth="1"/>
    <col min="6651" max="6652" width="30.88671875" style="529" customWidth="1"/>
    <col min="6653" max="6653" width="26.109375" style="529" customWidth="1"/>
    <col min="6654" max="6655" width="30.88671875" style="529" customWidth="1"/>
    <col min="6656" max="6656" width="26.109375" style="529" customWidth="1"/>
    <col min="6657" max="6657" width="17.88671875" style="529" customWidth="1"/>
    <col min="6658" max="6659" width="28.44140625" style="529" customWidth="1"/>
    <col min="6660" max="6660" width="24" style="529" customWidth="1"/>
    <col min="6661" max="6662" width="30.88671875" style="529" customWidth="1"/>
    <col min="6663" max="6663" width="26.109375" style="529" customWidth="1"/>
    <col min="6664" max="6665" width="30.88671875" style="529" customWidth="1"/>
    <col min="6666" max="6666" width="28.44140625" style="529" customWidth="1"/>
    <col min="6667" max="6669" width="8.88671875" style="529" customWidth="1"/>
    <col min="6670" max="6672" width="25.44140625" style="529" customWidth="1"/>
    <col min="6673" max="6673" width="27.44140625" style="529" customWidth="1"/>
    <col min="6674" max="6723" width="8.88671875" style="529" customWidth="1"/>
    <col min="6724" max="6724" width="22.88671875" style="529" customWidth="1"/>
    <col min="6725" max="6725" width="23.88671875" style="529" customWidth="1"/>
    <col min="6726" max="6726" width="14.44140625" style="529" customWidth="1"/>
    <col min="6727" max="6901" width="9" style="529"/>
    <col min="6902" max="6902" width="20.109375" style="529" customWidth="1"/>
    <col min="6903" max="6903" width="53" style="529" customWidth="1"/>
    <col min="6904" max="6904" width="30.88671875" style="529" customWidth="1"/>
    <col min="6905" max="6905" width="30.44140625" style="529" customWidth="1"/>
    <col min="6906" max="6906" width="28.109375" style="529" customWidth="1"/>
    <col min="6907" max="6908" width="30.88671875" style="529" customWidth="1"/>
    <col min="6909" max="6909" width="26.109375" style="529" customWidth="1"/>
    <col min="6910" max="6911" width="30.88671875" style="529" customWidth="1"/>
    <col min="6912" max="6912" width="26.109375" style="529" customWidth="1"/>
    <col min="6913" max="6913" width="17.88671875" style="529" customWidth="1"/>
    <col min="6914" max="6915" width="28.44140625" style="529" customWidth="1"/>
    <col min="6916" max="6916" width="24" style="529" customWidth="1"/>
    <col min="6917" max="6918" width="30.88671875" style="529" customWidth="1"/>
    <col min="6919" max="6919" width="26.109375" style="529" customWidth="1"/>
    <col min="6920" max="6921" width="30.88671875" style="529" customWidth="1"/>
    <col min="6922" max="6922" width="28.44140625" style="529" customWidth="1"/>
    <col min="6923" max="6925" width="8.88671875" style="529" customWidth="1"/>
    <col min="6926" max="6928" width="25.44140625" style="529" customWidth="1"/>
    <col min="6929" max="6929" width="27.44140625" style="529" customWidth="1"/>
    <col min="6930" max="6979" width="8.88671875" style="529" customWidth="1"/>
    <col min="6980" max="6980" width="22.88671875" style="529" customWidth="1"/>
    <col min="6981" max="6981" width="23.88671875" style="529" customWidth="1"/>
    <col min="6982" max="6982" width="14.44140625" style="529" customWidth="1"/>
    <col min="6983" max="7157" width="9" style="529"/>
    <col min="7158" max="7158" width="20.109375" style="529" customWidth="1"/>
    <col min="7159" max="7159" width="53" style="529" customWidth="1"/>
    <col min="7160" max="7160" width="30.88671875" style="529" customWidth="1"/>
    <col min="7161" max="7161" width="30.44140625" style="529" customWidth="1"/>
    <col min="7162" max="7162" width="28.109375" style="529" customWidth="1"/>
    <col min="7163" max="7164" width="30.88671875" style="529" customWidth="1"/>
    <col min="7165" max="7165" width="26.109375" style="529" customWidth="1"/>
    <col min="7166" max="7167" width="30.88671875" style="529" customWidth="1"/>
    <col min="7168" max="7168" width="26.109375" style="529" customWidth="1"/>
    <col min="7169" max="7169" width="17.88671875" style="529" customWidth="1"/>
    <col min="7170" max="7171" width="28.44140625" style="529" customWidth="1"/>
    <col min="7172" max="7172" width="24" style="529" customWidth="1"/>
    <col min="7173" max="7174" width="30.88671875" style="529" customWidth="1"/>
    <col min="7175" max="7175" width="26.109375" style="529" customWidth="1"/>
    <col min="7176" max="7177" width="30.88671875" style="529" customWidth="1"/>
    <col min="7178" max="7178" width="28.44140625" style="529" customWidth="1"/>
    <col min="7179" max="7181" width="8.88671875" style="529" customWidth="1"/>
    <col min="7182" max="7184" width="25.44140625" style="529" customWidth="1"/>
    <col min="7185" max="7185" width="27.44140625" style="529" customWidth="1"/>
    <col min="7186" max="7235" width="8.88671875" style="529" customWidth="1"/>
    <col min="7236" max="7236" width="22.88671875" style="529" customWidth="1"/>
    <col min="7237" max="7237" width="23.88671875" style="529" customWidth="1"/>
    <col min="7238" max="7238" width="14.44140625" style="529" customWidth="1"/>
    <col min="7239" max="7413" width="9" style="529"/>
    <col min="7414" max="7414" width="20.109375" style="529" customWidth="1"/>
    <col min="7415" max="7415" width="53" style="529" customWidth="1"/>
    <col min="7416" max="7416" width="30.88671875" style="529" customWidth="1"/>
    <col min="7417" max="7417" width="30.44140625" style="529" customWidth="1"/>
    <col min="7418" max="7418" width="28.109375" style="529" customWidth="1"/>
    <col min="7419" max="7420" width="30.88671875" style="529" customWidth="1"/>
    <col min="7421" max="7421" width="26.109375" style="529" customWidth="1"/>
    <col min="7422" max="7423" width="30.88671875" style="529" customWidth="1"/>
    <col min="7424" max="7424" width="26.109375" style="529" customWidth="1"/>
    <col min="7425" max="7425" width="17.88671875" style="529" customWidth="1"/>
    <col min="7426" max="7427" width="28.44140625" style="529" customWidth="1"/>
    <col min="7428" max="7428" width="24" style="529" customWidth="1"/>
    <col min="7429" max="7430" width="30.88671875" style="529" customWidth="1"/>
    <col min="7431" max="7431" width="26.109375" style="529" customWidth="1"/>
    <col min="7432" max="7433" width="30.88671875" style="529" customWidth="1"/>
    <col min="7434" max="7434" width="28.44140625" style="529" customWidth="1"/>
    <col min="7435" max="7437" width="8.88671875" style="529" customWidth="1"/>
    <col min="7438" max="7440" width="25.44140625" style="529" customWidth="1"/>
    <col min="7441" max="7441" width="27.44140625" style="529" customWidth="1"/>
    <col min="7442" max="7491" width="8.88671875" style="529" customWidth="1"/>
    <col min="7492" max="7492" width="22.88671875" style="529" customWidth="1"/>
    <col min="7493" max="7493" width="23.88671875" style="529" customWidth="1"/>
    <col min="7494" max="7494" width="14.44140625" style="529" customWidth="1"/>
    <col min="7495" max="7669" width="9" style="529"/>
    <col min="7670" max="7670" width="20.109375" style="529" customWidth="1"/>
    <col min="7671" max="7671" width="53" style="529" customWidth="1"/>
    <col min="7672" max="7672" width="30.88671875" style="529" customWidth="1"/>
    <col min="7673" max="7673" width="30.44140625" style="529" customWidth="1"/>
    <col min="7674" max="7674" width="28.109375" style="529" customWidth="1"/>
    <col min="7675" max="7676" width="30.88671875" style="529" customWidth="1"/>
    <col min="7677" max="7677" width="26.109375" style="529" customWidth="1"/>
    <col min="7678" max="7679" width="30.88671875" style="529" customWidth="1"/>
    <col min="7680" max="7680" width="26.109375" style="529" customWidth="1"/>
    <col min="7681" max="7681" width="17.88671875" style="529" customWidth="1"/>
    <col min="7682" max="7683" width="28.44140625" style="529" customWidth="1"/>
    <col min="7684" max="7684" width="24" style="529" customWidth="1"/>
    <col min="7685" max="7686" width="30.88671875" style="529" customWidth="1"/>
    <col min="7687" max="7687" width="26.109375" style="529" customWidth="1"/>
    <col min="7688" max="7689" width="30.88671875" style="529" customWidth="1"/>
    <col min="7690" max="7690" width="28.44140625" style="529" customWidth="1"/>
    <col min="7691" max="7693" width="8.88671875" style="529" customWidth="1"/>
    <col min="7694" max="7696" width="25.44140625" style="529" customWidth="1"/>
    <col min="7697" max="7697" width="27.44140625" style="529" customWidth="1"/>
    <col min="7698" max="7747" width="8.88671875" style="529" customWidth="1"/>
    <col min="7748" max="7748" width="22.88671875" style="529" customWidth="1"/>
    <col min="7749" max="7749" width="23.88671875" style="529" customWidth="1"/>
    <col min="7750" max="7750" width="14.44140625" style="529" customWidth="1"/>
    <col min="7751" max="7925" width="9" style="529"/>
    <col min="7926" max="7926" width="20.109375" style="529" customWidth="1"/>
    <col min="7927" max="7927" width="53" style="529" customWidth="1"/>
    <col min="7928" max="7928" width="30.88671875" style="529" customWidth="1"/>
    <col min="7929" max="7929" width="30.44140625" style="529" customWidth="1"/>
    <col min="7930" max="7930" width="28.109375" style="529" customWidth="1"/>
    <col min="7931" max="7932" width="30.88671875" style="529" customWidth="1"/>
    <col min="7933" max="7933" width="26.109375" style="529" customWidth="1"/>
    <col min="7934" max="7935" width="30.88671875" style="529" customWidth="1"/>
    <col min="7936" max="7936" width="26.109375" style="529" customWidth="1"/>
    <col min="7937" max="7937" width="17.88671875" style="529" customWidth="1"/>
    <col min="7938" max="7939" width="28.44140625" style="529" customWidth="1"/>
    <col min="7940" max="7940" width="24" style="529" customWidth="1"/>
    <col min="7941" max="7942" width="30.88671875" style="529" customWidth="1"/>
    <col min="7943" max="7943" width="26.109375" style="529" customWidth="1"/>
    <col min="7944" max="7945" width="30.88671875" style="529" customWidth="1"/>
    <col min="7946" max="7946" width="28.44140625" style="529" customWidth="1"/>
    <col min="7947" max="7949" width="8.88671875" style="529" customWidth="1"/>
    <col min="7950" max="7952" width="25.44140625" style="529" customWidth="1"/>
    <col min="7953" max="7953" width="27.44140625" style="529" customWidth="1"/>
    <col min="7954" max="8003" width="8.88671875" style="529" customWidth="1"/>
    <col min="8004" max="8004" width="22.88671875" style="529" customWidth="1"/>
    <col min="8005" max="8005" width="23.88671875" style="529" customWidth="1"/>
    <col min="8006" max="8006" width="14.44140625" style="529" customWidth="1"/>
    <col min="8007" max="8181" width="9" style="529"/>
    <col min="8182" max="8182" width="20.109375" style="529" customWidth="1"/>
    <col min="8183" max="8183" width="53" style="529" customWidth="1"/>
    <col min="8184" max="8184" width="30.88671875" style="529" customWidth="1"/>
    <col min="8185" max="8185" width="30.44140625" style="529" customWidth="1"/>
    <col min="8186" max="8186" width="28.109375" style="529" customWidth="1"/>
    <col min="8187" max="8188" width="30.88671875" style="529" customWidth="1"/>
    <col min="8189" max="8189" width="26.109375" style="529" customWidth="1"/>
    <col min="8190" max="8191" width="30.88671875" style="529" customWidth="1"/>
    <col min="8192" max="8192" width="26.109375" style="529" customWidth="1"/>
    <col min="8193" max="8193" width="17.88671875" style="529" customWidth="1"/>
    <col min="8194" max="8195" width="28.44140625" style="529" customWidth="1"/>
    <col min="8196" max="8196" width="24" style="529" customWidth="1"/>
    <col min="8197" max="8198" width="30.88671875" style="529" customWidth="1"/>
    <col min="8199" max="8199" width="26.109375" style="529" customWidth="1"/>
    <col min="8200" max="8201" width="30.88671875" style="529" customWidth="1"/>
    <col min="8202" max="8202" width="28.44140625" style="529" customWidth="1"/>
    <col min="8203" max="8205" width="8.88671875" style="529" customWidth="1"/>
    <col min="8206" max="8208" width="25.44140625" style="529" customWidth="1"/>
    <col min="8209" max="8209" width="27.44140625" style="529" customWidth="1"/>
    <col min="8210" max="8259" width="8.88671875" style="529" customWidth="1"/>
    <col min="8260" max="8260" width="22.88671875" style="529" customWidth="1"/>
    <col min="8261" max="8261" width="23.88671875" style="529" customWidth="1"/>
    <col min="8262" max="8262" width="14.44140625" style="529" customWidth="1"/>
    <col min="8263" max="8437" width="9" style="529"/>
    <col min="8438" max="8438" width="20.109375" style="529" customWidth="1"/>
    <col min="8439" max="8439" width="53" style="529" customWidth="1"/>
    <col min="8440" max="8440" width="30.88671875" style="529" customWidth="1"/>
    <col min="8441" max="8441" width="30.44140625" style="529" customWidth="1"/>
    <col min="8442" max="8442" width="28.109375" style="529" customWidth="1"/>
    <col min="8443" max="8444" width="30.88671875" style="529" customWidth="1"/>
    <col min="8445" max="8445" width="26.109375" style="529" customWidth="1"/>
    <col min="8446" max="8447" width="30.88671875" style="529" customWidth="1"/>
    <col min="8448" max="8448" width="26.109375" style="529" customWidth="1"/>
    <col min="8449" max="8449" width="17.88671875" style="529" customWidth="1"/>
    <col min="8450" max="8451" width="28.44140625" style="529" customWidth="1"/>
    <col min="8452" max="8452" width="24" style="529" customWidth="1"/>
    <col min="8453" max="8454" width="30.88671875" style="529" customWidth="1"/>
    <col min="8455" max="8455" width="26.109375" style="529" customWidth="1"/>
    <col min="8456" max="8457" width="30.88671875" style="529" customWidth="1"/>
    <col min="8458" max="8458" width="28.44140625" style="529" customWidth="1"/>
    <col min="8459" max="8461" width="8.88671875" style="529" customWidth="1"/>
    <col min="8462" max="8464" width="25.44140625" style="529" customWidth="1"/>
    <col min="8465" max="8465" width="27.44140625" style="529" customWidth="1"/>
    <col min="8466" max="8515" width="8.88671875" style="529" customWidth="1"/>
    <col min="8516" max="8516" width="22.88671875" style="529" customWidth="1"/>
    <col min="8517" max="8517" width="23.88671875" style="529" customWidth="1"/>
    <col min="8518" max="8518" width="14.44140625" style="529" customWidth="1"/>
    <col min="8519" max="8693" width="9" style="529"/>
    <col min="8694" max="8694" width="20.109375" style="529" customWidth="1"/>
    <col min="8695" max="8695" width="53" style="529" customWidth="1"/>
    <col min="8696" max="8696" width="30.88671875" style="529" customWidth="1"/>
    <col min="8697" max="8697" width="30.44140625" style="529" customWidth="1"/>
    <col min="8698" max="8698" width="28.109375" style="529" customWidth="1"/>
    <col min="8699" max="8700" width="30.88671875" style="529" customWidth="1"/>
    <col min="8701" max="8701" width="26.109375" style="529" customWidth="1"/>
    <col min="8702" max="8703" width="30.88671875" style="529" customWidth="1"/>
    <col min="8704" max="8704" width="26.109375" style="529" customWidth="1"/>
    <col min="8705" max="8705" width="17.88671875" style="529" customWidth="1"/>
    <col min="8706" max="8707" width="28.44140625" style="529" customWidth="1"/>
    <col min="8708" max="8708" width="24" style="529" customWidth="1"/>
    <col min="8709" max="8710" width="30.88671875" style="529" customWidth="1"/>
    <col min="8711" max="8711" width="26.109375" style="529" customWidth="1"/>
    <col min="8712" max="8713" width="30.88671875" style="529" customWidth="1"/>
    <col min="8714" max="8714" width="28.44140625" style="529" customWidth="1"/>
    <col min="8715" max="8717" width="8.88671875" style="529" customWidth="1"/>
    <col min="8718" max="8720" width="25.44140625" style="529" customWidth="1"/>
    <col min="8721" max="8721" width="27.44140625" style="529" customWidth="1"/>
    <col min="8722" max="8771" width="8.88671875" style="529" customWidth="1"/>
    <col min="8772" max="8772" width="22.88671875" style="529" customWidth="1"/>
    <col min="8773" max="8773" width="23.88671875" style="529" customWidth="1"/>
    <col min="8774" max="8774" width="14.44140625" style="529" customWidth="1"/>
    <col min="8775" max="8949" width="9" style="529"/>
    <col min="8950" max="8950" width="20.109375" style="529" customWidth="1"/>
    <col min="8951" max="8951" width="53" style="529" customWidth="1"/>
    <col min="8952" max="8952" width="30.88671875" style="529" customWidth="1"/>
    <col min="8953" max="8953" width="30.44140625" style="529" customWidth="1"/>
    <col min="8954" max="8954" width="28.109375" style="529" customWidth="1"/>
    <col min="8955" max="8956" width="30.88671875" style="529" customWidth="1"/>
    <col min="8957" max="8957" width="26.109375" style="529" customWidth="1"/>
    <col min="8958" max="8959" width="30.88671875" style="529" customWidth="1"/>
    <col min="8960" max="8960" width="26.109375" style="529" customWidth="1"/>
    <col min="8961" max="8961" width="17.88671875" style="529" customWidth="1"/>
    <col min="8962" max="8963" width="28.44140625" style="529" customWidth="1"/>
    <col min="8964" max="8964" width="24" style="529" customWidth="1"/>
    <col min="8965" max="8966" width="30.88671875" style="529" customWidth="1"/>
    <col min="8967" max="8967" width="26.109375" style="529" customWidth="1"/>
    <col min="8968" max="8969" width="30.88671875" style="529" customWidth="1"/>
    <col min="8970" max="8970" width="28.44140625" style="529" customWidth="1"/>
    <col min="8971" max="8973" width="8.88671875" style="529" customWidth="1"/>
    <col min="8974" max="8976" width="25.44140625" style="529" customWidth="1"/>
    <col min="8977" max="8977" width="27.44140625" style="529" customWidth="1"/>
    <col min="8978" max="9027" width="8.88671875" style="529" customWidth="1"/>
    <col min="9028" max="9028" width="22.88671875" style="529" customWidth="1"/>
    <col min="9029" max="9029" width="23.88671875" style="529" customWidth="1"/>
    <col min="9030" max="9030" width="14.44140625" style="529" customWidth="1"/>
    <col min="9031" max="9205" width="9" style="529"/>
    <col min="9206" max="9206" width="20.109375" style="529" customWidth="1"/>
    <col min="9207" max="9207" width="53" style="529" customWidth="1"/>
    <col min="9208" max="9208" width="30.88671875" style="529" customWidth="1"/>
    <col min="9209" max="9209" width="30.44140625" style="529" customWidth="1"/>
    <col min="9210" max="9210" width="28.109375" style="529" customWidth="1"/>
    <col min="9211" max="9212" width="30.88671875" style="529" customWidth="1"/>
    <col min="9213" max="9213" width="26.109375" style="529" customWidth="1"/>
    <col min="9214" max="9215" width="30.88671875" style="529" customWidth="1"/>
    <col min="9216" max="9216" width="26.109375" style="529" customWidth="1"/>
    <col min="9217" max="9217" width="17.88671875" style="529" customWidth="1"/>
    <col min="9218" max="9219" width="28.44140625" style="529" customWidth="1"/>
    <col min="9220" max="9220" width="24" style="529" customWidth="1"/>
    <col min="9221" max="9222" width="30.88671875" style="529" customWidth="1"/>
    <col min="9223" max="9223" width="26.109375" style="529" customWidth="1"/>
    <col min="9224" max="9225" width="30.88671875" style="529" customWidth="1"/>
    <col min="9226" max="9226" width="28.44140625" style="529" customWidth="1"/>
    <col min="9227" max="9229" width="8.88671875" style="529" customWidth="1"/>
    <col min="9230" max="9232" width="25.44140625" style="529" customWidth="1"/>
    <col min="9233" max="9233" width="27.44140625" style="529" customWidth="1"/>
    <col min="9234" max="9283" width="8.88671875" style="529" customWidth="1"/>
    <col min="9284" max="9284" width="22.88671875" style="529" customWidth="1"/>
    <col min="9285" max="9285" width="23.88671875" style="529" customWidth="1"/>
    <col min="9286" max="9286" width="14.44140625" style="529" customWidth="1"/>
    <col min="9287" max="9461" width="9" style="529"/>
    <col min="9462" max="9462" width="20.109375" style="529" customWidth="1"/>
    <col min="9463" max="9463" width="53" style="529" customWidth="1"/>
    <col min="9464" max="9464" width="30.88671875" style="529" customWidth="1"/>
    <col min="9465" max="9465" width="30.44140625" style="529" customWidth="1"/>
    <col min="9466" max="9466" width="28.109375" style="529" customWidth="1"/>
    <col min="9467" max="9468" width="30.88671875" style="529" customWidth="1"/>
    <col min="9469" max="9469" width="26.109375" style="529" customWidth="1"/>
    <col min="9470" max="9471" width="30.88671875" style="529" customWidth="1"/>
    <col min="9472" max="9472" width="26.109375" style="529" customWidth="1"/>
    <col min="9473" max="9473" width="17.88671875" style="529" customWidth="1"/>
    <col min="9474" max="9475" width="28.44140625" style="529" customWidth="1"/>
    <col min="9476" max="9476" width="24" style="529" customWidth="1"/>
    <col min="9477" max="9478" width="30.88671875" style="529" customWidth="1"/>
    <col min="9479" max="9479" width="26.109375" style="529" customWidth="1"/>
    <col min="9480" max="9481" width="30.88671875" style="529" customWidth="1"/>
    <col min="9482" max="9482" width="28.44140625" style="529" customWidth="1"/>
    <col min="9483" max="9485" width="8.88671875" style="529" customWidth="1"/>
    <col min="9486" max="9488" width="25.44140625" style="529" customWidth="1"/>
    <col min="9489" max="9489" width="27.44140625" style="529" customWidth="1"/>
    <col min="9490" max="9539" width="8.88671875" style="529" customWidth="1"/>
    <col min="9540" max="9540" width="22.88671875" style="529" customWidth="1"/>
    <col min="9541" max="9541" width="23.88671875" style="529" customWidth="1"/>
    <col min="9542" max="9542" width="14.44140625" style="529" customWidth="1"/>
    <col min="9543" max="9717" width="9" style="529"/>
    <col min="9718" max="9718" width="20.109375" style="529" customWidth="1"/>
    <col min="9719" max="9719" width="53" style="529" customWidth="1"/>
    <col min="9720" max="9720" width="30.88671875" style="529" customWidth="1"/>
    <col min="9721" max="9721" width="30.44140625" style="529" customWidth="1"/>
    <col min="9722" max="9722" width="28.109375" style="529" customWidth="1"/>
    <col min="9723" max="9724" width="30.88671875" style="529" customWidth="1"/>
    <col min="9725" max="9725" width="26.109375" style="529" customWidth="1"/>
    <col min="9726" max="9727" width="30.88671875" style="529" customWidth="1"/>
    <col min="9728" max="9728" width="26.109375" style="529" customWidth="1"/>
    <col min="9729" max="9729" width="17.88671875" style="529" customWidth="1"/>
    <col min="9730" max="9731" width="28.44140625" style="529" customWidth="1"/>
    <col min="9732" max="9732" width="24" style="529" customWidth="1"/>
    <col min="9733" max="9734" width="30.88671875" style="529" customWidth="1"/>
    <col min="9735" max="9735" width="26.109375" style="529" customWidth="1"/>
    <col min="9736" max="9737" width="30.88671875" style="529" customWidth="1"/>
    <col min="9738" max="9738" width="28.44140625" style="529" customWidth="1"/>
    <col min="9739" max="9741" width="8.88671875" style="529" customWidth="1"/>
    <col min="9742" max="9744" width="25.44140625" style="529" customWidth="1"/>
    <col min="9745" max="9745" width="27.44140625" style="529" customWidth="1"/>
    <col min="9746" max="9795" width="8.88671875" style="529" customWidth="1"/>
    <col min="9796" max="9796" width="22.88671875" style="529" customWidth="1"/>
    <col min="9797" max="9797" width="23.88671875" style="529" customWidth="1"/>
    <col min="9798" max="9798" width="14.44140625" style="529" customWidth="1"/>
    <col min="9799" max="9973" width="9" style="529"/>
    <col min="9974" max="9974" width="20.109375" style="529" customWidth="1"/>
    <col min="9975" max="9975" width="53" style="529" customWidth="1"/>
    <col min="9976" max="9976" width="30.88671875" style="529" customWidth="1"/>
    <col min="9977" max="9977" width="30.44140625" style="529" customWidth="1"/>
    <col min="9978" max="9978" width="28.109375" style="529" customWidth="1"/>
    <col min="9979" max="9980" width="30.88671875" style="529" customWidth="1"/>
    <col min="9981" max="9981" width="26.109375" style="529" customWidth="1"/>
    <col min="9982" max="9983" width="30.88671875" style="529" customWidth="1"/>
    <col min="9984" max="9984" width="26.109375" style="529" customWidth="1"/>
    <col min="9985" max="9985" width="17.88671875" style="529" customWidth="1"/>
    <col min="9986" max="9987" width="28.44140625" style="529" customWidth="1"/>
    <col min="9988" max="9988" width="24" style="529" customWidth="1"/>
    <col min="9989" max="9990" width="30.88671875" style="529" customWidth="1"/>
    <col min="9991" max="9991" width="26.109375" style="529" customWidth="1"/>
    <col min="9992" max="9993" width="30.88671875" style="529" customWidth="1"/>
    <col min="9994" max="9994" width="28.44140625" style="529" customWidth="1"/>
    <col min="9995" max="9997" width="8.88671875" style="529" customWidth="1"/>
    <col min="9998" max="10000" width="25.44140625" style="529" customWidth="1"/>
    <col min="10001" max="10001" width="27.44140625" style="529" customWidth="1"/>
    <col min="10002" max="10051" width="8.88671875" style="529" customWidth="1"/>
    <col min="10052" max="10052" width="22.88671875" style="529" customWidth="1"/>
    <col min="10053" max="10053" width="23.88671875" style="529" customWidth="1"/>
    <col min="10054" max="10054" width="14.44140625" style="529" customWidth="1"/>
    <col min="10055" max="10229" width="9" style="529"/>
    <col min="10230" max="10230" width="20.109375" style="529" customWidth="1"/>
    <col min="10231" max="10231" width="53" style="529" customWidth="1"/>
    <col min="10232" max="10232" width="30.88671875" style="529" customWidth="1"/>
    <col min="10233" max="10233" width="30.44140625" style="529" customWidth="1"/>
    <col min="10234" max="10234" width="28.109375" style="529" customWidth="1"/>
    <col min="10235" max="10236" width="30.88671875" style="529" customWidth="1"/>
    <col min="10237" max="10237" width="26.109375" style="529" customWidth="1"/>
    <col min="10238" max="10239" width="30.88671875" style="529" customWidth="1"/>
    <col min="10240" max="10240" width="26.109375" style="529" customWidth="1"/>
    <col min="10241" max="10241" width="17.88671875" style="529" customWidth="1"/>
    <col min="10242" max="10243" width="28.44140625" style="529" customWidth="1"/>
    <col min="10244" max="10244" width="24" style="529" customWidth="1"/>
    <col min="10245" max="10246" width="30.88671875" style="529" customWidth="1"/>
    <col min="10247" max="10247" width="26.109375" style="529" customWidth="1"/>
    <col min="10248" max="10249" width="30.88671875" style="529" customWidth="1"/>
    <col min="10250" max="10250" width="28.44140625" style="529" customWidth="1"/>
    <col min="10251" max="10253" width="8.88671875" style="529" customWidth="1"/>
    <col min="10254" max="10256" width="25.44140625" style="529" customWidth="1"/>
    <col min="10257" max="10257" width="27.44140625" style="529" customWidth="1"/>
    <col min="10258" max="10307" width="8.88671875" style="529" customWidth="1"/>
    <col min="10308" max="10308" width="22.88671875" style="529" customWidth="1"/>
    <col min="10309" max="10309" width="23.88671875" style="529" customWidth="1"/>
    <col min="10310" max="10310" width="14.44140625" style="529" customWidth="1"/>
    <col min="10311" max="10485" width="9" style="529"/>
    <col min="10486" max="10486" width="20.109375" style="529" customWidth="1"/>
    <col min="10487" max="10487" width="53" style="529" customWidth="1"/>
    <col min="10488" max="10488" width="30.88671875" style="529" customWidth="1"/>
    <col min="10489" max="10489" width="30.44140625" style="529" customWidth="1"/>
    <col min="10490" max="10490" width="28.109375" style="529" customWidth="1"/>
    <col min="10491" max="10492" width="30.88671875" style="529" customWidth="1"/>
    <col min="10493" max="10493" width="26.109375" style="529" customWidth="1"/>
    <col min="10494" max="10495" width="30.88671875" style="529" customWidth="1"/>
    <col min="10496" max="10496" width="26.109375" style="529" customWidth="1"/>
    <col min="10497" max="10497" width="17.88671875" style="529" customWidth="1"/>
    <col min="10498" max="10499" width="28.44140625" style="529" customWidth="1"/>
    <col min="10500" max="10500" width="24" style="529" customWidth="1"/>
    <col min="10501" max="10502" width="30.88671875" style="529" customWidth="1"/>
    <col min="10503" max="10503" width="26.109375" style="529" customWidth="1"/>
    <col min="10504" max="10505" width="30.88671875" style="529" customWidth="1"/>
    <col min="10506" max="10506" width="28.44140625" style="529" customWidth="1"/>
    <col min="10507" max="10509" width="8.88671875" style="529" customWidth="1"/>
    <col min="10510" max="10512" width="25.44140625" style="529" customWidth="1"/>
    <col min="10513" max="10513" width="27.44140625" style="529" customWidth="1"/>
    <col min="10514" max="10563" width="8.88671875" style="529" customWidth="1"/>
    <col min="10564" max="10564" width="22.88671875" style="529" customWidth="1"/>
    <col min="10565" max="10565" width="23.88671875" style="529" customWidth="1"/>
    <col min="10566" max="10566" width="14.44140625" style="529" customWidth="1"/>
    <col min="10567" max="10741" width="9" style="529"/>
    <col min="10742" max="10742" width="20.109375" style="529" customWidth="1"/>
    <col min="10743" max="10743" width="53" style="529" customWidth="1"/>
    <col min="10744" max="10744" width="30.88671875" style="529" customWidth="1"/>
    <col min="10745" max="10745" width="30.44140625" style="529" customWidth="1"/>
    <col min="10746" max="10746" width="28.109375" style="529" customWidth="1"/>
    <col min="10747" max="10748" width="30.88671875" style="529" customWidth="1"/>
    <col min="10749" max="10749" width="26.109375" style="529" customWidth="1"/>
    <col min="10750" max="10751" width="30.88671875" style="529" customWidth="1"/>
    <col min="10752" max="10752" width="26.109375" style="529" customWidth="1"/>
    <col min="10753" max="10753" width="17.88671875" style="529" customWidth="1"/>
    <col min="10754" max="10755" width="28.44140625" style="529" customWidth="1"/>
    <col min="10756" max="10756" width="24" style="529" customWidth="1"/>
    <col min="10757" max="10758" width="30.88671875" style="529" customWidth="1"/>
    <col min="10759" max="10759" width="26.109375" style="529" customWidth="1"/>
    <col min="10760" max="10761" width="30.88671875" style="529" customWidth="1"/>
    <col min="10762" max="10762" width="28.44140625" style="529" customWidth="1"/>
    <col min="10763" max="10765" width="8.88671875" style="529" customWidth="1"/>
    <col min="10766" max="10768" width="25.44140625" style="529" customWidth="1"/>
    <col min="10769" max="10769" width="27.44140625" style="529" customWidth="1"/>
    <col min="10770" max="10819" width="8.88671875" style="529" customWidth="1"/>
    <col min="10820" max="10820" width="22.88671875" style="529" customWidth="1"/>
    <col min="10821" max="10821" width="23.88671875" style="529" customWidth="1"/>
    <col min="10822" max="10822" width="14.44140625" style="529" customWidth="1"/>
    <col min="10823" max="10997" width="9" style="529"/>
    <col min="10998" max="10998" width="20.109375" style="529" customWidth="1"/>
    <col min="10999" max="10999" width="53" style="529" customWidth="1"/>
    <col min="11000" max="11000" width="30.88671875" style="529" customWidth="1"/>
    <col min="11001" max="11001" width="30.44140625" style="529" customWidth="1"/>
    <col min="11002" max="11002" width="28.109375" style="529" customWidth="1"/>
    <col min="11003" max="11004" width="30.88671875" style="529" customWidth="1"/>
    <col min="11005" max="11005" width="26.109375" style="529" customWidth="1"/>
    <col min="11006" max="11007" width="30.88671875" style="529" customWidth="1"/>
    <col min="11008" max="11008" width="26.109375" style="529" customWidth="1"/>
    <col min="11009" max="11009" width="17.88671875" style="529" customWidth="1"/>
    <col min="11010" max="11011" width="28.44140625" style="529" customWidth="1"/>
    <col min="11012" max="11012" width="24" style="529" customWidth="1"/>
    <col min="11013" max="11014" width="30.88671875" style="529" customWidth="1"/>
    <col min="11015" max="11015" width="26.109375" style="529" customWidth="1"/>
    <col min="11016" max="11017" width="30.88671875" style="529" customWidth="1"/>
    <col min="11018" max="11018" width="28.44140625" style="529" customWidth="1"/>
    <col min="11019" max="11021" width="8.88671875" style="529" customWidth="1"/>
    <col min="11022" max="11024" width="25.44140625" style="529" customWidth="1"/>
    <col min="11025" max="11025" width="27.44140625" style="529" customWidth="1"/>
    <col min="11026" max="11075" width="8.88671875" style="529" customWidth="1"/>
    <col min="11076" max="11076" width="22.88671875" style="529" customWidth="1"/>
    <col min="11077" max="11077" width="23.88671875" style="529" customWidth="1"/>
    <col min="11078" max="11078" width="14.44140625" style="529" customWidth="1"/>
    <col min="11079" max="11253" width="9" style="529"/>
    <col min="11254" max="11254" width="20.109375" style="529" customWidth="1"/>
    <col min="11255" max="11255" width="53" style="529" customWidth="1"/>
    <col min="11256" max="11256" width="30.88671875" style="529" customWidth="1"/>
    <col min="11257" max="11257" width="30.44140625" style="529" customWidth="1"/>
    <col min="11258" max="11258" width="28.109375" style="529" customWidth="1"/>
    <col min="11259" max="11260" width="30.88671875" style="529" customWidth="1"/>
    <col min="11261" max="11261" width="26.109375" style="529" customWidth="1"/>
    <col min="11262" max="11263" width="30.88671875" style="529" customWidth="1"/>
    <col min="11264" max="11264" width="26.109375" style="529" customWidth="1"/>
    <col min="11265" max="11265" width="17.88671875" style="529" customWidth="1"/>
    <col min="11266" max="11267" width="28.44140625" style="529" customWidth="1"/>
    <col min="11268" max="11268" width="24" style="529" customWidth="1"/>
    <col min="11269" max="11270" width="30.88671875" style="529" customWidth="1"/>
    <col min="11271" max="11271" width="26.109375" style="529" customWidth="1"/>
    <col min="11272" max="11273" width="30.88671875" style="529" customWidth="1"/>
    <col min="11274" max="11274" width="28.44140625" style="529" customWidth="1"/>
    <col min="11275" max="11277" width="8.88671875" style="529" customWidth="1"/>
    <col min="11278" max="11280" width="25.44140625" style="529" customWidth="1"/>
    <col min="11281" max="11281" width="27.44140625" style="529" customWidth="1"/>
    <col min="11282" max="11331" width="8.88671875" style="529" customWidth="1"/>
    <col min="11332" max="11332" width="22.88671875" style="529" customWidth="1"/>
    <col min="11333" max="11333" width="23.88671875" style="529" customWidth="1"/>
    <col min="11334" max="11334" width="14.44140625" style="529" customWidth="1"/>
    <col min="11335" max="11509" width="9" style="529"/>
    <col min="11510" max="11510" width="20.109375" style="529" customWidth="1"/>
    <col min="11511" max="11511" width="53" style="529" customWidth="1"/>
    <col min="11512" max="11512" width="30.88671875" style="529" customWidth="1"/>
    <col min="11513" max="11513" width="30.44140625" style="529" customWidth="1"/>
    <col min="11514" max="11514" width="28.109375" style="529" customWidth="1"/>
    <col min="11515" max="11516" width="30.88671875" style="529" customWidth="1"/>
    <col min="11517" max="11517" width="26.109375" style="529" customWidth="1"/>
    <col min="11518" max="11519" width="30.88671875" style="529" customWidth="1"/>
    <col min="11520" max="11520" width="26.109375" style="529" customWidth="1"/>
    <col min="11521" max="11521" width="17.88671875" style="529" customWidth="1"/>
    <col min="11522" max="11523" width="28.44140625" style="529" customWidth="1"/>
    <col min="11524" max="11524" width="24" style="529" customWidth="1"/>
    <col min="11525" max="11526" width="30.88671875" style="529" customWidth="1"/>
    <col min="11527" max="11527" width="26.109375" style="529" customWidth="1"/>
    <col min="11528" max="11529" width="30.88671875" style="529" customWidth="1"/>
    <col min="11530" max="11530" width="28.44140625" style="529" customWidth="1"/>
    <col min="11531" max="11533" width="8.88671875" style="529" customWidth="1"/>
    <col min="11534" max="11536" width="25.44140625" style="529" customWidth="1"/>
    <col min="11537" max="11537" width="27.44140625" style="529" customWidth="1"/>
    <col min="11538" max="11587" width="8.88671875" style="529" customWidth="1"/>
    <col min="11588" max="11588" width="22.88671875" style="529" customWidth="1"/>
    <col min="11589" max="11589" width="23.88671875" style="529" customWidth="1"/>
    <col min="11590" max="11590" width="14.44140625" style="529" customWidth="1"/>
    <col min="11591" max="11765" width="9" style="529"/>
    <col min="11766" max="11766" width="20.109375" style="529" customWidth="1"/>
    <col min="11767" max="11767" width="53" style="529" customWidth="1"/>
    <col min="11768" max="11768" width="30.88671875" style="529" customWidth="1"/>
    <col min="11769" max="11769" width="30.44140625" style="529" customWidth="1"/>
    <col min="11770" max="11770" width="28.109375" style="529" customWidth="1"/>
    <col min="11771" max="11772" width="30.88671875" style="529" customWidth="1"/>
    <col min="11773" max="11773" width="26.109375" style="529" customWidth="1"/>
    <col min="11774" max="11775" width="30.88671875" style="529" customWidth="1"/>
    <col min="11776" max="11776" width="26.109375" style="529" customWidth="1"/>
    <col min="11777" max="11777" width="17.88671875" style="529" customWidth="1"/>
    <col min="11778" max="11779" width="28.44140625" style="529" customWidth="1"/>
    <col min="11780" max="11780" width="24" style="529" customWidth="1"/>
    <col min="11781" max="11782" width="30.88671875" style="529" customWidth="1"/>
    <col min="11783" max="11783" width="26.109375" style="529" customWidth="1"/>
    <col min="11784" max="11785" width="30.88671875" style="529" customWidth="1"/>
    <col min="11786" max="11786" width="28.44140625" style="529" customWidth="1"/>
    <col min="11787" max="11789" width="8.88671875" style="529" customWidth="1"/>
    <col min="11790" max="11792" width="25.44140625" style="529" customWidth="1"/>
    <col min="11793" max="11793" width="27.44140625" style="529" customWidth="1"/>
    <col min="11794" max="11843" width="8.88671875" style="529" customWidth="1"/>
    <col min="11844" max="11844" width="22.88671875" style="529" customWidth="1"/>
    <col min="11845" max="11845" width="23.88671875" style="529" customWidth="1"/>
    <col min="11846" max="11846" width="14.44140625" style="529" customWidth="1"/>
    <col min="11847" max="12021" width="9" style="529"/>
    <col min="12022" max="12022" width="20.109375" style="529" customWidth="1"/>
    <col min="12023" max="12023" width="53" style="529" customWidth="1"/>
    <col min="12024" max="12024" width="30.88671875" style="529" customWidth="1"/>
    <col min="12025" max="12025" width="30.44140625" style="529" customWidth="1"/>
    <col min="12026" max="12026" width="28.109375" style="529" customWidth="1"/>
    <col min="12027" max="12028" width="30.88671875" style="529" customWidth="1"/>
    <col min="12029" max="12029" width="26.109375" style="529" customWidth="1"/>
    <col min="12030" max="12031" width="30.88671875" style="529" customWidth="1"/>
    <col min="12032" max="12032" width="26.109375" style="529" customWidth="1"/>
    <col min="12033" max="12033" width="17.88671875" style="529" customWidth="1"/>
    <col min="12034" max="12035" width="28.44140625" style="529" customWidth="1"/>
    <col min="12036" max="12036" width="24" style="529" customWidth="1"/>
    <col min="12037" max="12038" width="30.88671875" style="529" customWidth="1"/>
    <col min="12039" max="12039" width="26.109375" style="529" customWidth="1"/>
    <col min="12040" max="12041" width="30.88671875" style="529" customWidth="1"/>
    <col min="12042" max="12042" width="28.44140625" style="529" customWidth="1"/>
    <col min="12043" max="12045" width="8.88671875" style="529" customWidth="1"/>
    <col min="12046" max="12048" width="25.44140625" style="529" customWidth="1"/>
    <col min="12049" max="12049" width="27.44140625" style="529" customWidth="1"/>
    <col min="12050" max="12099" width="8.88671875" style="529" customWidth="1"/>
    <col min="12100" max="12100" width="22.88671875" style="529" customWidth="1"/>
    <col min="12101" max="12101" width="23.88671875" style="529" customWidth="1"/>
    <col min="12102" max="12102" width="14.44140625" style="529" customWidth="1"/>
    <col min="12103" max="12277" width="9" style="529"/>
    <col min="12278" max="12278" width="20.109375" style="529" customWidth="1"/>
    <col min="12279" max="12279" width="53" style="529" customWidth="1"/>
    <col min="12280" max="12280" width="30.88671875" style="529" customWidth="1"/>
    <col min="12281" max="12281" width="30.44140625" style="529" customWidth="1"/>
    <col min="12282" max="12282" width="28.109375" style="529" customWidth="1"/>
    <col min="12283" max="12284" width="30.88671875" style="529" customWidth="1"/>
    <col min="12285" max="12285" width="26.109375" style="529" customWidth="1"/>
    <col min="12286" max="12287" width="30.88671875" style="529" customWidth="1"/>
    <col min="12288" max="12288" width="26.109375" style="529" customWidth="1"/>
    <col min="12289" max="12289" width="17.88671875" style="529" customWidth="1"/>
    <col min="12290" max="12291" width="28.44140625" style="529" customWidth="1"/>
    <col min="12292" max="12292" width="24" style="529" customWidth="1"/>
    <col min="12293" max="12294" width="30.88671875" style="529" customWidth="1"/>
    <col min="12295" max="12295" width="26.109375" style="529" customWidth="1"/>
    <col min="12296" max="12297" width="30.88671875" style="529" customWidth="1"/>
    <col min="12298" max="12298" width="28.44140625" style="529" customWidth="1"/>
    <col min="12299" max="12301" width="8.88671875" style="529" customWidth="1"/>
    <col min="12302" max="12304" width="25.44140625" style="529" customWidth="1"/>
    <col min="12305" max="12305" width="27.44140625" style="529" customWidth="1"/>
    <col min="12306" max="12355" width="8.88671875" style="529" customWidth="1"/>
    <col min="12356" max="12356" width="22.88671875" style="529" customWidth="1"/>
    <col min="12357" max="12357" width="23.88671875" style="529" customWidth="1"/>
    <col min="12358" max="12358" width="14.44140625" style="529" customWidth="1"/>
    <col min="12359" max="12533" width="9" style="529"/>
    <col min="12534" max="12534" width="20.109375" style="529" customWidth="1"/>
    <col min="12535" max="12535" width="53" style="529" customWidth="1"/>
    <col min="12536" max="12536" width="30.88671875" style="529" customWidth="1"/>
    <col min="12537" max="12537" width="30.44140625" style="529" customWidth="1"/>
    <col min="12538" max="12538" width="28.109375" style="529" customWidth="1"/>
    <col min="12539" max="12540" width="30.88671875" style="529" customWidth="1"/>
    <col min="12541" max="12541" width="26.109375" style="529" customWidth="1"/>
    <col min="12542" max="12543" width="30.88671875" style="529" customWidth="1"/>
    <col min="12544" max="12544" width="26.109375" style="529" customWidth="1"/>
    <col min="12545" max="12545" width="17.88671875" style="529" customWidth="1"/>
    <col min="12546" max="12547" width="28.44140625" style="529" customWidth="1"/>
    <col min="12548" max="12548" width="24" style="529" customWidth="1"/>
    <col min="12549" max="12550" width="30.88671875" style="529" customWidth="1"/>
    <col min="12551" max="12551" width="26.109375" style="529" customWidth="1"/>
    <col min="12552" max="12553" width="30.88671875" style="529" customWidth="1"/>
    <col min="12554" max="12554" width="28.44140625" style="529" customWidth="1"/>
    <col min="12555" max="12557" width="8.88671875" style="529" customWidth="1"/>
    <col min="12558" max="12560" width="25.44140625" style="529" customWidth="1"/>
    <col min="12561" max="12561" width="27.44140625" style="529" customWidth="1"/>
    <col min="12562" max="12611" width="8.88671875" style="529" customWidth="1"/>
    <col min="12612" max="12612" width="22.88671875" style="529" customWidth="1"/>
    <col min="12613" max="12613" width="23.88671875" style="529" customWidth="1"/>
    <col min="12614" max="12614" width="14.44140625" style="529" customWidth="1"/>
    <col min="12615" max="12789" width="9" style="529"/>
    <col min="12790" max="12790" width="20.109375" style="529" customWidth="1"/>
    <col min="12791" max="12791" width="53" style="529" customWidth="1"/>
    <col min="12792" max="12792" width="30.88671875" style="529" customWidth="1"/>
    <col min="12793" max="12793" width="30.44140625" style="529" customWidth="1"/>
    <col min="12794" max="12794" width="28.109375" style="529" customWidth="1"/>
    <col min="12795" max="12796" width="30.88671875" style="529" customWidth="1"/>
    <col min="12797" max="12797" width="26.109375" style="529" customWidth="1"/>
    <col min="12798" max="12799" width="30.88671875" style="529" customWidth="1"/>
    <col min="12800" max="12800" width="26.109375" style="529" customWidth="1"/>
    <col min="12801" max="12801" width="17.88671875" style="529" customWidth="1"/>
    <col min="12802" max="12803" width="28.44140625" style="529" customWidth="1"/>
    <col min="12804" max="12804" width="24" style="529" customWidth="1"/>
    <col min="12805" max="12806" width="30.88671875" style="529" customWidth="1"/>
    <col min="12807" max="12807" width="26.109375" style="529" customWidth="1"/>
    <col min="12808" max="12809" width="30.88671875" style="529" customWidth="1"/>
    <col min="12810" max="12810" width="28.44140625" style="529" customWidth="1"/>
    <col min="12811" max="12813" width="8.88671875" style="529" customWidth="1"/>
    <col min="12814" max="12816" width="25.44140625" style="529" customWidth="1"/>
    <col min="12817" max="12817" width="27.44140625" style="529" customWidth="1"/>
    <col min="12818" max="12867" width="8.88671875" style="529" customWidth="1"/>
    <col min="12868" max="12868" width="22.88671875" style="529" customWidth="1"/>
    <col min="12869" max="12869" width="23.88671875" style="529" customWidth="1"/>
    <col min="12870" max="12870" width="14.44140625" style="529" customWidth="1"/>
    <col min="12871" max="13045" width="9" style="529"/>
    <col min="13046" max="13046" width="20.109375" style="529" customWidth="1"/>
    <col min="13047" max="13047" width="53" style="529" customWidth="1"/>
    <col min="13048" max="13048" width="30.88671875" style="529" customWidth="1"/>
    <col min="13049" max="13049" width="30.44140625" style="529" customWidth="1"/>
    <col min="13050" max="13050" width="28.109375" style="529" customWidth="1"/>
    <col min="13051" max="13052" width="30.88671875" style="529" customWidth="1"/>
    <col min="13053" max="13053" width="26.109375" style="529" customWidth="1"/>
    <col min="13054" max="13055" width="30.88671875" style="529" customWidth="1"/>
    <col min="13056" max="13056" width="26.109375" style="529" customWidth="1"/>
    <col min="13057" max="13057" width="17.88671875" style="529" customWidth="1"/>
    <col min="13058" max="13059" width="28.44140625" style="529" customWidth="1"/>
    <col min="13060" max="13060" width="24" style="529" customWidth="1"/>
    <col min="13061" max="13062" width="30.88671875" style="529" customWidth="1"/>
    <col min="13063" max="13063" width="26.109375" style="529" customWidth="1"/>
    <col min="13064" max="13065" width="30.88671875" style="529" customWidth="1"/>
    <col min="13066" max="13066" width="28.44140625" style="529" customWidth="1"/>
    <col min="13067" max="13069" width="8.88671875" style="529" customWidth="1"/>
    <col min="13070" max="13072" width="25.44140625" style="529" customWidth="1"/>
    <col min="13073" max="13073" width="27.44140625" style="529" customWidth="1"/>
    <col min="13074" max="13123" width="8.88671875" style="529" customWidth="1"/>
    <col min="13124" max="13124" width="22.88671875" style="529" customWidth="1"/>
    <col min="13125" max="13125" width="23.88671875" style="529" customWidth="1"/>
    <col min="13126" max="13126" width="14.44140625" style="529" customWidth="1"/>
    <col min="13127" max="13301" width="9" style="529"/>
    <col min="13302" max="13302" width="20.109375" style="529" customWidth="1"/>
    <col min="13303" max="13303" width="53" style="529" customWidth="1"/>
    <col min="13304" max="13304" width="30.88671875" style="529" customWidth="1"/>
    <col min="13305" max="13305" width="30.44140625" style="529" customWidth="1"/>
    <col min="13306" max="13306" width="28.109375" style="529" customWidth="1"/>
    <col min="13307" max="13308" width="30.88671875" style="529" customWidth="1"/>
    <col min="13309" max="13309" width="26.109375" style="529" customWidth="1"/>
    <col min="13310" max="13311" width="30.88671875" style="529" customWidth="1"/>
    <col min="13312" max="13312" width="26.109375" style="529" customWidth="1"/>
    <col min="13313" max="13313" width="17.88671875" style="529" customWidth="1"/>
    <col min="13314" max="13315" width="28.44140625" style="529" customWidth="1"/>
    <col min="13316" max="13316" width="24" style="529" customWidth="1"/>
    <col min="13317" max="13318" width="30.88671875" style="529" customWidth="1"/>
    <col min="13319" max="13319" width="26.109375" style="529" customWidth="1"/>
    <col min="13320" max="13321" width="30.88671875" style="529" customWidth="1"/>
    <col min="13322" max="13322" width="28.44140625" style="529" customWidth="1"/>
    <col min="13323" max="13325" width="8.88671875" style="529" customWidth="1"/>
    <col min="13326" max="13328" width="25.44140625" style="529" customWidth="1"/>
    <col min="13329" max="13329" width="27.44140625" style="529" customWidth="1"/>
    <col min="13330" max="13379" width="8.88671875" style="529" customWidth="1"/>
    <col min="13380" max="13380" width="22.88671875" style="529" customWidth="1"/>
    <col min="13381" max="13381" width="23.88671875" style="529" customWidth="1"/>
    <col min="13382" max="13382" width="14.44140625" style="529" customWidth="1"/>
    <col min="13383" max="13557" width="9" style="529"/>
    <col min="13558" max="13558" width="20.109375" style="529" customWidth="1"/>
    <col min="13559" max="13559" width="53" style="529" customWidth="1"/>
    <col min="13560" max="13560" width="30.88671875" style="529" customWidth="1"/>
    <col min="13561" max="13561" width="30.44140625" style="529" customWidth="1"/>
    <col min="13562" max="13562" width="28.109375" style="529" customWidth="1"/>
    <col min="13563" max="13564" width="30.88671875" style="529" customWidth="1"/>
    <col min="13565" max="13565" width="26.109375" style="529" customWidth="1"/>
    <col min="13566" max="13567" width="30.88671875" style="529" customWidth="1"/>
    <col min="13568" max="13568" width="26.109375" style="529" customWidth="1"/>
    <col min="13569" max="13569" width="17.88671875" style="529" customWidth="1"/>
    <col min="13570" max="13571" width="28.44140625" style="529" customWidth="1"/>
    <col min="13572" max="13572" width="24" style="529" customWidth="1"/>
    <col min="13573" max="13574" width="30.88671875" style="529" customWidth="1"/>
    <col min="13575" max="13575" width="26.109375" style="529" customWidth="1"/>
    <col min="13576" max="13577" width="30.88671875" style="529" customWidth="1"/>
    <col min="13578" max="13578" width="28.44140625" style="529" customWidth="1"/>
    <col min="13579" max="13581" width="8.88671875" style="529" customWidth="1"/>
    <col min="13582" max="13584" width="25.44140625" style="529" customWidth="1"/>
    <col min="13585" max="13585" width="27.44140625" style="529" customWidth="1"/>
    <col min="13586" max="13635" width="8.88671875" style="529" customWidth="1"/>
    <col min="13636" max="13636" width="22.88671875" style="529" customWidth="1"/>
    <col min="13637" max="13637" width="23.88671875" style="529" customWidth="1"/>
    <col min="13638" max="13638" width="14.44140625" style="529" customWidth="1"/>
    <col min="13639" max="13813" width="9" style="529"/>
    <col min="13814" max="13814" width="20.109375" style="529" customWidth="1"/>
    <col min="13815" max="13815" width="53" style="529" customWidth="1"/>
    <col min="13816" max="13816" width="30.88671875" style="529" customWidth="1"/>
    <col min="13817" max="13817" width="30.44140625" style="529" customWidth="1"/>
    <col min="13818" max="13818" width="28.109375" style="529" customWidth="1"/>
    <col min="13819" max="13820" width="30.88671875" style="529" customWidth="1"/>
    <col min="13821" max="13821" width="26.109375" style="529" customWidth="1"/>
    <col min="13822" max="13823" width="30.88671875" style="529" customWidth="1"/>
    <col min="13824" max="13824" width="26.109375" style="529" customWidth="1"/>
    <col min="13825" max="13825" width="17.88671875" style="529" customWidth="1"/>
    <col min="13826" max="13827" width="28.44140625" style="529" customWidth="1"/>
    <col min="13828" max="13828" width="24" style="529" customWidth="1"/>
    <col min="13829" max="13830" width="30.88671875" style="529" customWidth="1"/>
    <col min="13831" max="13831" width="26.109375" style="529" customWidth="1"/>
    <col min="13832" max="13833" width="30.88671875" style="529" customWidth="1"/>
    <col min="13834" max="13834" width="28.44140625" style="529" customWidth="1"/>
    <col min="13835" max="13837" width="8.88671875" style="529" customWidth="1"/>
    <col min="13838" max="13840" width="25.44140625" style="529" customWidth="1"/>
    <col min="13841" max="13841" width="27.44140625" style="529" customWidth="1"/>
    <col min="13842" max="13891" width="8.88671875" style="529" customWidth="1"/>
    <col min="13892" max="13892" width="22.88671875" style="529" customWidth="1"/>
    <col min="13893" max="13893" width="23.88671875" style="529" customWidth="1"/>
    <col min="13894" max="13894" width="14.44140625" style="529" customWidth="1"/>
    <col min="13895" max="14069" width="9" style="529"/>
    <col min="14070" max="14070" width="20.109375" style="529" customWidth="1"/>
    <col min="14071" max="14071" width="53" style="529" customWidth="1"/>
    <col min="14072" max="14072" width="30.88671875" style="529" customWidth="1"/>
    <col min="14073" max="14073" width="30.44140625" style="529" customWidth="1"/>
    <col min="14074" max="14074" width="28.109375" style="529" customWidth="1"/>
    <col min="14075" max="14076" width="30.88671875" style="529" customWidth="1"/>
    <col min="14077" max="14077" width="26.109375" style="529" customWidth="1"/>
    <col min="14078" max="14079" width="30.88671875" style="529" customWidth="1"/>
    <col min="14080" max="14080" width="26.109375" style="529" customWidth="1"/>
    <col min="14081" max="14081" width="17.88671875" style="529" customWidth="1"/>
    <col min="14082" max="14083" width="28.44140625" style="529" customWidth="1"/>
    <col min="14084" max="14084" width="24" style="529" customWidth="1"/>
    <col min="14085" max="14086" width="30.88671875" style="529" customWidth="1"/>
    <col min="14087" max="14087" width="26.109375" style="529" customWidth="1"/>
    <col min="14088" max="14089" width="30.88671875" style="529" customWidth="1"/>
    <col min="14090" max="14090" width="28.44140625" style="529" customWidth="1"/>
    <col min="14091" max="14093" width="8.88671875" style="529" customWidth="1"/>
    <col min="14094" max="14096" width="25.44140625" style="529" customWidth="1"/>
    <col min="14097" max="14097" width="27.44140625" style="529" customWidth="1"/>
    <col min="14098" max="14147" width="8.88671875" style="529" customWidth="1"/>
    <col min="14148" max="14148" width="22.88671875" style="529" customWidth="1"/>
    <col min="14149" max="14149" width="23.88671875" style="529" customWidth="1"/>
    <col min="14150" max="14150" width="14.44140625" style="529" customWidth="1"/>
    <col min="14151" max="14325" width="9" style="529"/>
    <col min="14326" max="14326" width="20.109375" style="529" customWidth="1"/>
    <col min="14327" max="14327" width="53" style="529" customWidth="1"/>
    <col min="14328" max="14328" width="30.88671875" style="529" customWidth="1"/>
    <col min="14329" max="14329" width="30.44140625" style="529" customWidth="1"/>
    <col min="14330" max="14330" width="28.109375" style="529" customWidth="1"/>
    <col min="14331" max="14332" width="30.88671875" style="529" customWidth="1"/>
    <col min="14333" max="14333" width="26.109375" style="529" customWidth="1"/>
    <col min="14334" max="14335" width="30.88671875" style="529" customWidth="1"/>
    <col min="14336" max="14336" width="26.109375" style="529" customWidth="1"/>
    <col min="14337" max="14337" width="17.88671875" style="529" customWidth="1"/>
    <col min="14338" max="14339" width="28.44140625" style="529" customWidth="1"/>
    <col min="14340" max="14340" width="24" style="529" customWidth="1"/>
    <col min="14341" max="14342" width="30.88671875" style="529" customWidth="1"/>
    <col min="14343" max="14343" width="26.109375" style="529" customWidth="1"/>
    <col min="14344" max="14345" width="30.88671875" style="529" customWidth="1"/>
    <col min="14346" max="14346" width="28.44140625" style="529" customWidth="1"/>
    <col min="14347" max="14349" width="8.88671875" style="529" customWidth="1"/>
    <col min="14350" max="14352" width="25.44140625" style="529" customWidth="1"/>
    <col min="14353" max="14353" width="27.44140625" style="529" customWidth="1"/>
    <col min="14354" max="14403" width="8.88671875" style="529" customWidth="1"/>
    <col min="14404" max="14404" width="22.88671875" style="529" customWidth="1"/>
    <col min="14405" max="14405" width="23.88671875" style="529" customWidth="1"/>
    <col min="14406" max="14406" width="14.44140625" style="529" customWidth="1"/>
    <col min="14407" max="14581" width="9" style="529"/>
    <col min="14582" max="14582" width="20.109375" style="529" customWidth="1"/>
    <col min="14583" max="14583" width="53" style="529" customWidth="1"/>
    <col min="14584" max="14584" width="30.88671875" style="529" customWidth="1"/>
    <col min="14585" max="14585" width="30.44140625" style="529" customWidth="1"/>
    <col min="14586" max="14586" width="28.109375" style="529" customWidth="1"/>
    <col min="14587" max="14588" width="30.88671875" style="529" customWidth="1"/>
    <col min="14589" max="14589" width="26.109375" style="529" customWidth="1"/>
    <col min="14590" max="14591" width="30.88671875" style="529" customWidth="1"/>
    <col min="14592" max="14592" width="26.109375" style="529" customWidth="1"/>
    <col min="14593" max="14593" width="17.88671875" style="529" customWidth="1"/>
    <col min="14594" max="14595" width="28.44140625" style="529" customWidth="1"/>
    <col min="14596" max="14596" width="24" style="529" customWidth="1"/>
    <col min="14597" max="14598" width="30.88671875" style="529" customWidth="1"/>
    <col min="14599" max="14599" width="26.109375" style="529" customWidth="1"/>
    <col min="14600" max="14601" width="30.88671875" style="529" customWidth="1"/>
    <col min="14602" max="14602" width="28.44140625" style="529" customWidth="1"/>
    <col min="14603" max="14605" width="8.88671875" style="529" customWidth="1"/>
    <col min="14606" max="14608" width="25.44140625" style="529" customWidth="1"/>
    <col min="14609" max="14609" width="27.44140625" style="529" customWidth="1"/>
    <col min="14610" max="14659" width="8.88671875" style="529" customWidth="1"/>
    <col min="14660" max="14660" width="22.88671875" style="529" customWidth="1"/>
    <col min="14661" max="14661" width="23.88671875" style="529" customWidth="1"/>
    <col min="14662" max="14662" width="14.44140625" style="529" customWidth="1"/>
    <col min="14663" max="14837" width="9" style="529"/>
    <col min="14838" max="14838" width="20.109375" style="529" customWidth="1"/>
    <col min="14839" max="14839" width="53" style="529" customWidth="1"/>
    <col min="14840" max="14840" width="30.88671875" style="529" customWidth="1"/>
    <col min="14841" max="14841" width="30.44140625" style="529" customWidth="1"/>
    <col min="14842" max="14842" width="28.109375" style="529" customWidth="1"/>
    <col min="14843" max="14844" width="30.88671875" style="529" customWidth="1"/>
    <col min="14845" max="14845" width="26.109375" style="529" customWidth="1"/>
    <col min="14846" max="14847" width="30.88671875" style="529" customWidth="1"/>
    <col min="14848" max="14848" width="26.109375" style="529" customWidth="1"/>
    <col min="14849" max="14849" width="17.88671875" style="529" customWidth="1"/>
    <col min="14850" max="14851" width="28.44140625" style="529" customWidth="1"/>
    <col min="14852" max="14852" width="24" style="529" customWidth="1"/>
    <col min="14853" max="14854" width="30.88671875" style="529" customWidth="1"/>
    <col min="14855" max="14855" width="26.109375" style="529" customWidth="1"/>
    <col min="14856" max="14857" width="30.88671875" style="529" customWidth="1"/>
    <col min="14858" max="14858" width="28.44140625" style="529" customWidth="1"/>
    <col min="14859" max="14861" width="8.88671875" style="529" customWidth="1"/>
    <col min="14862" max="14864" width="25.44140625" style="529" customWidth="1"/>
    <col min="14865" max="14865" width="27.44140625" style="529" customWidth="1"/>
    <col min="14866" max="14915" width="8.88671875" style="529" customWidth="1"/>
    <col min="14916" max="14916" width="22.88671875" style="529" customWidth="1"/>
    <col min="14917" max="14917" width="23.88671875" style="529" customWidth="1"/>
    <col min="14918" max="14918" width="14.44140625" style="529" customWidth="1"/>
    <col min="14919" max="15093" width="9" style="529"/>
    <col min="15094" max="15094" width="20.109375" style="529" customWidth="1"/>
    <col min="15095" max="15095" width="53" style="529" customWidth="1"/>
    <col min="15096" max="15096" width="30.88671875" style="529" customWidth="1"/>
    <col min="15097" max="15097" width="30.44140625" style="529" customWidth="1"/>
    <col min="15098" max="15098" width="28.109375" style="529" customWidth="1"/>
    <col min="15099" max="15100" width="30.88671875" style="529" customWidth="1"/>
    <col min="15101" max="15101" width="26.109375" style="529" customWidth="1"/>
    <col min="15102" max="15103" width="30.88671875" style="529" customWidth="1"/>
    <col min="15104" max="15104" width="26.109375" style="529" customWidth="1"/>
    <col min="15105" max="15105" width="17.88671875" style="529" customWidth="1"/>
    <col min="15106" max="15107" width="28.44140625" style="529" customWidth="1"/>
    <col min="15108" max="15108" width="24" style="529" customWidth="1"/>
    <col min="15109" max="15110" width="30.88671875" style="529" customWidth="1"/>
    <col min="15111" max="15111" width="26.109375" style="529" customWidth="1"/>
    <col min="15112" max="15113" width="30.88671875" style="529" customWidth="1"/>
    <col min="15114" max="15114" width="28.44140625" style="529" customWidth="1"/>
    <col min="15115" max="15117" width="8.88671875" style="529" customWidth="1"/>
    <col min="15118" max="15120" width="25.44140625" style="529" customWidth="1"/>
    <col min="15121" max="15121" width="27.44140625" style="529" customWidth="1"/>
    <col min="15122" max="15171" width="8.88671875" style="529" customWidth="1"/>
    <col min="15172" max="15172" width="22.88671875" style="529" customWidth="1"/>
    <col min="15173" max="15173" width="23.88671875" style="529" customWidth="1"/>
    <col min="15174" max="15174" width="14.44140625" style="529" customWidth="1"/>
    <col min="15175" max="15349" width="9" style="529"/>
    <col min="15350" max="15350" width="20.109375" style="529" customWidth="1"/>
    <col min="15351" max="15351" width="53" style="529" customWidth="1"/>
    <col min="15352" max="15352" width="30.88671875" style="529" customWidth="1"/>
    <col min="15353" max="15353" width="30.44140625" style="529" customWidth="1"/>
    <col min="15354" max="15354" width="28.109375" style="529" customWidth="1"/>
    <col min="15355" max="15356" width="30.88671875" style="529" customWidth="1"/>
    <col min="15357" max="15357" width="26.109375" style="529" customWidth="1"/>
    <col min="15358" max="15359" width="30.88671875" style="529" customWidth="1"/>
    <col min="15360" max="15360" width="26.109375" style="529" customWidth="1"/>
    <col min="15361" max="15361" width="17.88671875" style="529" customWidth="1"/>
    <col min="15362" max="15363" width="28.44140625" style="529" customWidth="1"/>
    <col min="15364" max="15364" width="24" style="529" customWidth="1"/>
    <col min="15365" max="15366" width="30.88671875" style="529" customWidth="1"/>
    <col min="15367" max="15367" width="26.109375" style="529" customWidth="1"/>
    <col min="15368" max="15369" width="30.88671875" style="529" customWidth="1"/>
    <col min="15370" max="15370" width="28.44140625" style="529" customWidth="1"/>
    <col min="15371" max="15373" width="8.88671875" style="529" customWidth="1"/>
    <col min="15374" max="15376" width="25.44140625" style="529" customWidth="1"/>
    <col min="15377" max="15377" width="27.44140625" style="529" customWidth="1"/>
    <col min="15378" max="15427" width="8.88671875" style="529" customWidth="1"/>
    <col min="15428" max="15428" width="22.88671875" style="529" customWidth="1"/>
    <col min="15429" max="15429" width="23.88671875" style="529" customWidth="1"/>
    <col min="15430" max="15430" width="14.44140625" style="529" customWidth="1"/>
    <col min="15431" max="15605" width="9" style="529"/>
    <col min="15606" max="15606" width="20.109375" style="529" customWidth="1"/>
    <col min="15607" max="15607" width="53" style="529" customWidth="1"/>
    <col min="15608" max="15608" width="30.88671875" style="529" customWidth="1"/>
    <col min="15609" max="15609" width="30.44140625" style="529" customWidth="1"/>
    <col min="15610" max="15610" width="28.109375" style="529" customWidth="1"/>
    <col min="15611" max="15612" width="30.88671875" style="529" customWidth="1"/>
    <col min="15613" max="15613" width="26.109375" style="529" customWidth="1"/>
    <col min="15614" max="15615" width="30.88671875" style="529" customWidth="1"/>
    <col min="15616" max="15616" width="26.109375" style="529" customWidth="1"/>
    <col min="15617" max="15617" width="17.88671875" style="529" customWidth="1"/>
    <col min="15618" max="15619" width="28.44140625" style="529" customWidth="1"/>
    <col min="15620" max="15620" width="24" style="529" customWidth="1"/>
    <col min="15621" max="15622" width="30.88671875" style="529" customWidth="1"/>
    <col min="15623" max="15623" width="26.109375" style="529" customWidth="1"/>
    <col min="15624" max="15625" width="30.88671875" style="529" customWidth="1"/>
    <col min="15626" max="15626" width="28.44140625" style="529" customWidth="1"/>
    <col min="15627" max="15629" width="8.88671875" style="529" customWidth="1"/>
    <col min="15630" max="15632" width="25.44140625" style="529" customWidth="1"/>
    <col min="15633" max="15633" width="27.44140625" style="529" customWidth="1"/>
    <col min="15634" max="15683" width="8.88671875" style="529" customWidth="1"/>
    <col min="15684" max="15684" width="22.88671875" style="529" customWidth="1"/>
    <col min="15685" max="15685" width="23.88671875" style="529" customWidth="1"/>
    <col min="15686" max="15686" width="14.44140625" style="529" customWidth="1"/>
    <col min="15687" max="15861" width="9" style="529"/>
    <col min="15862" max="15862" width="20.109375" style="529" customWidth="1"/>
    <col min="15863" max="15863" width="53" style="529" customWidth="1"/>
    <col min="15864" max="15864" width="30.88671875" style="529" customWidth="1"/>
    <col min="15865" max="15865" width="30.44140625" style="529" customWidth="1"/>
    <col min="15866" max="15866" width="28.109375" style="529" customWidth="1"/>
    <col min="15867" max="15868" width="30.88671875" style="529" customWidth="1"/>
    <col min="15869" max="15869" width="26.109375" style="529" customWidth="1"/>
    <col min="15870" max="15871" width="30.88671875" style="529" customWidth="1"/>
    <col min="15872" max="15872" width="26.109375" style="529" customWidth="1"/>
    <col min="15873" max="15873" width="17.88671875" style="529" customWidth="1"/>
    <col min="15874" max="15875" width="28.44140625" style="529" customWidth="1"/>
    <col min="15876" max="15876" width="24" style="529" customWidth="1"/>
    <col min="15877" max="15878" width="30.88671875" style="529" customWidth="1"/>
    <col min="15879" max="15879" width="26.109375" style="529" customWidth="1"/>
    <col min="15880" max="15881" width="30.88671875" style="529" customWidth="1"/>
    <col min="15882" max="15882" width="28.44140625" style="529" customWidth="1"/>
    <col min="15883" max="15885" width="8.88671875" style="529" customWidth="1"/>
    <col min="15886" max="15888" width="25.44140625" style="529" customWidth="1"/>
    <col min="15889" max="15889" width="27.44140625" style="529" customWidth="1"/>
    <col min="15890" max="15939" width="8.88671875" style="529" customWidth="1"/>
    <col min="15940" max="15940" width="22.88671875" style="529" customWidth="1"/>
    <col min="15941" max="15941" width="23.88671875" style="529" customWidth="1"/>
    <col min="15942" max="15942" width="14.44140625" style="529" customWidth="1"/>
    <col min="15943" max="16117" width="9" style="529"/>
    <col min="16118" max="16118" width="20.109375" style="529" customWidth="1"/>
    <col min="16119" max="16119" width="53" style="529" customWidth="1"/>
    <col min="16120" max="16120" width="30.88671875" style="529" customWidth="1"/>
    <col min="16121" max="16121" width="30.44140625" style="529" customWidth="1"/>
    <col min="16122" max="16122" width="28.109375" style="529" customWidth="1"/>
    <col min="16123" max="16124" width="30.88671875" style="529" customWidth="1"/>
    <col min="16125" max="16125" width="26.109375" style="529" customWidth="1"/>
    <col min="16126" max="16127" width="30.88671875" style="529" customWidth="1"/>
    <col min="16128" max="16128" width="26.109375" style="529" customWidth="1"/>
    <col min="16129" max="16129" width="17.88671875" style="529" customWidth="1"/>
    <col min="16130" max="16131" width="28.44140625" style="529" customWidth="1"/>
    <col min="16132" max="16132" width="24" style="529" customWidth="1"/>
    <col min="16133" max="16134" width="30.88671875" style="529" customWidth="1"/>
    <col min="16135" max="16135" width="26.109375" style="529" customWidth="1"/>
    <col min="16136" max="16137" width="30.88671875" style="529" customWidth="1"/>
    <col min="16138" max="16138" width="28.44140625" style="529" customWidth="1"/>
    <col min="16139" max="16141" width="8.88671875" style="529" customWidth="1"/>
    <col min="16142" max="16144" width="25.44140625" style="529" customWidth="1"/>
    <col min="16145" max="16145" width="27.44140625" style="529" customWidth="1"/>
    <col min="16146" max="16195" width="8.88671875" style="529" customWidth="1"/>
    <col min="16196" max="16196" width="22.88671875" style="529" customWidth="1"/>
    <col min="16197" max="16197" width="23.88671875" style="529" customWidth="1"/>
    <col min="16198" max="16198" width="14.44140625" style="529" customWidth="1"/>
    <col min="16199" max="16384" width="9" style="529"/>
  </cols>
  <sheetData>
    <row r="1" spans="1:82" ht="22.35" customHeight="1">
      <c r="A1" s="528" t="s">
        <v>980</v>
      </c>
      <c r="C1" s="530">
        <v>3</v>
      </c>
      <c r="D1" s="530">
        <v>4</v>
      </c>
      <c r="E1" s="530">
        <v>5</v>
      </c>
      <c r="F1" s="530">
        <v>6</v>
      </c>
      <c r="G1" s="530">
        <v>7</v>
      </c>
      <c r="H1" s="530">
        <v>8</v>
      </c>
      <c r="I1" s="530">
        <v>9</v>
      </c>
      <c r="J1" s="530">
        <v>10</v>
      </c>
      <c r="K1" s="530">
        <v>11</v>
      </c>
      <c r="L1" s="530">
        <v>12</v>
      </c>
      <c r="M1" s="530">
        <v>13</v>
      </c>
      <c r="N1" s="530">
        <v>14</v>
      </c>
      <c r="O1" s="530">
        <v>15</v>
      </c>
      <c r="P1" s="530">
        <v>16</v>
      </c>
      <c r="Q1" s="530">
        <v>17</v>
      </c>
      <c r="R1" s="530">
        <v>18</v>
      </c>
      <c r="S1" s="530">
        <v>19</v>
      </c>
      <c r="T1" s="530">
        <v>20</v>
      </c>
      <c r="U1" s="530">
        <v>21</v>
      </c>
      <c r="V1" s="530">
        <v>22</v>
      </c>
      <c r="W1" s="530">
        <v>23</v>
      </c>
      <c r="X1" s="530">
        <v>24</v>
      </c>
      <c r="Y1" s="531"/>
      <c r="AP1" s="534"/>
      <c r="AQ1" s="534" t="s">
        <v>534</v>
      </c>
      <c r="AR1" s="535" t="s">
        <v>981</v>
      </c>
      <c r="AS1" s="535">
        <v>4</v>
      </c>
      <c r="AT1" s="535">
        <v>5</v>
      </c>
      <c r="AU1" s="535">
        <v>6</v>
      </c>
      <c r="AV1" s="535">
        <v>7</v>
      </c>
      <c r="AW1" s="535">
        <v>8</v>
      </c>
      <c r="AX1" s="535">
        <v>9</v>
      </c>
      <c r="AY1" s="535">
        <v>10</v>
      </c>
      <c r="AZ1" s="535">
        <v>11</v>
      </c>
      <c r="BA1" s="535">
        <v>12</v>
      </c>
      <c r="BB1" s="535">
        <v>13</v>
      </c>
      <c r="BC1" s="535">
        <v>14</v>
      </c>
      <c r="BD1" s="535">
        <v>15</v>
      </c>
      <c r="BE1" s="535">
        <v>16</v>
      </c>
      <c r="BF1" s="535">
        <v>17</v>
      </c>
      <c r="BG1" s="535">
        <v>18</v>
      </c>
      <c r="BH1" s="535">
        <v>19</v>
      </c>
      <c r="BI1" s="535">
        <v>20</v>
      </c>
      <c r="BJ1" s="535">
        <v>21</v>
      </c>
      <c r="BK1" s="536">
        <v>22</v>
      </c>
      <c r="BM1" s="535">
        <v>24</v>
      </c>
      <c r="BN1" s="535">
        <v>25</v>
      </c>
      <c r="BO1" s="535">
        <v>26</v>
      </c>
      <c r="BP1" s="535">
        <v>27</v>
      </c>
      <c r="BQ1" s="535">
        <v>28</v>
      </c>
      <c r="BR1" s="535">
        <v>29</v>
      </c>
      <c r="BS1" s="535">
        <v>30</v>
      </c>
      <c r="BT1" s="535">
        <v>31</v>
      </c>
      <c r="BU1" s="535">
        <v>32</v>
      </c>
      <c r="BV1" s="535">
        <v>33</v>
      </c>
      <c r="BW1" s="535">
        <v>34</v>
      </c>
      <c r="BX1" s="535">
        <v>35</v>
      </c>
      <c r="BY1" s="535">
        <v>36</v>
      </c>
      <c r="BZ1" s="535">
        <v>37</v>
      </c>
      <c r="CA1" s="535">
        <v>38</v>
      </c>
      <c r="CB1" s="535">
        <v>39</v>
      </c>
    </row>
    <row r="2" spans="1:82" ht="22.35" customHeight="1" thickBot="1">
      <c r="A2" s="538" t="s">
        <v>982</v>
      </c>
      <c r="C2" s="539"/>
      <c r="D2" s="539"/>
      <c r="E2" s="539"/>
      <c r="F2" s="540"/>
      <c r="G2" s="541"/>
      <c r="H2" s="541"/>
      <c r="I2" s="541"/>
      <c r="J2" s="541"/>
      <c r="K2" s="2577" t="s">
        <v>983</v>
      </c>
      <c r="L2" s="2577"/>
      <c r="M2" s="2577"/>
      <c r="N2" s="531"/>
      <c r="O2" s="2577" t="s">
        <v>984</v>
      </c>
      <c r="P2" s="2577"/>
      <c r="Q2" s="2577"/>
      <c r="R2" s="2577" t="s">
        <v>985</v>
      </c>
      <c r="S2" s="2577"/>
      <c r="T2" s="2577"/>
      <c r="U2" s="2577"/>
      <c r="V2" s="531"/>
      <c r="W2" s="531"/>
      <c r="X2" s="531"/>
      <c r="Y2" s="531"/>
      <c r="AA2" s="2578" t="s">
        <v>986</v>
      </c>
      <c r="AB2" s="2578"/>
      <c r="AC2" s="542"/>
      <c r="AP2" s="534"/>
      <c r="AQ2" s="534"/>
      <c r="AR2" s="535"/>
      <c r="AS2" s="535"/>
      <c r="AT2" s="535"/>
      <c r="AV2" s="543"/>
      <c r="AW2" s="535"/>
      <c r="AX2" s="535"/>
      <c r="AY2" s="535"/>
      <c r="AZ2" s="535"/>
      <c r="BA2" s="535"/>
      <c r="BB2" s="535"/>
      <c r="BC2" s="535"/>
      <c r="BD2" s="535"/>
      <c r="BE2" s="535"/>
      <c r="BF2" s="535"/>
      <c r="BG2" s="535"/>
      <c r="BH2" s="535"/>
      <c r="BI2" s="535"/>
      <c r="BJ2" s="535"/>
      <c r="BK2" s="535"/>
      <c r="BM2" s="2573" t="s">
        <v>987</v>
      </c>
      <c r="BN2" s="2573"/>
      <c r="BO2" s="2573"/>
      <c r="BP2" s="2573"/>
      <c r="BR2" s="544" t="s">
        <v>988</v>
      </c>
      <c r="BS2" s="545" t="s">
        <v>989</v>
      </c>
      <c r="BT2" s="546"/>
      <c r="BU2" s="546"/>
      <c r="BV2" s="544"/>
      <c r="BW2" s="2574" t="s">
        <v>990</v>
      </c>
      <c r="BX2" s="2574"/>
      <c r="BY2" s="2574"/>
      <c r="BZ2" s="2574"/>
      <c r="CA2" s="2574"/>
      <c r="CB2" s="2574"/>
    </row>
    <row r="3" spans="1:82" s="556" customFormat="1" ht="22.35" customHeight="1">
      <c r="A3" s="2592" t="s">
        <v>991</v>
      </c>
      <c r="B3" s="2593" t="s">
        <v>992</v>
      </c>
      <c r="C3" s="2594" t="s">
        <v>993</v>
      </c>
      <c r="D3" s="2596" t="s">
        <v>994</v>
      </c>
      <c r="E3" s="2598" t="s">
        <v>995</v>
      </c>
      <c r="F3" s="2575" t="s">
        <v>996</v>
      </c>
      <c r="G3" s="2581" t="s">
        <v>997</v>
      </c>
      <c r="H3" s="2582"/>
      <c r="I3" s="2582"/>
      <c r="J3" s="2583"/>
      <c r="K3" s="2584" t="s">
        <v>998</v>
      </c>
      <c r="L3" s="2584"/>
      <c r="M3" s="2584"/>
      <c r="N3" s="2585" t="s">
        <v>999</v>
      </c>
      <c r="O3" s="2586" t="s">
        <v>1000</v>
      </c>
      <c r="P3" s="2586"/>
      <c r="Q3" s="2586"/>
      <c r="R3" s="2587" t="s">
        <v>1001</v>
      </c>
      <c r="S3" s="2582"/>
      <c r="T3" s="2582"/>
      <c r="U3" s="2583"/>
      <c r="V3" s="2588" t="s">
        <v>1002</v>
      </c>
      <c r="W3" s="2589"/>
      <c r="X3" s="2589"/>
      <c r="Y3" s="2589"/>
      <c r="Z3" s="551" t="s">
        <v>1003</v>
      </c>
      <c r="AA3" s="552"/>
      <c r="AB3" s="552"/>
      <c r="AC3" s="552"/>
      <c r="AD3" s="552"/>
      <c r="AE3" s="552"/>
      <c r="AF3" s="552"/>
      <c r="AG3" s="552"/>
      <c r="AH3" s="552"/>
      <c r="AI3" s="553"/>
      <c r="AJ3" s="553"/>
      <c r="AK3" s="552"/>
      <c r="AL3" s="552"/>
      <c r="AM3" s="553"/>
      <c r="AN3" s="553"/>
      <c r="AO3" s="552"/>
      <c r="AP3" s="2590" t="s">
        <v>1004</v>
      </c>
      <c r="AQ3" s="2579" t="s">
        <v>1005</v>
      </c>
      <c r="AR3" s="2590" t="s">
        <v>1006</v>
      </c>
      <c r="AS3" s="2599" t="s">
        <v>1007</v>
      </c>
      <c r="AT3" s="2600" t="s">
        <v>1008</v>
      </c>
      <c r="AU3" s="2579" t="s">
        <v>1009</v>
      </c>
      <c r="AV3" s="2605" t="s">
        <v>1010</v>
      </c>
      <c r="AW3" s="2606"/>
      <c r="AX3" s="2607"/>
      <c r="AY3" s="2605" t="s">
        <v>1011</v>
      </c>
      <c r="AZ3" s="2606"/>
      <c r="BA3" s="2607"/>
      <c r="BB3" s="2608" t="s">
        <v>1012</v>
      </c>
      <c r="BC3" s="2609"/>
      <c r="BD3" s="2610"/>
      <c r="BE3" s="2608" t="s">
        <v>1013</v>
      </c>
      <c r="BF3" s="2609"/>
      <c r="BG3" s="2610"/>
      <c r="BH3" s="2608" t="s">
        <v>1014</v>
      </c>
      <c r="BI3" s="2609"/>
      <c r="BJ3" s="2610"/>
      <c r="BK3" s="554"/>
      <c r="BL3" s="534"/>
      <c r="BM3" s="2611" t="s">
        <v>1015</v>
      </c>
      <c r="BN3" s="2612"/>
      <c r="BO3" s="2613"/>
      <c r="BP3" s="555"/>
      <c r="BR3" s="2615"/>
      <c r="BS3" s="2615" t="s">
        <v>1005</v>
      </c>
      <c r="BT3" s="2615" t="s">
        <v>1016</v>
      </c>
      <c r="BU3" s="2617" t="s">
        <v>1017</v>
      </c>
      <c r="BV3" s="2619" t="s">
        <v>1008</v>
      </c>
      <c r="BW3" s="2602" t="s">
        <v>1018</v>
      </c>
      <c r="BX3" s="2603"/>
      <c r="BY3" s="2604"/>
      <c r="BZ3" s="2602" t="s">
        <v>1019</v>
      </c>
      <c r="CA3" s="2603"/>
      <c r="CB3" s="2604"/>
      <c r="CC3" s="553"/>
      <c r="CD3" s="557"/>
    </row>
    <row r="4" spans="1:82" s="556" customFormat="1" ht="22.35" customHeight="1">
      <c r="A4" s="2592"/>
      <c r="B4" s="2593"/>
      <c r="C4" s="2595"/>
      <c r="D4" s="2597"/>
      <c r="E4" s="2594"/>
      <c r="F4" s="2576"/>
      <c r="G4" s="550" t="s">
        <v>1020</v>
      </c>
      <c r="H4" s="550" t="s">
        <v>1021</v>
      </c>
      <c r="I4" s="550" t="s">
        <v>1022</v>
      </c>
      <c r="J4" s="558" t="s">
        <v>996</v>
      </c>
      <c r="K4" s="549" t="s">
        <v>1020</v>
      </c>
      <c r="L4" s="549" t="s">
        <v>1021</v>
      </c>
      <c r="M4" s="549" t="s">
        <v>1022</v>
      </c>
      <c r="N4" s="2585"/>
      <c r="O4" s="550" t="s">
        <v>1020</v>
      </c>
      <c r="P4" s="550" t="s">
        <v>1021</v>
      </c>
      <c r="Q4" s="550" t="s">
        <v>1022</v>
      </c>
      <c r="R4" s="550" t="s">
        <v>1020</v>
      </c>
      <c r="S4" s="550" t="s">
        <v>1021</v>
      </c>
      <c r="T4" s="550" t="s">
        <v>1022</v>
      </c>
      <c r="U4" s="558" t="s">
        <v>996</v>
      </c>
      <c r="V4" s="550" t="s">
        <v>1020</v>
      </c>
      <c r="W4" s="550" t="s">
        <v>1021</v>
      </c>
      <c r="X4" s="550" t="s">
        <v>1022</v>
      </c>
      <c r="Y4" s="550" t="s">
        <v>996</v>
      </c>
      <c r="Z4" s="559" t="s">
        <v>1023</v>
      </c>
      <c r="AA4" s="551"/>
      <c r="AB4" s="552"/>
      <c r="AC4" s="552"/>
      <c r="AD4" s="552"/>
      <c r="AE4" s="552"/>
      <c r="AF4" s="552"/>
      <c r="AG4" s="552"/>
      <c r="AH4" s="560"/>
      <c r="AI4" s="560"/>
      <c r="AJ4" s="560"/>
      <c r="AK4" s="552"/>
      <c r="AL4" s="561"/>
      <c r="AM4" s="553"/>
      <c r="AN4" s="553"/>
      <c r="AO4" s="552"/>
      <c r="AP4" s="2591"/>
      <c r="AQ4" s="2580"/>
      <c r="AR4" s="2591"/>
      <c r="AS4" s="2499"/>
      <c r="AT4" s="2601"/>
      <c r="AU4" s="2580"/>
      <c r="AV4" s="562" t="s">
        <v>1016</v>
      </c>
      <c r="AW4" s="563" t="s">
        <v>1017</v>
      </c>
      <c r="AX4" s="564" t="s">
        <v>1008</v>
      </c>
      <c r="AY4" s="562" t="s">
        <v>1016</v>
      </c>
      <c r="AZ4" s="563" t="s">
        <v>1017</v>
      </c>
      <c r="BA4" s="564" t="s">
        <v>1008</v>
      </c>
      <c r="BB4" s="565" t="s">
        <v>1024</v>
      </c>
      <c r="BC4" s="566" t="s">
        <v>1025</v>
      </c>
      <c r="BD4" s="567" t="s">
        <v>1026</v>
      </c>
      <c r="BE4" s="565" t="s">
        <v>1024</v>
      </c>
      <c r="BF4" s="566" t="s">
        <v>1025</v>
      </c>
      <c r="BG4" s="567" t="s">
        <v>1026</v>
      </c>
      <c r="BH4" s="565" t="s">
        <v>1024</v>
      </c>
      <c r="BI4" s="566" t="s">
        <v>1025</v>
      </c>
      <c r="BJ4" s="567" t="s">
        <v>1026</v>
      </c>
      <c r="BK4" s="568"/>
      <c r="BL4" s="569"/>
      <c r="BM4" s="570" t="s">
        <v>1027</v>
      </c>
      <c r="BN4" s="571" t="s">
        <v>1028</v>
      </c>
      <c r="BO4" s="571" t="s">
        <v>1008</v>
      </c>
      <c r="BP4" s="572"/>
      <c r="BR4" s="2616"/>
      <c r="BS4" s="2616"/>
      <c r="BT4" s="2616"/>
      <c r="BU4" s="2618"/>
      <c r="BV4" s="2620"/>
      <c r="BW4" s="573" t="s">
        <v>1027</v>
      </c>
      <c r="BX4" s="573" t="s">
        <v>1028</v>
      </c>
      <c r="BY4" s="573" t="s">
        <v>1008</v>
      </c>
      <c r="BZ4" s="573" t="s">
        <v>1027</v>
      </c>
      <c r="CA4" s="573" t="s">
        <v>1028</v>
      </c>
      <c r="CB4" s="573" t="s">
        <v>1008</v>
      </c>
      <c r="CC4" s="553"/>
      <c r="CD4" s="557"/>
    </row>
    <row r="5" spans="1:82" ht="22.35" customHeight="1">
      <c r="A5" s="574" t="s">
        <v>1029</v>
      </c>
      <c r="B5" s="575" t="s">
        <v>1030</v>
      </c>
      <c r="C5" s="576">
        <v>1632393</v>
      </c>
      <c r="D5" s="576">
        <v>998160</v>
      </c>
      <c r="E5" s="577">
        <v>634233</v>
      </c>
      <c r="F5" s="578">
        <v>0.38852960040872508</v>
      </c>
      <c r="G5" s="576">
        <v>1547393</v>
      </c>
      <c r="H5" s="576">
        <v>749808</v>
      </c>
      <c r="I5" s="576">
        <v>797585</v>
      </c>
      <c r="J5" s="578">
        <v>0.51543790103742226</v>
      </c>
      <c r="K5" s="576">
        <v>0</v>
      </c>
      <c r="L5" s="576">
        <v>18382</v>
      </c>
      <c r="M5" s="576">
        <v>-18382</v>
      </c>
      <c r="N5" s="579" t="s">
        <v>1031</v>
      </c>
      <c r="O5" s="580">
        <v>0</v>
      </c>
      <c r="P5" s="576">
        <v>0</v>
      </c>
      <c r="Q5" s="576">
        <v>0</v>
      </c>
      <c r="R5" s="576">
        <v>0</v>
      </c>
      <c r="S5" s="576">
        <v>18382</v>
      </c>
      <c r="T5" s="576">
        <v>-18382</v>
      </c>
      <c r="U5" s="578" t="e">
        <v>#DIV/0!</v>
      </c>
      <c r="V5" s="581">
        <v>1547393</v>
      </c>
      <c r="W5" s="581">
        <v>768190</v>
      </c>
      <c r="X5" s="581">
        <v>779203</v>
      </c>
      <c r="Y5" s="578">
        <v>0.5035585659234596</v>
      </c>
      <c r="Z5" s="582" t="s">
        <v>1192</v>
      </c>
      <c r="AA5" s="583">
        <v>0</v>
      </c>
      <c r="AB5" s="583">
        <v>0</v>
      </c>
      <c r="AC5" s="583"/>
      <c r="AD5" s="583"/>
      <c r="AN5" s="584"/>
      <c r="AP5" s="585" t="s">
        <v>620</v>
      </c>
      <c r="AQ5" s="586" t="s">
        <v>1032</v>
      </c>
      <c r="AR5" s="587">
        <v>1632393</v>
      </c>
      <c r="AS5" s="588">
        <v>998160</v>
      </c>
      <c r="AT5" s="588">
        <v>634233</v>
      </c>
      <c r="AU5" s="589">
        <v>0.38852960040872508</v>
      </c>
      <c r="AV5" s="585"/>
      <c r="AW5" s="588"/>
      <c r="AX5" s="586">
        <v>0</v>
      </c>
      <c r="AY5" s="587">
        <v>0</v>
      </c>
      <c r="AZ5" s="588">
        <v>0</v>
      </c>
      <c r="BA5" s="586">
        <v>0</v>
      </c>
      <c r="BB5" s="585">
        <v>0</v>
      </c>
      <c r="BC5" s="588">
        <v>0</v>
      </c>
      <c r="BD5" s="586">
        <v>0</v>
      </c>
      <c r="BE5" s="585">
        <v>0</v>
      </c>
      <c r="BF5" s="588">
        <v>18382</v>
      </c>
      <c r="BG5" s="586">
        <v>-18382</v>
      </c>
      <c r="BH5" s="585">
        <v>1547393</v>
      </c>
      <c r="BI5" s="588">
        <v>768190</v>
      </c>
      <c r="BJ5" s="586">
        <v>779203</v>
      </c>
      <c r="BK5" s="590"/>
      <c r="BL5" s="535"/>
      <c r="BM5" s="591">
        <v>85000</v>
      </c>
      <c r="BN5" s="592">
        <v>229970</v>
      </c>
      <c r="BO5" s="592">
        <v>-144970</v>
      </c>
      <c r="BP5" s="593"/>
      <c r="BQ5" s="542"/>
      <c r="BR5" s="594" t="s">
        <v>620</v>
      </c>
      <c r="BS5" s="594" t="s">
        <v>621</v>
      </c>
      <c r="BT5" s="594">
        <v>1632393</v>
      </c>
      <c r="BU5" s="594">
        <v>998160</v>
      </c>
      <c r="BV5" s="594">
        <v>634233</v>
      </c>
      <c r="BW5" s="594">
        <v>1547393</v>
      </c>
      <c r="BX5" s="594">
        <v>749808</v>
      </c>
      <c r="BY5" s="594">
        <v>797585</v>
      </c>
      <c r="BZ5" s="594">
        <v>85000</v>
      </c>
      <c r="CA5" s="594">
        <v>248352</v>
      </c>
      <c r="CB5" s="594">
        <v>-163352</v>
      </c>
    </row>
    <row r="6" spans="1:82" ht="22.35" customHeight="1">
      <c r="A6" s="574" t="s">
        <v>622</v>
      </c>
      <c r="B6" s="575" t="s">
        <v>1033</v>
      </c>
      <c r="C6" s="576">
        <v>24780000</v>
      </c>
      <c r="D6" s="576">
        <v>12131165</v>
      </c>
      <c r="E6" s="577">
        <v>12648835</v>
      </c>
      <c r="F6" s="578">
        <v>0.51044531880548827</v>
      </c>
      <c r="G6" s="576">
        <v>16428000</v>
      </c>
      <c r="H6" s="576">
        <v>9173068</v>
      </c>
      <c r="I6" s="576">
        <v>7254932</v>
      </c>
      <c r="J6" s="578">
        <v>0.44161991721451183</v>
      </c>
      <c r="K6" s="576">
        <v>0</v>
      </c>
      <c r="L6" s="576">
        <v>759483</v>
      </c>
      <c r="M6" s="576">
        <v>-759483</v>
      </c>
      <c r="N6" s="579" t="s">
        <v>1031</v>
      </c>
      <c r="O6" s="580">
        <v>0</v>
      </c>
      <c r="P6" s="576">
        <v>103363</v>
      </c>
      <c r="Q6" s="576">
        <v>-103363</v>
      </c>
      <c r="R6" s="576">
        <v>0</v>
      </c>
      <c r="S6" s="576">
        <v>862846</v>
      </c>
      <c r="T6" s="576">
        <v>-862846</v>
      </c>
      <c r="U6" s="578" t="e">
        <v>#DIV/0!</v>
      </c>
      <c r="V6" s="576">
        <v>16428000</v>
      </c>
      <c r="W6" s="576">
        <v>10035914</v>
      </c>
      <c r="X6" s="595">
        <v>6392086</v>
      </c>
      <c r="Y6" s="578">
        <v>0.38909702946189434</v>
      </c>
      <c r="Z6" s="582" t="s">
        <v>1192</v>
      </c>
      <c r="AA6" s="583">
        <v>0</v>
      </c>
      <c r="AB6" s="583">
        <v>0</v>
      </c>
      <c r="AC6" s="583"/>
      <c r="AD6" s="583"/>
      <c r="AN6" s="584"/>
      <c r="AP6" s="585" t="s">
        <v>622</v>
      </c>
      <c r="AQ6" s="586" t="s">
        <v>1034</v>
      </c>
      <c r="AR6" s="587">
        <v>24780000</v>
      </c>
      <c r="AS6" s="588">
        <v>12131165</v>
      </c>
      <c r="AT6" s="588">
        <v>12648835</v>
      </c>
      <c r="AU6" s="589">
        <v>0.51044531880548827</v>
      </c>
      <c r="AV6" s="585"/>
      <c r="AW6" s="588"/>
      <c r="AX6" s="586">
        <v>0</v>
      </c>
      <c r="AY6" s="596">
        <v>0</v>
      </c>
      <c r="AZ6" s="588">
        <v>0</v>
      </c>
      <c r="BA6" s="586">
        <v>0</v>
      </c>
      <c r="BB6" s="585">
        <v>0</v>
      </c>
      <c r="BC6" s="588">
        <v>103363</v>
      </c>
      <c r="BD6" s="586">
        <v>-103363</v>
      </c>
      <c r="BE6" s="585">
        <v>0</v>
      </c>
      <c r="BF6" s="588">
        <v>862846</v>
      </c>
      <c r="BG6" s="586">
        <v>-862846</v>
      </c>
      <c r="BH6" s="585">
        <v>16428000</v>
      </c>
      <c r="BI6" s="588">
        <v>10035914</v>
      </c>
      <c r="BJ6" s="586">
        <v>6392086</v>
      </c>
      <c r="BK6" s="590"/>
      <c r="BL6" s="535"/>
      <c r="BM6" s="591">
        <v>8352000</v>
      </c>
      <c r="BN6" s="592">
        <v>2095251</v>
      </c>
      <c r="BO6" s="592">
        <v>6256749</v>
      </c>
      <c r="BP6" s="593"/>
      <c r="BQ6" s="542"/>
      <c r="BR6" s="594" t="s">
        <v>622</v>
      </c>
      <c r="BS6" s="594" t="s">
        <v>623</v>
      </c>
      <c r="BT6" s="594">
        <v>24780000</v>
      </c>
      <c r="BU6" s="594">
        <v>12131165</v>
      </c>
      <c r="BV6" s="594">
        <v>12648835</v>
      </c>
      <c r="BW6" s="594">
        <v>16428000</v>
      </c>
      <c r="BX6" s="594">
        <v>9173068</v>
      </c>
      <c r="BY6" s="594">
        <v>7254932</v>
      </c>
      <c r="BZ6" s="594">
        <v>8352000</v>
      </c>
      <c r="CA6" s="594">
        <v>2958097</v>
      </c>
      <c r="CB6" s="594">
        <v>5393903</v>
      </c>
    </row>
    <row r="7" spans="1:82" ht="22.35" customHeight="1">
      <c r="A7" s="574" t="s">
        <v>1035</v>
      </c>
      <c r="B7" s="575" t="s">
        <v>1036</v>
      </c>
      <c r="C7" s="576">
        <v>11380550</v>
      </c>
      <c r="D7" s="576">
        <v>8880550</v>
      </c>
      <c r="E7" s="577">
        <v>2500000</v>
      </c>
      <c r="F7" s="578">
        <v>0.21967303864927443</v>
      </c>
      <c r="G7" s="576">
        <v>6771518</v>
      </c>
      <c r="H7" s="576">
        <v>4287014</v>
      </c>
      <c r="I7" s="576">
        <v>2484504</v>
      </c>
      <c r="J7" s="578">
        <v>0.36690502779435868</v>
      </c>
      <c r="K7" s="576">
        <v>1125000</v>
      </c>
      <c r="L7" s="576">
        <v>508439</v>
      </c>
      <c r="M7" s="576">
        <v>616561</v>
      </c>
      <c r="N7" s="579" t="s">
        <v>1037</v>
      </c>
      <c r="O7" s="580">
        <v>75000</v>
      </c>
      <c r="P7" s="576">
        <v>20388</v>
      </c>
      <c r="Q7" s="576">
        <v>54612</v>
      </c>
      <c r="R7" s="576">
        <v>1200000</v>
      </c>
      <c r="S7" s="576">
        <v>528827</v>
      </c>
      <c r="T7" s="576">
        <v>671173</v>
      </c>
      <c r="U7" s="578">
        <v>0.55931083333333331</v>
      </c>
      <c r="V7" s="576">
        <v>7971518</v>
      </c>
      <c r="W7" s="576">
        <v>4815841</v>
      </c>
      <c r="X7" s="595">
        <v>3155677</v>
      </c>
      <c r="Y7" s="578">
        <v>0.39586901767016019</v>
      </c>
      <c r="Z7" s="582" t="s">
        <v>1192</v>
      </c>
      <c r="AA7" s="583">
        <v>0</v>
      </c>
      <c r="AB7" s="583">
        <v>0</v>
      </c>
      <c r="AC7" s="583"/>
      <c r="AD7" s="583"/>
      <c r="AN7" s="584"/>
      <c r="AP7" s="585" t="s">
        <v>624</v>
      </c>
      <c r="AQ7" s="586" t="s">
        <v>1038</v>
      </c>
      <c r="AR7" s="587">
        <v>11380550</v>
      </c>
      <c r="AS7" s="588">
        <v>8880550</v>
      </c>
      <c r="AT7" s="588">
        <v>2500000</v>
      </c>
      <c r="AU7" s="589">
        <v>0.21967303864927443</v>
      </c>
      <c r="AV7" s="585"/>
      <c r="AW7" s="588"/>
      <c r="AX7" s="586">
        <v>0</v>
      </c>
      <c r="AY7" s="596">
        <v>0</v>
      </c>
      <c r="AZ7" s="588">
        <v>0</v>
      </c>
      <c r="BA7" s="586">
        <v>0</v>
      </c>
      <c r="BB7" s="585">
        <v>75000</v>
      </c>
      <c r="BC7" s="588">
        <v>20388</v>
      </c>
      <c r="BD7" s="586">
        <v>54612</v>
      </c>
      <c r="BE7" s="585">
        <v>1200000</v>
      </c>
      <c r="BF7" s="588">
        <v>528827</v>
      </c>
      <c r="BG7" s="586">
        <v>671173</v>
      </c>
      <c r="BH7" s="585">
        <v>7971518</v>
      </c>
      <c r="BI7" s="588">
        <v>4815841</v>
      </c>
      <c r="BJ7" s="586">
        <v>3155677</v>
      </c>
      <c r="BK7" s="590"/>
      <c r="BL7" s="535"/>
      <c r="BM7" s="591">
        <v>3409032</v>
      </c>
      <c r="BN7" s="592">
        <v>4064709</v>
      </c>
      <c r="BO7" s="592">
        <v>-655677</v>
      </c>
      <c r="BP7" s="593"/>
      <c r="BQ7" s="542"/>
      <c r="BR7" s="594" t="s">
        <v>624</v>
      </c>
      <c r="BS7" s="594" t="s">
        <v>1039</v>
      </c>
      <c r="BT7" s="594">
        <v>11380550</v>
      </c>
      <c r="BU7" s="594">
        <v>8880550</v>
      </c>
      <c r="BV7" s="594">
        <v>2500000</v>
      </c>
      <c r="BW7" s="594">
        <v>6771518</v>
      </c>
      <c r="BX7" s="594">
        <v>4287014</v>
      </c>
      <c r="BY7" s="594">
        <v>2484504</v>
      </c>
      <c r="BZ7" s="594">
        <v>4609032</v>
      </c>
      <c r="CA7" s="594">
        <v>4593536</v>
      </c>
      <c r="CB7" s="594">
        <v>15496</v>
      </c>
    </row>
    <row r="8" spans="1:82" ht="22.35" customHeight="1">
      <c r="A8" s="574" t="s">
        <v>1040</v>
      </c>
      <c r="B8" s="575" t="s">
        <v>1041</v>
      </c>
      <c r="C8" s="576">
        <v>1950000</v>
      </c>
      <c r="D8" s="576">
        <v>1350000</v>
      </c>
      <c r="E8" s="577">
        <v>600000</v>
      </c>
      <c r="F8" s="578">
        <v>0.30769230769230771</v>
      </c>
      <c r="G8" s="576">
        <v>1950000</v>
      </c>
      <c r="H8" s="576">
        <v>1242342</v>
      </c>
      <c r="I8" s="576">
        <v>707658</v>
      </c>
      <c r="J8" s="578">
        <v>0.36290153846153844</v>
      </c>
      <c r="K8" s="576">
        <v>0</v>
      </c>
      <c r="L8" s="576">
        <v>16575</v>
      </c>
      <c r="M8" s="576">
        <v>-16575</v>
      </c>
      <c r="N8" s="579" t="s">
        <v>1037</v>
      </c>
      <c r="O8" s="580">
        <v>0</v>
      </c>
      <c r="P8" s="576">
        <v>0</v>
      </c>
      <c r="Q8" s="576">
        <v>0</v>
      </c>
      <c r="R8" s="576">
        <v>0</v>
      </c>
      <c r="S8" s="576">
        <v>16575</v>
      </c>
      <c r="T8" s="576">
        <v>-16575</v>
      </c>
      <c r="U8" s="578"/>
      <c r="V8" s="576">
        <v>1950000</v>
      </c>
      <c r="W8" s="576">
        <v>1258917</v>
      </c>
      <c r="X8" s="595">
        <v>691083</v>
      </c>
      <c r="Y8" s="578">
        <v>0.35440153846153843</v>
      </c>
      <c r="Z8" s="582" t="s">
        <v>1192</v>
      </c>
      <c r="AA8" s="583">
        <v>0</v>
      </c>
      <c r="AB8" s="583">
        <v>0</v>
      </c>
      <c r="AC8" s="583"/>
      <c r="AD8" s="583"/>
      <c r="AN8" s="584"/>
      <c r="AP8" s="585" t="s">
        <v>626</v>
      </c>
      <c r="AQ8" s="586" t="s">
        <v>1042</v>
      </c>
      <c r="AR8" s="587">
        <v>1950000</v>
      </c>
      <c r="AS8" s="588">
        <v>1350000</v>
      </c>
      <c r="AT8" s="588">
        <v>600000</v>
      </c>
      <c r="AU8" s="589">
        <v>0.30769230769230771</v>
      </c>
      <c r="AV8" s="585"/>
      <c r="AW8" s="588"/>
      <c r="AX8" s="586">
        <v>0</v>
      </c>
      <c r="AY8" s="596">
        <v>0</v>
      </c>
      <c r="AZ8" s="588">
        <v>0</v>
      </c>
      <c r="BA8" s="586">
        <v>0</v>
      </c>
      <c r="BB8" s="585">
        <v>0</v>
      </c>
      <c r="BC8" s="588">
        <v>0</v>
      </c>
      <c r="BD8" s="586">
        <v>0</v>
      </c>
      <c r="BE8" s="585">
        <v>0</v>
      </c>
      <c r="BF8" s="588">
        <v>16575</v>
      </c>
      <c r="BG8" s="586">
        <v>-16575</v>
      </c>
      <c r="BH8" s="585">
        <v>1950000</v>
      </c>
      <c r="BI8" s="588">
        <v>1258917</v>
      </c>
      <c r="BJ8" s="586">
        <v>691083</v>
      </c>
      <c r="BK8" s="590"/>
      <c r="BL8" s="535"/>
      <c r="BM8" s="591">
        <v>0</v>
      </c>
      <c r="BN8" s="592">
        <v>91083</v>
      </c>
      <c r="BO8" s="592">
        <v>-91083</v>
      </c>
      <c r="BP8" s="593"/>
      <c r="BQ8" s="542"/>
      <c r="BR8" s="594" t="s">
        <v>626</v>
      </c>
      <c r="BS8" s="594" t="s">
        <v>627</v>
      </c>
      <c r="BT8" s="594">
        <v>1950000</v>
      </c>
      <c r="BU8" s="594">
        <v>1350000</v>
      </c>
      <c r="BV8" s="594">
        <v>600000</v>
      </c>
      <c r="BW8" s="594">
        <v>1950000</v>
      </c>
      <c r="BX8" s="594">
        <v>1242342</v>
      </c>
      <c r="BY8" s="594">
        <v>707658</v>
      </c>
      <c r="BZ8" s="594">
        <v>0</v>
      </c>
      <c r="CA8" s="594">
        <v>107658</v>
      </c>
      <c r="CB8" s="594">
        <v>-107658</v>
      </c>
    </row>
    <row r="9" spans="1:82" ht="22.35" customHeight="1">
      <c r="A9" s="574" t="s">
        <v>1043</v>
      </c>
      <c r="B9" s="575" t="s">
        <v>1044</v>
      </c>
      <c r="C9" s="576">
        <v>18000000</v>
      </c>
      <c r="D9" s="576">
        <v>14322000</v>
      </c>
      <c r="E9" s="577">
        <v>3678000</v>
      </c>
      <c r="F9" s="578">
        <v>0.20433333333333334</v>
      </c>
      <c r="G9" s="576">
        <v>10350000</v>
      </c>
      <c r="H9" s="576">
        <v>7388807</v>
      </c>
      <c r="I9" s="576">
        <v>2961193</v>
      </c>
      <c r="J9" s="578">
        <v>0.28610560386473433</v>
      </c>
      <c r="K9" s="576">
        <v>1161000</v>
      </c>
      <c r="L9" s="576">
        <v>465257</v>
      </c>
      <c r="M9" s="576">
        <v>695743</v>
      </c>
      <c r="N9" s="579" t="s">
        <v>1037</v>
      </c>
      <c r="O9" s="580">
        <v>30000</v>
      </c>
      <c r="P9" s="576">
        <v>80501</v>
      </c>
      <c r="Q9" s="576">
        <v>-50501</v>
      </c>
      <c r="R9" s="576">
        <v>1191000</v>
      </c>
      <c r="S9" s="576">
        <v>545758</v>
      </c>
      <c r="T9" s="576">
        <v>645242</v>
      </c>
      <c r="U9" s="578">
        <v>0.54176490344248529</v>
      </c>
      <c r="V9" s="576">
        <v>11541000</v>
      </c>
      <c r="W9" s="576">
        <v>7934565</v>
      </c>
      <c r="X9" s="595">
        <v>3606435</v>
      </c>
      <c r="Y9" s="578">
        <v>0.31248895243046532</v>
      </c>
      <c r="Z9" s="582" t="s">
        <v>1192</v>
      </c>
      <c r="AA9" s="583">
        <v>0</v>
      </c>
      <c r="AB9" s="583">
        <v>0</v>
      </c>
      <c r="AC9" s="583"/>
      <c r="AD9" s="583"/>
      <c r="AN9" s="584"/>
      <c r="AP9" s="585" t="s">
        <v>628</v>
      </c>
      <c r="AQ9" s="586" t="s">
        <v>1045</v>
      </c>
      <c r="AR9" s="587">
        <v>18000000</v>
      </c>
      <c r="AS9" s="588">
        <v>14322000</v>
      </c>
      <c r="AT9" s="588">
        <v>3678000</v>
      </c>
      <c r="AU9" s="589">
        <v>0.20433333333333334</v>
      </c>
      <c r="AV9" s="585"/>
      <c r="AW9" s="588"/>
      <c r="AX9" s="586">
        <v>0</v>
      </c>
      <c r="AY9" s="596">
        <v>0</v>
      </c>
      <c r="AZ9" s="588">
        <v>0</v>
      </c>
      <c r="BA9" s="586">
        <v>0</v>
      </c>
      <c r="BB9" s="585">
        <v>30000</v>
      </c>
      <c r="BC9" s="588">
        <v>80501</v>
      </c>
      <c r="BD9" s="586">
        <v>-50501</v>
      </c>
      <c r="BE9" s="585">
        <v>1191000</v>
      </c>
      <c r="BF9" s="588">
        <v>545758</v>
      </c>
      <c r="BG9" s="586">
        <v>645242</v>
      </c>
      <c r="BH9" s="585">
        <v>11541000</v>
      </c>
      <c r="BI9" s="588">
        <v>7934565</v>
      </c>
      <c r="BJ9" s="586">
        <v>3606435</v>
      </c>
      <c r="BK9" s="590"/>
      <c r="BL9" s="535"/>
      <c r="BM9" s="591">
        <v>6459000</v>
      </c>
      <c r="BN9" s="592">
        <v>6387435</v>
      </c>
      <c r="BO9" s="592">
        <v>71565</v>
      </c>
      <c r="BP9" s="593"/>
      <c r="BQ9" s="542"/>
      <c r="BR9" s="597" t="s">
        <v>628</v>
      </c>
      <c r="BS9" s="598" t="s">
        <v>1046</v>
      </c>
      <c r="BT9" s="594">
        <v>18000000</v>
      </c>
      <c r="BU9" s="594">
        <v>14322000</v>
      </c>
      <c r="BV9" s="594">
        <v>3678000</v>
      </c>
      <c r="BW9" s="594">
        <v>10350000</v>
      </c>
      <c r="BX9" s="594">
        <v>7388807</v>
      </c>
      <c r="BY9" s="594">
        <v>2961193</v>
      </c>
      <c r="BZ9" s="594">
        <v>7650000</v>
      </c>
      <c r="CA9" s="594">
        <v>6933193</v>
      </c>
      <c r="CB9" s="594">
        <v>716807</v>
      </c>
    </row>
    <row r="10" spans="1:82" ht="22.35" customHeight="1">
      <c r="A10" s="574" t="s">
        <v>1047</v>
      </c>
      <c r="B10" s="575" t="s">
        <v>1048</v>
      </c>
      <c r="C10" s="576">
        <v>4380000</v>
      </c>
      <c r="D10" s="576">
        <v>5129590</v>
      </c>
      <c r="E10" s="577">
        <v>-749590</v>
      </c>
      <c r="F10" s="578">
        <v>-0.17113926940639271</v>
      </c>
      <c r="G10" s="576">
        <v>3615000</v>
      </c>
      <c r="H10" s="576">
        <v>2704224</v>
      </c>
      <c r="I10" s="576">
        <v>910776</v>
      </c>
      <c r="J10" s="578">
        <v>0.25194356846473032</v>
      </c>
      <c r="K10" s="576">
        <v>0</v>
      </c>
      <c r="L10" s="576">
        <v>228295</v>
      </c>
      <c r="M10" s="576">
        <v>-228295</v>
      </c>
      <c r="N10" s="579" t="s">
        <v>1037</v>
      </c>
      <c r="O10" s="580">
        <v>0</v>
      </c>
      <c r="P10" s="576">
        <v>9420</v>
      </c>
      <c r="Q10" s="576">
        <v>-9420</v>
      </c>
      <c r="R10" s="576">
        <v>0</v>
      </c>
      <c r="S10" s="576">
        <v>237715</v>
      </c>
      <c r="T10" s="576">
        <v>-237715</v>
      </c>
      <c r="U10" s="578" t="e">
        <v>#DIV/0!</v>
      </c>
      <c r="V10" s="576">
        <v>3615000</v>
      </c>
      <c r="W10" s="576">
        <v>2941939</v>
      </c>
      <c r="X10" s="595">
        <v>673061</v>
      </c>
      <c r="Y10" s="578">
        <v>0.18618561549100968</v>
      </c>
      <c r="Z10" s="582" t="s">
        <v>1192</v>
      </c>
      <c r="AA10" s="583">
        <v>0</v>
      </c>
      <c r="AB10" s="583">
        <v>0</v>
      </c>
      <c r="AC10" s="583"/>
      <c r="AD10" s="583"/>
      <c r="AN10" s="584"/>
      <c r="AP10" s="585" t="s">
        <v>631</v>
      </c>
      <c r="AQ10" s="586" t="s">
        <v>1049</v>
      </c>
      <c r="AR10" s="587">
        <v>4380000</v>
      </c>
      <c r="AS10" s="588">
        <v>5129590</v>
      </c>
      <c r="AT10" s="588">
        <v>-749590</v>
      </c>
      <c r="AU10" s="589">
        <v>-0.17113926940639271</v>
      </c>
      <c r="AV10" s="585"/>
      <c r="AW10" s="588"/>
      <c r="AX10" s="586">
        <v>0</v>
      </c>
      <c r="AY10" s="596">
        <v>0</v>
      </c>
      <c r="AZ10" s="588">
        <v>0</v>
      </c>
      <c r="BA10" s="586">
        <v>0</v>
      </c>
      <c r="BB10" s="585">
        <v>0</v>
      </c>
      <c r="BC10" s="588">
        <v>9420</v>
      </c>
      <c r="BD10" s="586">
        <v>-9420</v>
      </c>
      <c r="BE10" s="585">
        <v>0</v>
      </c>
      <c r="BF10" s="588">
        <v>237715</v>
      </c>
      <c r="BG10" s="586">
        <v>-237715</v>
      </c>
      <c r="BH10" s="585">
        <v>3615000</v>
      </c>
      <c r="BI10" s="588">
        <v>2941939</v>
      </c>
      <c r="BJ10" s="586">
        <v>673061</v>
      </c>
      <c r="BK10" s="590"/>
      <c r="BL10" s="535"/>
      <c r="BM10" s="591">
        <v>765000</v>
      </c>
      <c r="BN10" s="592">
        <v>2187651</v>
      </c>
      <c r="BO10" s="592">
        <v>-1422651</v>
      </c>
      <c r="BP10" s="593"/>
      <c r="BQ10" s="542"/>
      <c r="BR10" s="597" t="s">
        <v>631</v>
      </c>
      <c r="BS10" s="598" t="s">
        <v>1050</v>
      </c>
      <c r="BT10" s="594">
        <v>4380000</v>
      </c>
      <c r="BU10" s="594">
        <v>5129590</v>
      </c>
      <c r="BV10" s="594">
        <v>-749590</v>
      </c>
      <c r="BW10" s="594">
        <v>3615000</v>
      </c>
      <c r="BX10" s="594">
        <v>2705335</v>
      </c>
      <c r="BY10" s="594">
        <v>909665</v>
      </c>
      <c r="BZ10" s="594">
        <v>765000</v>
      </c>
      <c r="CA10" s="594">
        <v>2424255</v>
      </c>
      <c r="CB10" s="594">
        <v>-1659255</v>
      </c>
    </row>
    <row r="11" spans="1:82" s="610" customFormat="1" ht="22.35" customHeight="1">
      <c r="A11" s="599" t="s">
        <v>1051</v>
      </c>
      <c r="B11" s="600" t="s">
        <v>1052</v>
      </c>
      <c r="C11" s="601">
        <v>3525000</v>
      </c>
      <c r="D11" s="601">
        <v>2619762</v>
      </c>
      <c r="E11" s="601">
        <v>905238</v>
      </c>
      <c r="F11" s="602">
        <v>0.25680510638297871</v>
      </c>
      <c r="G11" s="603">
        <v>0</v>
      </c>
      <c r="H11" s="603">
        <v>493498</v>
      </c>
      <c r="I11" s="603">
        <v>-493498</v>
      </c>
      <c r="J11" s="602"/>
      <c r="K11" s="576">
        <v>0</v>
      </c>
      <c r="L11" s="576">
        <v>91723</v>
      </c>
      <c r="M11" s="576">
        <v>-91723</v>
      </c>
      <c r="N11" s="604" t="s">
        <v>1053</v>
      </c>
      <c r="O11" s="605">
        <v>0</v>
      </c>
      <c r="P11" s="603">
        <v>4567</v>
      </c>
      <c r="Q11" s="603">
        <v>-4567</v>
      </c>
      <c r="R11" s="603">
        <v>0</v>
      </c>
      <c r="S11" s="606">
        <v>96290</v>
      </c>
      <c r="T11" s="606">
        <v>-96290</v>
      </c>
      <c r="U11" s="602"/>
      <c r="V11" s="603">
        <v>0</v>
      </c>
      <c r="W11" s="603">
        <v>589788</v>
      </c>
      <c r="X11" s="607">
        <v>-589788</v>
      </c>
      <c r="Y11" s="602" t="e">
        <v>#DIV/0!</v>
      </c>
      <c r="Z11" s="608" t="s">
        <v>1192</v>
      </c>
      <c r="AA11" s="609">
        <v>0</v>
      </c>
      <c r="AB11" s="609">
        <v>0</v>
      </c>
      <c r="AC11" s="609"/>
      <c r="AD11" s="609"/>
      <c r="AH11" s="611"/>
      <c r="AI11" s="611"/>
      <c r="AJ11" s="611"/>
      <c r="AK11" s="612"/>
      <c r="AL11" s="612"/>
      <c r="AM11" s="611"/>
      <c r="AO11" s="612"/>
      <c r="AP11" s="613" t="s">
        <v>633</v>
      </c>
      <c r="AQ11" s="614" t="s">
        <v>1054</v>
      </c>
      <c r="AR11" s="615">
        <v>3525000</v>
      </c>
      <c r="AS11" s="616">
        <v>2619762</v>
      </c>
      <c r="AT11" s="616">
        <v>905238</v>
      </c>
      <c r="AU11" s="617">
        <v>0.25680510638297871</v>
      </c>
      <c r="AV11" s="615"/>
      <c r="AW11" s="616"/>
      <c r="AX11" s="614">
        <v>0</v>
      </c>
      <c r="AY11" s="618">
        <v>0</v>
      </c>
      <c r="AZ11" s="616">
        <v>0</v>
      </c>
      <c r="BA11" s="614">
        <v>0</v>
      </c>
      <c r="BB11" s="613">
        <v>0</v>
      </c>
      <c r="BC11" s="616">
        <v>4567</v>
      </c>
      <c r="BD11" s="614">
        <v>-4567</v>
      </c>
      <c r="BE11" s="613">
        <v>0</v>
      </c>
      <c r="BF11" s="616">
        <v>96290</v>
      </c>
      <c r="BG11" s="614">
        <v>-96290</v>
      </c>
      <c r="BH11" s="613">
        <v>0</v>
      </c>
      <c r="BI11" s="616">
        <v>589788</v>
      </c>
      <c r="BJ11" s="614">
        <v>-589788</v>
      </c>
      <c r="BK11" s="619"/>
      <c r="BL11" s="620"/>
      <c r="BM11" s="621">
        <v>3525000</v>
      </c>
      <c r="BN11" s="622">
        <v>2029974</v>
      </c>
      <c r="BO11" s="622">
        <v>1495026</v>
      </c>
      <c r="BP11" s="623" t="s">
        <v>1055</v>
      </c>
      <c r="BQ11" s="624"/>
      <c r="BR11" s="625" t="s">
        <v>633</v>
      </c>
      <c r="BS11" s="626" t="s">
        <v>1056</v>
      </c>
      <c r="BT11" s="627">
        <v>3525000</v>
      </c>
      <c r="BU11" s="627">
        <v>2619762</v>
      </c>
      <c r="BV11" s="627">
        <v>905238</v>
      </c>
      <c r="BW11" s="627">
        <v>0</v>
      </c>
      <c r="BX11" s="627">
        <v>492387</v>
      </c>
      <c r="BY11" s="627">
        <v>-492387</v>
      </c>
      <c r="BZ11" s="627">
        <v>3525000</v>
      </c>
      <c r="CA11" s="627">
        <v>2127375</v>
      </c>
      <c r="CB11" s="627">
        <v>1397625</v>
      </c>
      <c r="CC11" s="611"/>
    </row>
    <row r="12" spans="1:82" s="610" customFormat="1" ht="22.35" customHeight="1">
      <c r="A12" s="574" t="s">
        <v>1057</v>
      </c>
      <c r="B12" s="574" t="s">
        <v>1058</v>
      </c>
      <c r="C12" s="576">
        <v>7800000</v>
      </c>
      <c r="D12" s="576">
        <v>5637208</v>
      </c>
      <c r="E12" s="577">
        <v>2162792</v>
      </c>
      <c r="F12" s="578">
        <v>0.27728102564102564</v>
      </c>
      <c r="G12" s="576">
        <v>4185000</v>
      </c>
      <c r="H12" s="576">
        <v>3329499</v>
      </c>
      <c r="I12" s="576">
        <v>855501</v>
      </c>
      <c r="J12" s="578">
        <v>0.20442078853046594</v>
      </c>
      <c r="K12" s="576">
        <v>1120000</v>
      </c>
      <c r="L12" s="576">
        <v>946255</v>
      </c>
      <c r="M12" s="576">
        <v>173745</v>
      </c>
      <c r="N12" s="579" t="s">
        <v>1037</v>
      </c>
      <c r="O12" s="580">
        <v>160000</v>
      </c>
      <c r="P12" s="576">
        <v>125158</v>
      </c>
      <c r="Q12" s="576">
        <v>34842</v>
      </c>
      <c r="R12" s="576">
        <v>1280000</v>
      </c>
      <c r="S12" s="576">
        <v>1071413</v>
      </c>
      <c r="T12" s="576">
        <v>208587</v>
      </c>
      <c r="U12" s="578">
        <v>0.16295859374999999</v>
      </c>
      <c r="V12" s="576">
        <v>5465000</v>
      </c>
      <c r="W12" s="576">
        <v>4400912</v>
      </c>
      <c r="X12" s="595">
        <v>1064088</v>
      </c>
      <c r="Y12" s="578">
        <v>0.19470960658737421</v>
      </c>
      <c r="Z12" s="582" t="s">
        <v>1192</v>
      </c>
      <c r="AA12" s="583">
        <v>0</v>
      </c>
      <c r="AB12" s="583">
        <v>0</v>
      </c>
      <c r="AC12" s="583"/>
      <c r="AD12" s="583"/>
      <c r="AH12" s="532"/>
      <c r="AI12" s="532"/>
      <c r="AJ12" s="532"/>
      <c r="AK12" s="533"/>
      <c r="AL12" s="533"/>
      <c r="AM12" s="532"/>
      <c r="AN12" s="529"/>
      <c r="AO12" s="533"/>
      <c r="AP12" s="585" t="s">
        <v>634</v>
      </c>
      <c r="AQ12" s="586" t="s">
        <v>1059</v>
      </c>
      <c r="AR12" s="587">
        <v>7800000</v>
      </c>
      <c r="AS12" s="588">
        <v>5637208</v>
      </c>
      <c r="AT12" s="588">
        <v>2162792</v>
      </c>
      <c r="AU12" s="589">
        <v>0.27728102564102564</v>
      </c>
      <c r="AV12" s="585"/>
      <c r="AW12" s="588"/>
      <c r="AX12" s="586">
        <v>0</v>
      </c>
      <c r="AY12" s="596">
        <v>0</v>
      </c>
      <c r="AZ12" s="588">
        <v>0</v>
      </c>
      <c r="BA12" s="586">
        <v>0</v>
      </c>
      <c r="BB12" s="585">
        <v>160000</v>
      </c>
      <c r="BC12" s="588">
        <v>125158</v>
      </c>
      <c r="BD12" s="586">
        <v>34842</v>
      </c>
      <c r="BE12" s="585">
        <v>1280000</v>
      </c>
      <c r="BF12" s="588">
        <v>1071413</v>
      </c>
      <c r="BG12" s="586">
        <v>208587</v>
      </c>
      <c r="BH12" s="585">
        <v>5465000</v>
      </c>
      <c r="BI12" s="588">
        <v>4400912</v>
      </c>
      <c r="BJ12" s="586">
        <v>1064088</v>
      </c>
      <c r="BK12" s="590"/>
      <c r="BL12" s="535"/>
      <c r="BM12" s="591">
        <v>2335000</v>
      </c>
      <c r="BN12" s="592">
        <v>1236296</v>
      </c>
      <c r="BO12" s="592">
        <v>1098704</v>
      </c>
      <c r="BP12" s="593"/>
      <c r="BQ12" s="542"/>
      <c r="BR12" s="597" t="s">
        <v>634</v>
      </c>
      <c r="BS12" s="597" t="s">
        <v>1060</v>
      </c>
      <c r="BT12" s="594">
        <v>7800000</v>
      </c>
      <c r="BU12" s="594">
        <v>5637208</v>
      </c>
      <c r="BV12" s="594">
        <v>2162792</v>
      </c>
      <c r="BW12" s="594">
        <v>4185000</v>
      </c>
      <c r="BX12" s="594">
        <v>3329499</v>
      </c>
      <c r="BY12" s="594">
        <v>855501</v>
      </c>
      <c r="BZ12" s="594">
        <v>3615000</v>
      </c>
      <c r="CA12" s="594">
        <v>2307709</v>
      </c>
      <c r="CB12" s="594">
        <v>1307291</v>
      </c>
      <c r="CC12" s="611"/>
    </row>
    <row r="13" spans="1:82" s="610" customFormat="1" ht="22.35" customHeight="1">
      <c r="A13" s="574" t="s">
        <v>1061</v>
      </c>
      <c r="B13" s="574" t="s">
        <v>1062</v>
      </c>
      <c r="C13" s="576">
        <v>40013400</v>
      </c>
      <c r="D13" s="576">
        <v>27131618</v>
      </c>
      <c r="E13" s="577">
        <v>12881782</v>
      </c>
      <c r="F13" s="578">
        <v>0.32193670120509627</v>
      </c>
      <c r="G13" s="576">
        <v>6018000</v>
      </c>
      <c r="H13" s="576">
        <v>1531375</v>
      </c>
      <c r="I13" s="576">
        <v>4486625</v>
      </c>
      <c r="J13" s="578">
        <v>0.74553423064140911</v>
      </c>
      <c r="K13" s="576">
        <v>850000</v>
      </c>
      <c r="L13" s="576">
        <v>520320</v>
      </c>
      <c r="M13" s="576">
        <v>329680</v>
      </c>
      <c r="N13" s="579" t="s">
        <v>1037</v>
      </c>
      <c r="O13" s="580">
        <v>0</v>
      </c>
      <c r="P13" s="576">
        <v>133510</v>
      </c>
      <c r="Q13" s="576">
        <v>-133510</v>
      </c>
      <c r="R13" s="576">
        <v>850000</v>
      </c>
      <c r="S13" s="576">
        <v>653830</v>
      </c>
      <c r="T13" s="576">
        <v>196170</v>
      </c>
      <c r="U13" s="578">
        <v>0.23078823529411766</v>
      </c>
      <c r="V13" s="576">
        <v>6868000</v>
      </c>
      <c r="W13" s="576">
        <v>2185205</v>
      </c>
      <c r="X13" s="595">
        <v>4682795</v>
      </c>
      <c r="Y13" s="578">
        <v>0.68182804309842748</v>
      </c>
      <c r="Z13" s="582" t="s">
        <v>1192</v>
      </c>
      <c r="AA13" s="583">
        <v>0</v>
      </c>
      <c r="AB13" s="583">
        <v>0</v>
      </c>
      <c r="AC13" s="583"/>
      <c r="AD13" s="583"/>
      <c r="AH13" s="532"/>
      <c r="AI13" s="532"/>
      <c r="AJ13" s="532"/>
      <c r="AK13" s="533"/>
      <c r="AL13" s="533"/>
      <c r="AM13" s="532"/>
      <c r="AN13" s="529"/>
      <c r="AO13" s="533"/>
      <c r="AP13" s="585" t="s">
        <v>636</v>
      </c>
      <c r="AQ13" s="586" t="s">
        <v>1063</v>
      </c>
      <c r="AR13" s="587">
        <v>40013400</v>
      </c>
      <c r="AS13" s="588">
        <v>27131618</v>
      </c>
      <c r="AT13" s="588">
        <v>12881782</v>
      </c>
      <c r="AU13" s="589">
        <v>0.32193670120509627</v>
      </c>
      <c r="AV13" s="585"/>
      <c r="AW13" s="588"/>
      <c r="AX13" s="586">
        <v>0</v>
      </c>
      <c r="AY13" s="596">
        <v>0</v>
      </c>
      <c r="AZ13" s="588">
        <v>0</v>
      </c>
      <c r="BA13" s="586">
        <v>0</v>
      </c>
      <c r="BB13" s="585">
        <v>0</v>
      </c>
      <c r="BC13" s="588">
        <v>133510</v>
      </c>
      <c r="BD13" s="586">
        <v>-133510</v>
      </c>
      <c r="BE13" s="585">
        <v>850000</v>
      </c>
      <c r="BF13" s="588">
        <v>653830</v>
      </c>
      <c r="BG13" s="586">
        <v>196170</v>
      </c>
      <c r="BH13" s="585">
        <v>6868000</v>
      </c>
      <c r="BI13" s="588">
        <v>2185205</v>
      </c>
      <c r="BJ13" s="586">
        <v>4682795</v>
      </c>
      <c r="BK13" s="590"/>
      <c r="BL13" s="535"/>
      <c r="BM13" s="591">
        <v>33145400</v>
      </c>
      <c r="BN13" s="592">
        <v>24946413</v>
      </c>
      <c r="BO13" s="592">
        <v>8198987</v>
      </c>
      <c r="BP13" s="593"/>
      <c r="BQ13" s="542"/>
      <c r="BR13" s="597" t="s">
        <v>636</v>
      </c>
      <c r="BS13" s="597" t="s">
        <v>1064</v>
      </c>
      <c r="BT13" s="594">
        <v>40013400</v>
      </c>
      <c r="BU13" s="594">
        <v>27131618</v>
      </c>
      <c r="BV13" s="594">
        <v>12881782</v>
      </c>
      <c r="BW13" s="594">
        <v>6018000</v>
      </c>
      <c r="BX13" s="594">
        <v>1531375</v>
      </c>
      <c r="BY13" s="594">
        <v>4486625</v>
      </c>
      <c r="BZ13" s="594">
        <v>33995400</v>
      </c>
      <c r="CA13" s="594">
        <v>25600243</v>
      </c>
      <c r="CB13" s="594">
        <v>8395157</v>
      </c>
      <c r="CC13" s="611"/>
    </row>
    <row r="14" spans="1:82" ht="22.35" customHeight="1">
      <c r="A14" s="574" t="s">
        <v>1065</v>
      </c>
      <c r="B14" s="574" t="s">
        <v>1066</v>
      </c>
      <c r="C14" s="576">
        <v>49477750</v>
      </c>
      <c r="D14" s="576">
        <v>34006210</v>
      </c>
      <c r="E14" s="577">
        <v>15471540</v>
      </c>
      <c r="F14" s="578">
        <v>0.31269691932232163</v>
      </c>
      <c r="G14" s="576">
        <v>1486250</v>
      </c>
      <c r="H14" s="576">
        <v>695517</v>
      </c>
      <c r="I14" s="576">
        <v>790733</v>
      </c>
      <c r="J14" s="578">
        <v>0.53203229604709845</v>
      </c>
      <c r="K14" s="576">
        <v>1242500</v>
      </c>
      <c r="L14" s="576">
        <v>1192646</v>
      </c>
      <c r="M14" s="576">
        <v>49854</v>
      </c>
      <c r="N14" s="579" t="s">
        <v>1037</v>
      </c>
      <c r="O14" s="580">
        <v>160000</v>
      </c>
      <c r="P14" s="576">
        <v>377705</v>
      </c>
      <c r="Q14" s="576">
        <v>-217705</v>
      </c>
      <c r="R14" s="576">
        <v>1402500</v>
      </c>
      <c r="S14" s="576">
        <v>1570351</v>
      </c>
      <c r="T14" s="576">
        <v>-167851</v>
      </c>
      <c r="U14" s="578">
        <v>-0.11967985739750446</v>
      </c>
      <c r="V14" s="576">
        <v>2888750</v>
      </c>
      <c r="W14" s="576">
        <v>2265868</v>
      </c>
      <c r="X14" s="595">
        <v>622882</v>
      </c>
      <c r="Y14" s="578">
        <v>0.2156233665080052</v>
      </c>
      <c r="Z14" s="582" t="s">
        <v>1192</v>
      </c>
      <c r="AA14" s="583">
        <v>0</v>
      </c>
      <c r="AB14" s="583">
        <v>0</v>
      </c>
      <c r="AC14" s="583"/>
      <c r="AD14" s="583"/>
      <c r="AN14" s="529"/>
      <c r="AP14" s="585" t="s">
        <v>638</v>
      </c>
      <c r="AQ14" s="586" t="s">
        <v>1067</v>
      </c>
      <c r="AR14" s="587">
        <v>49477750</v>
      </c>
      <c r="AS14" s="588">
        <v>34006210</v>
      </c>
      <c r="AT14" s="588">
        <v>15471540</v>
      </c>
      <c r="AU14" s="589">
        <v>0.31269691932232163</v>
      </c>
      <c r="AV14" s="585"/>
      <c r="AW14" s="588"/>
      <c r="AX14" s="586">
        <v>0</v>
      </c>
      <c r="AY14" s="596">
        <v>0</v>
      </c>
      <c r="AZ14" s="588">
        <v>0</v>
      </c>
      <c r="BA14" s="586">
        <v>0</v>
      </c>
      <c r="BB14" s="585">
        <v>160000</v>
      </c>
      <c r="BC14" s="588">
        <v>377705</v>
      </c>
      <c r="BD14" s="586">
        <v>-217705</v>
      </c>
      <c r="BE14" s="585">
        <v>1402500</v>
      </c>
      <c r="BF14" s="588">
        <v>1570351</v>
      </c>
      <c r="BG14" s="586">
        <v>-167851</v>
      </c>
      <c r="BH14" s="585">
        <v>2888750</v>
      </c>
      <c r="BI14" s="588">
        <v>2265868</v>
      </c>
      <c r="BJ14" s="586">
        <v>622882</v>
      </c>
      <c r="BK14" s="590"/>
      <c r="BL14" s="535"/>
      <c r="BM14" s="591">
        <v>46589000</v>
      </c>
      <c r="BN14" s="592">
        <v>31740342</v>
      </c>
      <c r="BO14" s="592">
        <v>14848658</v>
      </c>
      <c r="BP14" s="593"/>
      <c r="BQ14" s="542"/>
      <c r="BR14" s="597" t="s">
        <v>638</v>
      </c>
      <c r="BS14" s="597" t="s">
        <v>1068</v>
      </c>
      <c r="BT14" s="594">
        <v>49477750</v>
      </c>
      <c r="BU14" s="594">
        <v>34006210</v>
      </c>
      <c r="BV14" s="594">
        <v>15471540</v>
      </c>
      <c r="BW14" s="594">
        <v>1486250</v>
      </c>
      <c r="BX14" s="594">
        <v>695517</v>
      </c>
      <c r="BY14" s="594">
        <v>790733</v>
      </c>
      <c r="BZ14" s="594">
        <v>47991500</v>
      </c>
      <c r="CA14" s="594">
        <v>33310693</v>
      </c>
      <c r="CB14" s="594">
        <v>14680807</v>
      </c>
    </row>
    <row r="15" spans="1:82" s="610" customFormat="1" ht="22.35" customHeight="1">
      <c r="A15" s="599" t="s">
        <v>1069</v>
      </c>
      <c r="B15" s="599" t="s">
        <v>1070</v>
      </c>
      <c r="C15" s="603">
        <v>5000000</v>
      </c>
      <c r="D15" s="603">
        <v>3337003</v>
      </c>
      <c r="E15" s="601">
        <v>1662997</v>
      </c>
      <c r="F15" s="602">
        <v>0.33259939999999999</v>
      </c>
      <c r="G15" s="603">
        <v>3200000</v>
      </c>
      <c r="H15" s="603">
        <v>1085615</v>
      </c>
      <c r="I15" s="603">
        <v>2134589</v>
      </c>
      <c r="J15" s="602">
        <v>0.66705906250000002</v>
      </c>
      <c r="K15" s="576">
        <v>800000</v>
      </c>
      <c r="L15" s="576">
        <v>562145</v>
      </c>
      <c r="M15" s="576">
        <v>237855</v>
      </c>
      <c r="N15" s="604" t="s">
        <v>1053</v>
      </c>
      <c r="O15" s="605">
        <v>0</v>
      </c>
      <c r="P15" s="603">
        <v>59881</v>
      </c>
      <c r="Q15" s="603">
        <v>-59881</v>
      </c>
      <c r="R15" s="603">
        <v>800000</v>
      </c>
      <c r="S15" s="603">
        <v>622026</v>
      </c>
      <c r="T15" s="603">
        <v>177974</v>
      </c>
      <c r="U15" s="602">
        <v>0.22246750000000001</v>
      </c>
      <c r="V15" s="603">
        <v>4000000</v>
      </c>
      <c r="W15" s="603">
        <v>1707641</v>
      </c>
      <c r="X15" s="607">
        <v>2292359</v>
      </c>
      <c r="Y15" s="602">
        <v>0.57308974999999995</v>
      </c>
      <c r="Z15" s="608" t="s">
        <v>1192</v>
      </c>
      <c r="AA15" s="609">
        <v>0</v>
      </c>
      <c r="AB15" s="609">
        <v>0</v>
      </c>
      <c r="AC15" s="609"/>
      <c r="AD15" s="609"/>
      <c r="AH15" s="611"/>
      <c r="AI15" s="611"/>
      <c r="AJ15" s="611"/>
      <c r="AK15" s="612"/>
      <c r="AL15" s="612"/>
      <c r="AM15" s="611"/>
      <c r="AO15" s="612"/>
      <c r="AP15" s="613" t="s">
        <v>640</v>
      </c>
      <c r="AQ15" s="614" t="s">
        <v>1071</v>
      </c>
      <c r="AR15" s="615">
        <v>5000000</v>
      </c>
      <c r="AS15" s="616">
        <v>3337003</v>
      </c>
      <c r="AT15" s="616">
        <v>1662997</v>
      </c>
      <c r="AU15" s="617">
        <v>0.33259939999999999</v>
      </c>
      <c r="AV15" s="613"/>
      <c r="AW15" s="616"/>
      <c r="AX15" s="614">
        <v>0</v>
      </c>
      <c r="AY15" s="618">
        <v>0</v>
      </c>
      <c r="AZ15" s="616">
        <v>0</v>
      </c>
      <c r="BA15" s="614">
        <v>0</v>
      </c>
      <c r="BB15" s="613">
        <v>0</v>
      </c>
      <c r="BC15" s="616">
        <v>59881</v>
      </c>
      <c r="BD15" s="614">
        <v>-59881</v>
      </c>
      <c r="BE15" s="613">
        <v>800000</v>
      </c>
      <c r="BF15" s="616">
        <v>622026</v>
      </c>
      <c r="BG15" s="614">
        <v>177974</v>
      </c>
      <c r="BH15" s="613">
        <v>4000000</v>
      </c>
      <c r="BI15" s="616">
        <v>1707641</v>
      </c>
      <c r="BJ15" s="614">
        <v>2292359</v>
      </c>
      <c r="BK15" s="619"/>
      <c r="BL15" s="620"/>
      <c r="BM15" s="621">
        <v>1000000</v>
      </c>
      <c r="BN15" s="622">
        <v>1629362</v>
      </c>
      <c r="BO15" s="622">
        <v>-629362</v>
      </c>
      <c r="BP15" s="628"/>
      <c r="BQ15" s="624"/>
      <c r="BR15" s="625" t="s">
        <v>640</v>
      </c>
      <c r="BS15" s="625" t="s">
        <v>1072</v>
      </c>
      <c r="BT15" s="627">
        <v>5000000</v>
      </c>
      <c r="BU15" s="627">
        <v>3337003</v>
      </c>
      <c r="BV15" s="627">
        <v>1662997</v>
      </c>
      <c r="BW15" s="627">
        <v>400000</v>
      </c>
      <c r="BX15" s="627">
        <v>1065411</v>
      </c>
      <c r="BY15" s="627">
        <v>-665411</v>
      </c>
      <c r="BZ15" s="627">
        <v>4600000</v>
      </c>
      <c r="CA15" s="627">
        <v>2271592</v>
      </c>
      <c r="CB15" s="627">
        <v>2328408</v>
      </c>
      <c r="CC15" s="611"/>
    </row>
    <row r="16" spans="1:82" s="610" customFormat="1" ht="22.35" customHeight="1">
      <c r="A16" s="599" t="s">
        <v>1073</v>
      </c>
      <c r="B16" s="599" t="s">
        <v>1074</v>
      </c>
      <c r="C16" s="603">
        <v>11400000</v>
      </c>
      <c r="D16" s="603">
        <v>7248799</v>
      </c>
      <c r="E16" s="601">
        <v>4151201</v>
      </c>
      <c r="F16" s="602">
        <v>0.3641404385964912</v>
      </c>
      <c r="G16" s="603">
        <v>2280000</v>
      </c>
      <c r="H16" s="603">
        <v>30554</v>
      </c>
      <c r="I16" s="603">
        <v>2229242</v>
      </c>
      <c r="J16" s="602">
        <v>0.9777377192982456</v>
      </c>
      <c r="K16" s="576">
        <v>0</v>
      </c>
      <c r="L16" s="576">
        <v>187975</v>
      </c>
      <c r="M16" s="576">
        <v>-187975</v>
      </c>
      <c r="N16" s="604" t="s">
        <v>1053</v>
      </c>
      <c r="O16" s="605">
        <v>0</v>
      </c>
      <c r="P16" s="603">
        <v>39320</v>
      </c>
      <c r="Q16" s="603">
        <v>-39320</v>
      </c>
      <c r="R16" s="603">
        <v>0</v>
      </c>
      <c r="S16" s="603">
        <v>227295</v>
      </c>
      <c r="T16" s="603">
        <v>-227295</v>
      </c>
      <c r="U16" s="602" t="e">
        <v>#DIV/0!</v>
      </c>
      <c r="V16" s="603">
        <v>2280000</v>
      </c>
      <c r="W16" s="603">
        <v>257849</v>
      </c>
      <c r="X16" s="607">
        <v>2022151</v>
      </c>
      <c r="Y16" s="602">
        <v>0.8869083333333333</v>
      </c>
      <c r="Z16" s="608" t="s">
        <v>1192</v>
      </c>
      <c r="AA16" s="609">
        <v>0</v>
      </c>
      <c r="AB16" s="609">
        <v>0</v>
      </c>
      <c r="AC16" s="609"/>
      <c r="AD16" s="609"/>
      <c r="AH16" s="611"/>
      <c r="AI16" s="611"/>
      <c r="AJ16" s="611"/>
      <c r="AK16" s="612"/>
      <c r="AL16" s="612"/>
      <c r="AM16" s="611"/>
      <c r="AO16" s="612"/>
      <c r="AP16" s="613" t="s">
        <v>641</v>
      </c>
      <c r="AQ16" s="614" t="s">
        <v>1075</v>
      </c>
      <c r="AR16" s="615">
        <v>11400000</v>
      </c>
      <c r="AS16" s="616">
        <v>7248799</v>
      </c>
      <c r="AT16" s="616">
        <v>4151201</v>
      </c>
      <c r="AU16" s="617">
        <v>0.3641404385964912</v>
      </c>
      <c r="AV16" s="613"/>
      <c r="AW16" s="616"/>
      <c r="AX16" s="614">
        <v>0</v>
      </c>
      <c r="AY16" s="618">
        <v>0</v>
      </c>
      <c r="AZ16" s="616">
        <v>0</v>
      </c>
      <c r="BA16" s="614">
        <v>0</v>
      </c>
      <c r="BB16" s="613">
        <v>0</v>
      </c>
      <c r="BC16" s="616">
        <v>39320</v>
      </c>
      <c r="BD16" s="614">
        <v>-39320</v>
      </c>
      <c r="BE16" s="613">
        <v>0</v>
      </c>
      <c r="BF16" s="616">
        <v>227295</v>
      </c>
      <c r="BG16" s="614">
        <v>-227295</v>
      </c>
      <c r="BH16" s="613">
        <v>2280000</v>
      </c>
      <c r="BI16" s="616">
        <v>257849</v>
      </c>
      <c r="BJ16" s="614">
        <v>2022151</v>
      </c>
      <c r="BK16" s="619"/>
      <c r="BL16" s="620"/>
      <c r="BM16" s="621">
        <v>9120000</v>
      </c>
      <c r="BN16" s="622">
        <v>6990950</v>
      </c>
      <c r="BO16" s="622">
        <v>2129050</v>
      </c>
      <c r="BP16" s="628"/>
      <c r="BQ16" s="624"/>
      <c r="BR16" s="625" t="s">
        <v>641</v>
      </c>
      <c r="BS16" s="625" t="s">
        <v>1076</v>
      </c>
      <c r="BT16" s="627">
        <v>11400000</v>
      </c>
      <c r="BU16" s="627">
        <v>7248799</v>
      </c>
      <c r="BV16" s="627">
        <v>4151201</v>
      </c>
      <c r="BW16" s="627">
        <v>5080000</v>
      </c>
      <c r="BX16" s="627">
        <v>50758</v>
      </c>
      <c r="BY16" s="627">
        <v>5029242</v>
      </c>
      <c r="BZ16" s="627">
        <v>6320000</v>
      </c>
      <c r="CA16" s="627">
        <v>7198041</v>
      </c>
      <c r="CB16" s="627">
        <v>-878041</v>
      </c>
      <c r="CC16" s="611"/>
    </row>
    <row r="17" spans="1:81" s="610" customFormat="1" ht="22.35" customHeight="1">
      <c r="A17" s="599" t="s">
        <v>642</v>
      </c>
      <c r="B17" s="629" t="s">
        <v>1077</v>
      </c>
      <c r="C17" s="603">
        <v>9400000</v>
      </c>
      <c r="D17" s="603">
        <v>6363155</v>
      </c>
      <c r="E17" s="601">
        <v>3036845</v>
      </c>
      <c r="F17" s="602">
        <v>0.32306861702127659</v>
      </c>
      <c r="G17" s="603">
        <v>0</v>
      </c>
      <c r="H17" s="603">
        <v>195311</v>
      </c>
      <c r="I17" s="603">
        <v>-195311</v>
      </c>
      <c r="J17" s="602"/>
      <c r="K17" s="576">
        <v>940000</v>
      </c>
      <c r="L17" s="576">
        <v>1507692</v>
      </c>
      <c r="M17" s="576">
        <v>-567692</v>
      </c>
      <c r="N17" s="604" t="s">
        <v>1053</v>
      </c>
      <c r="O17" s="605">
        <v>1316000</v>
      </c>
      <c r="P17" s="603">
        <v>228639</v>
      </c>
      <c r="Q17" s="603">
        <v>1087361</v>
      </c>
      <c r="R17" s="603">
        <v>2256000</v>
      </c>
      <c r="S17" s="603">
        <v>1736331</v>
      </c>
      <c r="T17" s="603">
        <v>519669</v>
      </c>
      <c r="U17" s="602">
        <v>0.23034973404255318</v>
      </c>
      <c r="V17" s="603">
        <v>2256000</v>
      </c>
      <c r="W17" s="603">
        <v>1931642</v>
      </c>
      <c r="X17" s="607">
        <v>324358</v>
      </c>
      <c r="Y17" s="602">
        <v>0.14377570921985816</v>
      </c>
      <c r="Z17" s="608" t="s">
        <v>1192</v>
      </c>
      <c r="AA17" s="609">
        <v>0</v>
      </c>
      <c r="AB17" s="609">
        <v>0</v>
      </c>
      <c r="AC17" s="609"/>
      <c r="AD17" s="609"/>
      <c r="AH17" s="611"/>
      <c r="AI17" s="611"/>
      <c r="AJ17" s="611"/>
      <c r="AK17" s="612"/>
      <c r="AL17" s="612"/>
      <c r="AM17" s="611"/>
      <c r="AO17" s="612"/>
      <c r="AP17" s="613" t="s">
        <v>642</v>
      </c>
      <c r="AQ17" s="614" t="s">
        <v>1078</v>
      </c>
      <c r="AR17" s="615">
        <v>9400000</v>
      </c>
      <c r="AS17" s="616">
        <v>6363155</v>
      </c>
      <c r="AT17" s="616">
        <v>3036845</v>
      </c>
      <c r="AU17" s="617">
        <v>0.32306861702127659</v>
      </c>
      <c r="AV17" s="613"/>
      <c r="AW17" s="616"/>
      <c r="AX17" s="614">
        <v>0</v>
      </c>
      <c r="AY17" s="618">
        <v>0</v>
      </c>
      <c r="AZ17" s="616">
        <v>0</v>
      </c>
      <c r="BA17" s="614">
        <v>0</v>
      </c>
      <c r="BB17" s="613">
        <v>1316000</v>
      </c>
      <c r="BC17" s="616">
        <v>228639</v>
      </c>
      <c r="BD17" s="614">
        <v>1087361</v>
      </c>
      <c r="BE17" s="613">
        <v>2256000</v>
      </c>
      <c r="BF17" s="616">
        <v>1736331</v>
      </c>
      <c r="BG17" s="614">
        <v>519669</v>
      </c>
      <c r="BH17" s="613">
        <v>2256000</v>
      </c>
      <c r="BI17" s="616">
        <v>1931642</v>
      </c>
      <c r="BJ17" s="614">
        <v>324358</v>
      </c>
      <c r="BK17" s="619"/>
      <c r="BL17" s="620"/>
      <c r="BM17" s="621">
        <v>7144000</v>
      </c>
      <c r="BN17" s="622">
        <v>4431513</v>
      </c>
      <c r="BO17" s="622">
        <v>2712487</v>
      </c>
      <c r="BP17" s="628"/>
      <c r="BQ17" s="624"/>
      <c r="BR17" s="625" t="s">
        <v>642</v>
      </c>
      <c r="BS17" s="625" t="s">
        <v>1079</v>
      </c>
      <c r="BT17" s="627">
        <v>9400000</v>
      </c>
      <c r="BU17" s="627">
        <v>6363155</v>
      </c>
      <c r="BV17" s="627">
        <v>3036845</v>
      </c>
      <c r="BW17" s="627">
        <v>0</v>
      </c>
      <c r="BX17" s="627">
        <v>195311</v>
      </c>
      <c r="BY17" s="627">
        <v>-195311</v>
      </c>
      <c r="BZ17" s="627">
        <v>9400000</v>
      </c>
      <c r="CA17" s="627">
        <v>6167844</v>
      </c>
      <c r="CB17" s="627">
        <v>3232156</v>
      </c>
      <c r="CC17" s="611"/>
    </row>
    <row r="18" spans="1:81" s="610" customFormat="1" ht="22.35" customHeight="1">
      <c r="A18" s="599" t="s">
        <v>1080</v>
      </c>
      <c r="B18" s="862" t="s">
        <v>1233</v>
      </c>
      <c r="C18" s="603">
        <v>1330000</v>
      </c>
      <c r="D18" s="603">
        <v>894659</v>
      </c>
      <c r="E18" s="601">
        <v>435341</v>
      </c>
      <c r="F18" s="602">
        <v>0.32732406015037596</v>
      </c>
      <c r="G18" s="603"/>
      <c r="H18" s="603"/>
      <c r="I18" s="603"/>
      <c r="J18" s="602"/>
      <c r="K18" s="576">
        <v>0</v>
      </c>
      <c r="L18" s="576">
        <v>168619</v>
      </c>
      <c r="M18" s="576">
        <v>-168619</v>
      </c>
      <c r="N18" s="604" t="s">
        <v>1053</v>
      </c>
      <c r="O18" s="605">
        <v>0</v>
      </c>
      <c r="P18" s="603">
        <v>7849</v>
      </c>
      <c r="Q18" s="603">
        <v>-7849</v>
      </c>
      <c r="R18" s="603">
        <v>0</v>
      </c>
      <c r="S18" s="603">
        <v>176468</v>
      </c>
      <c r="T18" s="603">
        <v>-176468</v>
      </c>
      <c r="U18" s="602" t="e">
        <v>#DIV/0!</v>
      </c>
      <c r="V18" s="603">
        <v>0</v>
      </c>
      <c r="W18" s="603">
        <v>176468</v>
      </c>
      <c r="X18" s="607">
        <v>-176468</v>
      </c>
      <c r="Y18" s="602" t="e">
        <v>#DIV/0!</v>
      </c>
      <c r="Z18" s="608" t="s">
        <v>1192</v>
      </c>
      <c r="AA18" s="609">
        <v>0</v>
      </c>
      <c r="AB18" s="609">
        <v>0</v>
      </c>
      <c r="AC18" s="609"/>
      <c r="AD18" s="609"/>
      <c r="AH18" s="611"/>
      <c r="AI18" s="611"/>
      <c r="AJ18" s="611"/>
      <c r="AK18" s="612"/>
      <c r="AL18" s="612"/>
      <c r="AM18" s="611"/>
      <c r="AO18" s="612"/>
      <c r="AP18" s="613" t="s">
        <v>643</v>
      </c>
      <c r="AQ18" s="614" t="s">
        <v>1081</v>
      </c>
      <c r="AR18" s="615">
        <v>1330000</v>
      </c>
      <c r="AS18" s="616">
        <v>894659</v>
      </c>
      <c r="AT18" s="616">
        <v>435341</v>
      </c>
      <c r="AU18" s="617">
        <v>0.32732406015037596</v>
      </c>
      <c r="AV18" s="615">
        <v>1330000</v>
      </c>
      <c r="AW18" s="616">
        <v>894659</v>
      </c>
      <c r="AX18" s="614">
        <v>435341</v>
      </c>
      <c r="AY18" s="618">
        <v>0</v>
      </c>
      <c r="AZ18" s="616">
        <v>0</v>
      </c>
      <c r="BA18" s="614">
        <v>0</v>
      </c>
      <c r="BB18" s="613">
        <v>0</v>
      </c>
      <c r="BC18" s="616">
        <v>7849</v>
      </c>
      <c r="BD18" s="614">
        <v>-7849</v>
      </c>
      <c r="BE18" s="613">
        <v>0</v>
      </c>
      <c r="BF18" s="616">
        <v>176468</v>
      </c>
      <c r="BG18" s="614">
        <v>-176468</v>
      </c>
      <c r="BH18" s="613">
        <v>0</v>
      </c>
      <c r="BI18" s="616">
        <v>176468</v>
      </c>
      <c r="BJ18" s="614">
        <v>-176468</v>
      </c>
      <c r="BK18" s="619"/>
      <c r="BL18" s="620"/>
      <c r="BM18" s="621">
        <v>1330000</v>
      </c>
      <c r="BN18" s="622">
        <v>718191</v>
      </c>
      <c r="BO18" s="622">
        <v>611809</v>
      </c>
      <c r="BP18" s="628"/>
      <c r="BQ18" s="624"/>
      <c r="BR18" s="625"/>
      <c r="BS18" s="625"/>
      <c r="BT18" s="627"/>
      <c r="BU18" s="627"/>
      <c r="BV18" s="627"/>
      <c r="BW18" s="627"/>
      <c r="BX18" s="627"/>
      <c r="BY18" s="627"/>
      <c r="BZ18" s="627"/>
      <c r="CA18" s="627"/>
      <c r="CB18" s="627"/>
      <c r="CC18" s="611"/>
    </row>
    <row r="19" spans="1:81" s="610" customFormat="1" ht="22.35" customHeight="1">
      <c r="A19" s="599" t="s">
        <v>1082</v>
      </c>
      <c r="B19" s="862" t="s">
        <v>1234</v>
      </c>
      <c r="C19" s="603">
        <v>15000000</v>
      </c>
      <c r="D19" s="603">
        <v>10227650</v>
      </c>
      <c r="E19" s="601">
        <v>4772350</v>
      </c>
      <c r="F19" s="602">
        <v>0.31815666666666664</v>
      </c>
      <c r="G19" s="603"/>
      <c r="H19" s="603"/>
      <c r="I19" s="603"/>
      <c r="J19" s="602"/>
      <c r="K19" s="576">
        <v>0</v>
      </c>
      <c r="L19" s="576">
        <v>0</v>
      </c>
      <c r="M19" s="576">
        <v>0</v>
      </c>
      <c r="N19" s="604" t="s">
        <v>1053</v>
      </c>
      <c r="O19" s="605">
        <v>0</v>
      </c>
      <c r="P19" s="603">
        <v>0</v>
      </c>
      <c r="Q19" s="603">
        <v>0</v>
      </c>
      <c r="R19" s="603">
        <v>0</v>
      </c>
      <c r="S19" s="603">
        <v>0</v>
      </c>
      <c r="T19" s="603">
        <v>0</v>
      </c>
      <c r="U19" s="602" t="e">
        <v>#DIV/0!</v>
      </c>
      <c r="V19" s="603">
        <v>0</v>
      </c>
      <c r="W19" s="603">
        <v>0</v>
      </c>
      <c r="X19" s="607">
        <v>0</v>
      </c>
      <c r="Y19" s="602" t="e">
        <v>#DIV/0!</v>
      </c>
      <c r="Z19" s="608" t="s">
        <v>1192</v>
      </c>
      <c r="AA19" s="609">
        <v>0</v>
      </c>
      <c r="AB19" s="609">
        <v>0</v>
      </c>
      <c r="AC19" s="609"/>
      <c r="AD19" s="609"/>
      <c r="AH19" s="611"/>
      <c r="AI19" s="611"/>
      <c r="AJ19" s="611"/>
      <c r="AK19" s="612"/>
      <c r="AL19" s="612"/>
      <c r="AM19" s="611"/>
      <c r="AO19" s="612"/>
      <c r="AP19" s="613" t="s">
        <v>644</v>
      </c>
      <c r="AQ19" s="614" t="s">
        <v>1083</v>
      </c>
      <c r="AR19" s="615">
        <v>15000000</v>
      </c>
      <c r="AS19" s="616">
        <v>10227650</v>
      </c>
      <c r="AT19" s="616">
        <v>4772350</v>
      </c>
      <c r="AU19" s="617">
        <v>0.31815666666666664</v>
      </c>
      <c r="AV19" s="615">
        <v>15000000</v>
      </c>
      <c r="AW19" s="616">
        <v>10227650</v>
      </c>
      <c r="AX19" s="614">
        <v>4772350</v>
      </c>
      <c r="AY19" s="618">
        <v>0</v>
      </c>
      <c r="AZ19" s="616">
        <v>0</v>
      </c>
      <c r="BA19" s="614">
        <v>0</v>
      </c>
      <c r="BB19" s="613">
        <v>0</v>
      </c>
      <c r="BC19" s="616">
        <v>0</v>
      </c>
      <c r="BD19" s="614">
        <v>0</v>
      </c>
      <c r="BE19" s="613">
        <v>0</v>
      </c>
      <c r="BF19" s="616">
        <v>0</v>
      </c>
      <c r="BG19" s="614">
        <v>0</v>
      </c>
      <c r="BH19" s="613">
        <v>0</v>
      </c>
      <c r="BI19" s="616">
        <v>0</v>
      </c>
      <c r="BJ19" s="614">
        <v>0</v>
      </c>
      <c r="BK19" s="619"/>
      <c r="BL19" s="620"/>
      <c r="BM19" s="621">
        <v>15000000</v>
      </c>
      <c r="BN19" s="622">
        <v>10227650</v>
      </c>
      <c r="BO19" s="622">
        <v>4772350</v>
      </c>
      <c r="BP19" s="628"/>
      <c r="BQ19" s="624"/>
      <c r="BR19" s="625"/>
      <c r="BS19" s="625"/>
      <c r="BT19" s="627"/>
      <c r="BU19" s="627"/>
      <c r="BV19" s="627"/>
      <c r="BW19" s="627"/>
      <c r="BX19" s="627"/>
      <c r="BY19" s="627"/>
      <c r="BZ19" s="627"/>
      <c r="CA19" s="627"/>
      <c r="CB19" s="627"/>
      <c r="CC19" s="611"/>
    </row>
    <row r="20" spans="1:81" s="639" customFormat="1" ht="22.35" customHeight="1">
      <c r="A20" s="630" t="s">
        <v>1084</v>
      </c>
      <c r="B20" s="630" t="s">
        <v>1085</v>
      </c>
      <c r="C20" s="631">
        <v>14840000</v>
      </c>
      <c r="D20" s="631">
        <v>9953304</v>
      </c>
      <c r="E20" s="631">
        <v>4886696</v>
      </c>
      <c r="F20" s="632">
        <v>0.3292921832884097</v>
      </c>
      <c r="G20" s="633"/>
      <c r="H20" s="633"/>
      <c r="I20" s="633"/>
      <c r="J20" s="632"/>
      <c r="K20" s="576">
        <v>0</v>
      </c>
      <c r="L20" s="576">
        <v>0</v>
      </c>
      <c r="M20" s="576">
        <v>0</v>
      </c>
      <c r="N20" s="634" t="s">
        <v>1086</v>
      </c>
      <c r="O20" s="635">
        <v>0</v>
      </c>
      <c r="P20" s="633">
        <v>14921</v>
      </c>
      <c r="Q20" s="633">
        <v>-14921</v>
      </c>
      <c r="R20" s="603">
        <v>0</v>
      </c>
      <c r="S20" s="603">
        <v>14921</v>
      </c>
      <c r="T20" s="603">
        <v>-14921</v>
      </c>
      <c r="U20" s="602" t="e">
        <v>#DIV/0!</v>
      </c>
      <c r="V20" s="633">
        <v>0</v>
      </c>
      <c r="W20" s="633">
        <v>14921</v>
      </c>
      <c r="X20" s="636">
        <v>-14921</v>
      </c>
      <c r="Y20" s="632" t="e">
        <v>#DIV/0!</v>
      </c>
      <c r="Z20" s="637" t="s">
        <v>1192</v>
      </c>
      <c r="AA20" s="583">
        <v>0</v>
      </c>
      <c r="AB20" s="583">
        <v>0</v>
      </c>
      <c r="AC20" s="583"/>
      <c r="AD20" s="638"/>
      <c r="AH20" s="640"/>
      <c r="AI20" s="640"/>
      <c r="AJ20" s="640"/>
      <c r="AK20" s="641"/>
      <c r="AL20" s="641"/>
      <c r="AM20" s="640"/>
      <c r="AO20" s="641"/>
      <c r="AP20" s="642" t="s">
        <v>645</v>
      </c>
      <c r="AQ20" s="643" t="s">
        <v>1087</v>
      </c>
      <c r="AR20" s="644">
        <v>14840000</v>
      </c>
      <c r="AS20" s="645">
        <v>9953304</v>
      </c>
      <c r="AT20" s="645">
        <v>4886696</v>
      </c>
      <c r="AU20" s="646">
        <v>0.3292921832884097</v>
      </c>
      <c r="AV20" s="644">
        <v>14840000</v>
      </c>
      <c r="AW20" s="645">
        <v>9953304</v>
      </c>
      <c r="AX20" s="643">
        <v>4886696</v>
      </c>
      <c r="AY20" s="647">
        <v>0</v>
      </c>
      <c r="AZ20" s="645">
        <v>0</v>
      </c>
      <c r="BA20" s="643">
        <v>0</v>
      </c>
      <c r="BB20" s="642">
        <v>0</v>
      </c>
      <c r="BC20" s="645">
        <v>14921</v>
      </c>
      <c r="BD20" s="643">
        <v>-14921</v>
      </c>
      <c r="BE20" s="642">
        <v>0</v>
      </c>
      <c r="BF20" s="645">
        <v>14921</v>
      </c>
      <c r="BG20" s="643">
        <v>-14921</v>
      </c>
      <c r="BH20" s="642">
        <v>0</v>
      </c>
      <c r="BI20" s="645">
        <v>14921</v>
      </c>
      <c r="BJ20" s="643">
        <v>-14921</v>
      </c>
      <c r="BK20" s="648"/>
      <c r="BL20" s="649"/>
      <c r="BM20" s="650">
        <v>14840000</v>
      </c>
      <c r="BN20" s="651">
        <v>9938383</v>
      </c>
      <c r="BO20" s="651">
        <v>4901617</v>
      </c>
      <c r="BP20" s="652"/>
      <c r="BQ20" s="653"/>
      <c r="BR20" s="654"/>
      <c r="BS20" s="654"/>
      <c r="BT20" s="655"/>
      <c r="BU20" s="655"/>
      <c r="BV20" s="655"/>
      <c r="BW20" s="655"/>
      <c r="BX20" s="655"/>
      <c r="BY20" s="655"/>
      <c r="BZ20" s="655"/>
      <c r="CA20" s="655"/>
      <c r="CB20" s="655"/>
      <c r="CC20" s="640"/>
    </row>
    <row r="21" spans="1:81" ht="22.35" customHeight="1">
      <c r="A21" s="574" t="s">
        <v>647</v>
      </c>
      <c r="B21" s="575" t="s">
        <v>1088</v>
      </c>
      <c r="C21" s="577">
        <v>0</v>
      </c>
      <c r="D21" s="577"/>
      <c r="E21" s="577">
        <v>0</v>
      </c>
      <c r="F21" s="602" t="e">
        <v>#DIV/0!</v>
      </c>
      <c r="G21" s="576"/>
      <c r="H21" s="576"/>
      <c r="I21" s="576"/>
      <c r="J21" s="577"/>
      <c r="K21" s="576">
        <v>0</v>
      </c>
      <c r="L21" s="576">
        <v>672062</v>
      </c>
      <c r="M21" s="576">
        <v>-672062</v>
      </c>
      <c r="N21" s="863" t="s">
        <v>1089</v>
      </c>
      <c r="O21" s="580">
        <v>0</v>
      </c>
      <c r="P21" s="576">
        <v>321</v>
      </c>
      <c r="Q21" s="603">
        <v>-321</v>
      </c>
      <c r="R21" s="576">
        <v>0</v>
      </c>
      <c r="S21" s="576">
        <v>672383</v>
      </c>
      <c r="T21" s="576">
        <v>-672383</v>
      </c>
      <c r="U21" s="578" t="e">
        <v>#DIV/0!</v>
      </c>
      <c r="V21" s="576">
        <v>0</v>
      </c>
      <c r="W21" s="576">
        <v>672383</v>
      </c>
      <c r="X21" s="576">
        <v>-672383</v>
      </c>
      <c r="Y21" s="578" t="e">
        <v>#DIV/0!</v>
      </c>
      <c r="Z21" s="656" t="s">
        <v>1228</v>
      </c>
      <c r="AA21" s="583">
        <v>-52500</v>
      </c>
      <c r="AB21" s="583">
        <v>-39200</v>
      </c>
      <c r="AC21" s="583"/>
      <c r="AD21" s="583"/>
      <c r="AE21" s="583"/>
      <c r="AF21" s="583"/>
      <c r="AG21" s="583"/>
      <c r="AN21" s="657"/>
      <c r="AP21" s="585" t="s">
        <v>647</v>
      </c>
      <c r="AQ21" s="586" t="s">
        <v>1090</v>
      </c>
      <c r="AR21" s="587">
        <v>0</v>
      </c>
      <c r="AS21" s="588">
        <v>0</v>
      </c>
      <c r="AT21" s="588">
        <v>0</v>
      </c>
      <c r="AU21" s="658" t="e">
        <v>#DIV/0!</v>
      </c>
      <c r="AV21" s="585"/>
      <c r="AW21" s="588"/>
      <c r="AX21" s="586">
        <v>0</v>
      </c>
      <c r="AY21" s="596">
        <v>0</v>
      </c>
      <c r="AZ21" s="588">
        <v>0</v>
      </c>
      <c r="BA21" s="586">
        <v>0</v>
      </c>
      <c r="BB21" s="585">
        <v>0</v>
      </c>
      <c r="BC21" s="588">
        <v>321</v>
      </c>
      <c r="BD21" s="586">
        <v>-321</v>
      </c>
      <c r="BE21" s="585">
        <v>0</v>
      </c>
      <c r="BF21" s="588">
        <v>672383</v>
      </c>
      <c r="BG21" s="586">
        <v>-672383</v>
      </c>
      <c r="BH21" s="585">
        <v>0</v>
      </c>
      <c r="BI21" s="588">
        <v>672383</v>
      </c>
      <c r="BJ21" s="586">
        <v>-672383</v>
      </c>
      <c r="BK21" s="590"/>
      <c r="BL21" s="535"/>
      <c r="BM21" s="621">
        <v>0</v>
      </c>
      <c r="BN21" s="622">
        <v>0</v>
      </c>
      <c r="BO21" s="622">
        <v>0</v>
      </c>
      <c r="BP21" s="628"/>
      <c r="BQ21" s="542"/>
      <c r="BR21" s="594" t="s">
        <v>647</v>
      </c>
      <c r="BS21" s="594" t="s">
        <v>1091</v>
      </c>
      <c r="BT21" s="594">
        <v>0</v>
      </c>
      <c r="BU21" s="594">
        <v>0</v>
      </c>
      <c r="BV21" s="594">
        <v>0</v>
      </c>
      <c r="BW21" s="594">
        <v>0</v>
      </c>
      <c r="BX21" s="594">
        <v>0</v>
      </c>
      <c r="BY21" s="594">
        <v>0</v>
      </c>
      <c r="BZ21" s="594">
        <v>0</v>
      </c>
      <c r="CA21" s="594">
        <v>0</v>
      </c>
      <c r="CB21" s="594">
        <v>0</v>
      </c>
    </row>
    <row r="22" spans="1:81" s="610" customFormat="1" ht="22.35" customHeight="1">
      <c r="A22" s="599" t="s">
        <v>1092</v>
      </c>
      <c r="B22" s="864" t="s">
        <v>1235</v>
      </c>
      <c r="C22" s="601">
        <v>0</v>
      </c>
      <c r="D22" s="601"/>
      <c r="E22" s="601">
        <v>0</v>
      </c>
      <c r="F22" s="601"/>
      <c r="G22" s="603"/>
      <c r="H22" s="603"/>
      <c r="I22" s="603"/>
      <c r="J22" s="601"/>
      <c r="K22" s="576">
        <v>52500</v>
      </c>
      <c r="L22" s="576">
        <v>39200</v>
      </c>
      <c r="M22" s="576">
        <v>13300</v>
      </c>
      <c r="N22" s="604" t="s">
        <v>1053</v>
      </c>
      <c r="O22" s="580">
        <v>0</v>
      </c>
      <c r="P22" s="603">
        <v>0</v>
      </c>
      <c r="Q22" s="603">
        <v>0</v>
      </c>
      <c r="R22" s="603">
        <v>52500</v>
      </c>
      <c r="S22" s="603">
        <v>39200</v>
      </c>
      <c r="T22" s="603">
        <v>13300</v>
      </c>
      <c r="U22" s="602">
        <v>0.25333333333333335</v>
      </c>
      <c r="V22" s="603">
        <v>52500</v>
      </c>
      <c r="W22" s="603">
        <v>39200</v>
      </c>
      <c r="X22" s="603">
        <v>13300</v>
      </c>
      <c r="Y22" s="602">
        <v>0.25333333333333335</v>
      </c>
      <c r="Z22" s="608" t="s">
        <v>1228</v>
      </c>
      <c r="AA22" s="609">
        <v>52500</v>
      </c>
      <c r="AB22" s="609">
        <v>39200</v>
      </c>
      <c r="AC22" s="583"/>
      <c r="AD22" s="609"/>
      <c r="AE22" s="609"/>
      <c r="AF22" s="609"/>
      <c r="AG22" s="609"/>
      <c r="AH22" s="611"/>
      <c r="AI22" s="611"/>
      <c r="AJ22" s="611"/>
      <c r="AK22" s="612"/>
      <c r="AL22" s="612"/>
      <c r="AM22" s="611"/>
      <c r="AN22" s="659"/>
      <c r="AO22" s="612"/>
      <c r="AP22" s="613" t="s">
        <v>649</v>
      </c>
      <c r="AQ22" s="614" t="s">
        <v>1090</v>
      </c>
      <c r="AR22" s="615">
        <v>0</v>
      </c>
      <c r="AS22" s="616">
        <v>0</v>
      </c>
      <c r="AT22" s="616">
        <v>0</v>
      </c>
      <c r="AU22" s="660"/>
      <c r="AV22" s="613"/>
      <c r="AW22" s="616"/>
      <c r="AX22" s="614">
        <v>0</v>
      </c>
      <c r="AY22" s="618">
        <v>0</v>
      </c>
      <c r="AZ22" s="616">
        <v>0</v>
      </c>
      <c r="BA22" s="614">
        <v>0</v>
      </c>
      <c r="BB22" s="613">
        <v>0</v>
      </c>
      <c r="BC22" s="616">
        <v>0</v>
      </c>
      <c r="BD22" s="614">
        <v>0</v>
      </c>
      <c r="BE22" s="613">
        <v>52500</v>
      </c>
      <c r="BF22" s="616">
        <v>39200</v>
      </c>
      <c r="BG22" s="614">
        <v>13300</v>
      </c>
      <c r="BH22" s="613">
        <v>52500</v>
      </c>
      <c r="BI22" s="616">
        <v>39200</v>
      </c>
      <c r="BJ22" s="614">
        <v>13300</v>
      </c>
      <c r="BK22" s="619"/>
      <c r="BL22" s="620"/>
      <c r="BM22" s="621">
        <v>0</v>
      </c>
      <c r="BN22" s="622">
        <v>0</v>
      </c>
      <c r="BO22" s="622">
        <v>0</v>
      </c>
      <c r="BP22" s="628"/>
      <c r="BQ22" s="624"/>
      <c r="BR22" s="627" t="s">
        <v>649</v>
      </c>
      <c r="BS22" s="627" t="s">
        <v>1093</v>
      </c>
      <c r="BT22" s="627"/>
      <c r="BU22" s="627"/>
      <c r="BV22" s="627"/>
      <c r="BW22" s="627"/>
      <c r="BX22" s="627"/>
      <c r="BY22" s="627"/>
      <c r="BZ22" s="627"/>
      <c r="CA22" s="627"/>
      <c r="CB22" s="627"/>
      <c r="CC22" s="611"/>
    </row>
    <row r="23" spans="1:81" ht="22.35" customHeight="1">
      <c r="A23" s="574" t="s">
        <v>651</v>
      </c>
      <c r="B23" s="575" t="s">
        <v>1094</v>
      </c>
      <c r="C23" s="661"/>
      <c r="D23" s="661"/>
      <c r="E23" s="577">
        <v>0</v>
      </c>
      <c r="F23" s="577"/>
      <c r="G23" s="576"/>
      <c r="H23" s="576"/>
      <c r="I23" s="576"/>
      <c r="J23" s="577"/>
      <c r="K23" s="576">
        <v>0</v>
      </c>
      <c r="L23" s="576">
        <v>273950</v>
      </c>
      <c r="M23" s="576">
        <v>-273950</v>
      </c>
      <c r="N23" s="662" t="s">
        <v>1095</v>
      </c>
      <c r="O23" s="580">
        <v>0</v>
      </c>
      <c r="P23" s="576">
        <v>93219</v>
      </c>
      <c r="Q23" s="576">
        <v>-93219</v>
      </c>
      <c r="R23" s="576">
        <v>0</v>
      </c>
      <c r="S23" s="576">
        <v>367169</v>
      </c>
      <c r="T23" s="576">
        <v>-367169</v>
      </c>
      <c r="U23" s="577"/>
      <c r="V23" s="576">
        <v>0</v>
      </c>
      <c r="W23" s="576">
        <v>367169</v>
      </c>
      <c r="X23" s="595">
        <v>-367169</v>
      </c>
      <c r="Y23" s="577"/>
      <c r="Z23" s="582" t="s">
        <v>1228</v>
      </c>
      <c r="AA23" s="583">
        <v>0</v>
      </c>
      <c r="AB23" s="583">
        <v>0</v>
      </c>
      <c r="AC23" s="583"/>
      <c r="AD23" s="583"/>
      <c r="AE23" s="583"/>
      <c r="AF23" s="583"/>
      <c r="AG23" s="583"/>
      <c r="AN23" s="663"/>
      <c r="AP23" s="585" t="s">
        <v>651</v>
      </c>
      <c r="AQ23" s="586" t="s">
        <v>1096</v>
      </c>
      <c r="AR23" s="587">
        <v>0</v>
      </c>
      <c r="AS23" s="588">
        <v>0</v>
      </c>
      <c r="AT23" s="588">
        <v>0</v>
      </c>
      <c r="AU23" s="658" t="e">
        <v>#DIV/0!</v>
      </c>
      <c r="AV23" s="585"/>
      <c r="AW23" s="588"/>
      <c r="AX23" s="586">
        <v>0</v>
      </c>
      <c r="AY23" s="596">
        <v>0</v>
      </c>
      <c r="AZ23" s="588">
        <v>0</v>
      </c>
      <c r="BA23" s="586">
        <v>0</v>
      </c>
      <c r="BB23" s="585">
        <v>0</v>
      </c>
      <c r="BC23" s="588">
        <v>93219</v>
      </c>
      <c r="BD23" s="586">
        <v>-93219</v>
      </c>
      <c r="BE23" s="585">
        <v>0</v>
      </c>
      <c r="BF23" s="588">
        <v>367169</v>
      </c>
      <c r="BG23" s="586">
        <v>-367169</v>
      </c>
      <c r="BH23" s="585">
        <v>0</v>
      </c>
      <c r="BI23" s="588">
        <v>367169</v>
      </c>
      <c r="BJ23" s="586">
        <v>-367169</v>
      </c>
      <c r="BK23" s="590"/>
      <c r="BL23" s="535"/>
      <c r="BM23" s="621">
        <v>0</v>
      </c>
      <c r="BN23" s="622">
        <v>0</v>
      </c>
      <c r="BO23" s="622">
        <v>0</v>
      </c>
      <c r="BP23" s="593"/>
      <c r="BQ23" s="542"/>
      <c r="BR23" s="594" t="s">
        <v>651</v>
      </c>
      <c r="BS23" s="594" t="s">
        <v>1097</v>
      </c>
      <c r="BT23" s="594">
        <v>0</v>
      </c>
      <c r="BU23" s="594">
        <v>0</v>
      </c>
      <c r="BV23" s="594">
        <v>0</v>
      </c>
      <c r="BW23" s="594">
        <v>0</v>
      </c>
      <c r="BX23" s="594">
        <v>0</v>
      </c>
      <c r="BY23" s="594">
        <v>0</v>
      </c>
      <c r="BZ23" s="594">
        <v>0</v>
      </c>
      <c r="CA23" s="594">
        <v>0</v>
      </c>
      <c r="CB23" s="594">
        <v>0</v>
      </c>
    </row>
    <row r="24" spans="1:81" ht="22.35" customHeight="1">
      <c r="A24" s="574"/>
      <c r="B24" s="575"/>
      <c r="C24" s="576"/>
      <c r="D24" s="576"/>
      <c r="E24" s="576"/>
      <c r="F24" s="576"/>
      <c r="G24" s="576"/>
      <c r="H24" s="576"/>
      <c r="I24" s="576"/>
      <c r="J24" s="576"/>
      <c r="K24" s="576"/>
      <c r="L24" s="576"/>
      <c r="M24" s="576"/>
      <c r="N24" s="579"/>
      <c r="O24" s="580">
        <v>0</v>
      </c>
      <c r="P24" s="576">
        <v>0</v>
      </c>
      <c r="Q24" s="576"/>
      <c r="R24" s="576"/>
      <c r="S24" s="576"/>
      <c r="T24" s="576"/>
      <c r="U24" s="576"/>
      <c r="V24" s="576"/>
      <c r="W24" s="595"/>
      <c r="X24" s="595"/>
      <c r="Y24" s="576"/>
      <c r="Z24" s="583"/>
      <c r="AA24" s="583">
        <v>0</v>
      </c>
      <c r="AB24" s="583">
        <v>0</v>
      </c>
      <c r="AC24" s="583"/>
      <c r="AD24" s="583"/>
      <c r="AE24" s="583"/>
      <c r="AF24" s="583"/>
      <c r="AG24" s="583"/>
      <c r="AN24" s="663"/>
      <c r="AP24" s="585"/>
      <c r="AQ24" s="586"/>
      <c r="AR24" s="585"/>
      <c r="AS24" s="588"/>
      <c r="AT24" s="588"/>
      <c r="AU24" s="658"/>
      <c r="AV24" s="585"/>
      <c r="AW24" s="588"/>
      <c r="AX24" s="586"/>
      <c r="AY24" s="585"/>
      <c r="AZ24" s="588">
        <v>0</v>
      </c>
      <c r="BA24" s="586"/>
      <c r="BB24" s="585">
        <v>0</v>
      </c>
      <c r="BC24" s="588">
        <v>0</v>
      </c>
      <c r="BD24" s="586">
        <v>0</v>
      </c>
      <c r="BE24" s="585"/>
      <c r="BF24" s="588"/>
      <c r="BG24" s="586"/>
      <c r="BH24" s="585"/>
      <c r="BI24" s="588"/>
      <c r="BJ24" s="586"/>
      <c r="BK24" s="590"/>
      <c r="BL24" s="535"/>
      <c r="BM24" s="591"/>
      <c r="BN24" s="592"/>
      <c r="BO24" s="592"/>
      <c r="BP24" s="593"/>
      <c r="BQ24" s="542"/>
      <c r="BR24" s="594"/>
      <c r="BS24" s="594"/>
      <c r="BT24" s="594"/>
      <c r="BU24" s="594"/>
      <c r="BV24" s="594"/>
      <c r="BW24" s="594"/>
      <c r="BX24" s="594"/>
      <c r="BY24" s="594">
        <v>0</v>
      </c>
      <c r="BZ24" s="594"/>
      <c r="CA24" s="594"/>
      <c r="CB24" s="594"/>
    </row>
    <row r="25" spans="1:81" ht="22.35" customHeight="1">
      <c r="A25" s="664"/>
      <c r="B25" s="664" t="s">
        <v>1098</v>
      </c>
      <c r="C25" s="665">
        <v>219909093</v>
      </c>
      <c r="D25" s="665">
        <v>150230833</v>
      </c>
      <c r="E25" s="665">
        <v>69678260</v>
      </c>
      <c r="F25" s="666">
        <v>0.3168502904970828</v>
      </c>
      <c r="G25" s="665">
        <v>57831161</v>
      </c>
      <c r="H25" s="665">
        <v>32906632</v>
      </c>
      <c r="I25" s="665">
        <v>24924529</v>
      </c>
      <c r="J25" s="666">
        <v>0.43098787174616815</v>
      </c>
      <c r="K25" s="665">
        <v>7291000</v>
      </c>
      <c r="L25" s="665">
        <v>8159018</v>
      </c>
      <c r="M25" s="665">
        <v>-868018</v>
      </c>
      <c r="N25" s="667" t="s">
        <v>1099</v>
      </c>
      <c r="O25" s="665">
        <v>1741000</v>
      </c>
      <c r="P25" s="665">
        <v>1298762</v>
      </c>
      <c r="Q25" s="665">
        <v>442238</v>
      </c>
      <c r="R25" s="665">
        <v>9032000</v>
      </c>
      <c r="S25" s="665">
        <v>9457780</v>
      </c>
      <c r="T25" s="665">
        <v>-425780</v>
      </c>
      <c r="U25" s="666">
        <v>-4.7141275465013288E-2</v>
      </c>
      <c r="V25" s="665">
        <v>66863161</v>
      </c>
      <c r="W25" s="665">
        <v>42364412</v>
      </c>
      <c r="X25" s="665">
        <v>24498749</v>
      </c>
      <c r="Y25" s="666">
        <v>0.36640129831732005</v>
      </c>
      <c r="Z25" s="668"/>
      <c r="AA25" s="668"/>
      <c r="AB25" s="668"/>
      <c r="AC25" s="583"/>
      <c r="AD25" s="668"/>
      <c r="AE25" s="668"/>
      <c r="AF25" s="668"/>
      <c r="AG25" s="668"/>
      <c r="AM25" s="553"/>
      <c r="AN25" s="553"/>
      <c r="AP25" s="669"/>
      <c r="AQ25" s="670" t="s">
        <v>1100</v>
      </c>
      <c r="AR25" s="669">
        <v>219909093</v>
      </c>
      <c r="AS25" s="669">
        <v>150230833</v>
      </c>
      <c r="AT25" s="669">
        <v>69678260</v>
      </c>
      <c r="AU25" s="669" t="e">
        <v>#DIV/0!</v>
      </c>
      <c r="AV25" s="669">
        <v>31170000</v>
      </c>
      <c r="AW25" s="669">
        <v>21075613</v>
      </c>
      <c r="AX25" s="669">
        <v>10094387</v>
      </c>
      <c r="AY25" s="669">
        <v>0</v>
      </c>
      <c r="AZ25" s="669">
        <v>0</v>
      </c>
      <c r="BA25" s="669">
        <v>0</v>
      </c>
      <c r="BB25" s="669">
        <v>1741000</v>
      </c>
      <c r="BC25" s="669">
        <v>1298762</v>
      </c>
      <c r="BD25" s="669">
        <v>442238</v>
      </c>
      <c r="BE25" s="669">
        <v>9032000</v>
      </c>
      <c r="BF25" s="669">
        <v>9457780</v>
      </c>
      <c r="BG25" s="669">
        <v>-425780</v>
      </c>
      <c r="BH25" s="669">
        <v>66863161</v>
      </c>
      <c r="BI25" s="669">
        <v>42364412</v>
      </c>
      <c r="BJ25" s="669">
        <v>24498749</v>
      </c>
      <c r="BK25" s="671"/>
      <c r="BM25" s="669">
        <v>153098432</v>
      </c>
      <c r="BN25" s="672">
        <v>108945173</v>
      </c>
      <c r="BO25" s="672">
        <v>44153259</v>
      </c>
      <c r="BP25" s="671"/>
      <c r="BQ25" s="542"/>
      <c r="BR25" s="673"/>
      <c r="BS25" s="673"/>
      <c r="BT25" s="673">
        <v>188739093</v>
      </c>
      <c r="BU25" s="673">
        <v>129155220</v>
      </c>
      <c r="BV25" s="673">
        <v>59583873</v>
      </c>
      <c r="BW25" s="673">
        <v>57831161</v>
      </c>
      <c r="BX25" s="673">
        <v>32906632</v>
      </c>
      <c r="BY25" s="673">
        <v>24924529</v>
      </c>
      <c r="BZ25" s="673">
        <v>130907932</v>
      </c>
      <c r="CA25" s="673">
        <v>96248588</v>
      </c>
      <c r="CB25" s="673">
        <v>34659344</v>
      </c>
    </row>
    <row r="26" spans="1:81" s="610" customFormat="1" ht="22.35" customHeight="1">
      <c r="A26" s="599" t="s">
        <v>1101</v>
      </c>
      <c r="B26" s="674" t="s">
        <v>1102</v>
      </c>
      <c r="C26" s="601">
        <v>11112000</v>
      </c>
      <c r="D26" s="601">
        <v>7200000</v>
      </c>
      <c r="E26" s="601">
        <v>3912000</v>
      </c>
      <c r="F26" s="602">
        <v>0.35205183585313177</v>
      </c>
      <c r="G26" s="603">
        <v>11112000</v>
      </c>
      <c r="H26" s="603">
        <v>7070420</v>
      </c>
      <c r="I26" s="603">
        <v>4041580</v>
      </c>
      <c r="J26" s="602">
        <v>0.36371310295176384</v>
      </c>
      <c r="K26" s="576">
        <v>0</v>
      </c>
      <c r="L26" s="576">
        <v>0</v>
      </c>
      <c r="M26" s="576">
        <v>0</v>
      </c>
      <c r="N26" s="675" t="s">
        <v>1053</v>
      </c>
      <c r="O26" s="605">
        <v>0</v>
      </c>
      <c r="P26" s="603">
        <v>0</v>
      </c>
      <c r="Q26" s="603">
        <v>0</v>
      </c>
      <c r="R26" s="603">
        <v>0</v>
      </c>
      <c r="S26" s="607">
        <v>0</v>
      </c>
      <c r="T26" s="603">
        <v>0</v>
      </c>
      <c r="U26" s="602" t="e">
        <v>#DIV/0!</v>
      </c>
      <c r="V26" s="603">
        <v>11112000</v>
      </c>
      <c r="W26" s="603">
        <v>7070420</v>
      </c>
      <c r="X26" s="607">
        <v>4041580</v>
      </c>
      <c r="Y26" s="602">
        <v>0.36371310295176384</v>
      </c>
      <c r="Z26" s="608" t="s">
        <v>1192</v>
      </c>
      <c r="AA26" s="609">
        <v>0</v>
      </c>
      <c r="AB26" s="609">
        <v>0</v>
      </c>
      <c r="AC26" s="609"/>
      <c r="AD26" s="609"/>
      <c r="AE26" s="609"/>
      <c r="AF26" s="609"/>
      <c r="AG26" s="609"/>
      <c r="AH26" s="611"/>
      <c r="AI26" s="611"/>
      <c r="AJ26" s="611"/>
      <c r="AK26" s="612"/>
      <c r="AL26" s="612"/>
      <c r="AM26" s="611"/>
      <c r="AO26" s="612"/>
      <c r="AP26" s="613" t="s">
        <v>667</v>
      </c>
      <c r="AQ26" s="614" t="s">
        <v>1103</v>
      </c>
      <c r="AR26" s="615">
        <v>11112000</v>
      </c>
      <c r="AS26" s="616">
        <v>7200000</v>
      </c>
      <c r="AT26" s="616">
        <v>3912000</v>
      </c>
      <c r="AU26" s="617">
        <v>0.35205183585313177</v>
      </c>
      <c r="AV26" s="615"/>
      <c r="AW26" s="616">
        <v>0</v>
      </c>
      <c r="AX26" s="616"/>
      <c r="AY26" s="615">
        <v>0</v>
      </c>
      <c r="AZ26" s="616">
        <v>0</v>
      </c>
      <c r="BA26" s="614">
        <v>0</v>
      </c>
      <c r="BB26" s="613">
        <v>0</v>
      </c>
      <c r="BC26" s="616">
        <v>0</v>
      </c>
      <c r="BD26" s="614">
        <v>0</v>
      </c>
      <c r="BE26" s="613">
        <v>0</v>
      </c>
      <c r="BF26" s="616">
        <v>0</v>
      </c>
      <c r="BG26" s="614">
        <v>0</v>
      </c>
      <c r="BH26" s="613">
        <v>11112000</v>
      </c>
      <c r="BI26" s="616">
        <v>7070420</v>
      </c>
      <c r="BJ26" s="614">
        <v>4041580</v>
      </c>
      <c r="BK26" s="619"/>
      <c r="BL26" s="620"/>
      <c r="BM26" s="621">
        <v>0</v>
      </c>
      <c r="BN26" s="622">
        <v>129580</v>
      </c>
      <c r="BO26" s="676">
        <v>-129580</v>
      </c>
      <c r="BP26" s="623" t="s">
        <v>1055</v>
      </c>
      <c r="BQ26" s="624"/>
      <c r="BR26" s="627" t="s">
        <v>667</v>
      </c>
      <c r="BS26" s="627" t="s">
        <v>1104</v>
      </c>
      <c r="BT26" s="627">
        <v>11112000</v>
      </c>
      <c r="BU26" s="627">
        <v>7200000</v>
      </c>
      <c r="BV26" s="627">
        <v>3912000</v>
      </c>
      <c r="BW26" s="627">
        <v>11112000</v>
      </c>
      <c r="BX26" s="627">
        <v>7070420</v>
      </c>
      <c r="BY26" s="627">
        <v>4041580</v>
      </c>
      <c r="BZ26" s="627">
        <v>0</v>
      </c>
      <c r="CA26" s="627">
        <v>129580</v>
      </c>
      <c r="CB26" s="627">
        <v>-129580</v>
      </c>
      <c r="CC26" s="611"/>
    </row>
    <row r="27" spans="1:81" ht="22.35" customHeight="1">
      <c r="A27" s="574" t="s">
        <v>668</v>
      </c>
      <c r="B27" s="574" t="s">
        <v>1105</v>
      </c>
      <c r="C27" s="577">
        <v>7820000</v>
      </c>
      <c r="D27" s="577">
        <v>8635953</v>
      </c>
      <c r="E27" s="577">
        <v>-815953</v>
      </c>
      <c r="F27" s="578">
        <v>-0.10434181585677749</v>
      </c>
      <c r="G27" s="576">
        <v>7385000</v>
      </c>
      <c r="H27" s="576">
        <v>7431809</v>
      </c>
      <c r="I27" s="576">
        <v>-46809</v>
      </c>
      <c r="J27" s="578">
        <v>-6.3383886255924168E-3</v>
      </c>
      <c r="K27" s="576">
        <v>0</v>
      </c>
      <c r="L27" s="576">
        <v>487567</v>
      </c>
      <c r="M27" s="576">
        <v>-487567</v>
      </c>
      <c r="N27" s="677" t="s">
        <v>1031</v>
      </c>
      <c r="O27" s="580">
        <v>100000</v>
      </c>
      <c r="P27" s="576">
        <v>34137</v>
      </c>
      <c r="Q27" s="576">
        <v>65863</v>
      </c>
      <c r="R27" s="576">
        <v>100000</v>
      </c>
      <c r="S27" s="595">
        <v>521704</v>
      </c>
      <c r="T27" s="576">
        <v>-421704</v>
      </c>
      <c r="U27" s="578">
        <v>-4.2170399999999999</v>
      </c>
      <c r="V27" s="576">
        <v>7485000</v>
      </c>
      <c r="W27" s="576">
        <v>7953513</v>
      </c>
      <c r="X27" s="576">
        <v>-468513</v>
      </c>
      <c r="Y27" s="578">
        <v>-6.2593587174348694E-2</v>
      </c>
      <c r="Z27" s="582" t="s">
        <v>1192</v>
      </c>
      <c r="AA27" s="583">
        <v>0</v>
      </c>
      <c r="AB27" s="583">
        <v>0</v>
      </c>
      <c r="AC27" s="583"/>
      <c r="AD27" s="583"/>
      <c r="AE27" s="583"/>
      <c r="AF27" s="583"/>
      <c r="AG27" s="583"/>
      <c r="AN27" s="657"/>
      <c r="AP27" s="585" t="s">
        <v>668</v>
      </c>
      <c r="AQ27" s="586" t="s">
        <v>1106</v>
      </c>
      <c r="AR27" s="587">
        <v>7820000</v>
      </c>
      <c r="AS27" s="588">
        <v>8635953</v>
      </c>
      <c r="AT27" s="588">
        <v>-815953</v>
      </c>
      <c r="AU27" s="589">
        <v>-0.10434181585677749</v>
      </c>
      <c r="AV27" s="587"/>
      <c r="AW27" s="588"/>
      <c r="AX27" s="586">
        <v>0</v>
      </c>
      <c r="AY27" s="587">
        <v>0</v>
      </c>
      <c r="AZ27" s="588">
        <v>0</v>
      </c>
      <c r="BA27" s="586">
        <v>0</v>
      </c>
      <c r="BB27" s="585">
        <v>100000</v>
      </c>
      <c r="BC27" s="588">
        <v>34137</v>
      </c>
      <c r="BD27" s="586">
        <v>65863</v>
      </c>
      <c r="BE27" s="585">
        <v>100000</v>
      </c>
      <c r="BF27" s="588">
        <v>521704</v>
      </c>
      <c r="BG27" s="586">
        <v>-421704</v>
      </c>
      <c r="BH27" s="585">
        <v>7485000</v>
      </c>
      <c r="BI27" s="588">
        <v>7953513</v>
      </c>
      <c r="BJ27" s="586">
        <v>-468513</v>
      </c>
      <c r="BK27" s="590"/>
      <c r="BL27" s="535"/>
      <c r="BM27" s="591">
        <v>335000</v>
      </c>
      <c r="BN27" s="592">
        <v>682440</v>
      </c>
      <c r="BO27" s="678">
        <v>-347440</v>
      </c>
      <c r="BP27" s="593"/>
      <c r="BQ27" s="542"/>
      <c r="BR27" s="594" t="s">
        <v>668</v>
      </c>
      <c r="BS27" s="594" t="s">
        <v>1107</v>
      </c>
      <c r="BT27" s="594">
        <v>7820000</v>
      </c>
      <c r="BU27" s="594">
        <v>8635953</v>
      </c>
      <c r="BV27" s="594">
        <v>-815953</v>
      </c>
      <c r="BW27" s="594">
        <v>7385000</v>
      </c>
      <c r="BX27" s="594">
        <v>7431809</v>
      </c>
      <c r="BY27" s="594">
        <v>-46809</v>
      </c>
      <c r="BZ27" s="594">
        <v>435000</v>
      </c>
      <c r="CA27" s="594">
        <v>1204144</v>
      </c>
      <c r="CB27" s="594">
        <v>-769144</v>
      </c>
    </row>
    <row r="28" spans="1:81" ht="22.35" customHeight="1">
      <c r="A28" s="574" t="s">
        <v>1108</v>
      </c>
      <c r="B28" s="574" t="s">
        <v>1109</v>
      </c>
      <c r="C28" s="577">
        <v>4030000</v>
      </c>
      <c r="D28" s="577">
        <v>2800000</v>
      </c>
      <c r="E28" s="577">
        <v>1230000</v>
      </c>
      <c r="F28" s="578">
        <v>0.30521091811414391</v>
      </c>
      <c r="G28" s="576">
        <v>3590000</v>
      </c>
      <c r="H28" s="576">
        <v>1731812</v>
      </c>
      <c r="I28" s="576">
        <v>1858188</v>
      </c>
      <c r="J28" s="578">
        <v>0.51760111420612809</v>
      </c>
      <c r="K28" s="576">
        <v>265000</v>
      </c>
      <c r="L28" s="576">
        <v>286564</v>
      </c>
      <c r="M28" s="576">
        <v>-21564</v>
      </c>
      <c r="N28" s="677" t="s">
        <v>1037</v>
      </c>
      <c r="O28" s="580">
        <v>65000</v>
      </c>
      <c r="P28" s="576">
        <v>92951</v>
      </c>
      <c r="Q28" s="576">
        <v>-27951</v>
      </c>
      <c r="R28" s="576">
        <v>330000</v>
      </c>
      <c r="S28" s="595">
        <v>379515</v>
      </c>
      <c r="T28" s="576">
        <v>-49515</v>
      </c>
      <c r="U28" s="578">
        <v>-0.15004545454545454</v>
      </c>
      <c r="V28" s="576">
        <v>3920000</v>
      </c>
      <c r="W28" s="576">
        <v>2111327</v>
      </c>
      <c r="X28" s="595">
        <v>1808673</v>
      </c>
      <c r="Y28" s="578">
        <v>0.46139617346938777</v>
      </c>
      <c r="Z28" s="582" t="s">
        <v>1192</v>
      </c>
      <c r="AA28" s="583">
        <v>0</v>
      </c>
      <c r="AB28" s="583">
        <v>0</v>
      </c>
      <c r="AC28" s="583"/>
      <c r="AD28" s="583"/>
      <c r="AE28" s="583"/>
      <c r="AF28" s="583"/>
      <c r="AG28" s="583"/>
      <c r="AN28" s="529"/>
      <c r="AP28" s="585" t="s">
        <v>670</v>
      </c>
      <c r="AQ28" s="586" t="s">
        <v>1110</v>
      </c>
      <c r="AR28" s="587">
        <v>4030000</v>
      </c>
      <c r="AS28" s="588">
        <v>2800000</v>
      </c>
      <c r="AT28" s="588">
        <v>1230000</v>
      </c>
      <c r="AU28" s="589">
        <v>0.30521091811414391</v>
      </c>
      <c r="AV28" s="587"/>
      <c r="AW28" s="588"/>
      <c r="AX28" s="586">
        <v>0</v>
      </c>
      <c r="AY28" s="587">
        <v>0</v>
      </c>
      <c r="AZ28" s="588">
        <v>0</v>
      </c>
      <c r="BA28" s="586">
        <v>0</v>
      </c>
      <c r="BB28" s="585">
        <v>65000</v>
      </c>
      <c r="BC28" s="588">
        <v>92951</v>
      </c>
      <c r="BD28" s="586">
        <v>-27951</v>
      </c>
      <c r="BE28" s="585">
        <v>330000</v>
      </c>
      <c r="BF28" s="588">
        <v>379515</v>
      </c>
      <c r="BG28" s="586">
        <v>-49515</v>
      </c>
      <c r="BH28" s="585">
        <v>3920000</v>
      </c>
      <c r="BI28" s="588">
        <v>2111327</v>
      </c>
      <c r="BJ28" s="586">
        <v>1808673</v>
      </c>
      <c r="BK28" s="590"/>
      <c r="BL28" s="535"/>
      <c r="BM28" s="679">
        <v>110000</v>
      </c>
      <c r="BN28" s="680">
        <v>688673</v>
      </c>
      <c r="BO28" s="681">
        <v>-578673</v>
      </c>
      <c r="BP28" s="593"/>
      <c r="BQ28" s="542"/>
      <c r="BR28" s="594" t="s">
        <v>670</v>
      </c>
      <c r="BS28" s="594" t="s">
        <v>1111</v>
      </c>
      <c r="BT28" s="594">
        <v>4030000</v>
      </c>
      <c r="BU28" s="594">
        <v>2800000</v>
      </c>
      <c r="BV28" s="594">
        <v>1230000</v>
      </c>
      <c r="BW28" s="594">
        <v>3590000</v>
      </c>
      <c r="BX28" s="594">
        <v>1731812</v>
      </c>
      <c r="BY28" s="594">
        <v>1858188</v>
      </c>
      <c r="BZ28" s="594">
        <v>440000</v>
      </c>
      <c r="CA28" s="594">
        <v>1068188</v>
      </c>
      <c r="CB28" s="594">
        <v>-628188</v>
      </c>
    </row>
    <row r="29" spans="1:81" s="610" customFormat="1" ht="22.35" customHeight="1">
      <c r="A29" s="599" t="s">
        <v>1112</v>
      </c>
      <c r="B29" s="674" t="s">
        <v>1113</v>
      </c>
      <c r="C29" s="601">
        <v>5150000</v>
      </c>
      <c r="D29" s="601">
        <v>3686233</v>
      </c>
      <c r="E29" s="601">
        <v>1463767</v>
      </c>
      <c r="F29" s="602">
        <v>0.28422660194174759</v>
      </c>
      <c r="G29" s="603">
        <v>867500</v>
      </c>
      <c r="H29" s="603">
        <v>329900</v>
      </c>
      <c r="I29" s="603">
        <v>537600</v>
      </c>
      <c r="J29" s="602">
        <v>0.61971181556195964</v>
      </c>
      <c r="K29" s="576">
        <v>0</v>
      </c>
      <c r="L29" s="576">
        <v>41102</v>
      </c>
      <c r="M29" s="576">
        <v>-41102</v>
      </c>
      <c r="N29" s="675" t="s">
        <v>1053</v>
      </c>
      <c r="O29" s="605">
        <v>0</v>
      </c>
      <c r="P29" s="603">
        <v>2086</v>
      </c>
      <c r="Q29" s="603">
        <v>-2086</v>
      </c>
      <c r="R29" s="603">
        <v>0</v>
      </c>
      <c r="S29" s="607">
        <v>43188</v>
      </c>
      <c r="T29" s="603">
        <v>-43188</v>
      </c>
      <c r="U29" s="602" t="e">
        <v>#DIV/0!</v>
      </c>
      <c r="V29" s="603">
        <v>867500</v>
      </c>
      <c r="W29" s="603">
        <v>373088</v>
      </c>
      <c r="X29" s="607">
        <v>494412</v>
      </c>
      <c r="Y29" s="602">
        <v>0.56992737752161382</v>
      </c>
      <c r="Z29" s="608" t="s">
        <v>1192</v>
      </c>
      <c r="AA29" s="609">
        <v>0</v>
      </c>
      <c r="AB29" s="609">
        <v>0</v>
      </c>
      <c r="AC29" s="609"/>
      <c r="AD29" s="609"/>
      <c r="AE29" s="609"/>
      <c r="AF29" s="609"/>
      <c r="AG29" s="609"/>
      <c r="AH29" s="611"/>
      <c r="AI29" s="611"/>
      <c r="AJ29" s="611"/>
      <c r="AK29" s="612"/>
      <c r="AL29" s="612"/>
      <c r="AM29" s="611"/>
      <c r="AO29" s="612"/>
      <c r="AP29" s="613" t="s">
        <v>672</v>
      </c>
      <c r="AQ29" s="614" t="s">
        <v>1114</v>
      </c>
      <c r="AR29" s="615">
        <v>5150000</v>
      </c>
      <c r="AS29" s="616">
        <v>3686233</v>
      </c>
      <c r="AT29" s="616">
        <v>1463767</v>
      </c>
      <c r="AU29" s="617">
        <v>0.28422660194174759</v>
      </c>
      <c r="AV29" s="615"/>
      <c r="AW29" s="616"/>
      <c r="AX29" s="614">
        <v>0</v>
      </c>
      <c r="AY29" s="615">
        <v>0</v>
      </c>
      <c r="AZ29" s="616">
        <v>0</v>
      </c>
      <c r="BA29" s="614">
        <v>0</v>
      </c>
      <c r="BB29" s="613">
        <v>0</v>
      </c>
      <c r="BC29" s="616">
        <v>2086</v>
      </c>
      <c r="BD29" s="614">
        <v>-2086</v>
      </c>
      <c r="BE29" s="613">
        <v>0</v>
      </c>
      <c r="BF29" s="616">
        <v>43188</v>
      </c>
      <c r="BG29" s="614">
        <v>-43188</v>
      </c>
      <c r="BH29" s="613">
        <v>867500</v>
      </c>
      <c r="BI29" s="616">
        <v>373088</v>
      </c>
      <c r="BJ29" s="614">
        <v>494412</v>
      </c>
      <c r="BK29" s="619"/>
      <c r="BL29" s="620"/>
      <c r="BM29" s="682">
        <v>4282500</v>
      </c>
      <c r="BN29" s="683">
        <v>3313145</v>
      </c>
      <c r="BO29" s="683">
        <v>969355</v>
      </c>
      <c r="BP29" s="623" t="s">
        <v>1055</v>
      </c>
      <c r="BQ29" s="624"/>
      <c r="BR29" s="625" t="s">
        <v>672</v>
      </c>
      <c r="BS29" s="684" t="s">
        <v>1115</v>
      </c>
      <c r="BT29" s="627">
        <v>5150000</v>
      </c>
      <c r="BU29" s="627">
        <v>3686233</v>
      </c>
      <c r="BV29" s="627">
        <v>1463767</v>
      </c>
      <c r="BW29" s="627">
        <v>867500</v>
      </c>
      <c r="BX29" s="627">
        <v>329900</v>
      </c>
      <c r="BY29" s="627">
        <v>537600</v>
      </c>
      <c r="BZ29" s="627">
        <v>4282500</v>
      </c>
      <c r="CA29" s="627">
        <v>3356333</v>
      </c>
      <c r="CB29" s="627">
        <v>926167</v>
      </c>
      <c r="CC29" s="611"/>
    </row>
    <row r="30" spans="1:81" s="610" customFormat="1" ht="22.35" customHeight="1">
      <c r="A30" s="574" t="s">
        <v>1116</v>
      </c>
      <c r="B30" s="574" t="s">
        <v>1117</v>
      </c>
      <c r="C30" s="577">
        <v>19200000</v>
      </c>
      <c r="D30" s="577">
        <v>14100000</v>
      </c>
      <c r="E30" s="577">
        <v>5100000</v>
      </c>
      <c r="F30" s="578">
        <v>0.265625</v>
      </c>
      <c r="G30" s="576">
        <v>10965000</v>
      </c>
      <c r="H30" s="576">
        <v>6422371</v>
      </c>
      <c r="I30" s="576">
        <v>4542629</v>
      </c>
      <c r="J30" s="578">
        <v>0.41428445052439583</v>
      </c>
      <c r="K30" s="576">
        <v>2925000</v>
      </c>
      <c r="L30" s="576">
        <v>1965908</v>
      </c>
      <c r="M30" s="576">
        <v>959092</v>
      </c>
      <c r="N30" s="677" t="s">
        <v>1037</v>
      </c>
      <c r="O30" s="580">
        <v>300000</v>
      </c>
      <c r="P30" s="576">
        <v>147837</v>
      </c>
      <c r="Q30" s="576">
        <v>152163</v>
      </c>
      <c r="R30" s="576">
        <v>3225000</v>
      </c>
      <c r="S30" s="595">
        <v>2113745</v>
      </c>
      <c r="T30" s="576">
        <v>1111255</v>
      </c>
      <c r="U30" s="578">
        <v>0.34457519379844959</v>
      </c>
      <c r="V30" s="576">
        <v>14190000</v>
      </c>
      <c r="W30" s="576">
        <v>8536116</v>
      </c>
      <c r="X30" s="595">
        <v>5653884</v>
      </c>
      <c r="Y30" s="578">
        <v>0.3984414376321353</v>
      </c>
      <c r="Z30" s="582" t="s">
        <v>1192</v>
      </c>
      <c r="AA30" s="583">
        <v>0</v>
      </c>
      <c r="AB30" s="583">
        <v>0</v>
      </c>
      <c r="AC30" s="583"/>
      <c r="AD30" s="583"/>
      <c r="AE30" s="583"/>
      <c r="AF30" s="583"/>
      <c r="AG30" s="583"/>
      <c r="AH30" s="532"/>
      <c r="AI30" s="532"/>
      <c r="AJ30" s="532"/>
      <c r="AK30" s="533"/>
      <c r="AL30" s="533"/>
      <c r="AM30" s="532"/>
      <c r="AN30" s="529"/>
      <c r="AO30" s="533"/>
      <c r="AP30" s="585" t="s">
        <v>673</v>
      </c>
      <c r="AQ30" s="586" t="s">
        <v>1118</v>
      </c>
      <c r="AR30" s="587">
        <v>19200000</v>
      </c>
      <c r="AS30" s="588">
        <v>14100000</v>
      </c>
      <c r="AT30" s="588">
        <v>5100000</v>
      </c>
      <c r="AU30" s="589">
        <v>0.265625</v>
      </c>
      <c r="AV30" s="585"/>
      <c r="AW30" s="588"/>
      <c r="AX30" s="586">
        <v>0</v>
      </c>
      <c r="AY30" s="587">
        <v>0</v>
      </c>
      <c r="AZ30" s="588">
        <v>0</v>
      </c>
      <c r="BA30" s="586">
        <v>0</v>
      </c>
      <c r="BB30" s="585">
        <v>300000</v>
      </c>
      <c r="BC30" s="588">
        <v>147837</v>
      </c>
      <c r="BD30" s="586">
        <v>152163</v>
      </c>
      <c r="BE30" s="585">
        <v>3225000</v>
      </c>
      <c r="BF30" s="588">
        <v>2113745</v>
      </c>
      <c r="BG30" s="586">
        <v>1111255</v>
      </c>
      <c r="BH30" s="585">
        <v>14190000</v>
      </c>
      <c r="BI30" s="588">
        <v>8536116</v>
      </c>
      <c r="BJ30" s="586">
        <v>5653884</v>
      </c>
      <c r="BK30" s="590"/>
      <c r="BL30" s="535"/>
      <c r="BM30" s="679">
        <v>5010000</v>
      </c>
      <c r="BN30" s="680">
        <v>5563884</v>
      </c>
      <c r="BO30" s="680">
        <v>-553884</v>
      </c>
      <c r="BP30" s="593"/>
      <c r="BQ30" s="542"/>
      <c r="BR30" s="597" t="s">
        <v>673</v>
      </c>
      <c r="BS30" s="597" t="s">
        <v>1119</v>
      </c>
      <c r="BT30" s="594">
        <v>19200000</v>
      </c>
      <c r="BU30" s="594">
        <v>14100000</v>
      </c>
      <c r="BV30" s="594">
        <v>5100000</v>
      </c>
      <c r="BW30" s="594">
        <v>10965000</v>
      </c>
      <c r="BX30" s="594">
        <v>6422371</v>
      </c>
      <c r="BY30" s="594">
        <v>4542629</v>
      </c>
      <c r="BZ30" s="594">
        <v>8235000</v>
      </c>
      <c r="CA30" s="594">
        <v>7677629</v>
      </c>
      <c r="CB30" s="594">
        <v>557371</v>
      </c>
      <c r="CC30" s="611"/>
    </row>
    <row r="31" spans="1:81" s="610" customFormat="1" ht="22.35" customHeight="1">
      <c r="A31" s="574" t="s">
        <v>1120</v>
      </c>
      <c r="B31" s="574" t="s">
        <v>1121</v>
      </c>
      <c r="C31" s="577">
        <v>4940000</v>
      </c>
      <c r="D31" s="577">
        <v>3200000</v>
      </c>
      <c r="E31" s="577">
        <v>1740000</v>
      </c>
      <c r="F31" s="578">
        <v>0.35222672064777327</v>
      </c>
      <c r="G31" s="576">
        <v>3530000</v>
      </c>
      <c r="H31" s="576">
        <v>1849895</v>
      </c>
      <c r="I31" s="576">
        <v>1680105</v>
      </c>
      <c r="J31" s="578">
        <v>0.47595042492917849</v>
      </c>
      <c r="K31" s="576">
        <v>700000</v>
      </c>
      <c r="L31" s="576">
        <v>630893</v>
      </c>
      <c r="M31" s="576">
        <v>69107</v>
      </c>
      <c r="N31" s="677" t="s">
        <v>1037</v>
      </c>
      <c r="O31" s="580">
        <v>140000</v>
      </c>
      <c r="P31" s="576">
        <v>108868</v>
      </c>
      <c r="Q31" s="576">
        <v>31132</v>
      </c>
      <c r="R31" s="576">
        <v>840000</v>
      </c>
      <c r="S31" s="595">
        <v>739761</v>
      </c>
      <c r="T31" s="576">
        <v>100239</v>
      </c>
      <c r="U31" s="578">
        <v>0.11933214285714286</v>
      </c>
      <c r="V31" s="576">
        <v>4370000</v>
      </c>
      <c r="W31" s="576">
        <v>2589656</v>
      </c>
      <c r="X31" s="595">
        <v>1780344</v>
      </c>
      <c r="Y31" s="578">
        <v>0.40740137299771167</v>
      </c>
      <c r="Z31" s="582" t="s">
        <v>1192</v>
      </c>
      <c r="AA31" s="583">
        <v>0</v>
      </c>
      <c r="AB31" s="583">
        <v>0</v>
      </c>
      <c r="AC31" s="583"/>
      <c r="AD31" s="583"/>
      <c r="AE31" s="583"/>
      <c r="AF31" s="583"/>
      <c r="AG31" s="583"/>
      <c r="AH31" s="532"/>
      <c r="AI31" s="532"/>
      <c r="AJ31" s="532"/>
      <c r="AK31" s="533"/>
      <c r="AL31" s="533"/>
      <c r="AM31" s="532"/>
      <c r="AN31" s="529"/>
      <c r="AO31" s="533"/>
      <c r="AP31" s="585" t="s">
        <v>675</v>
      </c>
      <c r="AQ31" s="586" t="s">
        <v>1122</v>
      </c>
      <c r="AR31" s="587">
        <v>4940000</v>
      </c>
      <c r="AS31" s="588">
        <v>3200000</v>
      </c>
      <c r="AT31" s="588">
        <v>1740000</v>
      </c>
      <c r="AU31" s="589">
        <v>0.35222672064777327</v>
      </c>
      <c r="AV31" s="585"/>
      <c r="AW31" s="588"/>
      <c r="AX31" s="586">
        <v>0</v>
      </c>
      <c r="AY31" s="587">
        <v>0</v>
      </c>
      <c r="AZ31" s="588">
        <v>0</v>
      </c>
      <c r="BA31" s="586">
        <v>0</v>
      </c>
      <c r="BB31" s="585">
        <v>140000</v>
      </c>
      <c r="BC31" s="588">
        <v>108868</v>
      </c>
      <c r="BD31" s="586">
        <v>31132</v>
      </c>
      <c r="BE31" s="585">
        <v>840000</v>
      </c>
      <c r="BF31" s="588">
        <v>739761</v>
      </c>
      <c r="BG31" s="586">
        <v>100239</v>
      </c>
      <c r="BH31" s="585">
        <v>4370000</v>
      </c>
      <c r="BI31" s="588">
        <v>2589656</v>
      </c>
      <c r="BJ31" s="586">
        <v>1780344</v>
      </c>
      <c r="BK31" s="590"/>
      <c r="BL31" s="535"/>
      <c r="BM31" s="679">
        <v>570000</v>
      </c>
      <c r="BN31" s="680">
        <v>610344</v>
      </c>
      <c r="BO31" s="680">
        <v>-40344</v>
      </c>
      <c r="BP31" s="593"/>
      <c r="BQ31" s="542"/>
      <c r="BR31" s="597" t="s">
        <v>675</v>
      </c>
      <c r="BS31" s="597" t="s">
        <v>1123</v>
      </c>
      <c r="BT31" s="594">
        <v>4940000</v>
      </c>
      <c r="BU31" s="594">
        <v>3200000</v>
      </c>
      <c r="BV31" s="594">
        <v>1740000</v>
      </c>
      <c r="BW31" s="594">
        <v>3530000</v>
      </c>
      <c r="BX31" s="594">
        <v>1849895</v>
      </c>
      <c r="BY31" s="594">
        <v>1680105</v>
      </c>
      <c r="BZ31" s="594">
        <v>1410000</v>
      </c>
      <c r="CA31" s="594">
        <v>1350105</v>
      </c>
      <c r="CB31" s="594">
        <v>59895</v>
      </c>
      <c r="CC31" s="611"/>
    </row>
    <row r="32" spans="1:81" s="692" customFormat="1" ht="22.35" customHeight="1">
      <c r="A32" s="685" t="s">
        <v>1124</v>
      </c>
      <c r="B32" s="685" t="s">
        <v>1125</v>
      </c>
      <c r="C32" s="686">
        <v>32838000</v>
      </c>
      <c r="D32" s="686">
        <v>21000000</v>
      </c>
      <c r="E32" s="686">
        <v>11838000</v>
      </c>
      <c r="F32" s="578">
        <v>0.36049698520007306</v>
      </c>
      <c r="G32" s="687">
        <v>21665000</v>
      </c>
      <c r="H32" s="687">
        <v>11292695</v>
      </c>
      <c r="I32" s="687">
        <v>10372305</v>
      </c>
      <c r="J32" s="578">
        <v>0.4787585968151396</v>
      </c>
      <c r="K32" s="576">
        <v>6410000</v>
      </c>
      <c r="L32" s="576">
        <v>2362555</v>
      </c>
      <c r="M32" s="576">
        <v>4047445</v>
      </c>
      <c r="N32" s="688" t="s">
        <v>1037</v>
      </c>
      <c r="O32" s="580">
        <v>870000</v>
      </c>
      <c r="P32" s="576">
        <v>332659</v>
      </c>
      <c r="Q32" s="576">
        <v>537341</v>
      </c>
      <c r="R32" s="687">
        <v>7280000</v>
      </c>
      <c r="S32" s="687">
        <v>2695214</v>
      </c>
      <c r="T32" s="687">
        <v>4584786</v>
      </c>
      <c r="U32" s="578">
        <v>0.62977829670329666</v>
      </c>
      <c r="V32" s="687">
        <v>28945000</v>
      </c>
      <c r="W32" s="687">
        <v>13987909</v>
      </c>
      <c r="X32" s="687">
        <v>14957091</v>
      </c>
      <c r="Y32" s="578">
        <v>0.51674178614613919</v>
      </c>
      <c r="Z32" s="656" t="s">
        <v>1192</v>
      </c>
      <c r="AA32" s="583">
        <v>0</v>
      </c>
      <c r="AB32" s="583">
        <v>0</v>
      </c>
      <c r="AC32" s="583"/>
      <c r="AD32" s="689"/>
      <c r="AE32" s="689"/>
      <c r="AF32" s="689"/>
      <c r="AG32" s="689"/>
      <c r="AH32" s="690"/>
      <c r="AI32" s="690"/>
      <c r="AJ32" s="690"/>
      <c r="AK32" s="691"/>
      <c r="AL32" s="691"/>
      <c r="AM32" s="690"/>
      <c r="AO32" s="691"/>
      <c r="AP32" s="585" t="s">
        <v>677</v>
      </c>
      <c r="AQ32" s="586" t="s">
        <v>1126</v>
      </c>
      <c r="AR32" s="587">
        <v>32838000</v>
      </c>
      <c r="AS32" s="588">
        <v>21000000</v>
      </c>
      <c r="AT32" s="588">
        <v>11838000</v>
      </c>
      <c r="AU32" s="589">
        <v>0.36049698520007306</v>
      </c>
      <c r="AV32" s="585"/>
      <c r="AW32" s="588"/>
      <c r="AX32" s="586">
        <v>0</v>
      </c>
      <c r="AY32" s="587">
        <v>0</v>
      </c>
      <c r="AZ32" s="588">
        <v>0</v>
      </c>
      <c r="BA32" s="586">
        <v>0</v>
      </c>
      <c r="BB32" s="585">
        <v>870000</v>
      </c>
      <c r="BC32" s="588">
        <v>332659</v>
      </c>
      <c r="BD32" s="586">
        <v>537341</v>
      </c>
      <c r="BE32" s="585">
        <v>7280000</v>
      </c>
      <c r="BF32" s="588">
        <v>2695214</v>
      </c>
      <c r="BG32" s="586">
        <v>4584786</v>
      </c>
      <c r="BH32" s="585">
        <v>28945000</v>
      </c>
      <c r="BI32" s="588">
        <v>13987909</v>
      </c>
      <c r="BJ32" s="586">
        <v>14957091</v>
      </c>
      <c r="BK32" s="590"/>
      <c r="BL32" s="693"/>
      <c r="BM32" s="694">
        <v>3893000</v>
      </c>
      <c r="BN32" s="695">
        <v>7012091</v>
      </c>
      <c r="BO32" s="695">
        <v>-3119091</v>
      </c>
      <c r="BP32" s="593"/>
      <c r="BQ32" s="696"/>
      <c r="BR32" s="594" t="s">
        <v>677</v>
      </c>
      <c r="BS32" s="594" t="s">
        <v>1127</v>
      </c>
      <c r="BT32" s="594">
        <v>32838000</v>
      </c>
      <c r="BU32" s="594">
        <v>21000000</v>
      </c>
      <c r="BV32" s="594">
        <v>11838000</v>
      </c>
      <c r="BW32" s="594">
        <v>21665000</v>
      </c>
      <c r="BX32" s="594">
        <v>11292695</v>
      </c>
      <c r="BY32" s="594">
        <v>10372305</v>
      </c>
      <c r="BZ32" s="594">
        <v>11173000</v>
      </c>
      <c r="CA32" s="594">
        <v>9707305</v>
      </c>
      <c r="CB32" s="594">
        <v>1465695</v>
      </c>
      <c r="CC32" s="690"/>
    </row>
    <row r="33" spans="1:81" s="692" customFormat="1" ht="22.35" customHeight="1">
      <c r="A33" s="685" t="s">
        <v>1128</v>
      </c>
      <c r="B33" s="685" t="s">
        <v>1129</v>
      </c>
      <c r="C33" s="686">
        <v>2200000</v>
      </c>
      <c r="D33" s="686">
        <v>1693655</v>
      </c>
      <c r="E33" s="686">
        <v>506345</v>
      </c>
      <c r="F33" s="578">
        <v>0.23015681818181818</v>
      </c>
      <c r="G33" s="687">
        <v>2200000</v>
      </c>
      <c r="H33" s="687">
        <v>1517663</v>
      </c>
      <c r="I33" s="687">
        <v>682337</v>
      </c>
      <c r="J33" s="578">
        <v>0.3101531818181818</v>
      </c>
      <c r="K33" s="576">
        <v>0</v>
      </c>
      <c r="L33" s="576">
        <v>140644</v>
      </c>
      <c r="M33" s="576">
        <v>-140644</v>
      </c>
      <c r="N33" s="688" t="s">
        <v>1037</v>
      </c>
      <c r="O33" s="580">
        <v>0</v>
      </c>
      <c r="P33" s="576">
        <v>23545</v>
      </c>
      <c r="Q33" s="576">
        <v>-23545</v>
      </c>
      <c r="R33" s="687">
        <v>0</v>
      </c>
      <c r="S33" s="687">
        <v>164189</v>
      </c>
      <c r="T33" s="687">
        <v>-164189</v>
      </c>
      <c r="U33" s="578" t="e">
        <v>#DIV/0!</v>
      </c>
      <c r="V33" s="687">
        <v>2200000</v>
      </c>
      <c r="W33" s="687">
        <v>1681852</v>
      </c>
      <c r="X33" s="687">
        <v>518148</v>
      </c>
      <c r="Y33" s="578">
        <v>0.23552181818181819</v>
      </c>
      <c r="Z33" s="656" t="s">
        <v>1192</v>
      </c>
      <c r="AA33" s="583">
        <v>0</v>
      </c>
      <c r="AB33" s="583">
        <v>0</v>
      </c>
      <c r="AC33" s="583"/>
      <c r="AD33" s="689"/>
      <c r="AE33" s="689"/>
      <c r="AF33" s="689"/>
      <c r="AG33" s="689"/>
      <c r="AH33" s="690"/>
      <c r="AI33" s="690"/>
      <c r="AJ33" s="690"/>
      <c r="AK33" s="691"/>
      <c r="AL33" s="691"/>
      <c r="AM33" s="690"/>
      <c r="AO33" s="691"/>
      <c r="AP33" s="585" t="s">
        <v>678</v>
      </c>
      <c r="AQ33" s="586" t="s">
        <v>1130</v>
      </c>
      <c r="AR33" s="587">
        <v>2200000</v>
      </c>
      <c r="AS33" s="588">
        <v>1693655</v>
      </c>
      <c r="AT33" s="588">
        <v>506345</v>
      </c>
      <c r="AU33" s="589">
        <v>0.23015681818181818</v>
      </c>
      <c r="AV33" s="585"/>
      <c r="AW33" s="588"/>
      <c r="AX33" s="586">
        <v>0</v>
      </c>
      <c r="AY33" s="587">
        <v>0</v>
      </c>
      <c r="AZ33" s="588">
        <v>0</v>
      </c>
      <c r="BA33" s="586">
        <v>0</v>
      </c>
      <c r="BB33" s="585">
        <v>0</v>
      </c>
      <c r="BC33" s="588">
        <v>23545</v>
      </c>
      <c r="BD33" s="586">
        <v>-23545</v>
      </c>
      <c r="BE33" s="585">
        <v>0</v>
      </c>
      <c r="BF33" s="588">
        <v>164189</v>
      </c>
      <c r="BG33" s="586">
        <v>-164189</v>
      </c>
      <c r="BH33" s="585">
        <v>2200000</v>
      </c>
      <c r="BI33" s="588">
        <v>1681852</v>
      </c>
      <c r="BJ33" s="586">
        <v>518148</v>
      </c>
      <c r="BK33" s="590"/>
      <c r="BL33" s="693"/>
      <c r="BM33" s="694">
        <v>0</v>
      </c>
      <c r="BN33" s="695">
        <v>11803</v>
      </c>
      <c r="BO33" s="695">
        <v>-11803</v>
      </c>
      <c r="BP33" s="593"/>
      <c r="BQ33" s="696"/>
      <c r="BR33" s="597" t="s">
        <v>678</v>
      </c>
      <c r="BS33" s="697" t="s">
        <v>1131</v>
      </c>
      <c r="BT33" s="594">
        <v>2200000</v>
      </c>
      <c r="BU33" s="594">
        <v>1693655</v>
      </c>
      <c r="BV33" s="594">
        <v>506345</v>
      </c>
      <c r="BW33" s="594">
        <v>2200000</v>
      </c>
      <c r="BX33" s="594">
        <v>1517663</v>
      </c>
      <c r="BY33" s="594">
        <v>682337</v>
      </c>
      <c r="BZ33" s="594">
        <v>0</v>
      </c>
      <c r="CA33" s="594">
        <v>175992</v>
      </c>
      <c r="CB33" s="594">
        <v>-175992</v>
      </c>
      <c r="CC33" s="690"/>
    </row>
    <row r="34" spans="1:81" s="692" customFormat="1" ht="22.35" customHeight="1">
      <c r="A34" s="685" t="s">
        <v>1132</v>
      </c>
      <c r="B34" s="685" t="s">
        <v>1133</v>
      </c>
      <c r="C34" s="686">
        <v>3125000</v>
      </c>
      <c r="D34" s="686">
        <v>2550964</v>
      </c>
      <c r="E34" s="686">
        <v>574036</v>
      </c>
      <c r="F34" s="578">
        <v>0.18369152</v>
      </c>
      <c r="G34" s="687">
        <v>2685000</v>
      </c>
      <c r="H34" s="687">
        <v>1745102</v>
      </c>
      <c r="I34" s="687">
        <v>939898</v>
      </c>
      <c r="J34" s="578">
        <v>0.35005512104283054</v>
      </c>
      <c r="K34" s="576">
        <v>290000</v>
      </c>
      <c r="L34" s="576">
        <v>270472</v>
      </c>
      <c r="M34" s="576">
        <v>19528</v>
      </c>
      <c r="N34" s="688" t="s">
        <v>1037</v>
      </c>
      <c r="O34" s="580">
        <v>0</v>
      </c>
      <c r="P34" s="576">
        <v>52377</v>
      </c>
      <c r="Q34" s="576">
        <v>-52377</v>
      </c>
      <c r="R34" s="687">
        <v>290000</v>
      </c>
      <c r="S34" s="687">
        <v>322849</v>
      </c>
      <c r="T34" s="687">
        <v>-32849</v>
      </c>
      <c r="U34" s="578">
        <v>-0.11327241379310345</v>
      </c>
      <c r="V34" s="687">
        <v>2975000</v>
      </c>
      <c r="W34" s="687">
        <v>2067951</v>
      </c>
      <c r="X34" s="687">
        <v>907049</v>
      </c>
      <c r="Y34" s="578">
        <v>0.30489042016806722</v>
      </c>
      <c r="Z34" s="656" t="s">
        <v>1192</v>
      </c>
      <c r="AA34" s="583">
        <v>0</v>
      </c>
      <c r="AB34" s="583">
        <v>0</v>
      </c>
      <c r="AC34" s="583"/>
      <c r="AD34" s="689"/>
      <c r="AE34" s="689"/>
      <c r="AF34" s="689"/>
      <c r="AG34" s="689"/>
      <c r="AH34" s="690"/>
      <c r="AI34" s="690"/>
      <c r="AJ34" s="690"/>
      <c r="AK34" s="691"/>
      <c r="AL34" s="691"/>
      <c r="AM34" s="690"/>
      <c r="AO34" s="691"/>
      <c r="AP34" s="585" t="s">
        <v>680</v>
      </c>
      <c r="AQ34" s="586" t="s">
        <v>1134</v>
      </c>
      <c r="AR34" s="587">
        <v>3125000</v>
      </c>
      <c r="AS34" s="588">
        <v>2550964</v>
      </c>
      <c r="AT34" s="588">
        <v>574036</v>
      </c>
      <c r="AU34" s="589">
        <v>0.18369152</v>
      </c>
      <c r="AV34" s="585"/>
      <c r="AW34" s="588"/>
      <c r="AX34" s="586">
        <v>0</v>
      </c>
      <c r="AY34" s="587">
        <v>0</v>
      </c>
      <c r="AZ34" s="588">
        <v>0</v>
      </c>
      <c r="BA34" s="586">
        <v>0</v>
      </c>
      <c r="BB34" s="585">
        <v>0</v>
      </c>
      <c r="BC34" s="588">
        <v>52377</v>
      </c>
      <c r="BD34" s="586">
        <v>-52377</v>
      </c>
      <c r="BE34" s="585">
        <v>290000</v>
      </c>
      <c r="BF34" s="588">
        <v>322849</v>
      </c>
      <c r="BG34" s="586">
        <v>-32849</v>
      </c>
      <c r="BH34" s="585">
        <v>2975000</v>
      </c>
      <c r="BI34" s="588">
        <v>2067951</v>
      </c>
      <c r="BJ34" s="586">
        <v>907049</v>
      </c>
      <c r="BK34" s="590"/>
      <c r="BL34" s="693"/>
      <c r="BM34" s="694">
        <v>150000</v>
      </c>
      <c r="BN34" s="695">
        <v>483013</v>
      </c>
      <c r="BO34" s="695">
        <v>-333013</v>
      </c>
      <c r="BP34" s="593"/>
      <c r="BQ34" s="696"/>
      <c r="BR34" s="597" t="s">
        <v>680</v>
      </c>
      <c r="BS34" s="597" t="s">
        <v>1135</v>
      </c>
      <c r="BT34" s="594">
        <v>3125000</v>
      </c>
      <c r="BU34" s="594">
        <v>2550964</v>
      </c>
      <c r="BV34" s="594">
        <v>574036</v>
      </c>
      <c r="BW34" s="594">
        <v>2685000</v>
      </c>
      <c r="BX34" s="594">
        <v>1745102</v>
      </c>
      <c r="BY34" s="594">
        <v>939898</v>
      </c>
      <c r="BZ34" s="594">
        <v>440000</v>
      </c>
      <c r="CA34" s="594">
        <v>805862</v>
      </c>
      <c r="CB34" s="594">
        <v>-365862</v>
      </c>
      <c r="CC34" s="690"/>
    </row>
    <row r="35" spans="1:81" s="692" customFormat="1" ht="22.35" customHeight="1">
      <c r="A35" s="685" t="s">
        <v>1136</v>
      </c>
      <c r="B35" s="685" t="s">
        <v>1137</v>
      </c>
      <c r="C35" s="686">
        <v>2042000</v>
      </c>
      <c r="D35" s="686">
        <v>1088331</v>
      </c>
      <c r="E35" s="686">
        <v>953669</v>
      </c>
      <c r="F35" s="578">
        <v>0.4670269343780607</v>
      </c>
      <c r="G35" s="687">
        <v>1542000</v>
      </c>
      <c r="H35" s="687">
        <v>689945</v>
      </c>
      <c r="I35" s="687">
        <v>852055</v>
      </c>
      <c r="J35" s="578">
        <v>0.55256485084306095</v>
      </c>
      <c r="K35" s="576">
        <v>435000</v>
      </c>
      <c r="L35" s="576">
        <v>160417</v>
      </c>
      <c r="M35" s="576">
        <v>274583</v>
      </c>
      <c r="N35" s="688" t="s">
        <v>1037</v>
      </c>
      <c r="O35" s="580">
        <v>0</v>
      </c>
      <c r="P35" s="576">
        <v>30645</v>
      </c>
      <c r="Q35" s="576">
        <v>-30645</v>
      </c>
      <c r="R35" s="687">
        <v>435000</v>
      </c>
      <c r="S35" s="687">
        <v>191062</v>
      </c>
      <c r="T35" s="687">
        <v>243938</v>
      </c>
      <c r="U35" s="578">
        <v>0.56077701149425285</v>
      </c>
      <c r="V35" s="687">
        <v>1977000</v>
      </c>
      <c r="W35" s="687">
        <v>881007</v>
      </c>
      <c r="X35" s="687">
        <v>1095993</v>
      </c>
      <c r="Y35" s="578">
        <v>0.55437177541729898</v>
      </c>
      <c r="Z35" s="656" t="s">
        <v>1192</v>
      </c>
      <c r="AA35" s="583">
        <v>0</v>
      </c>
      <c r="AB35" s="583">
        <v>0</v>
      </c>
      <c r="AC35" s="583"/>
      <c r="AD35" s="689"/>
      <c r="AE35" s="689"/>
      <c r="AF35" s="689"/>
      <c r="AG35" s="689"/>
      <c r="AH35" s="690"/>
      <c r="AI35" s="690"/>
      <c r="AJ35" s="690"/>
      <c r="AK35" s="691"/>
      <c r="AL35" s="691"/>
      <c r="AM35" s="690"/>
      <c r="AO35" s="691"/>
      <c r="AP35" s="585" t="s">
        <v>682</v>
      </c>
      <c r="AQ35" s="586" t="s">
        <v>1138</v>
      </c>
      <c r="AR35" s="587">
        <v>2042000</v>
      </c>
      <c r="AS35" s="588">
        <v>1088331</v>
      </c>
      <c r="AT35" s="588">
        <v>953669</v>
      </c>
      <c r="AU35" s="589">
        <v>0.4670269343780607</v>
      </c>
      <c r="AV35" s="585"/>
      <c r="AW35" s="588"/>
      <c r="AX35" s="586">
        <v>0</v>
      </c>
      <c r="AY35" s="587">
        <v>0</v>
      </c>
      <c r="AZ35" s="588">
        <v>0</v>
      </c>
      <c r="BA35" s="586">
        <v>0</v>
      </c>
      <c r="BB35" s="585">
        <v>0</v>
      </c>
      <c r="BC35" s="588">
        <v>30645</v>
      </c>
      <c r="BD35" s="586">
        <v>-30645</v>
      </c>
      <c r="BE35" s="585">
        <v>435000</v>
      </c>
      <c r="BF35" s="588">
        <v>191062</v>
      </c>
      <c r="BG35" s="586">
        <v>243938</v>
      </c>
      <c r="BH35" s="585">
        <v>1977000</v>
      </c>
      <c r="BI35" s="588">
        <v>881007</v>
      </c>
      <c r="BJ35" s="586">
        <v>1095993</v>
      </c>
      <c r="BK35" s="590"/>
      <c r="BL35" s="693"/>
      <c r="BM35" s="694">
        <v>65000</v>
      </c>
      <c r="BN35" s="695">
        <v>207324</v>
      </c>
      <c r="BO35" s="695">
        <v>-142324</v>
      </c>
      <c r="BP35" s="593"/>
      <c r="BQ35" s="696"/>
      <c r="BR35" s="597" t="s">
        <v>682</v>
      </c>
      <c r="BS35" s="597" t="s">
        <v>1139</v>
      </c>
      <c r="BT35" s="594">
        <v>2042000</v>
      </c>
      <c r="BU35" s="594">
        <v>1088331</v>
      </c>
      <c r="BV35" s="594">
        <v>953669</v>
      </c>
      <c r="BW35" s="594">
        <v>1542000</v>
      </c>
      <c r="BX35" s="594">
        <v>689945</v>
      </c>
      <c r="BY35" s="594">
        <v>852055</v>
      </c>
      <c r="BZ35" s="594">
        <v>500000</v>
      </c>
      <c r="CA35" s="594">
        <v>398386</v>
      </c>
      <c r="CB35" s="594">
        <v>101614</v>
      </c>
      <c r="CC35" s="690"/>
    </row>
    <row r="36" spans="1:81" s="692" customFormat="1" ht="22.35" customHeight="1">
      <c r="A36" s="685" t="s">
        <v>1140</v>
      </c>
      <c r="B36" s="685" t="s">
        <v>1141</v>
      </c>
      <c r="C36" s="698">
        <v>2202000</v>
      </c>
      <c r="D36" s="698">
        <v>1100000</v>
      </c>
      <c r="E36" s="686">
        <v>1102000</v>
      </c>
      <c r="F36" s="578">
        <v>0.50045413260672111</v>
      </c>
      <c r="G36" s="687">
        <v>1537000</v>
      </c>
      <c r="H36" s="687">
        <v>719787</v>
      </c>
      <c r="I36" s="687">
        <v>817213</v>
      </c>
      <c r="J36" s="578">
        <v>0.53169355888093695</v>
      </c>
      <c r="K36" s="576">
        <v>20000</v>
      </c>
      <c r="L36" s="576">
        <v>348710</v>
      </c>
      <c r="M36" s="576">
        <v>-328710</v>
      </c>
      <c r="N36" s="688" t="s">
        <v>1037</v>
      </c>
      <c r="O36" s="580">
        <v>0</v>
      </c>
      <c r="P36" s="576">
        <v>20903</v>
      </c>
      <c r="Q36" s="576">
        <v>-20903</v>
      </c>
      <c r="R36" s="687">
        <v>20000</v>
      </c>
      <c r="S36" s="687">
        <v>369613</v>
      </c>
      <c r="T36" s="687">
        <v>-349613</v>
      </c>
      <c r="U36" s="578">
        <v>-17.480650000000001</v>
      </c>
      <c r="V36" s="687">
        <v>1557000</v>
      </c>
      <c r="W36" s="687">
        <v>1089400</v>
      </c>
      <c r="X36" s="687">
        <v>467600</v>
      </c>
      <c r="Y36" s="578">
        <v>0.30032113037893382</v>
      </c>
      <c r="Z36" s="656" t="s">
        <v>1192</v>
      </c>
      <c r="AA36" s="583">
        <v>0</v>
      </c>
      <c r="AB36" s="583">
        <v>0</v>
      </c>
      <c r="AC36" s="583"/>
      <c r="AD36" s="689"/>
      <c r="AE36" s="689"/>
      <c r="AF36" s="689"/>
      <c r="AG36" s="689"/>
      <c r="AH36" s="690"/>
      <c r="AI36" s="690"/>
      <c r="AJ36" s="690"/>
      <c r="AK36" s="691"/>
      <c r="AL36" s="691"/>
      <c r="AM36" s="690"/>
      <c r="AO36" s="691"/>
      <c r="AP36" s="585" t="s">
        <v>684</v>
      </c>
      <c r="AQ36" s="586" t="s">
        <v>1142</v>
      </c>
      <c r="AR36" s="587">
        <v>2202000</v>
      </c>
      <c r="AS36" s="588">
        <v>1100000</v>
      </c>
      <c r="AT36" s="588">
        <v>1102000</v>
      </c>
      <c r="AU36" s="589">
        <v>0.50045413260672111</v>
      </c>
      <c r="AV36" s="585"/>
      <c r="AW36" s="588"/>
      <c r="AX36" s="586">
        <v>0</v>
      </c>
      <c r="AY36" s="587">
        <v>20000</v>
      </c>
      <c r="AZ36" s="588">
        <v>0</v>
      </c>
      <c r="BA36" s="586">
        <v>20000</v>
      </c>
      <c r="BB36" s="585">
        <v>0</v>
      </c>
      <c r="BC36" s="588">
        <v>20903</v>
      </c>
      <c r="BD36" s="586">
        <v>-20903</v>
      </c>
      <c r="BE36" s="585">
        <v>20000</v>
      </c>
      <c r="BF36" s="588">
        <v>369613</v>
      </c>
      <c r="BG36" s="586">
        <v>-349613</v>
      </c>
      <c r="BH36" s="585">
        <v>1557000</v>
      </c>
      <c r="BI36" s="588">
        <v>1089400</v>
      </c>
      <c r="BJ36" s="586">
        <v>467600</v>
      </c>
      <c r="BK36" s="590"/>
      <c r="BL36" s="693"/>
      <c r="BM36" s="694">
        <v>645000</v>
      </c>
      <c r="BN36" s="695">
        <v>10600</v>
      </c>
      <c r="BO36" s="695">
        <v>634400</v>
      </c>
      <c r="BP36" s="593"/>
      <c r="BQ36" s="696"/>
      <c r="BR36" s="594" t="s">
        <v>684</v>
      </c>
      <c r="BS36" s="594" t="s">
        <v>1143</v>
      </c>
      <c r="BT36" s="594">
        <v>2182000</v>
      </c>
      <c r="BU36" s="594">
        <v>1100000</v>
      </c>
      <c r="BV36" s="594">
        <v>1082000</v>
      </c>
      <c r="BW36" s="594">
        <v>1537000</v>
      </c>
      <c r="BX36" s="594">
        <v>719787</v>
      </c>
      <c r="BY36" s="594">
        <v>817213</v>
      </c>
      <c r="BZ36" s="594">
        <v>645000</v>
      </c>
      <c r="CA36" s="594">
        <v>380213</v>
      </c>
      <c r="CB36" s="594">
        <v>264787</v>
      </c>
      <c r="CC36" s="690"/>
    </row>
    <row r="37" spans="1:81" s="692" customFormat="1" ht="22.35" customHeight="1">
      <c r="A37" s="685" t="s">
        <v>1144</v>
      </c>
      <c r="B37" s="685" t="s">
        <v>1145</v>
      </c>
      <c r="C37" s="686">
        <v>3365000</v>
      </c>
      <c r="D37" s="686">
        <v>2300000</v>
      </c>
      <c r="E37" s="686">
        <v>1065000</v>
      </c>
      <c r="F37" s="578">
        <v>0.31649331352154531</v>
      </c>
      <c r="G37" s="687">
        <v>3100000</v>
      </c>
      <c r="H37" s="687">
        <v>1508325</v>
      </c>
      <c r="I37" s="687">
        <v>1591675</v>
      </c>
      <c r="J37" s="578">
        <v>0.51344354838709683</v>
      </c>
      <c r="K37" s="576">
        <v>140000</v>
      </c>
      <c r="L37" s="576">
        <v>109389</v>
      </c>
      <c r="M37" s="576">
        <v>30611</v>
      </c>
      <c r="N37" s="688" t="s">
        <v>1037</v>
      </c>
      <c r="O37" s="580">
        <v>0</v>
      </c>
      <c r="P37" s="576">
        <v>35671</v>
      </c>
      <c r="Q37" s="576">
        <v>-35671</v>
      </c>
      <c r="R37" s="687">
        <v>140000</v>
      </c>
      <c r="S37" s="687">
        <v>145060</v>
      </c>
      <c r="T37" s="687">
        <v>-5060</v>
      </c>
      <c r="U37" s="578">
        <v>-3.6142857142857143E-2</v>
      </c>
      <c r="V37" s="687">
        <v>3240000</v>
      </c>
      <c r="W37" s="687">
        <v>1653385</v>
      </c>
      <c r="X37" s="687">
        <v>1586615</v>
      </c>
      <c r="Y37" s="578">
        <v>0.48969598765432099</v>
      </c>
      <c r="Z37" s="656" t="s">
        <v>1192</v>
      </c>
      <c r="AA37" s="583">
        <v>0</v>
      </c>
      <c r="AB37" s="583">
        <v>0</v>
      </c>
      <c r="AC37" s="583"/>
      <c r="AD37" s="689"/>
      <c r="AE37" s="689"/>
      <c r="AF37" s="689"/>
      <c r="AG37" s="689"/>
      <c r="AH37" s="690"/>
      <c r="AI37" s="690"/>
      <c r="AJ37" s="690"/>
      <c r="AK37" s="691"/>
      <c r="AL37" s="691"/>
      <c r="AM37" s="690"/>
      <c r="AO37" s="691"/>
      <c r="AP37" s="585" t="s">
        <v>686</v>
      </c>
      <c r="AQ37" s="586" t="s">
        <v>1146</v>
      </c>
      <c r="AR37" s="587">
        <v>3365000</v>
      </c>
      <c r="AS37" s="588">
        <v>2300000</v>
      </c>
      <c r="AT37" s="588">
        <v>1065000</v>
      </c>
      <c r="AU37" s="589">
        <v>0.31649331352154531</v>
      </c>
      <c r="AV37" s="585"/>
      <c r="AW37" s="588"/>
      <c r="AX37" s="586">
        <v>0</v>
      </c>
      <c r="AY37" s="587">
        <v>0</v>
      </c>
      <c r="AZ37" s="588">
        <v>0</v>
      </c>
      <c r="BA37" s="586">
        <v>0</v>
      </c>
      <c r="BB37" s="585">
        <v>0</v>
      </c>
      <c r="BC37" s="588">
        <v>35671</v>
      </c>
      <c r="BD37" s="586">
        <v>-35671</v>
      </c>
      <c r="BE37" s="585">
        <v>140000</v>
      </c>
      <c r="BF37" s="588">
        <v>145060</v>
      </c>
      <c r="BG37" s="586">
        <v>-5060</v>
      </c>
      <c r="BH37" s="585">
        <v>3240000</v>
      </c>
      <c r="BI37" s="588">
        <v>1653385</v>
      </c>
      <c r="BJ37" s="586">
        <v>1586615</v>
      </c>
      <c r="BK37" s="590"/>
      <c r="BL37" s="693"/>
      <c r="BM37" s="694">
        <v>125000</v>
      </c>
      <c r="BN37" s="695">
        <v>646615</v>
      </c>
      <c r="BO37" s="695">
        <v>-521615</v>
      </c>
      <c r="BP37" s="593"/>
      <c r="BQ37" s="696"/>
      <c r="BR37" s="597" t="s">
        <v>686</v>
      </c>
      <c r="BS37" s="697" t="s">
        <v>1147</v>
      </c>
      <c r="BT37" s="594">
        <v>3365000</v>
      </c>
      <c r="BU37" s="594">
        <v>2300000</v>
      </c>
      <c r="BV37" s="594">
        <v>1065000</v>
      </c>
      <c r="BW37" s="594">
        <v>3100000</v>
      </c>
      <c r="BX37" s="594">
        <v>1508325</v>
      </c>
      <c r="BY37" s="594">
        <v>1591675</v>
      </c>
      <c r="BZ37" s="594">
        <v>265000</v>
      </c>
      <c r="CA37" s="594">
        <v>791675</v>
      </c>
      <c r="CB37" s="594">
        <v>-526675</v>
      </c>
      <c r="CC37" s="690"/>
    </row>
    <row r="38" spans="1:81" s="610" customFormat="1" ht="22.35" customHeight="1">
      <c r="A38" s="599" t="s">
        <v>1148</v>
      </c>
      <c r="B38" s="674" t="s">
        <v>1149</v>
      </c>
      <c r="C38" s="601">
        <v>3047620</v>
      </c>
      <c r="D38" s="601">
        <v>1279832</v>
      </c>
      <c r="E38" s="601">
        <v>1767788</v>
      </c>
      <c r="F38" s="602">
        <v>0.58005525623273246</v>
      </c>
      <c r="G38" s="603">
        <v>3047620</v>
      </c>
      <c r="H38" s="603">
        <v>1242314</v>
      </c>
      <c r="I38" s="603">
        <v>1805306</v>
      </c>
      <c r="J38" s="602">
        <v>0.59236584613567311</v>
      </c>
      <c r="K38" s="576">
        <v>0</v>
      </c>
      <c r="L38" s="576">
        <v>7826</v>
      </c>
      <c r="M38" s="576">
        <v>-7826</v>
      </c>
      <c r="N38" s="675" t="s">
        <v>1053</v>
      </c>
      <c r="O38" s="605">
        <v>0</v>
      </c>
      <c r="P38" s="603">
        <v>0</v>
      </c>
      <c r="Q38" s="603">
        <v>0</v>
      </c>
      <c r="R38" s="603">
        <v>0</v>
      </c>
      <c r="S38" s="607">
        <v>7826</v>
      </c>
      <c r="T38" s="603">
        <v>-7826</v>
      </c>
      <c r="U38" s="602" t="e">
        <v>#DIV/0!</v>
      </c>
      <c r="V38" s="603">
        <v>3047620</v>
      </c>
      <c r="W38" s="603">
        <v>1250140</v>
      </c>
      <c r="X38" s="607">
        <v>1797480</v>
      </c>
      <c r="Y38" s="602">
        <v>0.58979794068814351</v>
      </c>
      <c r="Z38" s="608" t="s">
        <v>1192</v>
      </c>
      <c r="AA38" s="609">
        <v>0</v>
      </c>
      <c r="AB38" s="609">
        <v>0</v>
      </c>
      <c r="AC38" s="609"/>
      <c r="AD38" s="609"/>
      <c r="AE38" s="609"/>
      <c r="AF38" s="609"/>
      <c r="AG38" s="609"/>
      <c r="AH38" s="611"/>
      <c r="AI38" s="611"/>
      <c r="AJ38" s="611"/>
      <c r="AK38" s="612"/>
      <c r="AL38" s="612"/>
      <c r="AM38" s="611"/>
      <c r="AO38" s="612"/>
      <c r="AP38" s="613" t="s">
        <v>688</v>
      </c>
      <c r="AQ38" s="614" t="s">
        <v>1150</v>
      </c>
      <c r="AR38" s="615">
        <v>3047620</v>
      </c>
      <c r="AS38" s="616">
        <v>1279832</v>
      </c>
      <c r="AT38" s="616">
        <v>1767788</v>
      </c>
      <c r="AU38" s="617">
        <v>0.58005525623273246</v>
      </c>
      <c r="AV38" s="613"/>
      <c r="AW38" s="616"/>
      <c r="AX38" s="614">
        <v>0</v>
      </c>
      <c r="AY38" s="615">
        <v>0</v>
      </c>
      <c r="AZ38" s="616">
        <v>0</v>
      </c>
      <c r="BA38" s="614">
        <v>0</v>
      </c>
      <c r="BB38" s="613">
        <v>0</v>
      </c>
      <c r="BC38" s="616">
        <v>0</v>
      </c>
      <c r="BD38" s="614">
        <v>0</v>
      </c>
      <c r="BE38" s="613">
        <v>0</v>
      </c>
      <c r="BF38" s="616">
        <v>7826</v>
      </c>
      <c r="BG38" s="614">
        <v>-7826</v>
      </c>
      <c r="BH38" s="613">
        <v>3047620</v>
      </c>
      <c r="BI38" s="616">
        <v>1250140</v>
      </c>
      <c r="BJ38" s="614">
        <v>1797480</v>
      </c>
      <c r="BK38" s="619"/>
      <c r="BL38" s="620"/>
      <c r="BM38" s="682">
        <v>0</v>
      </c>
      <c r="BN38" s="683">
        <v>29692</v>
      </c>
      <c r="BO38" s="683">
        <v>-29692</v>
      </c>
      <c r="BP38" s="623" t="s">
        <v>1055</v>
      </c>
      <c r="BQ38" s="624"/>
      <c r="BR38" s="625" t="s">
        <v>688</v>
      </c>
      <c r="BS38" s="684" t="s">
        <v>1151</v>
      </c>
      <c r="BT38" s="627">
        <v>3047620</v>
      </c>
      <c r="BU38" s="627">
        <v>1279832</v>
      </c>
      <c r="BV38" s="627">
        <v>1767788</v>
      </c>
      <c r="BW38" s="627">
        <v>3047620</v>
      </c>
      <c r="BX38" s="627">
        <v>1242314</v>
      </c>
      <c r="BY38" s="627">
        <v>1805306</v>
      </c>
      <c r="BZ38" s="627">
        <v>0</v>
      </c>
      <c r="CA38" s="627">
        <v>37518</v>
      </c>
      <c r="CB38" s="627">
        <v>-37518</v>
      </c>
      <c r="CC38" s="611"/>
    </row>
    <row r="39" spans="1:81" s="692" customFormat="1" ht="22.35" customHeight="1">
      <c r="A39" s="685" t="s">
        <v>1152</v>
      </c>
      <c r="B39" s="685" t="s">
        <v>1153</v>
      </c>
      <c r="C39" s="686">
        <v>36177000</v>
      </c>
      <c r="D39" s="686">
        <v>29181154</v>
      </c>
      <c r="E39" s="686">
        <v>6995846</v>
      </c>
      <c r="F39" s="578">
        <v>0.19337827901705504</v>
      </c>
      <c r="G39" s="687">
        <v>3030000</v>
      </c>
      <c r="H39" s="687">
        <v>1765598</v>
      </c>
      <c r="I39" s="687">
        <v>1264402</v>
      </c>
      <c r="J39" s="578">
        <v>0.41729438943894387</v>
      </c>
      <c r="K39" s="576">
        <v>6579750</v>
      </c>
      <c r="L39" s="576">
        <v>5157437</v>
      </c>
      <c r="M39" s="576">
        <v>1422313</v>
      </c>
      <c r="N39" s="688" t="s">
        <v>1037</v>
      </c>
      <c r="O39" s="580">
        <v>165000</v>
      </c>
      <c r="P39" s="576">
        <v>131119</v>
      </c>
      <c r="Q39" s="576">
        <v>33881</v>
      </c>
      <c r="R39" s="687">
        <v>6744750</v>
      </c>
      <c r="S39" s="687">
        <v>5288556</v>
      </c>
      <c r="T39" s="687">
        <v>1456194</v>
      </c>
      <c r="U39" s="578">
        <v>0.21590036695207385</v>
      </c>
      <c r="V39" s="687">
        <v>9774750</v>
      </c>
      <c r="W39" s="687">
        <v>7054154</v>
      </c>
      <c r="X39" s="687">
        <v>2720596</v>
      </c>
      <c r="Y39" s="578">
        <v>0.27832895981994427</v>
      </c>
      <c r="Z39" s="656" t="s">
        <v>1192</v>
      </c>
      <c r="AA39" s="583">
        <v>0</v>
      </c>
      <c r="AB39" s="583">
        <v>0</v>
      </c>
      <c r="AC39" s="583"/>
      <c r="AD39" s="689"/>
      <c r="AE39" s="689"/>
      <c r="AF39" s="689"/>
      <c r="AG39" s="689"/>
      <c r="AH39" s="690"/>
      <c r="AI39" s="690"/>
      <c r="AJ39" s="690"/>
      <c r="AK39" s="691"/>
      <c r="AL39" s="691"/>
      <c r="AM39" s="690"/>
      <c r="AO39" s="691"/>
      <c r="AP39" s="585" t="s">
        <v>1152</v>
      </c>
      <c r="AQ39" s="586" t="s">
        <v>1154</v>
      </c>
      <c r="AR39" s="587">
        <v>36177000</v>
      </c>
      <c r="AS39" s="588">
        <v>29181154</v>
      </c>
      <c r="AT39" s="588">
        <v>6995846</v>
      </c>
      <c r="AU39" s="589">
        <v>0.19337827901705504</v>
      </c>
      <c r="AV39" s="585"/>
      <c r="AW39" s="588"/>
      <c r="AX39" s="586">
        <v>0</v>
      </c>
      <c r="AY39" s="587">
        <v>0</v>
      </c>
      <c r="AZ39" s="588">
        <v>0</v>
      </c>
      <c r="BA39" s="586">
        <v>0</v>
      </c>
      <c r="BB39" s="585">
        <v>165000</v>
      </c>
      <c r="BC39" s="588">
        <v>131119</v>
      </c>
      <c r="BD39" s="586">
        <v>33881</v>
      </c>
      <c r="BE39" s="585">
        <v>6744750</v>
      </c>
      <c r="BF39" s="588">
        <v>5288556</v>
      </c>
      <c r="BG39" s="586">
        <v>1456194</v>
      </c>
      <c r="BH39" s="585">
        <v>9774750</v>
      </c>
      <c r="BI39" s="588">
        <v>7054154</v>
      </c>
      <c r="BJ39" s="586">
        <v>2720596</v>
      </c>
      <c r="BK39" s="590"/>
      <c r="BL39" s="693"/>
      <c r="BM39" s="694">
        <v>26402250</v>
      </c>
      <c r="BN39" s="695">
        <v>22127000</v>
      </c>
      <c r="BO39" s="695">
        <v>4275250</v>
      </c>
      <c r="BP39" s="593"/>
      <c r="BQ39" s="696"/>
      <c r="BR39" s="597" t="s">
        <v>690</v>
      </c>
      <c r="BS39" s="697" t="s">
        <v>1155</v>
      </c>
      <c r="BT39" s="594">
        <v>36177000</v>
      </c>
      <c r="BU39" s="594">
        <v>29181154</v>
      </c>
      <c r="BV39" s="594">
        <v>6995846</v>
      </c>
      <c r="BW39" s="594">
        <v>3030000</v>
      </c>
      <c r="BX39" s="594">
        <v>1765598</v>
      </c>
      <c r="BY39" s="594">
        <v>1264402</v>
      </c>
      <c r="BZ39" s="594">
        <v>33147000</v>
      </c>
      <c r="CA39" s="594">
        <v>27415556</v>
      </c>
      <c r="CB39" s="594">
        <v>5731444</v>
      </c>
      <c r="CC39" s="690"/>
    </row>
    <row r="40" spans="1:81" ht="22.35" customHeight="1">
      <c r="A40" s="574" t="s">
        <v>1156</v>
      </c>
      <c r="B40" s="574" t="s">
        <v>1157</v>
      </c>
      <c r="C40" s="577">
        <v>1910000</v>
      </c>
      <c r="D40" s="577">
        <v>1274592</v>
      </c>
      <c r="E40" s="577">
        <v>635408</v>
      </c>
      <c r="F40" s="578">
        <v>0.33267434554973824</v>
      </c>
      <c r="G40" s="576">
        <v>1170000</v>
      </c>
      <c r="H40" s="576">
        <v>630479</v>
      </c>
      <c r="I40" s="576">
        <v>539521</v>
      </c>
      <c r="J40" s="578">
        <v>0.46112905982905983</v>
      </c>
      <c r="K40" s="576">
        <v>530000</v>
      </c>
      <c r="L40" s="576">
        <v>265110</v>
      </c>
      <c r="M40" s="576">
        <v>264890</v>
      </c>
      <c r="N40" s="677" t="s">
        <v>1037</v>
      </c>
      <c r="O40" s="580">
        <v>80000</v>
      </c>
      <c r="P40" s="576">
        <v>48520</v>
      </c>
      <c r="Q40" s="576">
        <v>31480</v>
      </c>
      <c r="R40" s="576">
        <v>610000</v>
      </c>
      <c r="S40" s="576">
        <v>313630</v>
      </c>
      <c r="T40" s="576">
        <v>296370</v>
      </c>
      <c r="U40" s="578">
        <v>0.48585245901639346</v>
      </c>
      <c r="V40" s="576">
        <v>1780000</v>
      </c>
      <c r="W40" s="576">
        <v>944109</v>
      </c>
      <c r="X40" s="576">
        <v>835891</v>
      </c>
      <c r="Y40" s="578">
        <v>0.46960168539325842</v>
      </c>
      <c r="Z40" s="582" t="s">
        <v>1192</v>
      </c>
      <c r="AA40" s="583">
        <v>0</v>
      </c>
      <c r="AB40" s="583">
        <v>0</v>
      </c>
      <c r="AC40" s="583"/>
      <c r="AD40" s="583"/>
      <c r="AE40" s="583"/>
      <c r="AF40" s="583"/>
      <c r="AG40" s="583"/>
      <c r="AN40" s="529"/>
      <c r="AP40" s="585" t="s">
        <v>1156</v>
      </c>
      <c r="AQ40" s="586" t="s">
        <v>1158</v>
      </c>
      <c r="AR40" s="587">
        <v>1910000</v>
      </c>
      <c r="AS40" s="588">
        <v>1274592</v>
      </c>
      <c r="AT40" s="588">
        <v>635408</v>
      </c>
      <c r="AU40" s="589">
        <v>0.33267434554973824</v>
      </c>
      <c r="AV40" s="585"/>
      <c r="AW40" s="588"/>
      <c r="AX40" s="586">
        <v>0</v>
      </c>
      <c r="AY40" s="587">
        <v>0</v>
      </c>
      <c r="AZ40" s="588">
        <v>0</v>
      </c>
      <c r="BA40" s="586">
        <v>0</v>
      </c>
      <c r="BB40" s="585">
        <v>80000</v>
      </c>
      <c r="BC40" s="588">
        <v>48520</v>
      </c>
      <c r="BD40" s="586">
        <v>31480</v>
      </c>
      <c r="BE40" s="585">
        <v>610000</v>
      </c>
      <c r="BF40" s="588">
        <v>313630</v>
      </c>
      <c r="BG40" s="586">
        <v>296370</v>
      </c>
      <c r="BH40" s="585">
        <v>1780000</v>
      </c>
      <c r="BI40" s="588">
        <v>944109</v>
      </c>
      <c r="BJ40" s="586">
        <v>835891</v>
      </c>
      <c r="BK40" s="590"/>
      <c r="BL40" s="535"/>
      <c r="BM40" s="679">
        <v>130000</v>
      </c>
      <c r="BN40" s="680">
        <v>330483</v>
      </c>
      <c r="BO40" s="680">
        <v>-200483</v>
      </c>
      <c r="BP40" s="593"/>
      <c r="BQ40" s="542"/>
      <c r="BR40" s="597" t="s">
        <v>692</v>
      </c>
      <c r="BS40" s="597" t="s">
        <v>693</v>
      </c>
      <c r="BT40" s="594">
        <v>1910000</v>
      </c>
      <c r="BU40" s="594">
        <v>1274592</v>
      </c>
      <c r="BV40" s="594">
        <v>635408</v>
      </c>
      <c r="BW40" s="594">
        <v>1170000</v>
      </c>
      <c r="BX40" s="594">
        <v>630479</v>
      </c>
      <c r="BY40" s="594">
        <v>539521</v>
      </c>
      <c r="BZ40" s="594">
        <v>740000</v>
      </c>
      <c r="CA40" s="594">
        <v>644113</v>
      </c>
      <c r="CB40" s="594">
        <v>95887</v>
      </c>
    </row>
    <row r="41" spans="1:81" ht="22.35" customHeight="1">
      <c r="A41" s="574" t="s">
        <v>1159</v>
      </c>
      <c r="B41" s="574" t="s">
        <v>1160</v>
      </c>
      <c r="C41" s="698">
        <v>3969500</v>
      </c>
      <c r="D41" s="698">
        <v>2705044</v>
      </c>
      <c r="E41" s="577">
        <v>1264456</v>
      </c>
      <c r="F41" s="578">
        <v>0.31854288953268672</v>
      </c>
      <c r="G41" s="576">
        <v>517000</v>
      </c>
      <c r="H41" s="576">
        <v>502419</v>
      </c>
      <c r="I41" s="576">
        <v>14581</v>
      </c>
      <c r="J41" s="578">
        <v>2.8203094777562863E-2</v>
      </c>
      <c r="K41" s="576">
        <v>1326000</v>
      </c>
      <c r="L41" s="576">
        <v>593332</v>
      </c>
      <c r="M41" s="576">
        <v>732668</v>
      </c>
      <c r="N41" s="677" t="s">
        <v>1037</v>
      </c>
      <c r="O41" s="580">
        <v>197000</v>
      </c>
      <c r="P41" s="576">
        <v>75431</v>
      </c>
      <c r="Q41" s="576">
        <v>121569</v>
      </c>
      <c r="R41" s="576">
        <v>1523000</v>
      </c>
      <c r="S41" s="576">
        <v>668763</v>
      </c>
      <c r="T41" s="576">
        <v>854237</v>
      </c>
      <c r="U41" s="578">
        <v>0.56089100459619168</v>
      </c>
      <c r="V41" s="576">
        <v>2040000</v>
      </c>
      <c r="W41" s="576">
        <v>1171182</v>
      </c>
      <c r="X41" s="576">
        <v>868818</v>
      </c>
      <c r="Y41" s="578">
        <v>0.42589117647058822</v>
      </c>
      <c r="Z41" s="582" t="s">
        <v>1192</v>
      </c>
      <c r="AA41" s="583">
        <v>0</v>
      </c>
      <c r="AB41" s="583">
        <v>0</v>
      </c>
      <c r="AC41" s="583"/>
      <c r="AD41" s="583"/>
      <c r="AE41" s="583"/>
      <c r="AF41" s="583"/>
      <c r="AG41" s="583"/>
      <c r="AN41" s="529"/>
      <c r="AP41" s="585" t="s">
        <v>1159</v>
      </c>
      <c r="AQ41" s="586" t="s">
        <v>1161</v>
      </c>
      <c r="AR41" s="587">
        <v>3969500</v>
      </c>
      <c r="AS41" s="588">
        <v>2705044</v>
      </c>
      <c r="AT41" s="588">
        <v>1264456</v>
      </c>
      <c r="AU41" s="589">
        <v>0.31854288953268672</v>
      </c>
      <c r="AV41" s="585"/>
      <c r="AW41" s="588"/>
      <c r="AX41" s="586">
        <v>0</v>
      </c>
      <c r="AY41" s="587">
        <v>46000</v>
      </c>
      <c r="AZ41" s="588">
        <v>0</v>
      </c>
      <c r="BA41" s="586">
        <v>46000</v>
      </c>
      <c r="BB41" s="585">
        <v>197000</v>
      </c>
      <c r="BC41" s="588">
        <v>75431</v>
      </c>
      <c r="BD41" s="586">
        <v>121569</v>
      </c>
      <c r="BE41" s="585">
        <v>1523000</v>
      </c>
      <c r="BF41" s="588">
        <v>668763</v>
      </c>
      <c r="BG41" s="586">
        <v>854237</v>
      </c>
      <c r="BH41" s="585">
        <v>2040000</v>
      </c>
      <c r="BI41" s="588">
        <v>1171182</v>
      </c>
      <c r="BJ41" s="586">
        <v>868818</v>
      </c>
      <c r="BK41" s="590"/>
      <c r="BL41" s="535"/>
      <c r="BM41" s="679">
        <v>1929500</v>
      </c>
      <c r="BN41" s="680">
        <v>1533862</v>
      </c>
      <c r="BO41" s="680">
        <v>395638</v>
      </c>
      <c r="BP41" s="593"/>
      <c r="BQ41" s="542"/>
      <c r="BR41" s="597" t="s">
        <v>694</v>
      </c>
      <c r="BS41" s="597" t="s">
        <v>454</v>
      </c>
      <c r="BT41" s="594">
        <v>3923500</v>
      </c>
      <c r="BU41" s="594">
        <v>2705044</v>
      </c>
      <c r="BV41" s="594">
        <v>1218456</v>
      </c>
      <c r="BW41" s="594">
        <v>517000</v>
      </c>
      <c r="BX41" s="594">
        <v>502419</v>
      </c>
      <c r="BY41" s="594">
        <v>14581</v>
      </c>
      <c r="BZ41" s="594">
        <v>3406500</v>
      </c>
      <c r="CA41" s="594">
        <v>2202625</v>
      </c>
      <c r="CB41" s="594">
        <v>1203875</v>
      </c>
    </row>
    <row r="42" spans="1:81" ht="22.35" customHeight="1">
      <c r="A42" s="574" t="s">
        <v>1162</v>
      </c>
      <c r="B42" s="574" t="s">
        <v>1163</v>
      </c>
      <c r="C42" s="577">
        <v>2655000</v>
      </c>
      <c r="D42" s="577">
        <v>1876000</v>
      </c>
      <c r="E42" s="577">
        <v>779000</v>
      </c>
      <c r="F42" s="578">
        <v>0.2934086629001883</v>
      </c>
      <c r="G42" s="576">
        <v>155000</v>
      </c>
      <c r="H42" s="576">
        <v>171224</v>
      </c>
      <c r="I42" s="576">
        <v>-16224</v>
      </c>
      <c r="J42" s="578">
        <v>-0.10467096774193549</v>
      </c>
      <c r="K42" s="576">
        <v>1085000</v>
      </c>
      <c r="L42" s="576">
        <v>541776</v>
      </c>
      <c r="M42" s="576">
        <v>543224</v>
      </c>
      <c r="N42" s="677" t="s">
        <v>1037</v>
      </c>
      <c r="O42" s="580">
        <v>155000</v>
      </c>
      <c r="P42" s="576">
        <v>85510</v>
      </c>
      <c r="Q42" s="576">
        <v>69490</v>
      </c>
      <c r="R42" s="576">
        <v>1240000</v>
      </c>
      <c r="S42" s="576">
        <v>627286</v>
      </c>
      <c r="T42" s="576">
        <v>612714</v>
      </c>
      <c r="U42" s="578">
        <v>0.4941241935483871</v>
      </c>
      <c r="V42" s="576">
        <v>1395000</v>
      </c>
      <c r="W42" s="576">
        <v>798510</v>
      </c>
      <c r="X42" s="576">
        <v>596490</v>
      </c>
      <c r="Y42" s="578">
        <v>0.42759139784946237</v>
      </c>
      <c r="Z42" s="582" t="s">
        <v>1192</v>
      </c>
      <c r="AA42" s="583">
        <v>0</v>
      </c>
      <c r="AB42" s="583">
        <v>0</v>
      </c>
      <c r="AC42" s="583"/>
      <c r="AD42" s="583"/>
      <c r="AE42" s="583"/>
      <c r="AF42" s="583"/>
      <c r="AG42" s="583"/>
      <c r="AN42" s="529"/>
      <c r="AP42" s="585" t="s">
        <v>1162</v>
      </c>
      <c r="AQ42" s="586" t="s">
        <v>1164</v>
      </c>
      <c r="AR42" s="587">
        <v>2655000</v>
      </c>
      <c r="AS42" s="588">
        <v>1876000</v>
      </c>
      <c r="AT42" s="588">
        <v>779000</v>
      </c>
      <c r="AU42" s="589">
        <v>0.2934086629001883</v>
      </c>
      <c r="AV42" s="585"/>
      <c r="AW42" s="588"/>
      <c r="AX42" s="586">
        <v>0</v>
      </c>
      <c r="AY42" s="587">
        <v>0</v>
      </c>
      <c r="AZ42" s="588">
        <v>0</v>
      </c>
      <c r="BA42" s="586">
        <v>0</v>
      </c>
      <c r="BB42" s="585">
        <v>155000</v>
      </c>
      <c r="BC42" s="588">
        <v>85510</v>
      </c>
      <c r="BD42" s="586">
        <v>69490</v>
      </c>
      <c r="BE42" s="585">
        <v>1240000</v>
      </c>
      <c r="BF42" s="588">
        <v>627286</v>
      </c>
      <c r="BG42" s="586">
        <v>612714</v>
      </c>
      <c r="BH42" s="585">
        <v>1395000</v>
      </c>
      <c r="BI42" s="588">
        <v>798510</v>
      </c>
      <c r="BJ42" s="586">
        <v>596490</v>
      </c>
      <c r="BK42" s="590"/>
      <c r="BL42" s="535"/>
      <c r="BM42" s="679">
        <v>1260000</v>
      </c>
      <c r="BN42" s="680">
        <v>1077490</v>
      </c>
      <c r="BO42" s="680">
        <v>182510</v>
      </c>
      <c r="BP42" s="593"/>
      <c r="BQ42" s="542"/>
      <c r="BR42" s="597" t="s">
        <v>695</v>
      </c>
      <c r="BS42" s="597" t="s">
        <v>696</v>
      </c>
      <c r="BT42" s="594">
        <v>2655000</v>
      </c>
      <c r="BU42" s="594">
        <v>1876000</v>
      </c>
      <c r="BV42" s="594">
        <v>779000</v>
      </c>
      <c r="BW42" s="594">
        <v>155000</v>
      </c>
      <c r="BX42" s="594">
        <v>171224</v>
      </c>
      <c r="BY42" s="594">
        <v>-16224</v>
      </c>
      <c r="BZ42" s="594">
        <v>2500000</v>
      </c>
      <c r="CA42" s="594">
        <v>1704776</v>
      </c>
      <c r="CB42" s="594">
        <v>795224</v>
      </c>
    </row>
    <row r="43" spans="1:81" s="639" customFormat="1" ht="22.35" customHeight="1">
      <c r="A43" s="630" t="s">
        <v>1165</v>
      </c>
      <c r="B43" s="630" t="s">
        <v>1166</v>
      </c>
      <c r="C43" s="699">
        <v>2588000</v>
      </c>
      <c r="D43" s="699">
        <v>1778000</v>
      </c>
      <c r="E43" s="699">
        <v>810000</v>
      </c>
      <c r="F43" s="632">
        <v>0.31298299845440497</v>
      </c>
      <c r="G43" s="633"/>
      <c r="H43" s="633"/>
      <c r="I43" s="633"/>
      <c r="J43" s="632"/>
      <c r="K43" s="576">
        <v>374000</v>
      </c>
      <c r="L43" s="576">
        <v>298629</v>
      </c>
      <c r="M43" s="576">
        <v>75371</v>
      </c>
      <c r="N43" s="700" t="s">
        <v>1037</v>
      </c>
      <c r="O43" s="635">
        <v>160000</v>
      </c>
      <c r="P43" s="633">
        <v>49974</v>
      </c>
      <c r="Q43" s="633">
        <v>110026</v>
      </c>
      <c r="R43" s="633">
        <v>534000</v>
      </c>
      <c r="S43" s="633">
        <v>348603</v>
      </c>
      <c r="T43" s="633">
        <v>185397</v>
      </c>
      <c r="U43" s="632">
        <v>0.34718539325842696</v>
      </c>
      <c r="V43" s="633">
        <v>534000</v>
      </c>
      <c r="W43" s="633">
        <v>348603</v>
      </c>
      <c r="X43" s="633">
        <v>185397</v>
      </c>
      <c r="Y43" s="632">
        <v>0.34718539325842696</v>
      </c>
      <c r="Z43" s="637" t="s">
        <v>1192</v>
      </c>
      <c r="AA43" s="583">
        <v>0</v>
      </c>
      <c r="AB43" s="583">
        <v>0</v>
      </c>
      <c r="AC43" s="583"/>
      <c r="AD43" s="638"/>
      <c r="AE43" s="638"/>
      <c r="AF43" s="638"/>
      <c r="AG43" s="638"/>
      <c r="AH43" s="640"/>
      <c r="AI43" s="640"/>
      <c r="AJ43" s="640"/>
      <c r="AK43" s="641"/>
      <c r="AL43" s="641"/>
      <c r="AM43" s="640"/>
      <c r="AO43" s="641"/>
      <c r="AP43" s="642" t="s">
        <v>1165</v>
      </c>
      <c r="AQ43" s="643" t="s">
        <v>1167</v>
      </c>
      <c r="AR43" s="644">
        <v>2588000</v>
      </c>
      <c r="AS43" s="645">
        <v>1778000</v>
      </c>
      <c r="AT43" s="645">
        <v>810000</v>
      </c>
      <c r="AU43" s="646">
        <v>0.31298299845440497</v>
      </c>
      <c r="AV43" s="644">
        <v>2588000</v>
      </c>
      <c r="AW43" s="645">
        <v>1778000</v>
      </c>
      <c r="AX43" s="643">
        <v>810000</v>
      </c>
      <c r="AY43" s="644"/>
      <c r="AZ43" s="645"/>
      <c r="BA43" s="643"/>
      <c r="BB43" s="642">
        <v>160000</v>
      </c>
      <c r="BC43" s="645">
        <v>49974</v>
      </c>
      <c r="BD43" s="643">
        <v>110026</v>
      </c>
      <c r="BE43" s="642">
        <v>534000</v>
      </c>
      <c r="BF43" s="645">
        <v>348603</v>
      </c>
      <c r="BG43" s="643">
        <v>185397</v>
      </c>
      <c r="BH43" s="642">
        <v>534000</v>
      </c>
      <c r="BI43" s="645">
        <v>348603</v>
      </c>
      <c r="BJ43" s="643">
        <v>185397</v>
      </c>
      <c r="BK43" s="648"/>
      <c r="BL43" s="649"/>
      <c r="BM43" s="701">
        <v>2054000</v>
      </c>
      <c r="BN43" s="702">
        <v>1429397</v>
      </c>
      <c r="BO43" s="702">
        <v>624603</v>
      </c>
      <c r="BP43" s="652"/>
      <c r="BQ43" s="653"/>
      <c r="BR43" s="654"/>
      <c r="BS43" s="654"/>
      <c r="BT43" s="655"/>
      <c r="BU43" s="655"/>
      <c r="BV43" s="655"/>
      <c r="BW43" s="655"/>
      <c r="BX43" s="655"/>
      <c r="BY43" s="655"/>
      <c r="BZ43" s="655"/>
      <c r="CA43" s="655"/>
      <c r="CB43" s="655"/>
      <c r="CC43" s="640"/>
    </row>
    <row r="44" spans="1:81" s="639" customFormat="1" ht="22.35" customHeight="1">
      <c r="A44" s="630" t="s">
        <v>1168</v>
      </c>
      <c r="B44" s="630" t="s">
        <v>1169</v>
      </c>
      <c r="C44" s="699">
        <v>4932000</v>
      </c>
      <c r="D44" s="699">
        <v>3406000</v>
      </c>
      <c r="E44" s="699">
        <v>1526000</v>
      </c>
      <c r="F44" s="632">
        <v>0.30940794809407945</v>
      </c>
      <c r="G44" s="633"/>
      <c r="H44" s="633"/>
      <c r="I44" s="633"/>
      <c r="J44" s="632"/>
      <c r="K44" s="576">
        <v>160000</v>
      </c>
      <c r="L44" s="576">
        <v>211873</v>
      </c>
      <c r="M44" s="576">
        <v>-51873</v>
      </c>
      <c r="N44" s="700" t="s">
        <v>1037</v>
      </c>
      <c r="O44" s="635">
        <v>0</v>
      </c>
      <c r="P44" s="633">
        <v>85744</v>
      </c>
      <c r="Q44" s="633">
        <v>-85744</v>
      </c>
      <c r="R44" s="633">
        <v>160000</v>
      </c>
      <c r="S44" s="633">
        <v>297617</v>
      </c>
      <c r="T44" s="633">
        <v>-137617</v>
      </c>
      <c r="U44" s="632">
        <v>-0.86010624999999996</v>
      </c>
      <c r="V44" s="633">
        <v>160000</v>
      </c>
      <c r="W44" s="633">
        <v>297617</v>
      </c>
      <c r="X44" s="633">
        <v>-137617</v>
      </c>
      <c r="Y44" s="632">
        <v>-0.86010624999999996</v>
      </c>
      <c r="Z44" s="637" t="s">
        <v>1192</v>
      </c>
      <c r="AA44" s="583">
        <v>0</v>
      </c>
      <c r="AB44" s="583">
        <v>0</v>
      </c>
      <c r="AC44" s="583"/>
      <c r="AD44" s="638"/>
      <c r="AE44" s="638"/>
      <c r="AF44" s="638"/>
      <c r="AG44" s="638"/>
      <c r="AH44" s="640"/>
      <c r="AI44" s="640"/>
      <c r="AJ44" s="640"/>
      <c r="AK44" s="641"/>
      <c r="AL44" s="641"/>
      <c r="AM44" s="640"/>
      <c r="AO44" s="641"/>
      <c r="AP44" s="642" t="s">
        <v>1168</v>
      </c>
      <c r="AQ44" s="643" t="s">
        <v>1170</v>
      </c>
      <c r="AR44" s="644">
        <v>4932000</v>
      </c>
      <c r="AS44" s="645">
        <v>3406000</v>
      </c>
      <c r="AT44" s="645">
        <v>1526000</v>
      </c>
      <c r="AU44" s="646">
        <v>0.30940794809407945</v>
      </c>
      <c r="AV44" s="644">
        <v>4932000</v>
      </c>
      <c r="AW44" s="645">
        <v>3406000</v>
      </c>
      <c r="AX44" s="643">
        <v>1526000</v>
      </c>
      <c r="AY44" s="644"/>
      <c r="AZ44" s="645"/>
      <c r="BA44" s="643"/>
      <c r="BB44" s="642">
        <v>0</v>
      </c>
      <c r="BC44" s="645">
        <v>85744</v>
      </c>
      <c r="BD44" s="643">
        <v>-85744</v>
      </c>
      <c r="BE44" s="642">
        <v>160000</v>
      </c>
      <c r="BF44" s="645">
        <v>297617</v>
      </c>
      <c r="BG44" s="643">
        <v>-137617</v>
      </c>
      <c r="BH44" s="642">
        <v>160000</v>
      </c>
      <c r="BI44" s="645">
        <v>297617</v>
      </c>
      <c r="BJ44" s="643">
        <v>-137617</v>
      </c>
      <c r="BK44" s="648"/>
      <c r="BL44" s="649"/>
      <c r="BM44" s="701">
        <v>4772000</v>
      </c>
      <c r="BN44" s="702">
        <v>3108383</v>
      </c>
      <c r="BO44" s="702">
        <v>1663617</v>
      </c>
      <c r="BP44" s="652"/>
      <c r="BQ44" s="653"/>
      <c r="BR44" s="654"/>
      <c r="BS44" s="654"/>
      <c r="BT44" s="655"/>
      <c r="BU44" s="655"/>
      <c r="BV44" s="655"/>
      <c r="BW44" s="655"/>
      <c r="BX44" s="655"/>
      <c r="BY44" s="655"/>
      <c r="BZ44" s="655"/>
      <c r="CA44" s="655"/>
      <c r="CB44" s="655"/>
      <c r="CC44" s="640"/>
    </row>
    <row r="45" spans="1:81" s="639" customFormat="1" ht="22.35" customHeight="1">
      <c r="A45" s="630" t="s">
        <v>1171</v>
      </c>
      <c r="B45" s="630" t="s">
        <v>1172</v>
      </c>
      <c r="C45" s="631">
        <v>11482667</v>
      </c>
      <c r="D45" s="631">
        <v>8018707</v>
      </c>
      <c r="E45" s="631">
        <v>3463960</v>
      </c>
      <c r="F45" s="632">
        <v>0.30166859319354988</v>
      </c>
      <c r="G45" s="633"/>
      <c r="H45" s="633"/>
      <c r="I45" s="633"/>
      <c r="J45" s="632"/>
      <c r="K45" s="576">
        <v>0</v>
      </c>
      <c r="L45" s="576">
        <v>337556</v>
      </c>
      <c r="M45" s="576">
        <v>-337556</v>
      </c>
      <c r="N45" s="700" t="s">
        <v>1037</v>
      </c>
      <c r="O45" s="635">
        <v>0</v>
      </c>
      <c r="P45" s="633">
        <v>97837</v>
      </c>
      <c r="Q45" s="633">
        <v>-97837</v>
      </c>
      <c r="R45" s="633">
        <v>0</v>
      </c>
      <c r="S45" s="633">
        <v>435393</v>
      </c>
      <c r="T45" s="633">
        <v>-435393</v>
      </c>
      <c r="U45" s="632" t="e">
        <v>#DIV/0!</v>
      </c>
      <c r="V45" s="633">
        <v>0</v>
      </c>
      <c r="W45" s="633">
        <v>435393</v>
      </c>
      <c r="X45" s="633">
        <v>-435393</v>
      </c>
      <c r="Y45" s="632" t="e">
        <v>#DIV/0!</v>
      </c>
      <c r="Z45" s="637" t="s">
        <v>1192</v>
      </c>
      <c r="AA45" s="583">
        <v>0</v>
      </c>
      <c r="AB45" s="583">
        <v>0</v>
      </c>
      <c r="AC45" s="583"/>
      <c r="AD45" s="638"/>
      <c r="AE45" s="638"/>
      <c r="AF45" s="638"/>
      <c r="AG45" s="638"/>
      <c r="AH45" s="640"/>
      <c r="AI45" s="640"/>
      <c r="AJ45" s="640"/>
      <c r="AK45" s="641"/>
      <c r="AL45" s="641"/>
      <c r="AM45" s="640"/>
      <c r="AO45" s="641"/>
      <c r="AP45" s="642" t="s">
        <v>1171</v>
      </c>
      <c r="AQ45" s="643" t="s">
        <v>1173</v>
      </c>
      <c r="AR45" s="644">
        <v>11482667</v>
      </c>
      <c r="AS45" s="645">
        <v>8018707</v>
      </c>
      <c r="AT45" s="645">
        <v>3463960</v>
      </c>
      <c r="AU45" s="646">
        <v>0.30166859319354988</v>
      </c>
      <c r="AV45" s="644">
        <v>11482667</v>
      </c>
      <c r="AW45" s="645">
        <v>8018707</v>
      </c>
      <c r="AX45" s="643">
        <v>3463960</v>
      </c>
      <c r="AY45" s="644"/>
      <c r="AZ45" s="645"/>
      <c r="BA45" s="643"/>
      <c r="BB45" s="642">
        <v>0</v>
      </c>
      <c r="BC45" s="645">
        <v>97837</v>
      </c>
      <c r="BD45" s="643">
        <v>-97837</v>
      </c>
      <c r="BE45" s="642">
        <v>0</v>
      </c>
      <c r="BF45" s="645">
        <v>435393</v>
      </c>
      <c r="BG45" s="643">
        <v>-435393</v>
      </c>
      <c r="BH45" s="642">
        <v>0</v>
      </c>
      <c r="BI45" s="645">
        <v>435393</v>
      </c>
      <c r="BJ45" s="643">
        <v>-435393</v>
      </c>
      <c r="BK45" s="648"/>
      <c r="BL45" s="649"/>
      <c r="BM45" s="701">
        <v>11482667</v>
      </c>
      <c r="BN45" s="702">
        <v>7583314</v>
      </c>
      <c r="BO45" s="702">
        <v>3899353</v>
      </c>
      <c r="BP45" s="652"/>
      <c r="BQ45" s="653"/>
      <c r="BR45" s="654"/>
      <c r="BS45" s="654"/>
      <c r="BT45" s="655"/>
      <c r="BU45" s="655"/>
      <c r="BV45" s="655"/>
      <c r="BW45" s="655"/>
      <c r="BX45" s="655"/>
      <c r="BY45" s="655"/>
      <c r="BZ45" s="655"/>
      <c r="CA45" s="655"/>
      <c r="CB45" s="655"/>
      <c r="CC45" s="640"/>
    </row>
    <row r="46" spans="1:81" s="639" customFormat="1" ht="22.35" customHeight="1">
      <c r="A46" s="630" t="s">
        <v>1174</v>
      </c>
      <c r="B46" s="630" t="s">
        <v>1175</v>
      </c>
      <c r="C46" s="699">
        <v>1960000</v>
      </c>
      <c r="D46" s="699">
        <v>1402700</v>
      </c>
      <c r="E46" s="699">
        <v>557300</v>
      </c>
      <c r="F46" s="632">
        <v>0.28433673469387755</v>
      </c>
      <c r="G46" s="633"/>
      <c r="H46" s="633"/>
      <c r="I46" s="633"/>
      <c r="J46" s="632"/>
      <c r="K46" s="576">
        <v>0</v>
      </c>
      <c r="L46" s="576">
        <v>61626</v>
      </c>
      <c r="M46" s="576">
        <v>-61626</v>
      </c>
      <c r="N46" s="700" t="s">
        <v>1037</v>
      </c>
      <c r="O46" s="635">
        <v>0</v>
      </c>
      <c r="P46" s="633">
        <v>19348</v>
      </c>
      <c r="Q46" s="633">
        <v>-19348</v>
      </c>
      <c r="R46" s="633">
        <v>0</v>
      </c>
      <c r="S46" s="633">
        <v>80974</v>
      </c>
      <c r="T46" s="633">
        <v>-80974</v>
      </c>
      <c r="U46" s="632" t="e">
        <v>#DIV/0!</v>
      </c>
      <c r="V46" s="633">
        <v>0</v>
      </c>
      <c r="W46" s="633">
        <v>80974</v>
      </c>
      <c r="X46" s="633">
        <v>-80974</v>
      </c>
      <c r="Y46" s="632" t="e">
        <v>#DIV/0!</v>
      </c>
      <c r="Z46" s="637" t="s">
        <v>1192</v>
      </c>
      <c r="AA46" s="583">
        <v>0</v>
      </c>
      <c r="AB46" s="583">
        <v>0</v>
      </c>
      <c r="AC46" s="583"/>
      <c r="AD46" s="638"/>
      <c r="AE46" s="638"/>
      <c r="AF46" s="638"/>
      <c r="AG46" s="638"/>
      <c r="AH46" s="640"/>
      <c r="AI46" s="640"/>
      <c r="AJ46" s="640"/>
      <c r="AK46" s="641"/>
      <c r="AL46" s="641"/>
      <c r="AM46" s="640"/>
      <c r="AO46" s="641"/>
      <c r="AP46" s="642" t="s">
        <v>1174</v>
      </c>
      <c r="AQ46" s="643" t="s">
        <v>1176</v>
      </c>
      <c r="AR46" s="644">
        <v>1960000</v>
      </c>
      <c r="AS46" s="645">
        <v>1402700</v>
      </c>
      <c r="AT46" s="645">
        <v>557300</v>
      </c>
      <c r="AU46" s="646">
        <v>0.28433673469387755</v>
      </c>
      <c r="AV46" s="644">
        <v>1960000</v>
      </c>
      <c r="AW46" s="645">
        <v>1402700</v>
      </c>
      <c r="AX46" s="643">
        <v>557300</v>
      </c>
      <c r="AY46" s="644"/>
      <c r="AZ46" s="645"/>
      <c r="BA46" s="643"/>
      <c r="BB46" s="642">
        <v>0</v>
      </c>
      <c r="BC46" s="645">
        <v>19348</v>
      </c>
      <c r="BD46" s="643">
        <v>-19348</v>
      </c>
      <c r="BE46" s="642">
        <v>0</v>
      </c>
      <c r="BF46" s="645">
        <v>80974</v>
      </c>
      <c r="BG46" s="643">
        <v>-80974</v>
      </c>
      <c r="BH46" s="642">
        <v>0</v>
      </c>
      <c r="BI46" s="645">
        <v>80974</v>
      </c>
      <c r="BJ46" s="643">
        <v>-80974</v>
      </c>
      <c r="BK46" s="648"/>
      <c r="BL46" s="649"/>
      <c r="BM46" s="701">
        <v>1960000</v>
      </c>
      <c r="BN46" s="702">
        <v>1321726</v>
      </c>
      <c r="BO46" s="702">
        <v>638274</v>
      </c>
      <c r="BP46" s="652"/>
      <c r="BQ46" s="653"/>
      <c r="BR46" s="654"/>
      <c r="BS46" s="654"/>
      <c r="BT46" s="655"/>
      <c r="BU46" s="655"/>
      <c r="BV46" s="655"/>
      <c r="BW46" s="655"/>
      <c r="BX46" s="655"/>
      <c r="BY46" s="655"/>
      <c r="BZ46" s="655"/>
      <c r="CA46" s="655"/>
      <c r="CB46" s="655"/>
      <c r="CC46" s="640"/>
    </row>
    <row r="47" spans="1:81" s="692" customFormat="1" ht="22.35" customHeight="1">
      <c r="A47" s="685" t="s">
        <v>705</v>
      </c>
      <c r="B47" s="685" t="s">
        <v>1177</v>
      </c>
      <c r="C47" s="686"/>
      <c r="D47" s="686"/>
      <c r="E47" s="686">
        <v>0</v>
      </c>
      <c r="F47" s="686"/>
      <c r="G47" s="687"/>
      <c r="H47" s="687"/>
      <c r="I47" s="687"/>
      <c r="J47" s="686"/>
      <c r="K47" s="576">
        <v>0</v>
      </c>
      <c r="L47" s="576">
        <v>343835</v>
      </c>
      <c r="M47" s="576">
        <v>-343835</v>
      </c>
      <c r="N47" s="703" t="s">
        <v>1178</v>
      </c>
      <c r="O47" s="580">
        <v>0</v>
      </c>
      <c r="P47" s="576">
        <v>21351</v>
      </c>
      <c r="Q47" s="687">
        <v>-21351</v>
      </c>
      <c r="R47" s="687">
        <v>0</v>
      </c>
      <c r="S47" s="704">
        <v>365186</v>
      </c>
      <c r="T47" s="687">
        <v>-365186</v>
      </c>
      <c r="U47" s="578" t="e">
        <v>#DIV/0!</v>
      </c>
      <c r="V47" s="576">
        <v>0</v>
      </c>
      <c r="W47" s="576">
        <v>365186</v>
      </c>
      <c r="X47" s="576">
        <v>-365186</v>
      </c>
      <c r="Y47" s="578" t="e">
        <v>#DIV/0!</v>
      </c>
      <c r="Z47" s="582" t="s">
        <v>1228</v>
      </c>
      <c r="AA47" s="583">
        <v>0</v>
      </c>
      <c r="AB47" s="583">
        <v>0</v>
      </c>
      <c r="AC47" s="583"/>
      <c r="AD47" s="689"/>
      <c r="AE47" s="689"/>
      <c r="AF47" s="689"/>
      <c r="AG47" s="689"/>
      <c r="AH47" s="690"/>
      <c r="AI47" s="690"/>
      <c r="AJ47" s="690"/>
      <c r="AK47" s="691"/>
      <c r="AL47" s="691"/>
      <c r="AM47" s="690"/>
      <c r="AN47" s="705"/>
      <c r="AO47" s="691"/>
      <c r="AP47" s="706" t="s">
        <v>705</v>
      </c>
      <c r="AQ47" s="707" t="s">
        <v>1090</v>
      </c>
      <c r="AR47" s="708">
        <v>0</v>
      </c>
      <c r="AS47" s="709">
        <v>0</v>
      </c>
      <c r="AT47" s="709">
        <v>0</v>
      </c>
      <c r="AU47" s="710"/>
      <c r="AV47" s="708">
        <v>0</v>
      </c>
      <c r="AW47" s="709">
        <v>0</v>
      </c>
      <c r="AX47" s="707">
        <v>0</v>
      </c>
      <c r="AY47" s="708">
        <v>0</v>
      </c>
      <c r="AZ47" s="709">
        <v>0</v>
      </c>
      <c r="BA47" s="707">
        <v>0</v>
      </c>
      <c r="BB47" s="706">
        <v>0</v>
      </c>
      <c r="BC47" s="709">
        <v>21351</v>
      </c>
      <c r="BD47" s="707">
        <v>-21351</v>
      </c>
      <c r="BE47" s="706">
        <v>0</v>
      </c>
      <c r="BF47" s="709">
        <v>365186</v>
      </c>
      <c r="BG47" s="707">
        <v>-365186</v>
      </c>
      <c r="BH47" s="706">
        <v>0</v>
      </c>
      <c r="BI47" s="709">
        <v>365186</v>
      </c>
      <c r="BJ47" s="707">
        <v>-365186</v>
      </c>
      <c r="BK47" s="711"/>
      <c r="BL47" s="693"/>
      <c r="BM47" s="694">
        <v>0</v>
      </c>
      <c r="BN47" s="695">
        <v>0</v>
      </c>
      <c r="BO47" s="695">
        <v>0</v>
      </c>
      <c r="BP47" s="712"/>
      <c r="BQ47" s="696"/>
      <c r="BR47" s="713" t="s">
        <v>705</v>
      </c>
      <c r="BS47" s="713" t="s">
        <v>1179</v>
      </c>
      <c r="BT47" s="713">
        <v>0</v>
      </c>
      <c r="BU47" s="713">
        <v>0</v>
      </c>
      <c r="BV47" s="713">
        <v>0</v>
      </c>
      <c r="BW47" s="713">
        <v>0</v>
      </c>
      <c r="BX47" s="713">
        <v>0</v>
      </c>
      <c r="BY47" s="713">
        <v>0</v>
      </c>
      <c r="BZ47" s="713">
        <v>0</v>
      </c>
      <c r="CA47" s="713">
        <v>0</v>
      </c>
      <c r="CB47" s="713">
        <v>0</v>
      </c>
      <c r="CC47" s="690"/>
    </row>
    <row r="48" spans="1:81" ht="23.25" customHeight="1">
      <c r="A48" s="574" t="s">
        <v>707</v>
      </c>
      <c r="B48" s="574" t="s">
        <v>1180</v>
      </c>
      <c r="C48" s="577"/>
      <c r="D48" s="577"/>
      <c r="E48" s="577">
        <v>0</v>
      </c>
      <c r="F48" s="577"/>
      <c r="G48" s="576"/>
      <c r="H48" s="576"/>
      <c r="I48" s="576"/>
      <c r="J48" s="577"/>
      <c r="K48" s="576">
        <v>160000</v>
      </c>
      <c r="L48" s="576">
        <v>737123</v>
      </c>
      <c r="M48" s="576">
        <v>-577123</v>
      </c>
      <c r="N48" s="662" t="s">
        <v>1095</v>
      </c>
      <c r="O48" s="580">
        <v>0</v>
      </c>
      <c r="P48" s="576">
        <v>184000</v>
      </c>
      <c r="Q48" s="576">
        <v>-184000</v>
      </c>
      <c r="R48" s="576">
        <v>160000</v>
      </c>
      <c r="S48" s="595">
        <v>921123</v>
      </c>
      <c r="T48" s="576">
        <v>-761123</v>
      </c>
      <c r="U48" s="577"/>
      <c r="V48" s="576">
        <v>160000</v>
      </c>
      <c r="W48" s="576">
        <v>921123</v>
      </c>
      <c r="X48" s="595">
        <v>-761123</v>
      </c>
      <c r="Y48" s="577"/>
      <c r="Z48" s="582" t="s">
        <v>1228</v>
      </c>
      <c r="AA48" s="583">
        <v>0</v>
      </c>
      <c r="AB48" s="583">
        <v>0</v>
      </c>
      <c r="AC48" s="583"/>
      <c r="AD48" s="583"/>
      <c r="AE48" s="583"/>
      <c r="AF48" s="583"/>
      <c r="AG48" s="583"/>
      <c r="AN48" s="657"/>
      <c r="AP48" s="585" t="s">
        <v>707</v>
      </c>
      <c r="AQ48" s="586" t="s">
        <v>1096</v>
      </c>
      <c r="AR48" s="644">
        <v>0</v>
      </c>
      <c r="AS48" s="645">
        <v>0</v>
      </c>
      <c r="AT48" s="588">
        <v>0</v>
      </c>
      <c r="AU48" s="646"/>
      <c r="AV48" s="644">
        <v>0</v>
      </c>
      <c r="AW48" s="645">
        <v>0</v>
      </c>
      <c r="AX48" s="643">
        <v>0</v>
      </c>
      <c r="AY48" s="587">
        <v>0</v>
      </c>
      <c r="AZ48" s="588">
        <v>0</v>
      </c>
      <c r="BA48" s="586">
        <v>0</v>
      </c>
      <c r="BB48" s="585">
        <v>0</v>
      </c>
      <c r="BC48" s="588">
        <v>184000</v>
      </c>
      <c r="BD48" s="586">
        <v>-184000</v>
      </c>
      <c r="BE48" s="585">
        <v>160000</v>
      </c>
      <c r="BF48" s="588">
        <v>921123</v>
      </c>
      <c r="BG48" s="586"/>
      <c r="BH48" s="585">
        <v>160000</v>
      </c>
      <c r="BI48" s="588">
        <v>921123</v>
      </c>
      <c r="BJ48" s="586"/>
      <c r="BK48" s="590"/>
      <c r="BL48" s="535"/>
      <c r="BM48" s="701">
        <v>0</v>
      </c>
      <c r="BN48" s="702">
        <v>0</v>
      </c>
      <c r="BO48" s="702">
        <v>0</v>
      </c>
      <c r="BP48" s="593"/>
      <c r="BQ48" s="542"/>
      <c r="BR48" s="594" t="s">
        <v>707</v>
      </c>
      <c r="BS48" s="594" t="s">
        <v>1181</v>
      </c>
      <c r="BT48" s="594">
        <v>0</v>
      </c>
      <c r="BU48" s="594">
        <v>0</v>
      </c>
      <c r="BV48" s="594">
        <v>0</v>
      </c>
      <c r="BW48" s="594">
        <v>0</v>
      </c>
      <c r="BX48" s="594">
        <v>0</v>
      </c>
      <c r="BY48" s="594">
        <v>0</v>
      </c>
      <c r="BZ48" s="594">
        <v>0</v>
      </c>
      <c r="CA48" s="594">
        <v>0</v>
      </c>
      <c r="CB48" s="594">
        <v>0</v>
      </c>
    </row>
    <row r="49" spans="1:86" ht="22.35" customHeight="1">
      <c r="A49" s="664"/>
      <c r="B49" s="664" t="s">
        <v>1182</v>
      </c>
      <c r="C49" s="665">
        <v>166745787</v>
      </c>
      <c r="D49" s="665">
        <v>120277165</v>
      </c>
      <c r="E49" s="665">
        <v>46468622</v>
      </c>
      <c r="F49" s="666">
        <v>0.27867943674043172</v>
      </c>
      <c r="G49" s="665">
        <v>78098120</v>
      </c>
      <c r="H49" s="665">
        <v>46621758</v>
      </c>
      <c r="I49" s="665">
        <v>31476362</v>
      </c>
      <c r="J49" s="666">
        <v>0.40303610381402266</v>
      </c>
      <c r="K49" s="665">
        <v>21399750</v>
      </c>
      <c r="L49" s="665">
        <v>15360344</v>
      </c>
      <c r="M49" s="665">
        <v>6039406</v>
      </c>
      <c r="N49" s="667" t="s">
        <v>1099</v>
      </c>
      <c r="O49" s="665">
        <v>2232000</v>
      </c>
      <c r="P49" s="665">
        <v>1680513</v>
      </c>
      <c r="Q49" s="665">
        <v>551487</v>
      </c>
      <c r="R49" s="665">
        <v>23631750</v>
      </c>
      <c r="S49" s="665">
        <v>17040857</v>
      </c>
      <c r="T49" s="665">
        <v>6590893</v>
      </c>
      <c r="U49" s="666">
        <v>0.27889991219439947</v>
      </c>
      <c r="V49" s="665">
        <v>101729870</v>
      </c>
      <c r="W49" s="665">
        <v>63662615</v>
      </c>
      <c r="X49" s="665">
        <v>38067255</v>
      </c>
      <c r="Y49" s="666">
        <v>0.37419938706301303</v>
      </c>
      <c r="Z49" s="668"/>
      <c r="AA49" s="583"/>
      <c r="AB49" s="668"/>
      <c r="AC49" s="668"/>
      <c r="AD49" s="668"/>
      <c r="AE49" s="668"/>
      <c r="AF49" s="668"/>
      <c r="AG49" s="668"/>
      <c r="AM49" s="553"/>
      <c r="AN49" s="553"/>
      <c r="AO49" s="552"/>
      <c r="AP49" s="669"/>
      <c r="AQ49" s="670" t="s">
        <v>1183</v>
      </c>
      <c r="AR49" s="714">
        <v>166745787</v>
      </c>
      <c r="AS49" s="714">
        <v>120277165</v>
      </c>
      <c r="AT49" s="714">
        <v>46468622</v>
      </c>
      <c r="AU49" s="715">
        <v>0.27867943674043172</v>
      </c>
      <c r="AV49" s="714">
        <v>20962667</v>
      </c>
      <c r="AW49" s="714">
        <v>14605407</v>
      </c>
      <c r="AX49" s="714">
        <v>6357260</v>
      </c>
      <c r="AY49" s="714">
        <v>66000</v>
      </c>
      <c r="AZ49" s="716">
        <v>0</v>
      </c>
      <c r="BA49" s="716">
        <v>66000</v>
      </c>
      <c r="BB49" s="714">
        <v>2232000</v>
      </c>
      <c r="BC49" s="716">
        <v>1680513</v>
      </c>
      <c r="BD49" s="716">
        <v>551487</v>
      </c>
      <c r="BE49" s="714">
        <v>23631750</v>
      </c>
      <c r="BF49" s="716">
        <v>17040857</v>
      </c>
      <c r="BG49" s="716">
        <v>6590893</v>
      </c>
      <c r="BH49" s="714">
        <v>101729870</v>
      </c>
      <c r="BI49" s="716">
        <v>63662615</v>
      </c>
      <c r="BJ49" s="717">
        <v>38067255</v>
      </c>
      <c r="BK49" s="718"/>
      <c r="BL49" s="535"/>
      <c r="BM49" s="714">
        <v>65175917</v>
      </c>
      <c r="BN49" s="714">
        <v>57900859</v>
      </c>
      <c r="BO49" s="714">
        <v>7275058</v>
      </c>
      <c r="BP49" s="718"/>
      <c r="BQ49" s="542"/>
      <c r="BR49" s="719"/>
      <c r="BS49" s="719"/>
      <c r="BT49" s="719">
        <v>145717120</v>
      </c>
      <c r="BU49" s="719">
        <v>105671758</v>
      </c>
      <c r="BV49" s="720">
        <v>40045362</v>
      </c>
      <c r="BW49" s="719">
        <v>78098120</v>
      </c>
      <c r="BX49" s="719">
        <v>46621758</v>
      </c>
      <c r="BY49" s="719">
        <v>31476362</v>
      </c>
      <c r="BZ49" s="719">
        <v>67619000</v>
      </c>
      <c r="CA49" s="719">
        <v>59050000</v>
      </c>
      <c r="CB49" s="719">
        <v>8569000</v>
      </c>
      <c r="CD49"/>
      <c r="CE49" s="721"/>
    </row>
    <row r="50" spans="1:86" s="556" customFormat="1" ht="22.35" customHeight="1" thickBot="1">
      <c r="A50" s="722"/>
      <c r="B50" s="723" t="s">
        <v>1184</v>
      </c>
      <c r="C50" s="724">
        <v>386654880</v>
      </c>
      <c r="D50" s="724">
        <v>270507998</v>
      </c>
      <c r="E50" s="724">
        <v>116146882</v>
      </c>
      <c r="F50" s="725">
        <v>0.30038902392748801</v>
      </c>
      <c r="G50" s="724">
        <v>135929281</v>
      </c>
      <c r="H50" s="724">
        <v>79528390</v>
      </c>
      <c r="I50" s="724">
        <v>56400891</v>
      </c>
      <c r="J50" s="725">
        <v>0.41492819343317205</v>
      </c>
      <c r="K50" s="724">
        <v>28690750</v>
      </c>
      <c r="L50" s="724">
        <v>23519362</v>
      </c>
      <c r="M50" s="724">
        <v>5171388</v>
      </c>
      <c r="N50" s="726" t="s">
        <v>1099</v>
      </c>
      <c r="O50" s="724">
        <v>3973000</v>
      </c>
      <c r="P50" s="724">
        <v>2979275</v>
      </c>
      <c r="Q50" s="724">
        <v>993725</v>
      </c>
      <c r="R50" s="724">
        <v>32663750</v>
      </c>
      <c r="S50" s="724">
        <v>26498637</v>
      </c>
      <c r="T50" s="724">
        <v>6165113</v>
      </c>
      <c r="U50" s="725">
        <v>0.18874480119398415</v>
      </c>
      <c r="V50" s="724">
        <v>168593031</v>
      </c>
      <c r="W50" s="724">
        <v>106027027</v>
      </c>
      <c r="X50" s="724">
        <v>62566004</v>
      </c>
      <c r="Y50" s="725">
        <v>0.37110670369287091</v>
      </c>
      <c r="Z50" s="727"/>
      <c r="AA50" s="583"/>
      <c r="AB50" s="727"/>
      <c r="AC50" s="727"/>
      <c r="AD50" s="727"/>
      <c r="AE50" s="727"/>
      <c r="AF50" s="727"/>
      <c r="AG50" s="727"/>
      <c r="AH50" s="553"/>
      <c r="AI50" s="553"/>
      <c r="AJ50" s="553"/>
      <c r="AK50" s="552"/>
      <c r="AL50" s="552"/>
      <c r="AM50" s="553"/>
      <c r="AN50" s="553"/>
      <c r="AO50" s="552"/>
      <c r="AP50" s="728"/>
      <c r="AQ50" s="729" t="s">
        <v>1185</v>
      </c>
      <c r="AR50" s="728">
        <v>386654880</v>
      </c>
      <c r="AS50" s="730">
        <v>270507998</v>
      </c>
      <c r="AT50" s="730">
        <v>116146882</v>
      </c>
      <c r="AU50" s="731">
        <v>0.30038902392748801</v>
      </c>
      <c r="AV50" s="728">
        <v>52132667</v>
      </c>
      <c r="AW50" s="730">
        <v>35681020</v>
      </c>
      <c r="AX50" s="730">
        <v>16451647</v>
      </c>
      <c r="AY50" s="728">
        <v>66000</v>
      </c>
      <c r="AZ50" s="730">
        <v>0</v>
      </c>
      <c r="BA50" s="730">
        <v>66000</v>
      </c>
      <c r="BB50" s="728">
        <v>3973000</v>
      </c>
      <c r="BC50" s="730">
        <v>2979275</v>
      </c>
      <c r="BD50" s="730">
        <v>993725</v>
      </c>
      <c r="BE50" s="728">
        <v>32663750</v>
      </c>
      <c r="BF50" s="730">
        <v>26498637</v>
      </c>
      <c r="BG50" s="730">
        <v>6165113</v>
      </c>
      <c r="BH50" s="728">
        <v>168593031</v>
      </c>
      <c r="BI50" s="730">
        <v>106027027</v>
      </c>
      <c r="BJ50" s="732">
        <v>62566004</v>
      </c>
      <c r="BK50" s="733"/>
      <c r="BL50" s="535"/>
      <c r="BM50" s="728">
        <v>218274349</v>
      </c>
      <c r="BN50" s="730">
        <v>166846032</v>
      </c>
      <c r="BO50" s="730">
        <v>51428317</v>
      </c>
      <c r="BP50" s="734"/>
      <c r="BQ50" s="542"/>
      <c r="BR50" s="724"/>
      <c r="BS50" s="735"/>
      <c r="BT50" s="724">
        <v>334456213</v>
      </c>
      <c r="BU50" s="724">
        <v>234826978</v>
      </c>
      <c r="BV50" s="736">
        <v>99629235</v>
      </c>
      <c r="BW50" s="724">
        <v>135929281</v>
      </c>
      <c r="BX50" s="724">
        <v>79528390</v>
      </c>
      <c r="BY50" s="724">
        <v>56400891</v>
      </c>
      <c r="BZ50" s="724">
        <v>198526932</v>
      </c>
      <c r="CA50" s="724">
        <v>155298588</v>
      </c>
      <c r="CB50" s="724">
        <v>43228344</v>
      </c>
      <c r="CC50" s="553"/>
      <c r="CD50"/>
      <c r="CE50" s="721"/>
      <c r="CF50" s="529"/>
      <c r="CG50" s="529"/>
      <c r="CH50" s="529"/>
    </row>
    <row r="51" spans="1:86" s="742" customFormat="1" ht="13.5" customHeight="1">
      <c r="A51" s="737"/>
      <c r="B51" s="529"/>
      <c r="C51" s="532"/>
      <c r="D51" s="532"/>
      <c r="E51" s="532"/>
      <c r="F51" s="532"/>
      <c r="G51" s="532"/>
      <c r="H51" s="532"/>
      <c r="I51" s="532"/>
      <c r="J51" s="532"/>
      <c r="K51" s="532">
        <v>0</v>
      </c>
      <c r="L51" s="532">
        <v>0</v>
      </c>
      <c r="M51" s="532">
        <v>0</v>
      </c>
      <c r="N51" s="533"/>
      <c r="O51" s="532"/>
      <c r="P51" s="532"/>
      <c r="Q51" s="532"/>
      <c r="R51" s="532"/>
      <c r="S51" s="532"/>
      <c r="T51" s="532"/>
      <c r="U51" s="532"/>
      <c r="V51" s="532"/>
      <c r="W51" s="532"/>
      <c r="X51" s="532"/>
      <c r="Y51" s="532"/>
      <c r="Z51" s="738"/>
      <c r="AA51" s="583">
        <v>0</v>
      </c>
      <c r="AB51" s="738"/>
      <c r="AC51" s="738"/>
      <c r="AD51" s="738"/>
      <c r="AE51" s="738"/>
      <c r="AF51" s="738"/>
      <c r="AG51" s="738"/>
      <c r="AH51" s="532"/>
      <c r="AI51" s="532"/>
      <c r="AJ51" s="532"/>
      <c r="AK51" s="533"/>
      <c r="AL51" s="533"/>
      <c r="AM51" s="532"/>
      <c r="AN51" s="532"/>
      <c r="AO51" s="533"/>
      <c r="AP51" s="739"/>
      <c r="AQ51" s="537"/>
      <c r="AR51" s="740">
        <v>0</v>
      </c>
      <c r="AS51" s="740">
        <v>0</v>
      </c>
      <c r="AT51" s="740">
        <v>0</v>
      </c>
      <c r="AU51" s="741"/>
      <c r="AV51" s="537"/>
      <c r="AW51" s="537"/>
      <c r="AX51" s="537"/>
      <c r="AY51" s="537"/>
      <c r="AZ51" s="537"/>
      <c r="BA51" s="537"/>
      <c r="BB51" s="537">
        <v>0</v>
      </c>
      <c r="BC51" s="537">
        <v>0</v>
      </c>
      <c r="BD51" s="537">
        <v>0</v>
      </c>
      <c r="BE51" s="537">
        <v>0</v>
      </c>
      <c r="BF51" s="537">
        <v>0</v>
      </c>
      <c r="BG51" s="537">
        <v>0</v>
      </c>
      <c r="BH51" s="537">
        <v>0</v>
      </c>
      <c r="BI51" s="537">
        <v>0</v>
      </c>
      <c r="BJ51" s="537">
        <v>0</v>
      </c>
      <c r="BK51" s="537"/>
      <c r="BL51" s="739"/>
      <c r="BM51" s="537"/>
      <c r="BN51" s="739"/>
      <c r="BO51" s="739"/>
      <c r="BP51" s="739"/>
      <c r="BR51" s="532"/>
      <c r="BS51" s="532"/>
      <c r="BT51" s="532"/>
      <c r="BU51" s="532"/>
      <c r="BV51" s="532"/>
      <c r="CC51" s="532"/>
      <c r="CD51"/>
      <c r="CE51" s="721"/>
      <c r="CF51" s="529"/>
      <c r="CG51" s="529"/>
      <c r="CH51" s="529"/>
    </row>
    <row r="52" spans="1:86" s="742" customFormat="1" ht="22.35" hidden="1" customHeight="1">
      <c r="A52" s="743"/>
      <c r="B52" s="529"/>
      <c r="C52" s="532"/>
      <c r="D52" s="532"/>
      <c r="E52" s="532"/>
      <c r="F52" s="532"/>
      <c r="G52" s="532"/>
      <c r="H52" s="532"/>
      <c r="I52" s="532"/>
      <c r="J52" s="532"/>
      <c r="K52" s="532"/>
      <c r="L52" s="532"/>
      <c r="M52" s="532"/>
      <c r="N52" s="533"/>
      <c r="O52" s="532"/>
      <c r="P52" s="532"/>
      <c r="Q52" s="532"/>
      <c r="R52" s="532"/>
      <c r="S52" s="532"/>
      <c r="T52" s="532"/>
      <c r="U52" s="532"/>
      <c r="V52" s="532"/>
      <c r="W52" s="532"/>
      <c r="X52" s="532"/>
      <c r="Y52" s="532"/>
      <c r="Z52" s="738"/>
      <c r="AA52" s="738"/>
      <c r="AB52" s="738"/>
      <c r="AC52" s="738"/>
      <c r="AD52" s="738"/>
      <c r="AE52" s="738"/>
      <c r="AF52" s="738"/>
      <c r="AG52" s="738"/>
      <c r="AH52" s="532"/>
      <c r="AI52" s="532"/>
      <c r="AJ52" s="532"/>
      <c r="AK52" s="533"/>
      <c r="AL52" s="533"/>
      <c r="AM52" s="532"/>
      <c r="AN52" s="532"/>
      <c r="AO52" s="533"/>
      <c r="AP52" s="739"/>
      <c r="AQ52" s="537"/>
      <c r="AR52" s="740"/>
      <c r="AS52" s="740"/>
      <c r="AT52" s="740"/>
      <c r="AU52" s="741"/>
      <c r="AV52" s="537"/>
      <c r="AW52" s="537"/>
      <c r="AX52" s="537"/>
      <c r="AY52" s="537"/>
      <c r="AZ52" s="537"/>
      <c r="BA52" s="537"/>
      <c r="BB52" s="537"/>
      <c r="BC52" s="537"/>
      <c r="BD52" s="537"/>
      <c r="BE52" s="537"/>
      <c r="BF52" s="537"/>
      <c r="BG52" s="537"/>
      <c r="BH52" s="537"/>
      <c r="BI52" s="537"/>
      <c r="BJ52" s="537"/>
      <c r="BK52" s="537"/>
      <c r="BL52" s="739"/>
      <c r="BM52" s="739"/>
      <c r="BN52" s="739"/>
      <c r="BO52" s="739"/>
      <c r="BP52" s="739"/>
      <c r="BR52" s="532"/>
      <c r="BS52" s="532"/>
      <c r="BT52" s="532"/>
      <c r="BU52" s="532"/>
      <c r="BV52" s="532"/>
      <c r="CC52" s="532"/>
      <c r="CD52"/>
      <c r="CE52" s="721"/>
      <c r="CF52" s="529"/>
      <c r="CG52" s="529"/>
      <c r="CH52" s="529"/>
    </row>
    <row r="53" spans="1:86" s="742" customFormat="1" ht="22.35" hidden="1" customHeight="1">
      <c r="A53" s="744"/>
      <c r="B53" s="529"/>
      <c r="C53" s="532"/>
      <c r="D53" s="532"/>
      <c r="E53" s="532"/>
      <c r="F53" s="532"/>
      <c r="G53" s="532"/>
      <c r="H53" s="532"/>
      <c r="I53" s="532"/>
      <c r="J53" s="532"/>
      <c r="K53" s="532"/>
      <c r="L53" s="532"/>
      <c r="N53" s="745"/>
      <c r="Q53" s="532"/>
      <c r="R53" s="532"/>
      <c r="S53" s="532"/>
      <c r="T53" s="532"/>
      <c r="U53" s="532"/>
      <c r="V53" s="532"/>
      <c r="W53" s="532"/>
      <c r="X53" s="532"/>
      <c r="Y53" s="532"/>
      <c r="Z53" s="738"/>
      <c r="AA53" s="738"/>
      <c r="AB53" s="738"/>
      <c r="AC53" s="738"/>
      <c r="AD53" s="738"/>
      <c r="AE53" s="738"/>
      <c r="AF53" s="738"/>
      <c r="AG53" s="738"/>
      <c r="AH53" s="532"/>
      <c r="AI53" s="532"/>
      <c r="AJ53" s="532"/>
      <c r="AK53" s="533"/>
      <c r="AL53" s="533"/>
      <c r="AM53" s="532"/>
      <c r="AN53" s="532"/>
      <c r="AO53" s="533"/>
      <c r="AP53" s="739"/>
      <c r="AQ53" s="537"/>
      <c r="AR53" s="740"/>
      <c r="AS53" s="740"/>
      <c r="AT53" s="740"/>
      <c r="AU53" s="741"/>
      <c r="AV53" s="537"/>
      <c r="AW53" s="537"/>
      <c r="AX53" s="537"/>
      <c r="AY53" s="537"/>
      <c r="AZ53" s="537"/>
      <c r="BA53" s="537"/>
      <c r="BB53" s="537"/>
      <c r="BC53" s="537"/>
      <c r="BD53" s="537"/>
      <c r="BE53" s="537"/>
      <c r="BF53" s="537"/>
      <c r="BG53" s="537"/>
      <c r="BH53" s="537"/>
      <c r="BI53" s="537"/>
      <c r="BJ53" s="537"/>
      <c r="BK53" s="537"/>
      <c r="BL53" s="739"/>
      <c r="BM53" s="739"/>
      <c r="BN53" s="739"/>
      <c r="BO53" s="739"/>
      <c r="BP53" s="739"/>
      <c r="BR53" s="532"/>
      <c r="BS53" s="532"/>
      <c r="BT53" s="532"/>
      <c r="BU53" s="532"/>
      <c r="BV53" s="532"/>
      <c r="CC53" s="532"/>
      <c r="CD53"/>
      <c r="CE53" s="721"/>
      <c r="CF53" s="529"/>
      <c r="CG53" s="529"/>
      <c r="CH53" s="529"/>
    </row>
    <row r="54" spans="1:86" s="742" customFormat="1" ht="22.35" customHeight="1">
      <c r="A54" s="746" t="s">
        <v>1236</v>
      </c>
      <c r="B54" s="747"/>
      <c r="C54" s="532"/>
      <c r="D54" s="532"/>
      <c r="E54" s="532"/>
      <c r="F54" s="532"/>
      <c r="G54" s="532"/>
      <c r="H54" s="532"/>
      <c r="I54" s="532"/>
      <c r="J54" s="532"/>
      <c r="K54" s="532"/>
      <c r="L54" s="532"/>
      <c r="M54" s="532"/>
      <c r="N54" s="533"/>
      <c r="O54" s="532"/>
      <c r="P54" s="532"/>
      <c r="Q54" s="532"/>
      <c r="R54" s="532"/>
      <c r="S54" s="532"/>
      <c r="T54" s="532"/>
      <c r="U54" s="532"/>
      <c r="V54" s="532"/>
      <c r="W54" s="532"/>
      <c r="X54" s="532"/>
      <c r="Y54" s="532"/>
      <c r="Z54" s="738"/>
      <c r="AA54" s="738"/>
      <c r="AB54" s="738"/>
      <c r="AC54" s="738"/>
      <c r="AD54" s="738"/>
      <c r="AE54" s="738"/>
      <c r="AF54" s="738"/>
      <c r="AG54" s="738"/>
      <c r="AH54" s="532"/>
      <c r="AI54" s="532"/>
      <c r="AJ54" s="532"/>
      <c r="AK54" s="533"/>
      <c r="AL54" s="533"/>
      <c r="AM54" s="532"/>
      <c r="AN54" s="532"/>
      <c r="AO54" s="533"/>
      <c r="AP54" s="739"/>
      <c r="AQ54" s="537"/>
      <c r="AR54" s="740"/>
      <c r="AS54" s="740"/>
      <c r="AT54" s="740"/>
      <c r="AU54" s="741"/>
      <c r="AV54" s="537"/>
      <c r="AW54" s="537"/>
      <c r="AX54" s="537"/>
      <c r="AY54" s="537"/>
      <c r="AZ54" s="537"/>
      <c r="BA54" s="537"/>
      <c r="BB54" s="537"/>
      <c r="BC54" s="537"/>
      <c r="BD54" s="537"/>
      <c r="BE54" s="537"/>
      <c r="BF54" s="537"/>
      <c r="BG54" s="537"/>
      <c r="BH54" s="537"/>
      <c r="BI54" s="537"/>
      <c r="BJ54" s="537"/>
      <c r="BK54" s="537"/>
      <c r="BL54" s="739"/>
      <c r="BM54" s="739"/>
      <c r="BN54" s="739"/>
      <c r="BO54" s="739"/>
      <c r="BP54" s="739"/>
      <c r="BR54" s="532"/>
      <c r="BS54" s="532"/>
      <c r="BT54" s="532"/>
      <c r="BU54" s="532"/>
      <c r="BV54" s="532"/>
      <c r="CC54" s="532"/>
      <c r="CD54"/>
      <c r="CE54" s="721"/>
      <c r="CF54" s="529"/>
      <c r="CG54" s="529"/>
      <c r="CH54" s="529"/>
    </row>
    <row r="55" spans="1:86" s="742" customFormat="1" ht="22.35" customHeight="1" thickBot="1">
      <c r="A55" s="746" t="s">
        <v>534</v>
      </c>
      <c r="B55" s="748" t="s">
        <v>1186</v>
      </c>
      <c r="C55" s="532"/>
      <c r="D55" s="532"/>
      <c r="E55" s="532"/>
      <c r="F55" s="532"/>
      <c r="G55" s="532"/>
      <c r="H55" s="532"/>
      <c r="I55" s="532"/>
      <c r="J55" s="532"/>
      <c r="K55" s="532"/>
      <c r="L55" s="532"/>
      <c r="M55" s="532"/>
      <c r="N55" s="533"/>
      <c r="O55" s="532"/>
      <c r="P55" s="532"/>
      <c r="Q55" s="532"/>
      <c r="R55" s="532"/>
      <c r="S55" s="532"/>
      <c r="T55" s="532"/>
      <c r="U55" s="532"/>
      <c r="V55" s="532"/>
      <c r="W55" s="532"/>
      <c r="X55" s="532"/>
      <c r="Y55" s="532"/>
      <c r="Z55" s="738"/>
      <c r="AA55" s="738"/>
      <c r="AB55" s="738"/>
      <c r="AC55" s="738"/>
      <c r="AD55" s="738"/>
      <c r="AE55" s="738"/>
      <c r="AF55" s="738"/>
      <c r="AG55" s="738"/>
      <c r="AH55" s="532"/>
      <c r="AI55" s="532"/>
      <c r="AJ55" s="532"/>
      <c r="AK55" s="533"/>
      <c r="AL55" s="533"/>
      <c r="AM55" s="532"/>
      <c r="AN55" s="532"/>
      <c r="AO55" s="533"/>
      <c r="AP55" s="739"/>
      <c r="AQ55" s="537"/>
      <c r="AR55" s="740"/>
      <c r="AS55" s="740"/>
      <c r="AT55" s="740"/>
      <c r="AU55" s="741"/>
      <c r="AV55" s="537"/>
      <c r="AW55" s="537" t="s">
        <v>1187</v>
      </c>
      <c r="AX55" s="537"/>
      <c r="AY55" s="537"/>
      <c r="AZ55" s="537"/>
      <c r="BA55" s="537"/>
      <c r="BB55" s="537"/>
      <c r="BC55" s="537"/>
      <c r="BD55" s="537"/>
      <c r="BE55" s="537"/>
      <c r="BF55" s="537"/>
      <c r="BG55" s="537"/>
      <c r="BH55" s="537"/>
      <c r="BI55" s="537"/>
      <c r="BJ55" s="537"/>
      <c r="BK55" s="537"/>
      <c r="BL55" s="739"/>
      <c r="BM55" s="739"/>
      <c r="BN55" s="739"/>
      <c r="BO55" s="739"/>
      <c r="BP55" s="739"/>
      <c r="BR55" s="532"/>
      <c r="BS55" s="532"/>
      <c r="BT55" s="532"/>
      <c r="BU55" s="532"/>
      <c r="BV55" s="532"/>
      <c r="BW55" s="2574" t="s">
        <v>990</v>
      </c>
      <c r="BX55" s="2574"/>
      <c r="BY55" s="2574"/>
      <c r="BZ55" s="2574"/>
      <c r="CA55" s="2574"/>
      <c r="CB55" s="2574"/>
      <c r="CC55" s="532"/>
      <c r="CD55"/>
      <c r="CE55" s="721"/>
      <c r="CF55" s="529"/>
      <c r="CG55" s="529"/>
      <c r="CH55" s="529"/>
    </row>
    <row r="56" spans="1:86" s="556" customFormat="1" ht="22.35" customHeight="1">
      <c r="A56" s="2592" t="s">
        <v>991</v>
      </c>
      <c r="B56" s="2593" t="s">
        <v>992</v>
      </c>
      <c r="C56" s="2594" t="s">
        <v>993</v>
      </c>
      <c r="D56" s="2596" t="s">
        <v>994</v>
      </c>
      <c r="E56" s="2598" t="s">
        <v>995</v>
      </c>
      <c r="F56" s="548"/>
      <c r="G56" s="2589" t="s">
        <v>1229</v>
      </c>
      <c r="H56" s="2589"/>
      <c r="I56" s="2589"/>
      <c r="J56" s="550"/>
      <c r="K56" s="2584" t="s">
        <v>998</v>
      </c>
      <c r="L56" s="2584"/>
      <c r="M56" s="2584"/>
      <c r="N56" s="2614" t="s">
        <v>1188</v>
      </c>
      <c r="O56" s="2586" t="s">
        <v>1000</v>
      </c>
      <c r="P56" s="2586"/>
      <c r="Q56" s="2586"/>
      <c r="R56" s="2589" t="s">
        <v>1001</v>
      </c>
      <c r="S56" s="2589"/>
      <c r="T56" s="2589"/>
      <c r="U56" s="550"/>
      <c r="V56" s="2589" t="s">
        <v>1230</v>
      </c>
      <c r="W56" s="2589"/>
      <c r="X56" s="2589"/>
      <c r="Y56" s="552"/>
      <c r="Z56" s="552"/>
      <c r="AA56" s="552"/>
      <c r="AB56" s="552"/>
      <c r="AC56" s="552"/>
      <c r="AD56" s="552"/>
      <c r="AE56" s="552"/>
      <c r="AF56" s="552"/>
      <c r="AG56" s="552"/>
      <c r="AH56" s="552"/>
      <c r="AI56" s="553"/>
      <c r="AJ56" s="553"/>
      <c r="AK56" s="552"/>
      <c r="AL56" s="552"/>
      <c r="AM56" s="553"/>
      <c r="AN56" s="553"/>
      <c r="AO56" s="552"/>
      <c r="AP56" s="2590" t="s">
        <v>1004</v>
      </c>
      <c r="AQ56" s="2579" t="s">
        <v>1005</v>
      </c>
      <c r="AR56" s="2590" t="s">
        <v>1006</v>
      </c>
      <c r="AS56" s="2599" t="s">
        <v>1007</v>
      </c>
      <c r="AT56" s="2600" t="s">
        <v>1008</v>
      </c>
      <c r="AU56" s="2579" t="s">
        <v>1009</v>
      </c>
      <c r="AV56" s="2605" t="s">
        <v>1010</v>
      </c>
      <c r="AW56" s="2606"/>
      <c r="AX56" s="2607"/>
      <c r="AY56" s="2605" t="s">
        <v>1011</v>
      </c>
      <c r="AZ56" s="2606"/>
      <c r="BA56" s="2607"/>
      <c r="BB56" s="2608" t="s">
        <v>1012</v>
      </c>
      <c r="BC56" s="2609"/>
      <c r="BD56" s="2610"/>
      <c r="BE56" s="2608" t="s">
        <v>1013</v>
      </c>
      <c r="BF56" s="2609"/>
      <c r="BG56" s="2610"/>
      <c r="BH56" s="2608" t="s">
        <v>1014</v>
      </c>
      <c r="BI56" s="2609"/>
      <c r="BJ56" s="2610"/>
      <c r="BK56" s="554"/>
      <c r="BL56" s="534"/>
      <c r="BM56" s="2611" t="s">
        <v>1189</v>
      </c>
      <c r="BN56" s="2612"/>
      <c r="BO56" s="2622"/>
      <c r="BP56" s="555"/>
      <c r="BR56" s="2615"/>
      <c r="BS56" s="2615" t="s">
        <v>1005</v>
      </c>
      <c r="BT56" s="2615" t="s">
        <v>1016</v>
      </c>
      <c r="BU56" s="2617" t="s">
        <v>1017</v>
      </c>
      <c r="BV56" s="2619" t="s">
        <v>1008</v>
      </c>
      <c r="BW56" s="2602" t="s">
        <v>1231</v>
      </c>
      <c r="BX56" s="2603"/>
      <c r="BY56" s="2604"/>
      <c r="BZ56" s="2602" t="s">
        <v>1232</v>
      </c>
      <c r="CA56" s="2603"/>
      <c r="CB56" s="2604"/>
      <c r="CC56" s="553"/>
      <c r="CD56" s="557"/>
    </row>
    <row r="57" spans="1:86" s="556" customFormat="1" ht="22.35" customHeight="1">
      <c r="A57" s="2592"/>
      <c r="B57" s="2593"/>
      <c r="C57" s="2595"/>
      <c r="D57" s="2597"/>
      <c r="E57" s="2594"/>
      <c r="F57" s="547"/>
      <c r="G57" s="550" t="s">
        <v>1020</v>
      </c>
      <c r="H57" s="550" t="s">
        <v>1021</v>
      </c>
      <c r="I57" s="550" t="s">
        <v>1022</v>
      </c>
      <c r="J57" s="550"/>
      <c r="K57" s="550" t="s">
        <v>1020</v>
      </c>
      <c r="L57" s="550" t="s">
        <v>1021</v>
      </c>
      <c r="M57" s="550" t="s">
        <v>1022</v>
      </c>
      <c r="N57" s="2585"/>
      <c r="O57" s="550" t="s">
        <v>1020</v>
      </c>
      <c r="P57" s="550" t="s">
        <v>1021</v>
      </c>
      <c r="Q57" s="550" t="s">
        <v>1022</v>
      </c>
      <c r="R57" s="550" t="s">
        <v>1020</v>
      </c>
      <c r="S57" s="550" t="s">
        <v>1021</v>
      </c>
      <c r="T57" s="550" t="s">
        <v>1022</v>
      </c>
      <c r="U57" s="550"/>
      <c r="V57" s="550" t="s">
        <v>1020</v>
      </c>
      <c r="W57" s="550" t="s">
        <v>1021</v>
      </c>
      <c r="X57" s="550" t="s">
        <v>1022</v>
      </c>
      <c r="Y57" s="552"/>
      <c r="Z57" s="559"/>
      <c r="AA57" s="551"/>
      <c r="AB57" s="552"/>
      <c r="AC57" s="552"/>
      <c r="AD57" s="552"/>
      <c r="AE57" s="552"/>
      <c r="AF57" s="552"/>
      <c r="AG57" s="552"/>
      <c r="AH57" s="560"/>
      <c r="AI57" s="560"/>
      <c r="AJ57" s="560"/>
      <c r="AK57" s="552"/>
      <c r="AL57" s="561"/>
      <c r="AM57" s="553"/>
      <c r="AN57" s="553"/>
      <c r="AO57" s="552"/>
      <c r="AP57" s="2591"/>
      <c r="AQ57" s="2580"/>
      <c r="AR57" s="2591"/>
      <c r="AS57" s="2499"/>
      <c r="AT57" s="2601"/>
      <c r="AU57" s="2580"/>
      <c r="AV57" s="562" t="s">
        <v>1016</v>
      </c>
      <c r="AW57" s="563" t="s">
        <v>1017</v>
      </c>
      <c r="AX57" s="564" t="s">
        <v>1008</v>
      </c>
      <c r="AY57" s="562" t="s">
        <v>1016</v>
      </c>
      <c r="AZ57" s="563" t="s">
        <v>1017</v>
      </c>
      <c r="BA57" s="564" t="s">
        <v>1008</v>
      </c>
      <c r="BB57" s="565" t="s">
        <v>1024</v>
      </c>
      <c r="BC57" s="566" t="s">
        <v>1025</v>
      </c>
      <c r="BD57" s="567" t="s">
        <v>1026</v>
      </c>
      <c r="BE57" s="565" t="s">
        <v>1024</v>
      </c>
      <c r="BF57" s="566" t="s">
        <v>1025</v>
      </c>
      <c r="BG57" s="567" t="s">
        <v>1026</v>
      </c>
      <c r="BH57" s="565" t="s">
        <v>1024</v>
      </c>
      <c r="BI57" s="566" t="s">
        <v>1025</v>
      </c>
      <c r="BJ57" s="567" t="s">
        <v>1026</v>
      </c>
      <c r="BK57" s="568"/>
      <c r="BL57" s="749"/>
      <c r="BM57" s="570" t="s">
        <v>1027</v>
      </c>
      <c r="BN57" s="571" t="s">
        <v>1028</v>
      </c>
      <c r="BO57" s="750" t="s">
        <v>1008</v>
      </c>
      <c r="BP57" s="572"/>
      <c r="BR57" s="2616"/>
      <c r="BS57" s="2616"/>
      <c r="BT57" s="2616"/>
      <c r="BU57" s="2618"/>
      <c r="BV57" s="2620"/>
      <c r="BW57" s="573" t="s">
        <v>1027</v>
      </c>
      <c r="BX57" s="573" t="s">
        <v>1028</v>
      </c>
      <c r="BY57" s="573" t="s">
        <v>1008</v>
      </c>
      <c r="BZ57" s="573" t="s">
        <v>1027</v>
      </c>
      <c r="CA57" s="573" t="s">
        <v>1028</v>
      </c>
      <c r="CB57" s="573" t="s">
        <v>1008</v>
      </c>
      <c r="CC57" s="553"/>
      <c r="CD57" s="557"/>
    </row>
    <row r="58" spans="1:86" s="742" customFormat="1" ht="22.35" customHeight="1">
      <c r="A58" s="574" t="s">
        <v>1190</v>
      </c>
      <c r="B58" s="751" t="s">
        <v>1191</v>
      </c>
      <c r="C58" s="752">
        <v>386654880</v>
      </c>
      <c r="D58" s="752">
        <v>270507998</v>
      </c>
      <c r="E58" s="752">
        <v>116146882</v>
      </c>
      <c r="F58" s="752"/>
      <c r="G58" s="752">
        <v>135929281</v>
      </c>
      <c r="H58" s="752">
        <v>79528390</v>
      </c>
      <c r="I58" s="752">
        <v>56400891</v>
      </c>
      <c r="J58" s="752"/>
      <c r="K58" s="576">
        <v>28478250</v>
      </c>
      <c r="L58" s="576">
        <v>21453192</v>
      </c>
      <c r="M58" s="576">
        <v>7025058</v>
      </c>
      <c r="N58" s="753" t="s">
        <v>1192</v>
      </c>
      <c r="O58" s="752">
        <v>3973000</v>
      </c>
      <c r="P58" s="752">
        <v>2680384</v>
      </c>
      <c r="Q58" s="752">
        <v>1292616</v>
      </c>
      <c r="R58" s="576">
        <v>32451250</v>
      </c>
      <c r="S58" s="576">
        <v>24133576</v>
      </c>
      <c r="T58" s="576">
        <v>8317674</v>
      </c>
      <c r="U58" s="576"/>
      <c r="V58" s="576">
        <v>168380531</v>
      </c>
      <c r="W58" s="576">
        <v>103661966</v>
      </c>
      <c r="X58" s="576">
        <v>64718565</v>
      </c>
      <c r="Y58" s="583"/>
      <c r="Z58" s="738"/>
      <c r="AA58" s="738"/>
      <c r="AB58" s="738"/>
      <c r="AC58" s="738"/>
      <c r="AD58" s="738"/>
      <c r="AE58" s="738"/>
      <c r="AF58" s="738"/>
      <c r="AG58" s="738"/>
      <c r="AH58" s="532"/>
      <c r="AI58" s="532"/>
      <c r="AJ58" s="532"/>
      <c r="AK58" s="533"/>
      <c r="AL58" s="533"/>
      <c r="AM58" s="532"/>
      <c r="AN58" s="532"/>
      <c r="AO58" s="533"/>
      <c r="AP58" s="585" t="s">
        <v>1190</v>
      </c>
      <c r="AQ58" s="586" t="s">
        <v>1191</v>
      </c>
      <c r="AR58" s="587">
        <v>386654880</v>
      </c>
      <c r="AS58" s="588">
        <v>270507998</v>
      </c>
      <c r="AT58" s="588">
        <v>116146882</v>
      </c>
      <c r="AU58" s="658">
        <v>0.30038902392748801</v>
      </c>
      <c r="AV58" s="585">
        <v>52132667</v>
      </c>
      <c r="AW58" s="588">
        <v>35681020</v>
      </c>
      <c r="AX58" s="586">
        <v>16451647</v>
      </c>
      <c r="AY58" s="585">
        <v>66000</v>
      </c>
      <c r="AZ58" s="588">
        <v>0</v>
      </c>
      <c r="BA58" s="586">
        <v>66000</v>
      </c>
      <c r="BB58" s="585">
        <v>3973000</v>
      </c>
      <c r="BC58" s="588">
        <v>2680384</v>
      </c>
      <c r="BD58" s="586">
        <v>1292616</v>
      </c>
      <c r="BE58" s="585">
        <v>32451250</v>
      </c>
      <c r="BF58" s="588">
        <v>24133576</v>
      </c>
      <c r="BG58" s="586">
        <v>8317674</v>
      </c>
      <c r="BH58" s="585">
        <v>168380531</v>
      </c>
      <c r="BI58" s="588">
        <v>103661966</v>
      </c>
      <c r="BJ58" s="586">
        <v>64718565</v>
      </c>
      <c r="BK58" s="590"/>
      <c r="BL58" s="535"/>
      <c r="BM58" s="591">
        <v>218274349</v>
      </c>
      <c r="BN58" s="592">
        <v>166846032</v>
      </c>
      <c r="BO58" s="754">
        <v>51428317</v>
      </c>
      <c r="BP58" s="593"/>
      <c r="BR58" s="594" t="s">
        <v>1190</v>
      </c>
      <c r="BS58" s="594" t="s">
        <v>1191</v>
      </c>
      <c r="BT58" s="594">
        <v>334456213</v>
      </c>
      <c r="BU58" s="594">
        <v>234826978</v>
      </c>
      <c r="BV58" s="594">
        <v>99629235</v>
      </c>
      <c r="BW58" s="594">
        <v>135929281</v>
      </c>
      <c r="BX58" s="594">
        <v>79528390</v>
      </c>
      <c r="BY58" s="594">
        <v>56400891</v>
      </c>
      <c r="BZ58" s="755">
        <v>198526932</v>
      </c>
      <c r="CA58" s="755">
        <v>155298588</v>
      </c>
      <c r="CB58" s="755">
        <v>43228344</v>
      </c>
      <c r="CC58" s="532"/>
      <c r="CD58"/>
      <c r="CE58" s="721"/>
      <c r="CF58" s="529"/>
      <c r="CG58" s="529"/>
      <c r="CH58" s="529"/>
    </row>
    <row r="59" spans="1:86" s="742" customFormat="1" ht="22.35" customHeight="1">
      <c r="A59" s="574" t="s">
        <v>1193</v>
      </c>
      <c r="B59" s="751" t="s">
        <v>1194</v>
      </c>
      <c r="C59" s="752">
        <v>0</v>
      </c>
      <c r="D59" s="752">
        <v>0</v>
      </c>
      <c r="E59" s="752">
        <v>0</v>
      </c>
      <c r="F59" s="752"/>
      <c r="G59" s="752">
        <v>0</v>
      </c>
      <c r="H59" s="752">
        <v>0</v>
      </c>
      <c r="I59" s="752">
        <v>0</v>
      </c>
      <c r="J59" s="752"/>
      <c r="K59" s="576">
        <v>212500</v>
      </c>
      <c r="L59" s="576">
        <v>2066170</v>
      </c>
      <c r="M59" s="576">
        <v>-1853670</v>
      </c>
      <c r="N59" s="753" t="s">
        <v>1195</v>
      </c>
      <c r="O59" s="752">
        <v>0</v>
      </c>
      <c r="P59" s="752">
        <v>298891</v>
      </c>
      <c r="Q59" s="752">
        <v>-298891</v>
      </c>
      <c r="R59" s="576">
        <v>212500</v>
      </c>
      <c r="S59" s="576">
        <v>2365061</v>
      </c>
      <c r="T59" s="576">
        <v>-2152561</v>
      </c>
      <c r="U59" s="576"/>
      <c r="V59" s="576">
        <v>212500</v>
      </c>
      <c r="W59" s="576">
        <v>2365061</v>
      </c>
      <c r="X59" s="576">
        <v>-2152561</v>
      </c>
      <c r="Y59" s="583"/>
      <c r="Z59" s="738"/>
      <c r="AA59" s="738"/>
      <c r="AB59" s="738"/>
      <c r="AC59" s="738"/>
      <c r="AD59" s="738"/>
      <c r="AE59" s="738"/>
      <c r="AF59" s="738"/>
      <c r="AG59" s="738"/>
      <c r="AH59" s="532"/>
      <c r="AI59" s="532"/>
      <c r="AJ59" s="532"/>
      <c r="AK59" s="533"/>
      <c r="AL59" s="533"/>
      <c r="AM59" s="532"/>
      <c r="AN59" s="532"/>
      <c r="AO59" s="533"/>
      <c r="AP59" s="585" t="s">
        <v>1193</v>
      </c>
      <c r="AQ59" s="586" t="s">
        <v>1194</v>
      </c>
      <c r="AR59" s="587">
        <v>0</v>
      </c>
      <c r="AS59" s="588">
        <v>0</v>
      </c>
      <c r="AT59" s="588">
        <v>0</v>
      </c>
      <c r="AU59" s="658" t="e">
        <v>#DIV/0!</v>
      </c>
      <c r="AV59" s="585"/>
      <c r="AW59" s="588"/>
      <c r="AX59" s="586">
        <v>0</v>
      </c>
      <c r="AY59" s="587"/>
      <c r="AZ59" s="588"/>
      <c r="BA59" s="586">
        <v>0</v>
      </c>
      <c r="BB59" s="585">
        <v>0</v>
      </c>
      <c r="BC59" s="588">
        <v>298891</v>
      </c>
      <c r="BD59" s="586">
        <v>-298891</v>
      </c>
      <c r="BE59" s="585">
        <v>212500</v>
      </c>
      <c r="BF59" s="588">
        <v>2365061</v>
      </c>
      <c r="BG59" s="586">
        <v>-2152561</v>
      </c>
      <c r="BH59" s="585">
        <v>212500</v>
      </c>
      <c r="BI59" s="588">
        <v>2365061</v>
      </c>
      <c r="BJ59" s="586">
        <v>-2152561</v>
      </c>
      <c r="BK59" s="590"/>
      <c r="BL59" s="535"/>
      <c r="BM59" s="591">
        <v>0</v>
      </c>
      <c r="BN59" s="592">
        <v>0</v>
      </c>
      <c r="BO59" s="754">
        <v>0</v>
      </c>
      <c r="BP59" s="593"/>
      <c r="BR59" s="594" t="s">
        <v>1193</v>
      </c>
      <c r="BS59" s="594" t="s">
        <v>1194</v>
      </c>
      <c r="BT59" s="594">
        <v>0</v>
      </c>
      <c r="BU59" s="594">
        <v>0</v>
      </c>
      <c r="BV59" s="594">
        <v>0</v>
      </c>
      <c r="BW59" s="594">
        <v>0</v>
      </c>
      <c r="BX59" s="594">
        <v>0</v>
      </c>
      <c r="BY59" s="594">
        <v>0</v>
      </c>
      <c r="BZ59" s="755"/>
      <c r="CA59" s="755">
        <v>0</v>
      </c>
      <c r="CB59" s="755"/>
      <c r="CC59" s="532"/>
      <c r="CD59"/>
      <c r="CE59" s="721"/>
      <c r="CF59" s="529"/>
      <c r="CG59" s="529"/>
      <c r="CH59" s="529"/>
    </row>
    <row r="60" spans="1:86" s="763" customFormat="1" ht="22.35" customHeight="1">
      <c r="A60" s="756" t="s">
        <v>1196</v>
      </c>
      <c r="B60" s="664" t="s">
        <v>1184</v>
      </c>
      <c r="C60" s="757">
        <v>386654880</v>
      </c>
      <c r="D60" s="757">
        <v>270507998</v>
      </c>
      <c r="E60" s="757">
        <v>116146882</v>
      </c>
      <c r="F60" s="757"/>
      <c r="G60" s="757">
        <v>135929281</v>
      </c>
      <c r="H60" s="757">
        <v>79528390</v>
      </c>
      <c r="I60" s="757">
        <v>56400891</v>
      </c>
      <c r="J60" s="757"/>
      <c r="K60" s="757">
        <v>28690750</v>
      </c>
      <c r="L60" s="757">
        <v>23519362</v>
      </c>
      <c r="M60" s="757">
        <v>5171388</v>
      </c>
      <c r="N60" s="758"/>
      <c r="O60" s="757">
        <v>3973000</v>
      </c>
      <c r="P60" s="757">
        <v>2979275</v>
      </c>
      <c r="Q60" s="757">
        <v>993725</v>
      </c>
      <c r="R60" s="757">
        <v>32663750</v>
      </c>
      <c r="S60" s="757">
        <v>26498637</v>
      </c>
      <c r="T60" s="757">
        <v>6165113</v>
      </c>
      <c r="U60" s="757"/>
      <c r="V60" s="757">
        <v>168593031</v>
      </c>
      <c r="W60" s="757">
        <v>106027027</v>
      </c>
      <c r="X60" s="757">
        <v>62566004</v>
      </c>
      <c r="Y60" s="553"/>
      <c r="Z60" s="759"/>
      <c r="AA60" s="759"/>
      <c r="AB60" s="759"/>
      <c r="AC60" s="759"/>
      <c r="AD60" s="759"/>
      <c r="AE60" s="759"/>
      <c r="AF60" s="759"/>
      <c r="AG60" s="759"/>
      <c r="AH60" s="553"/>
      <c r="AI60" s="553"/>
      <c r="AJ60" s="553"/>
      <c r="AK60" s="552"/>
      <c r="AL60" s="552"/>
      <c r="AM60" s="553"/>
      <c r="AN60" s="553"/>
      <c r="AO60" s="552"/>
      <c r="AP60" s="714"/>
      <c r="AQ60" s="717" t="s">
        <v>1197</v>
      </c>
      <c r="AR60" s="714">
        <v>386654880</v>
      </c>
      <c r="AS60" s="714">
        <v>270507998</v>
      </c>
      <c r="AT60" s="714">
        <v>116146882</v>
      </c>
      <c r="AU60" s="760">
        <v>0.30038902392748801</v>
      </c>
      <c r="AV60" s="714">
        <v>52132667</v>
      </c>
      <c r="AW60" s="714">
        <v>35681020</v>
      </c>
      <c r="AX60" s="714">
        <v>16451647</v>
      </c>
      <c r="AY60" s="714">
        <v>66000</v>
      </c>
      <c r="AZ60" s="714">
        <v>0</v>
      </c>
      <c r="BA60" s="714">
        <v>66000</v>
      </c>
      <c r="BB60" s="714">
        <v>3973000</v>
      </c>
      <c r="BC60" s="714">
        <v>2979275</v>
      </c>
      <c r="BD60" s="714">
        <v>993725</v>
      </c>
      <c r="BE60" s="714">
        <v>32663750</v>
      </c>
      <c r="BF60" s="714">
        <v>26498637</v>
      </c>
      <c r="BG60" s="714">
        <v>6165113</v>
      </c>
      <c r="BH60" s="714">
        <v>168593031</v>
      </c>
      <c r="BI60" s="714">
        <v>106027027</v>
      </c>
      <c r="BJ60" s="714">
        <v>62566004</v>
      </c>
      <c r="BK60" s="761"/>
      <c r="BL60" s="762" t="s">
        <v>1198</v>
      </c>
      <c r="BM60" s="714">
        <v>218274349</v>
      </c>
      <c r="BN60" s="716">
        <v>166846032</v>
      </c>
      <c r="BO60" s="717">
        <v>51428317</v>
      </c>
      <c r="BP60" s="761"/>
      <c r="BR60" s="719"/>
      <c r="BS60" s="719" t="s">
        <v>1197</v>
      </c>
      <c r="BT60" s="719">
        <v>334456213</v>
      </c>
      <c r="BU60" s="719">
        <v>234826978</v>
      </c>
      <c r="BV60" s="719">
        <v>99629235</v>
      </c>
      <c r="BW60" s="719">
        <v>135929281</v>
      </c>
      <c r="BX60" s="719">
        <v>79528390</v>
      </c>
      <c r="BY60" s="719">
        <v>56400891</v>
      </c>
      <c r="BZ60" s="719">
        <v>198526932</v>
      </c>
      <c r="CA60" s="719">
        <v>155298588</v>
      </c>
      <c r="CB60" s="719">
        <v>43228344</v>
      </c>
      <c r="CC60" s="553"/>
      <c r="CD60" s="764"/>
      <c r="CE60" s="765"/>
      <c r="CF60" s="556"/>
      <c r="CG60" s="556"/>
      <c r="CH60" s="556"/>
    </row>
    <row r="61" spans="1:86" s="742" customFormat="1" ht="22.35" customHeight="1">
      <c r="A61" s="574" t="s">
        <v>1199</v>
      </c>
      <c r="B61" s="751" t="s">
        <v>1200</v>
      </c>
      <c r="C61" s="752">
        <v>-321690260</v>
      </c>
      <c r="D61" s="752">
        <v>-321690260</v>
      </c>
      <c r="E61" s="752"/>
      <c r="F61" s="752"/>
      <c r="G61" s="752">
        <v>-115422161</v>
      </c>
      <c r="H61" s="752">
        <v>-115422161</v>
      </c>
      <c r="I61" s="752">
        <v>0</v>
      </c>
      <c r="J61" s="752"/>
      <c r="K61" s="576">
        <v>-26738250</v>
      </c>
      <c r="L61" s="576">
        <v>-26738250</v>
      </c>
      <c r="M61" s="576">
        <v>0</v>
      </c>
      <c r="N61" s="753" t="s">
        <v>1037</v>
      </c>
      <c r="O61" s="752">
        <v>-2657000</v>
      </c>
      <c r="P61" s="752">
        <v>-2657000</v>
      </c>
      <c r="Q61" s="752">
        <v>0</v>
      </c>
      <c r="R61" s="576">
        <v>-29395250</v>
      </c>
      <c r="S61" s="576">
        <v>-29395250</v>
      </c>
      <c r="T61" s="576">
        <v>0</v>
      </c>
      <c r="U61" s="576"/>
      <c r="V61" s="576">
        <v>-144817411</v>
      </c>
      <c r="W61" s="576">
        <v>-144817411</v>
      </c>
      <c r="X61" s="576">
        <v>0</v>
      </c>
      <c r="Y61" s="583"/>
      <c r="Z61" s="738"/>
      <c r="AA61" s="738"/>
      <c r="AB61" s="738"/>
      <c r="AC61" s="738"/>
      <c r="AD61" s="738"/>
      <c r="AE61" s="738"/>
      <c r="AF61" s="738"/>
      <c r="AG61" s="738"/>
      <c r="AH61" s="532"/>
      <c r="AI61" s="532"/>
      <c r="AJ61" s="532"/>
      <c r="AK61" s="533"/>
      <c r="AL61" s="533"/>
      <c r="AM61" s="532"/>
      <c r="AN61" s="532"/>
      <c r="AO61" s="533"/>
      <c r="AP61" s="585" t="s">
        <v>1199</v>
      </c>
      <c r="AQ61" s="586" t="s">
        <v>1200</v>
      </c>
      <c r="AR61" s="587">
        <v>-321690260</v>
      </c>
      <c r="AS61" s="588">
        <v>-321690260</v>
      </c>
      <c r="AT61" s="588">
        <v>0</v>
      </c>
      <c r="AU61" s="658"/>
      <c r="AV61" s="587">
        <v>-35802667</v>
      </c>
      <c r="AW61" s="588">
        <v>-35802667</v>
      </c>
      <c r="AX61" s="586">
        <v>0</v>
      </c>
      <c r="AY61" s="587">
        <v>-66000</v>
      </c>
      <c r="AZ61" s="588">
        <v>-66000</v>
      </c>
      <c r="BA61" s="586">
        <v>0</v>
      </c>
      <c r="BB61" s="585">
        <v>-2657000</v>
      </c>
      <c r="BC61" s="588">
        <v>-2657000</v>
      </c>
      <c r="BD61" s="586">
        <v>0</v>
      </c>
      <c r="BE61" s="585">
        <v>-29395250</v>
      </c>
      <c r="BF61" s="588">
        <v>-29395250</v>
      </c>
      <c r="BG61" s="586">
        <v>0</v>
      </c>
      <c r="BH61" s="585">
        <v>-144817411</v>
      </c>
      <c r="BI61" s="588">
        <v>-144817411</v>
      </c>
      <c r="BJ61" s="586">
        <v>0</v>
      </c>
      <c r="BK61" s="590"/>
      <c r="BL61" s="535"/>
      <c r="BM61" s="591">
        <v>-176872849</v>
      </c>
      <c r="BN61" s="592">
        <v>-176872849</v>
      </c>
      <c r="BO61" s="766">
        <v>0</v>
      </c>
      <c r="BP61" s="593"/>
      <c r="BR61" s="594" t="s">
        <v>1199</v>
      </c>
      <c r="BS61" s="594" t="s">
        <v>1200</v>
      </c>
      <c r="BT61" s="594">
        <v>-285821593</v>
      </c>
      <c r="BU61" s="594">
        <v>-285821593</v>
      </c>
      <c r="BV61" s="594">
        <v>0</v>
      </c>
      <c r="BW61" s="594">
        <v>-115422161</v>
      </c>
      <c r="BX61" s="594">
        <v>-115422161</v>
      </c>
      <c r="BY61" s="594">
        <v>0</v>
      </c>
      <c r="BZ61" s="594">
        <v>-170399432</v>
      </c>
      <c r="CA61" s="594">
        <v>-170399432</v>
      </c>
      <c r="CB61" s="767">
        <v>0</v>
      </c>
      <c r="CC61" s="532"/>
      <c r="CD61"/>
      <c r="CE61" s="721"/>
      <c r="CF61" s="529"/>
      <c r="CG61" s="529"/>
      <c r="CH61" s="529"/>
    </row>
    <row r="62" spans="1:86" s="742" customFormat="1" ht="22.35" customHeight="1">
      <c r="A62" s="574" t="s">
        <v>1201</v>
      </c>
      <c r="B62" s="751" t="s">
        <v>1202</v>
      </c>
      <c r="C62" s="752"/>
      <c r="D62" s="752"/>
      <c r="E62" s="752"/>
      <c r="F62" s="752"/>
      <c r="G62" s="752">
        <v>0</v>
      </c>
      <c r="H62" s="752">
        <v>0</v>
      </c>
      <c r="I62" s="752">
        <v>0</v>
      </c>
      <c r="J62" s="752"/>
      <c r="K62" s="576">
        <v>-160000</v>
      </c>
      <c r="L62" s="576">
        <v>-1011073</v>
      </c>
      <c r="M62" s="576">
        <v>851073</v>
      </c>
      <c r="N62" s="662" t="s">
        <v>1095</v>
      </c>
      <c r="O62" s="752">
        <v>0</v>
      </c>
      <c r="P62" s="752">
        <v>-277219</v>
      </c>
      <c r="Q62" s="752">
        <v>277219</v>
      </c>
      <c r="R62" s="576">
        <v>-160000</v>
      </c>
      <c r="S62" s="576">
        <v>-1288292</v>
      </c>
      <c r="T62" s="576">
        <v>1128292</v>
      </c>
      <c r="U62" s="576"/>
      <c r="V62" s="576">
        <v>-160000</v>
      </c>
      <c r="W62" s="576">
        <v>-1288292</v>
      </c>
      <c r="X62" s="576">
        <v>1128292</v>
      </c>
      <c r="Y62" s="583"/>
      <c r="Z62" s="738"/>
      <c r="AA62" s="738"/>
      <c r="AB62" s="738"/>
      <c r="AC62" s="738"/>
      <c r="AD62" s="738"/>
      <c r="AE62" s="738"/>
      <c r="AF62" s="738"/>
      <c r="AG62" s="738"/>
      <c r="AH62" s="532"/>
      <c r="AI62" s="532"/>
      <c r="AJ62" s="532"/>
      <c r="AK62" s="533"/>
      <c r="AL62" s="533"/>
      <c r="AM62" s="532"/>
      <c r="AN62" s="532"/>
      <c r="AO62" s="533"/>
      <c r="AP62" s="585" t="s">
        <v>1201</v>
      </c>
      <c r="AQ62" s="586" t="s">
        <v>1202</v>
      </c>
      <c r="AR62" s="587">
        <v>0</v>
      </c>
      <c r="AS62" s="588">
        <v>0</v>
      </c>
      <c r="AT62" s="588">
        <v>0</v>
      </c>
      <c r="AU62" s="658" t="e">
        <v>#DIV/0!</v>
      </c>
      <c r="AV62" s="585"/>
      <c r="AW62" s="588"/>
      <c r="AX62" s="586">
        <v>0</v>
      </c>
      <c r="AY62" s="585"/>
      <c r="AZ62" s="588"/>
      <c r="BA62" s="586">
        <v>0</v>
      </c>
      <c r="BB62" s="585">
        <v>0</v>
      </c>
      <c r="BC62" s="588">
        <v>-277219</v>
      </c>
      <c r="BD62" s="586">
        <v>277219</v>
      </c>
      <c r="BE62" s="585">
        <v>-160000</v>
      </c>
      <c r="BF62" s="588">
        <v>-1288292</v>
      </c>
      <c r="BG62" s="586">
        <v>1128292</v>
      </c>
      <c r="BH62" s="585">
        <v>-160000</v>
      </c>
      <c r="BI62" s="588">
        <v>-1288292</v>
      </c>
      <c r="BJ62" s="586">
        <v>1128292</v>
      </c>
      <c r="BK62" s="590"/>
      <c r="BL62" s="535"/>
      <c r="BM62" s="591">
        <v>0</v>
      </c>
      <c r="BN62" s="592">
        <v>0</v>
      </c>
      <c r="BO62" s="766">
        <v>0</v>
      </c>
      <c r="BP62" s="593"/>
      <c r="BR62" s="594" t="s">
        <v>1201</v>
      </c>
      <c r="BS62" s="594" t="s">
        <v>1202</v>
      </c>
      <c r="BT62" s="594"/>
      <c r="BU62" s="594"/>
      <c r="BV62" s="594">
        <v>0</v>
      </c>
      <c r="BW62" s="594">
        <v>0</v>
      </c>
      <c r="BX62" s="594">
        <v>0</v>
      </c>
      <c r="BY62" s="594">
        <v>0</v>
      </c>
      <c r="BZ62" s="767">
        <v>0</v>
      </c>
      <c r="CA62" s="767">
        <v>0</v>
      </c>
      <c r="CB62" s="767">
        <v>0</v>
      </c>
      <c r="CC62" s="532"/>
      <c r="CD62"/>
      <c r="CE62" s="721"/>
      <c r="CF62" s="529"/>
      <c r="CG62" s="529"/>
      <c r="CH62" s="529"/>
    </row>
    <row r="63" spans="1:86" s="742" customFormat="1" ht="22.35" customHeight="1">
      <c r="A63" s="574" t="s">
        <v>1203</v>
      </c>
      <c r="B63" s="751" t="s">
        <v>1204</v>
      </c>
      <c r="C63" s="752"/>
      <c r="D63" s="752"/>
      <c r="E63" s="752"/>
      <c r="F63" s="752"/>
      <c r="G63" s="752">
        <v>0</v>
      </c>
      <c r="H63" s="752">
        <v>0</v>
      </c>
      <c r="I63" s="752"/>
      <c r="J63" s="752"/>
      <c r="K63" s="576">
        <v>0</v>
      </c>
      <c r="L63" s="576">
        <v>0</v>
      </c>
      <c r="M63" s="576">
        <v>0</v>
      </c>
      <c r="N63" s="863" t="s">
        <v>1205</v>
      </c>
      <c r="O63" s="752">
        <v>0</v>
      </c>
      <c r="P63" s="752">
        <v>0</v>
      </c>
      <c r="Q63" s="752">
        <v>0</v>
      </c>
      <c r="R63" s="576">
        <v>0</v>
      </c>
      <c r="S63" s="576">
        <v>0</v>
      </c>
      <c r="T63" s="576">
        <v>0</v>
      </c>
      <c r="U63" s="576"/>
      <c r="V63" s="576">
        <v>0</v>
      </c>
      <c r="W63" s="576">
        <v>0</v>
      </c>
      <c r="X63" s="576">
        <v>0</v>
      </c>
      <c r="Y63" s="583"/>
      <c r="Z63" s="738"/>
      <c r="AA63" s="738"/>
      <c r="AB63" s="738"/>
      <c r="AC63" s="738"/>
      <c r="AD63" s="738"/>
      <c r="AE63" s="738"/>
      <c r="AF63" s="738"/>
      <c r="AG63" s="738"/>
      <c r="AH63" s="532"/>
      <c r="AI63" s="532"/>
      <c r="AJ63" s="532"/>
      <c r="AK63" s="533"/>
      <c r="AL63" s="533"/>
      <c r="AM63" s="532"/>
      <c r="AN63" s="532"/>
      <c r="AO63" s="533"/>
      <c r="AP63" s="585" t="s">
        <v>1203</v>
      </c>
      <c r="AQ63" s="768" t="s">
        <v>1204</v>
      </c>
      <c r="AR63" s="587">
        <v>0</v>
      </c>
      <c r="AS63" s="588">
        <v>0</v>
      </c>
      <c r="AT63" s="588">
        <v>0</v>
      </c>
      <c r="AU63" s="658" t="e">
        <v>#DIV/0!</v>
      </c>
      <c r="AV63" s="585"/>
      <c r="AW63" s="588"/>
      <c r="AX63" s="769"/>
      <c r="AY63" s="585"/>
      <c r="AZ63" s="588"/>
      <c r="BA63" s="769"/>
      <c r="BB63" s="585">
        <v>0</v>
      </c>
      <c r="BC63" s="588">
        <v>0</v>
      </c>
      <c r="BD63" s="586">
        <v>0</v>
      </c>
      <c r="BE63" s="585">
        <v>0</v>
      </c>
      <c r="BF63" s="588">
        <v>0</v>
      </c>
      <c r="BG63" s="586">
        <v>0</v>
      </c>
      <c r="BH63" s="585">
        <v>0</v>
      </c>
      <c r="BI63" s="588">
        <v>0</v>
      </c>
      <c r="BJ63" s="586">
        <v>0</v>
      </c>
      <c r="BK63" s="590"/>
      <c r="BL63" s="535"/>
      <c r="BM63" s="591">
        <v>0</v>
      </c>
      <c r="BN63" s="592">
        <v>0</v>
      </c>
      <c r="BO63" s="766">
        <v>0</v>
      </c>
      <c r="BP63" s="593"/>
      <c r="BR63" s="594" t="s">
        <v>1203</v>
      </c>
      <c r="BS63" s="594" t="s">
        <v>1206</v>
      </c>
      <c r="BT63" s="594"/>
      <c r="BU63" s="594"/>
      <c r="BV63" s="594"/>
      <c r="BW63" s="594"/>
      <c r="BX63" s="594"/>
      <c r="BY63" s="594"/>
      <c r="BZ63" s="767"/>
      <c r="CA63" s="767"/>
      <c r="CB63" s="767"/>
      <c r="CC63" s="532"/>
      <c r="CD63"/>
      <c r="CE63" s="721"/>
      <c r="CF63" s="529"/>
      <c r="CG63" s="529"/>
      <c r="CH63" s="529"/>
    </row>
    <row r="64" spans="1:86" s="742" customFormat="1" ht="22.35" customHeight="1">
      <c r="A64" s="756" t="s">
        <v>1207</v>
      </c>
      <c r="B64" s="664" t="s">
        <v>1208</v>
      </c>
      <c r="C64" s="757">
        <v>-321690260</v>
      </c>
      <c r="D64" s="757">
        <v>-321690260</v>
      </c>
      <c r="E64" s="757">
        <v>0</v>
      </c>
      <c r="F64" s="757">
        <v>0</v>
      </c>
      <c r="G64" s="757">
        <v>-115422161</v>
      </c>
      <c r="H64" s="757">
        <v>-115422161</v>
      </c>
      <c r="I64" s="757">
        <v>0</v>
      </c>
      <c r="J64" s="757">
        <v>0</v>
      </c>
      <c r="K64" s="757">
        <v>-26898250</v>
      </c>
      <c r="L64" s="757">
        <v>-27749323</v>
      </c>
      <c r="M64" s="757">
        <v>851073</v>
      </c>
      <c r="N64" s="758">
        <v>0</v>
      </c>
      <c r="O64" s="757">
        <v>-2657000</v>
      </c>
      <c r="P64" s="757">
        <v>-2934219</v>
      </c>
      <c r="Q64" s="757">
        <v>277219</v>
      </c>
      <c r="R64" s="757">
        <v>-29555250</v>
      </c>
      <c r="S64" s="757">
        <v>-30683542</v>
      </c>
      <c r="T64" s="757">
        <v>1128292</v>
      </c>
      <c r="U64" s="757">
        <v>0</v>
      </c>
      <c r="V64" s="757">
        <v>-144977411</v>
      </c>
      <c r="W64" s="757">
        <v>-146105703</v>
      </c>
      <c r="X64" s="757">
        <v>1128292</v>
      </c>
      <c r="Y64" s="553"/>
      <c r="Z64" s="738"/>
      <c r="AA64" s="738"/>
      <c r="AB64" s="738"/>
      <c r="AC64" s="738"/>
      <c r="AD64" s="738"/>
      <c r="AE64" s="738"/>
      <c r="AF64" s="738"/>
      <c r="AG64" s="738"/>
      <c r="AH64" s="532"/>
      <c r="AI64" s="532"/>
      <c r="AJ64" s="532"/>
      <c r="AK64" s="533"/>
      <c r="AL64" s="533"/>
      <c r="AM64" s="532"/>
      <c r="AN64" s="532"/>
      <c r="AO64" s="533"/>
      <c r="AP64" s="770"/>
      <c r="AQ64" s="771" t="s">
        <v>1209</v>
      </c>
      <c r="AR64" s="772">
        <v>-321690260</v>
      </c>
      <c r="AS64" s="773">
        <v>-321690260</v>
      </c>
      <c r="AT64" s="773">
        <v>0</v>
      </c>
      <c r="AU64" s="774">
        <v>0</v>
      </c>
      <c r="AV64" s="770">
        <v>-35802667</v>
      </c>
      <c r="AW64" s="773">
        <v>-35802667</v>
      </c>
      <c r="AX64" s="773">
        <v>0</v>
      </c>
      <c r="AY64" s="770">
        <v>-66000</v>
      </c>
      <c r="AZ64" s="773">
        <v>-66000</v>
      </c>
      <c r="BA64" s="773">
        <v>0</v>
      </c>
      <c r="BB64" s="770">
        <v>-2657000</v>
      </c>
      <c r="BC64" s="773">
        <v>-2934219</v>
      </c>
      <c r="BD64" s="771">
        <v>277219</v>
      </c>
      <c r="BE64" s="770">
        <v>-29555250</v>
      </c>
      <c r="BF64" s="773">
        <v>-30683542</v>
      </c>
      <c r="BG64" s="771">
        <v>1128292</v>
      </c>
      <c r="BH64" s="770">
        <v>-144977411</v>
      </c>
      <c r="BI64" s="773">
        <v>-146105703</v>
      </c>
      <c r="BJ64" s="771">
        <v>1128292</v>
      </c>
      <c r="BK64" s="775"/>
      <c r="BL64" s="535"/>
      <c r="BM64" s="770">
        <v>-176872849</v>
      </c>
      <c r="BN64" s="773">
        <v>-176872849</v>
      </c>
      <c r="BO64" s="776">
        <v>0</v>
      </c>
      <c r="BP64" s="775"/>
      <c r="BR64" s="720"/>
      <c r="BS64" s="720" t="s">
        <v>1209</v>
      </c>
      <c r="BT64" s="719">
        <v>-285821593</v>
      </c>
      <c r="BU64" s="719">
        <v>-285821593</v>
      </c>
      <c r="BV64" s="719">
        <v>0</v>
      </c>
      <c r="BW64" s="719">
        <v>-115422161</v>
      </c>
      <c r="BX64" s="719">
        <v>-115422161</v>
      </c>
      <c r="BY64" s="719">
        <v>0</v>
      </c>
      <c r="BZ64" s="719">
        <v>-170399432</v>
      </c>
      <c r="CA64" s="719">
        <v>-170399432</v>
      </c>
      <c r="CB64" s="719">
        <v>0</v>
      </c>
      <c r="CC64" s="532"/>
      <c r="CD64"/>
      <c r="CE64" s="721"/>
      <c r="CF64" s="529"/>
      <c r="CG64" s="529"/>
      <c r="CH64" s="529"/>
    </row>
    <row r="65" spans="1:86" s="763" customFormat="1" ht="22.35" customHeight="1" thickBot="1">
      <c r="A65" s="777"/>
      <c r="B65" s="778" t="s">
        <v>1210</v>
      </c>
      <c r="C65" s="779">
        <v>64964620</v>
      </c>
      <c r="D65" s="779">
        <v>-51182262</v>
      </c>
      <c r="E65" s="779">
        <v>116146882</v>
      </c>
      <c r="F65" s="779"/>
      <c r="G65" s="779">
        <v>20507120</v>
      </c>
      <c r="H65" s="779">
        <v>-35893771</v>
      </c>
      <c r="I65" s="779">
        <v>56400891</v>
      </c>
      <c r="J65" s="779"/>
      <c r="K65" s="779">
        <v>1792500</v>
      </c>
      <c r="L65" s="779">
        <v>-4229961</v>
      </c>
      <c r="M65" s="779">
        <v>6022461</v>
      </c>
      <c r="N65" s="780"/>
      <c r="O65" s="779">
        <v>1316000</v>
      </c>
      <c r="P65" s="779">
        <v>45056</v>
      </c>
      <c r="Q65" s="779">
        <v>1270944</v>
      </c>
      <c r="R65" s="779">
        <v>3108500</v>
      </c>
      <c r="S65" s="779">
        <v>-4184905</v>
      </c>
      <c r="T65" s="779">
        <v>7293405</v>
      </c>
      <c r="U65" s="779"/>
      <c r="V65" s="779">
        <v>23615620</v>
      </c>
      <c r="W65" s="779">
        <v>-40078676</v>
      </c>
      <c r="X65" s="779">
        <v>63694296</v>
      </c>
      <c r="Y65" s="553"/>
      <c r="Z65" s="759"/>
      <c r="AA65" s="759"/>
      <c r="AB65" s="759"/>
      <c r="AC65" s="759"/>
      <c r="AD65" s="759"/>
      <c r="AE65" s="759"/>
      <c r="AF65" s="759"/>
      <c r="AG65" s="759"/>
      <c r="AH65" s="553"/>
      <c r="AI65" s="553"/>
      <c r="AJ65" s="553"/>
      <c r="AK65" s="552"/>
      <c r="AL65" s="552"/>
      <c r="AM65" s="553"/>
      <c r="AN65" s="553"/>
      <c r="AO65" s="552"/>
      <c r="AP65" s="781"/>
      <c r="AQ65" s="782" t="s">
        <v>1211</v>
      </c>
      <c r="AR65" s="783">
        <v>64964620</v>
      </c>
      <c r="AS65" s="784">
        <v>-51182262</v>
      </c>
      <c r="AT65" s="784">
        <v>116146882</v>
      </c>
      <c r="AU65" s="785">
        <v>1.7878482472459625</v>
      </c>
      <c r="AV65" s="781">
        <v>16330000</v>
      </c>
      <c r="AW65" s="784">
        <v>-121647</v>
      </c>
      <c r="AX65" s="782">
        <v>16451647</v>
      </c>
      <c r="AY65" s="781">
        <v>0</v>
      </c>
      <c r="AZ65" s="784">
        <v>-66000</v>
      </c>
      <c r="BA65" s="782">
        <v>66000</v>
      </c>
      <c r="BB65" s="781">
        <v>1316000</v>
      </c>
      <c r="BC65" s="784">
        <v>45056</v>
      </c>
      <c r="BD65" s="782">
        <v>1270944</v>
      </c>
      <c r="BE65" s="781">
        <v>3108500</v>
      </c>
      <c r="BF65" s="784">
        <v>-4184905</v>
      </c>
      <c r="BG65" s="782">
        <v>7293405</v>
      </c>
      <c r="BH65" s="781">
        <v>23615620</v>
      </c>
      <c r="BI65" s="784">
        <v>-40078676</v>
      </c>
      <c r="BJ65" s="782">
        <v>63694296</v>
      </c>
      <c r="BK65" s="786"/>
      <c r="BL65" s="762"/>
      <c r="BM65" s="787">
        <v>41401500</v>
      </c>
      <c r="BN65" s="788">
        <v>-10026817</v>
      </c>
      <c r="BO65" s="789">
        <v>51428317</v>
      </c>
      <c r="BP65" s="786"/>
      <c r="BR65" s="779"/>
      <c r="BS65" s="779" t="s">
        <v>1211</v>
      </c>
      <c r="BT65" s="779">
        <v>48634620</v>
      </c>
      <c r="BU65" s="779">
        <v>-50994615</v>
      </c>
      <c r="BV65" s="790">
        <v>99629235</v>
      </c>
      <c r="BW65" s="779">
        <v>20507120</v>
      </c>
      <c r="BX65" s="779">
        <v>-35893771</v>
      </c>
      <c r="BY65" s="779">
        <v>56400891</v>
      </c>
      <c r="BZ65" s="779">
        <v>28127500</v>
      </c>
      <c r="CA65" s="779">
        <v>-15100844</v>
      </c>
      <c r="CB65" s="779">
        <v>43228344</v>
      </c>
      <c r="CC65" s="553"/>
      <c r="CD65" s="764"/>
      <c r="CE65" s="765"/>
      <c r="CF65" s="556"/>
      <c r="CG65" s="556"/>
      <c r="CH65" s="556"/>
    </row>
    <row r="66" spans="1:86" s="742" customFormat="1" ht="22.35" customHeight="1">
      <c r="A66" s="743"/>
      <c r="B66" s="529" t="s">
        <v>1212</v>
      </c>
      <c r="C66" s="532">
        <v>0</v>
      </c>
      <c r="D66" s="532"/>
      <c r="E66" s="532">
        <v>0</v>
      </c>
      <c r="F66" s="532"/>
      <c r="G66" s="791">
        <v>0</v>
      </c>
      <c r="H66" s="532"/>
      <c r="I66" s="532">
        <v>0</v>
      </c>
      <c r="J66" s="532"/>
      <c r="K66" s="532">
        <v>0</v>
      </c>
      <c r="L66" s="532"/>
      <c r="M66" s="532">
        <v>0</v>
      </c>
      <c r="N66" s="533"/>
      <c r="O66" s="532">
        <v>0</v>
      </c>
      <c r="P66" s="532"/>
      <c r="Q66" s="532">
        <v>0</v>
      </c>
      <c r="R66" s="532">
        <v>0</v>
      </c>
      <c r="S66" s="532"/>
      <c r="T66" s="532">
        <v>0</v>
      </c>
      <c r="U66" s="532"/>
      <c r="V66" s="532">
        <v>0</v>
      </c>
      <c r="W66" s="532"/>
      <c r="X66" s="532">
        <v>0</v>
      </c>
      <c r="Y66" s="532"/>
      <c r="Z66" s="738"/>
      <c r="AA66" s="738"/>
      <c r="AB66" s="738"/>
      <c r="AC66" s="738"/>
      <c r="AD66" s="738"/>
      <c r="AE66" s="738"/>
      <c r="AF66" s="738"/>
      <c r="AG66" s="738"/>
      <c r="AH66" s="532"/>
      <c r="AI66" s="532"/>
      <c r="AJ66" s="532"/>
      <c r="AK66" s="533"/>
      <c r="AL66" s="533"/>
      <c r="AM66" s="532"/>
      <c r="AN66" s="532"/>
      <c r="AO66" s="533"/>
      <c r="AP66" s="739"/>
      <c r="AQ66" s="537"/>
      <c r="AR66" s="532">
        <v>0</v>
      </c>
      <c r="AS66" s="532"/>
      <c r="AT66" s="532">
        <v>0</v>
      </c>
      <c r="AU66" s="741"/>
      <c r="AV66" s="532">
        <v>0</v>
      </c>
      <c r="AW66" s="532"/>
      <c r="AX66" s="532">
        <v>0</v>
      </c>
      <c r="AY66" s="532">
        <v>0</v>
      </c>
      <c r="AZ66" s="532"/>
      <c r="BA66" s="532">
        <v>0</v>
      </c>
      <c r="BB66" s="532">
        <v>0</v>
      </c>
      <c r="BC66" s="532"/>
      <c r="BD66" s="532">
        <v>0</v>
      </c>
      <c r="BE66" s="532">
        <v>0</v>
      </c>
      <c r="BF66" s="532"/>
      <c r="BG66" s="532">
        <v>0</v>
      </c>
      <c r="BH66" s="532">
        <v>0</v>
      </c>
      <c r="BI66" s="532"/>
      <c r="BJ66" s="532">
        <v>0</v>
      </c>
      <c r="BK66" s="537"/>
      <c r="BL66" s="739"/>
      <c r="BM66" s="532">
        <v>0</v>
      </c>
      <c r="BN66" s="532"/>
      <c r="BO66" s="792">
        <v>0</v>
      </c>
      <c r="BP66" s="739"/>
      <c r="BR66" s="532"/>
      <c r="BS66" s="532"/>
      <c r="BT66" s="532">
        <v>0</v>
      </c>
      <c r="BU66" s="532"/>
      <c r="BV66" s="532">
        <v>0</v>
      </c>
      <c r="BW66" s="532">
        <v>0</v>
      </c>
      <c r="BX66" s="532"/>
      <c r="BY66" s="532">
        <v>0</v>
      </c>
      <c r="BZ66" s="742">
        <v>0</v>
      </c>
      <c r="CA66" s="742">
        <v>0</v>
      </c>
      <c r="CB66" s="742">
        <v>0</v>
      </c>
      <c r="CC66" s="532"/>
      <c r="CD66"/>
      <c r="CE66" s="721"/>
      <c r="CF66" s="529"/>
      <c r="CG66" s="529"/>
      <c r="CH66" s="529"/>
    </row>
    <row r="67" spans="1:86" s="742" customFormat="1" ht="22.35" customHeight="1">
      <c r="A67" s="743"/>
      <c r="B67" s="529"/>
      <c r="C67" s="532"/>
      <c r="D67" s="532">
        <v>0</v>
      </c>
      <c r="E67" s="532"/>
      <c r="F67" s="532"/>
      <c r="G67" s="532"/>
      <c r="H67" s="532">
        <v>0</v>
      </c>
      <c r="I67" s="532"/>
      <c r="J67" s="532"/>
      <c r="K67" s="532"/>
      <c r="L67" s="532">
        <v>0</v>
      </c>
      <c r="M67" s="532"/>
      <c r="N67" s="533"/>
      <c r="O67" s="532"/>
      <c r="P67" s="532">
        <v>0</v>
      </c>
      <c r="Q67" s="532"/>
      <c r="R67" s="532"/>
      <c r="S67" s="532">
        <v>0</v>
      </c>
      <c r="T67" s="532"/>
      <c r="U67" s="532"/>
      <c r="V67" s="532"/>
      <c r="W67" s="532">
        <v>0</v>
      </c>
      <c r="X67" s="532"/>
      <c r="Y67" s="532"/>
      <c r="Z67" s="738"/>
      <c r="AA67" s="738"/>
      <c r="AB67" s="738"/>
      <c r="AC67" s="738"/>
      <c r="AD67" s="738"/>
      <c r="AE67" s="738"/>
      <c r="AF67" s="738"/>
      <c r="AG67" s="738"/>
      <c r="AH67" s="532"/>
      <c r="AI67" s="532"/>
      <c r="AJ67" s="532"/>
      <c r="AK67" s="533"/>
      <c r="AL67" s="533"/>
      <c r="AM67" s="532"/>
      <c r="AN67" s="532"/>
      <c r="AO67" s="533"/>
      <c r="AP67" s="739"/>
      <c r="AQ67" s="537"/>
      <c r="AR67" s="532"/>
      <c r="AS67" s="532">
        <v>0</v>
      </c>
      <c r="AT67" s="532"/>
      <c r="AU67" s="741"/>
      <c r="AV67" s="537"/>
      <c r="AW67" s="537"/>
      <c r="AX67" s="537"/>
      <c r="AY67" s="537"/>
      <c r="AZ67" s="537"/>
      <c r="BA67" s="537"/>
      <c r="BB67" s="532"/>
      <c r="BC67" s="532">
        <v>0</v>
      </c>
      <c r="BD67" s="532"/>
      <c r="BE67" s="532"/>
      <c r="BF67" s="532">
        <v>0</v>
      </c>
      <c r="BG67" s="532"/>
      <c r="BH67" s="532"/>
      <c r="BI67" s="532">
        <v>0</v>
      </c>
      <c r="BJ67" s="532"/>
      <c r="BK67" s="537"/>
      <c r="BL67" s="739"/>
      <c r="BM67" s="532"/>
      <c r="BN67" s="532">
        <v>0</v>
      </c>
      <c r="BO67" s="532"/>
      <c r="BP67" s="739"/>
      <c r="BR67" s="532"/>
      <c r="BS67" s="532"/>
      <c r="BT67" s="532"/>
      <c r="BU67" s="532">
        <v>0</v>
      </c>
      <c r="BV67" s="532"/>
      <c r="BW67" s="532"/>
      <c r="BX67" s="532">
        <v>0</v>
      </c>
      <c r="BY67" s="532"/>
      <c r="CD67"/>
      <c r="CE67" s="721"/>
      <c r="CF67" s="529"/>
      <c r="CG67" s="529"/>
      <c r="CH67" s="529"/>
    </row>
    <row r="68" spans="1:86" s="742" customFormat="1" ht="22.35" customHeight="1">
      <c r="A68" s="743"/>
      <c r="B68" s="529"/>
      <c r="C68" s="532"/>
      <c r="D68" s="532"/>
      <c r="E68" s="532"/>
      <c r="F68" s="532"/>
      <c r="G68" s="532"/>
      <c r="H68" s="532"/>
      <c r="I68" s="532"/>
      <c r="J68" s="532"/>
      <c r="K68" s="532"/>
      <c r="L68" s="532"/>
      <c r="M68" s="532"/>
      <c r="N68" s="533"/>
      <c r="O68" s="532"/>
      <c r="P68" s="532"/>
      <c r="Q68" s="532"/>
      <c r="R68" s="532"/>
      <c r="S68" s="532"/>
      <c r="T68" s="532"/>
      <c r="U68" s="532"/>
      <c r="V68" s="532"/>
      <c r="W68" s="532"/>
      <c r="X68" s="532"/>
      <c r="Y68" s="532"/>
      <c r="Z68" s="738"/>
      <c r="AA68" s="738"/>
      <c r="AB68" s="738"/>
      <c r="AC68" s="738"/>
      <c r="AD68" s="738"/>
      <c r="AE68" s="738"/>
      <c r="AF68" s="738"/>
      <c r="AG68" s="738"/>
      <c r="AH68" s="532"/>
      <c r="AI68" s="532"/>
      <c r="AJ68" s="532"/>
      <c r="AK68" s="533"/>
      <c r="AL68" s="533"/>
      <c r="AM68" s="532"/>
      <c r="AN68" s="532"/>
      <c r="AO68" s="533"/>
      <c r="AP68" s="739"/>
      <c r="AQ68" s="537"/>
      <c r="AR68" s="740"/>
      <c r="AS68" s="740"/>
      <c r="AT68" s="740"/>
      <c r="AU68" s="741"/>
      <c r="AV68" s="537"/>
      <c r="AW68" s="537"/>
      <c r="AX68" s="537"/>
      <c r="AY68" s="537"/>
      <c r="AZ68" s="537"/>
      <c r="BA68" s="537"/>
      <c r="BB68" s="537">
        <v>0</v>
      </c>
      <c r="BC68" s="537">
        <v>0</v>
      </c>
      <c r="BD68" s="537">
        <v>0</v>
      </c>
      <c r="BE68" s="537">
        <v>0</v>
      </c>
      <c r="BF68" s="537">
        <v>0</v>
      </c>
      <c r="BG68" s="537">
        <v>0</v>
      </c>
      <c r="BH68" s="537">
        <v>0</v>
      </c>
      <c r="BI68" s="537">
        <v>0</v>
      </c>
      <c r="BJ68" s="537">
        <v>0</v>
      </c>
      <c r="BK68" s="537"/>
      <c r="BL68" s="793"/>
      <c r="BN68" s="739"/>
      <c r="BO68" s="739"/>
      <c r="BP68" s="794"/>
      <c r="BR68" s="532"/>
      <c r="BS68" s="532"/>
      <c r="BT68" s="532"/>
      <c r="BU68" s="532"/>
      <c r="BV68" s="532"/>
      <c r="CD68"/>
      <c r="CE68" s="721"/>
      <c r="CF68" s="529"/>
      <c r="CG68" s="529"/>
      <c r="CH68" s="529"/>
    </row>
    <row r="69" spans="1:86" ht="22.35" customHeight="1">
      <c r="C69" s="529"/>
      <c r="D69" s="529"/>
      <c r="E69" s="529"/>
      <c r="F69" s="529"/>
      <c r="G69" s="537"/>
      <c r="H69" s="537"/>
      <c r="I69" s="537"/>
      <c r="J69" s="537"/>
      <c r="K69" s="537"/>
      <c r="L69" s="537"/>
      <c r="M69" s="537"/>
      <c r="N69" s="542"/>
      <c r="O69" s="537"/>
      <c r="P69" s="537"/>
      <c r="Q69" s="537"/>
      <c r="R69" s="537"/>
      <c r="S69" s="537"/>
      <c r="T69" s="537"/>
      <c r="U69" s="537"/>
      <c r="V69" s="537"/>
      <c r="W69" s="537"/>
      <c r="X69" s="537"/>
      <c r="Y69" s="537"/>
      <c r="AH69" s="529"/>
      <c r="AI69" s="529"/>
      <c r="AJ69" s="529"/>
      <c r="AK69" s="529"/>
      <c r="AL69" s="529"/>
      <c r="AM69" s="529"/>
      <c r="AN69" s="529"/>
      <c r="AO69" s="542"/>
      <c r="AU69" s="537"/>
      <c r="BR69" s="529"/>
      <c r="BS69" s="529"/>
      <c r="BT69" s="529"/>
      <c r="BU69" s="529"/>
      <c r="BV69" s="529"/>
      <c r="BW69" s="529"/>
      <c r="BX69" s="742"/>
      <c r="BY69" s="742"/>
      <c r="BZ69" s="742"/>
      <c r="CA69" s="742"/>
      <c r="CB69" s="742"/>
    </row>
    <row r="70" spans="1:86" ht="22.35" customHeight="1">
      <c r="B70" s="537"/>
      <c r="C70" s="537"/>
      <c r="D70" s="537"/>
      <c r="E70" s="537"/>
      <c r="F70" s="537"/>
      <c r="H70" s="537"/>
      <c r="I70" s="537"/>
      <c r="J70" s="537"/>
      <c r="K70" s="537"/>
      <c r="L70" s="537"/>
      <c r="M70" s="537"/>
      <c r="N70" s="535"/>
      <c r="O70" s="537"/>
      <c r="P70" s="537"/>
      <c r="Q70" s="537"/>
      <c r="R70" s="537"/>
      <c r="S70" s="537"/>
      <c r="T70" s="537"/>
      <c r="U70" s="537"/>
      <c r="V70" s="537"/>
      <c r="W70" s="537"/>
      <c r="X70" s="537"/>
      <c r="Y70" s="537"/>
      <c r="BX70" s="742"/>
      <c r="BY70" s="795"/>
      <c r="BZ70" s="742"/>
      <c r="CA70" s="742"/>
      <c r="CB70" s="742"/>
      <c r="CC70" s="796"/>
    </row>
    <row r="71" spans="1:86" ht="22.35" customHeight="1">
      <c r="B71" s="537"/>
      <c r="C71" s="537"/>
      <c r="D71" s="537"/>
      <c r="E71" s="537"/>
      <c r="F71" s="537"/>
      <c r="G71" s="537"/>
      <c r="H71" s="537"/>
      <c r="I71" s="537"/>
      <c r="J71" s="537"/>
      <c r="K71" s="537"/>
      <c r="L71" s="537"/>
      <c r="M71" s="537"/>
      <c r="N71" s="535"/>
      <c r="O71" s="537"/>
      <c r="P71" s="537"/>
      <c r="Q71" s="537"/>
      <c r="R71" s="537"/>
      <c r="S71" s="537"/>
      <c r="T71" s="537"/>
      <c r="U71" s="537"/>
      <c r="V71" s="537"/>
      <c r="W71" s="537"/>
      <c r="X71" s="537"/>
      <c r="Y71" s="537"/>
      <c r="AV71" s="2621" t="s">
        <v>1213</v>
      </c>
      <c r="AW71" s="2621"/>
      <c r="AX71" s="2621"/>
      <c r="BX71" s="742"/>
      <c r="BY71" s="795"/>
      <c r="BZ71" s="742"/>
      <c r="CA71" s="742"/>
      <c r="CB71" s="742"/>
      <c r="CC71" s="796"/>
    </row>
    <row r="72" spans="1:86" ht="22.35" customHeight="1">
      <c r="B72" s="537"/>
      <c r="C72" s="537"/>
      <c r="D72" s="537"/>
      <c r="E72" s="537"/>
      <c r="F72" s="537"/>
      <c r="G72" s="537"/>
      <c r="H72" s="537"/>
      <c r="I72" s="537"/>
      <c r="J72" s="537"/>
      <c r="K72" s="537"/>
      <c r="L72" s="537"/>
      <c r="M72" s="537"/>
      <c r="N72" s="535"/>
      <c r="O72" s="537"/>
      <c r="P72" s="537"/>
      <c r="Q72" s="537"/>
      <c r="R72" s="537"/>
      <c r="S72" s="537"/>
      <c r="T72" s="537"/>
      <c r="U72" s="537"/>
      <c r="V72" s="537"/>
      <c r="W72" s="537"/>
      <c r="X72" s="537"/>
      <c r="Y72" s="537"/>
      <c r="AV72" s="797" t="s">
        <v>802</v>
      </c>
      <c r="AW72" s="797" t="s">
        <v>803</v>
      </c>
      <c r="AX72" s="797" t="s">
        <v>804</v>
      </c>
      <c r="BX72" s="529"/>
      <c r="BY72" s="795"/>
      <c r="BZ72" s="798"/>
      <c r="CA72" s="798"/>
      <c r="CB72" s="798"/>
      <c r="CC72" s="624"/>
    </row>
    <row r="73" spans="1:86" s="537" customFormat="1" ht="22.35" customHeight="1">
      <c r="A73" s="799"/>
      <c r="N73" s="535"/>
      <c r="AK73" s="535"/>
      <c r="AL73" s="535"/>
      <c r="AO73" s="535"/>
      <c r="AT73" s="537" t="s">
        <v>1214</v>
      </c>
      <c r="AU73" s="535"/>
      <c r="AV73" s="800" t="s">
        <v>1215</v>
      </c>
      <c r="BX73" s="529"/>
      <c r="BY73" s="529"/>
      <c r="BZ73" s="529"/>
      <c r="CA73" s="529"/>
      <c r="CB73" s="529"/>
      <c r="CC73" s="529"/>
    </row>
    <row r="74" spans="1:86" s="537" customFormat="1" ht="22.35" customHeight="1">
      <c r="A74" s="799"/>
      <c r="N74" s="535"/>
      <c r="AK74" s="535"/>
      <c r="AL74" s="535"/>
      <c r="AO74" s="535"/>
      <c r="AT74" s="537" t="s">
        <v>1216</v>
      </c>
      <c r="AU74" s="535"/>
      <c r="AV74" s="537">
        <v>31170000</v>
      </c>
      <c r="AW74" s="537">
        <v>21075613</v>
      </c>
      <c r="AX74" s="537">
        <v>10094387</v>
      </c>
    </row>
    <row r="75" spans="1:86" s="537" customFormat="1" ht="22.35" customHeight="1">
      <c r="A75" s="799"/>
      <c r="N75" s="535"/>
      <c r="AK75" s="535"/>
      <c r="AL75" s="535"/>
      <c r="AO75" s="535"/>
      <c r="AT75" s="537" t="s">
        <v>1217</v>
      </c>
      <c r="AU75" s="535"/>
      <c r="AV75" s="537">
        <v>20962667</v>
      </c>
      <c r="AW75" s="537">
        <v>14605407</v>
      </c>
      <c r="AX75" s="537">
        <v>6357260</v>
      </c>
    </row>
    <row r="76" spans="1:86" s="537" customFormat="1" ht="22.35" customHeight="1">
      <c r="A76" s="799"/>
      <c r="C76" s="801"/>
      <c r="E76" s="802"/>
      <c r="F76" s="802"/>
      <c r="G76" s="535"/>
      <c r="H76" s="535"/>
      <c r="I76" s="535"/>
      <c r="J76" s="535"/>
      <c r="K76" s="535"/>
      <c r="L76" s="535"/>
      <c r="M76" s="535"/>
      <c r="N76" s="803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AK76" s="535"/>
      <c r="AL76" s="535"/>
      <c r="AO76" s="535"/>
      <c r="AT76" s="537" t="s">
        <v>291</v>
      </c>
      <c r="AU76" s="535"/>
      <c r="AV76" s="804">
        <v>52132667</v>
      </c>
      <c r="AW76" s="804">
        <v>35681020</v>
      </c>
      <c r="AX76" s="804">
        <v>16451647</v>
      </c>
    </row>
    <row r="77" spans="1:86" s="537" customFormat="1" ht="22.35" customHeight="1">
      <c r="A77" s="799"/>
      <c r="C77" s="801"/>
      <c r="E77" s="802"/>
      <c r="F77" s="802"/>
      <c r="G77" s="535"/>
      <c r="H77" s="535"/>
      <c r="I77" s="535"/>
      <c r="J77" s="535"/>
      <c r="K77" s="535"/>
      <c r="L77" s="535"/>
      <c r="M77" s="535"/>
      <c r="N77" s="803"/>
      <c r="O77" s="535"/>
      <c r="P77" s="535"/>
      <c r="Q77" s="535"/>
      <c r="R77" s="535"/>
      <c r="S77" s="535"/>
      <c r="T77" s="535"/>
      <c r="U77" s="535"/>
      <c r="V77" s="535"/>
      <c r="W77" s="535"/>
      <c r="X77" s="535"/>
      <c r="Y77" s="535"/>
      <c r="AK77" s="535"/>
      <c r="AL77" s="535"/>
      <c r="AO77" s="535"/>
      <c r="AU77" s="535"/>
    </row>
    <row r="78" spans="1:86" s="537" customFormat="1" ht="22.35" customHeight="1">
      <c r="A78" s="799"/>
      <c r="C78" s="801"/>
      <c r="E78" s="802"/>
      <c r="F78" s="802"/>
      <c r="G78" s="535"/>
      <c r="H78" s="535"/>
      <c r="I78" s="535"/>
      <c r="J78" s="535"/>
      <c r="K78" s="535"/>
      <c r="L78" s="535"/>
      <c r="M78" s="535"/>
      <c r="N78" s="803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  <c r="AK78" s="535"/>
      <c r="AL78" s="535"/>
      <c r="AO78" s="535"/>
      <c r="AU78" s="535"/>
    </row>
    <row r="79" spans="1:86" s="537" customFormat="1" ht="22.35" customHeight="1">
      <c r="A79" s="799"/>
      <c r="C79" s="801"/>
      <c r="E79" s="802"/>
      <c r="F79" s="802"/>
      <c r="G79" s="535"/>
      <c r="H79" s="535"/>
      <c r="I79" s="535"/>
      <c r="J79" s="535"/>
      <c r="K79" s="535"/>
      <c r="L79" s="535"/>
      <c r="M79" s="535"/>
      <c r="N79" s="803"/>
      <c r="O79" s="535"/>
      <c r="P79" s="535"/>
      <c r="Q79" s="535"/>
      <c r="R79" s="535"/>
      <c r="S79" s="535"/>
      <c r="T79" s="535"/>
      <c r="U79" s="535"/>
      <c r="V79" s="535"/>
      <c r="W79" s="535"/>
      <c r="X79" s="535"/>
      <c r="Y79" s="535"/>
      <c r="AK79" s="535"/>
      <c r="AL79" s="535"/>
      <c r="AO79" s="535"/>
      <c r="AT79" s="805" t="s">
        <v>813</v>
      </c>
      <c r="AU79" s="535"/>
    </row>
    <row r="80" spans="1:86" s="537" customFormat="1" ht="22.35" customHeight="1">
      <c r="A80" s="799"/>
      <c r="C80" s="801"/>
      <c r="E80" s="802"/>
      <c r="F80" s="802"/>
      <c r="G80" s="535"/>
      <c r="H80" s="535"/>
      <c r="I80" s="535"/>
      <c r="J80" s="535"/>
      <c r="K80" s="535"/>
      <c r="L80" s="535"/>
      <c r="M80" s="535"/>
      <c r="N80" s="803"/>
      <c r="O80" s="535"/>
      <c r="P80" s="535"/>
      <c r="Q80" s="535"/>
      <c r="R80" s="535"/>
      <c r="S80" s="535"/>
      <c r="T80" s="535"/>
      <c r="U80" s="535"/>
      <c r="V80" s="535"/>
      <c r="W80" s="535"/>
      <c r="X80" s="535"/>
      <c r="Y80" s="535"/>
      <c r="AK80" s="535"/>
      <c r="AL80" s="535"/>
      <c r="AO80" s="535"/>
      <c r="AT80" s="537" t="s">
        <v>1216</v>
      </c>
      <c r="AU80" s="535"/>
      <c r="AV80" s="537">
        <v>0</v>
      </c>
      <c r="AW80" s="537">
        <v>0</v>
      </c>
      <c r="AX80" s="537">
        <v>0</v>
      </c>
    </row>
    <row r="81" spans="1:86" s="537" customFormat="1" ht="22.35" customHeight="1">
      <c r="A81" s="799"/>
      <c r="C81" s="801"/>
      <c r="E81" s="802"/>
      <c r="F81" s="802"/>
      <c r="G81" s="535"/>
      <c r="H81" s="535"/>
      <c r="I81" s="535"/>
      <c r="J81" s="535"/>
      <c r="K81" s="535"/>
      <c r="L81" s="535"/>
      <c r="M81" s="535"/>
      <c r="N81" s="803"/>
      <c r="O81" s="535"/>
      <c r="P81" s="535"/>
      <c r="Q81" s="535"/>
      <c r="R81" s="535"/>
      <c r="S81" s="535"/>
      <c r="T81" s="535"/>
      <c r="U81" s="535"/>
      <c r="V81" s="535"/>
      <c r="W81" s="535"/>
      <c r="X81" s="535"/>
      <c r="Y81" s="535"/>
      <c r="AK81" s="535"/>
      <c r="AL81" s="535"/>
      <c r="AO81" s="535"/>
      <c r="AT81" s="537" t="s">
        <v>1217</v>
      </c>
      <c r="AU81" s="535"/>
      <c r="AV81" s="537">
        <v>0</v>
      </c>
      <c r="AW81" s="537">
        <v>0</v>
      </c>
      <c r="AX81" s="537">
        <v>0</v>
      </c>
    </row>
    <row r="82" spans="1:86" s="537" customFormat="1" ht="22.35" customHeight="1">
      <c r="A82" s="799"/>
      <c r="C82" s="801"/>
      <c r="E82" s="802"/>
      <c r="F82" s="802"/>
      <c r="G82" s="535"/>
      <c r="H82" s="535"/>
      <c r="I82" s="535"/>
      <c r="J82" s="535"/>
      <c r="K82" s="535"/>
      <c r="L82" s="535"/>
      <c r="M82" s="535"/>
      <c r="N82" s="803"/>
      <c r="O82" s="535"/>
      <c r="P82" s="535"/>
      <c r="Q82" s="535"/>
      <c r="R82" s="535"/>
      <c r="S82" s="535"/>
      <c r="T82" s="535"/>
      <c r="U82" s="535"/>
      <c r="V82" s="535"/>
      <c r="W82" s="535"/>
      <c r="X82" s="535"/>
      <c r="Y82" s="535"/>
      <c r="AK82" s="535"/>
      <c r="AL82" s="535"/>
      <c r="AO82" s="535"/>
      <c r="AT82" s="537" t="s">
        <v>291</v>
      </c>
      <c r="AU82" s="535"/>
      <c r="AV82" s="804">
        <v>0</v>
      </c>
      <c r="AW82" s="804">
        <v>0</v>
      </c>
      <c r="AX82" s="804">
        <v>0</v>
      </c>
    </row>
    <row r="83" spans="1:86" s="537" customFormat="1" ht="22.35" customHeight="1">
      <c r="A83" s="799"/>
      <c r="C83" s="801"/>
      <c r="E83" s="802"/>
      <c r="F83" s="802"/>
      <c r="G83" s="535"/>
      <c r="H83" s="535"/>
      <c r="I83" s="535"/>
      <c r="J83" s="535"/>
      <c r="K83" s="535"/>
      <c r="L83" s="535"/>
      <c r="M83" s="535"/>
      <c r="N83" s="803"/>
      <c r="O83" s="535"/>
      <c r="P83" s="535"/>
      <c r="Q83" s="535"/>
      <c r="R83" s="535"/>
      <c r="S83" s="535"/>
      <c r="T83" s="535"/>
      <c r="U83" s="535"/>
      <c r="V83" s="535"/>
      <c r="W83" s="535"/>
      <c r="X83" s="535"/>
      <c r="Y83" s="535"/>
      <c r="AK83" s="535"/>
      <c r="AL83" s="535"/>
      <c r="AO83" s="535"/>
      <c r="AU83" s="535"/>
      <c r="BM83" s="739"/>
      <c r="BQ83" s="529"/>
      <c r="BR83" s="529"/>
      <c r="BS83" s="529"/>
    </row>
    <row r="84" spans="1:86" s="537" customFormat="1" ht="22.35" customHeight="1">
      <c r="A84" s="799"/>
      <c r="C84" s="801"/>
      <c r="E84" s="802"/>
      <c r="F84" s="802"/>
      <c r="G84" s="535"/>
      <c r="H84" s="535"/>
      <c r="I84" s="535"/>
      <c r="J84" s="535"/>
      <c r="K84" s="535"/>
      <c r="L84" s="535"/>
      <c r="M84" s="535"/>
      <c r="N84" s="803"/>
      <c r="O84" s="535"/>
      <c r="P84" s="535"/>
      <c r="Q84" s="535"/>
      <c r="R84" s="535"/>
      <c r="S84" s="535"/>
      <c r="T84" s="535"/>
      <c r="U84" s="535"/>
      <c r="V84" s="535"/>
      <c r="W84" s="535"/>
      <c r="X84" s="535"/>
      <c r="Y84" s="535"/>
      <c r="AK84" s="535"/>
      <c r="AL84" s="535"/>
      <c r="AO84" s="535"/>
      <c r="AU84" s="535"/>
      <c r="BM84" s="739"/>
      <c r="BN84" s="739"/>
      <c r="BO84" s="739"/>
      <c r="BQ84" s="529"/>
      <c r="BR84" s="529"/>
      <c r="BS84" s="529"/>
    </row>
    <row r="85" spans="1:86" s="537" customFormat="1" ht="22.35" customHeight="1">
      <c r="A85" s="743"/>
      <c r="B85" s="529"/>
      <c r="C85" s="806"/>
      <c r="D85" s="532"/>
      <c r="E85" s="807"/>
      <c r="F85" s="807"/>
      <c r="G85" s="533"/>
      <c r="H85" s="533"/>
      <c r="I85" s="533"/>
      <c r="J85" s="533"/>
      <c r="K85" s="535"/>
      <c r="L85" s="535"/>
      <c r="M85" s="535"/>
      <c r="N85" s="808"/>
      <c r="O85" s="533"/>
      <c r="P85" s="533"/>
      <c r="Q85" s="533"/>
      <c r="R85" s="533"/>
      <c r="S85" s="533"/>
      <c r="T85" s="533"/>
      <c r="U85" s="533"/>
      <c r="V85" s="533"/>
      <c r="W85" s="533"/>
      <c r="X85" s="533"/>
      <c r="Y85" s="533"/>
      <c r="Z85" s="529"/>
      <c r="AA85" s="529"/>
      <c r="AB85" s="529"/>
      <c r="AC85" s="529"/>
      <c r="AD85" s="529"/>
      <c r="AE85" s="529"/>
      <c r="AF85" s="529"/>
      <c r="AG85" s="529"/>
      <c r="AH85" s="532"/>
      <c r="AI85" s="532"/>
      <c r="AJ85" s="532"/>
      <c r="AK85" s="533"/>
      <c r="AL85" s="533"/>
      <c r="AM85" s="532"/>
      <c r="AN85" s="532"/>
      <c r="AO85" s="533"/>
      <c r="AT85" s="537" t="s">
        <v>1218</v>
      </c>
      <c r="AU85" s="535"/>
      <c r="BQ85" s="529"/>
      <c r="BR85" s="532"/>
      <c r="BS85" s="532"/>
      <c r="BT85" s="532"/>
      <c r="BU85" s="532"/>
      <c r="BV85" s="532"/>
      <c r="BW85" s="532"/>
      <c r="BX85" s="532"/>
      <c r="BY85" s="532"/>
      <c r="BZ85" s="532"/>
      <c r="CA85" s="532"/>
      <c r="CB85" s="532"/>
      <c r="CC85" s="532"/>
      <c r="CD85" s="529"/>
      <c r="CE85" s="529"/>
      <c r="CF85" s="529"/>
      <c r="CG85" s="529"/>
      <c r="CH85" s="529"/>
    </row>
    <row r="86" spans="1:86" s="537" customFormat="1" ht="22.35" customHeight="1">
      <c r="A86" s="743"/>
      <c r="B86" s="529"/>
      <c r="C86" s="806"/>
      <c r="D86" s="532"/>
      <c r="E86" s="807"/>
      <c r="F86" s="807"/>
      <c r="G86" s="533"/>
      <c r="H86" s="533"/>
      <c r="I86" s="533"/>
      <c r="J86" s="533"/>
      <c r="K86" s="535"/>
      <c r="L86" s="535"/>
      <c r="M86" s="535"/>
      <c r="N86" s="808"/>
      <c r="O86" s="533"/>
      <c r="P86" s="533"/>
      <c r="Q86" s="533"/>
      <c r="R86" s="533"/>
      <c r="S86" s="533"/>
      <c r="T86" s="533"/>
      <c r="U86" s="533"/>
      <c r="V86" s="533"/>
      <c r="W86" s="533"/>
      <c r="X86" s="533"/>
      <c r="Y86" s="533"/>
      <c r="Z86" s="529"/>
      <c r="AA86" s="529"/>
      <c r="AB86" s="529"/>
      <c r="AC86" s="529"/>
      <c r="AD86" s="529"/>
      <c r="AE86" s="529"/>
      <c r="AF86" s="529"/>
      <c r="AG86" s="529"/>
      <c r="AH86" s="532"/>
      <c r="AI86" s="532"/>
      <c r="AJ86" s="532"/>
      <c r="AK86" s="533"/>
      <c r="AL86" s="533"/>
      <c r="AM86" s="532"/>
      <c r="AN86" s="532"/>
      <c r="AO86" s="533"/>
      <c r="AT86" s="537" t="s">
        <v>1216</v>
      </c>
      <c r="AU86" s="535"/>
      <c r="AV86" s="537">
        <v>31170000</v>
      </c>
      <c r="AW86" s="537">
        <v>21075613</v>
      </c>
      <c r="AX86" s="537">
        <v>10094387</v>
      </c>
      <c r="BQ86" s="529"/>
      <c r="BR86" s="532"/>
      <c r="BS86" s="532"/>
      <c r="BT86" s="532"/>
      <c r="BU86" s="532"/>
      <c r="BV86" s="532"/>
      <c r="BW86" s="532"/>
      <c r="BX86" s="532"/>
      <c r="BY86" s="532"/>
      <c r="BZ86" s="532"/>
      <c r="CA86" s="532"/>
      <c r="CB86" s="532"/>
      <c r="CC86" s="532"/>
      <c r="CD86" s="529"/>
      <c r="CE86" s="529"/>
      <c r="CF86" s="529"/>
      <c r="CG86" s="529"/>
      <c r="CH86" s="529"/>
    </row>
    <row r="87" spans="1:86" s="537" customFormat="1" ht="22.35" customHeight="1">
      <c r="A87" s="743"/>
      <c r="B87" s="529"/>
      <c r="C87" s="806"/>
      <c r="D87" s="532"/>
      <c r="E87" s="807"/>
      <c r="F87" s="807"/>
      <c r="G87" s="533"/>
      <c r="H87" s="533"/>
      <c r="I87" s="533"/>
      <c r="J87" s="533"/>
      <c r="K87" s="535"/>
      <c r="L87" s="535"/>
      <c r="M87" s="535"/>
      <c r="N87" s="808"/>
      <c r="O87" s="533"/>
      <c r="P87" s="533"/>
      <c r="Q87" s="533"/>
      <c r="R87" s="533"/>
      <c r="S87" s="533"/>
      <c r="T87" s="533"/>
      <c r="U87" s="533"/>
      <c r="V87" s="533"/>
      <c r="W87" s="533"/>
      <c r="X87" s="533"/>
      <c r="Y87" s="533"/>
      <c r="Z87" s="529"/>
      <c r="AA87" s="529"/>
      <c r="AB87" s="529"/>
      <c r="AC87" s="529"/>
      <c r="AD87" s="529"/>
      <c r="AE87" s="529"/>
      <c r="AF87" s="529"/>
      <c r="AG87" s="529"/>
      <c r="AH87" s="532"/>
      <c r="AI87" s="532"/>
      <c r="AJ87" s="532"/>
      <c r="AK87" s="533"/>
      <c r="AL87" s="533"/>
      <c r="AM87" s="532"/>
      <c r="AN87" s="532"/>
      <c r="AO87" s="533"/>
      <c r="AT87" s="537" t="s">
        <v>1217</v>
      </c>
      <c r="AU87" s="535"/>
      <c r="AV87" s="537">
        <v>20962667</v>
      </c>
      <c r="AW87" s="537">
        <v>14605407</v>
      </c>
      <c r="AX87" s="537">
        <v>6357260</v>
      </c>
      <c r="BQ87" s="529"/>
      <c r="BR87" s="532"/>
      <c r="BS87" s="532"/>
      <c r="BT87" s="532"/>
      <c r="BU87" s="532"/>
      <c r="BV87" s="532"/>
      <c r="BW87" s="532"/>
      <c r="BX87" s="532"/>
      <c r="BY87" s="532"/>
      <c r="BZ87" s="532"/>
      <c r="CA87" s="532"/>
      <c r="CB87" s="532"/>
      <c r="CC87" s="532"/>
      <c r="CD87" s="529"/>
      <c r="CE87" s="529"/>
      <c r="CF87" s="529"/>
      <c r="CG87" s="529"/>
      <c r="CH87" s="529"/>
    </row>
    <row r="88" spans="1:86" s="537" customFormat="1" ht="22.35" customHeight="1">
      <c r="A88" s="743"/>
      <c r="B88" s="529"/>
      <c r="C88" s="806"/>
      <c r="D88" s="532"/>
      <c r="E88" s="807"/>
      <c r="F88" s="807"/>
      <c r="G88" s="533"/>
      <c r="H88" s="533"/>
      <c r="I88" s="533"/>
      <c r="J88" s="533"/>
      <c r="K88" s="535"/>
      <c r="L88" s="535"/>
      <c r="M88" s="535"/>
      <c r="N88" s="808"/>
      <c r="O88" s="533"/>
      <c r="P88" s="533"/>
      <c r="Q88" s="533"/>
      <c r="R88" s="533"/>
      <c r="S88" s="533"/>
      <c r="T88" s="533"/>
      <c r="U88" s="533"/>
      <c r="V88" s="533"/>
      <c r="W88" s="533"/>
      <c r="X88" s="533"/>
      <c r="Y88" s="533"/>
      <c r="Z88" s="529"/>
      <c r="AA88" s="529"/>
      <c r="AB88" s="529"/>
      <c r="AC88" s="529"/>
      <c r="AD88" s="529"/>
      <c r="AE88" s="529"/>
      <c r="AF88" s="529"/>
      <c r="AG88" s="529"/>
      <c r="AH88" s="532"/>
      <c r="AI88" s="532"/>
      <c r="AJ88" s="532"/>
      <c r="AK88" s="533"/>
      <c r="AL88" s="533"/>
      <c r="AM88" s="532"/>
      <c r="AN88" s="532"/>
      <c r="AO88" s="533"/>
      <c r="AT88" s="537" t="s">
        <v>291</v>
      </c>
      <c r="AU88" s="535"/>
      <c r="AV88" s="804">
        <v>52132667</v>
      </c>
      <c r="AW88" s="804">
        <v>35681020</v>
      </c>
      <c r="AX88" s="804">
        <v>16451647</v>
      </c>
      <c r="BQ88" s="529"/>
      <c r="BR88" s="532"/>
      <c r="BS88" s="532"/>
      <c r="BT88" s="532"/>
      <c r="BU88" s="532"/>
      <c r="BV88" s="532"/>
      <c r="BW88" s="532"/>
      <c r="BX88" s="532"/>
      <c r="BY88" s="532"/>
      <c r="BZ88" s="532"/>
      <c r="CA88" s="532"/>
      <c r="CB88" s="532"/>
      <c r="CC88" s="532"/>
      <c r="CD88" s="529"/>
      <c r="CE88" s="529"/>
      <c r="CF88" s="529"/>
      <c r="CG88" s="529"/>
      <c r="CH88" s="529"/>
    </row>
    <row r="90" spans="1:86" ht="22.35" hidden="1" customHeight="1">
      <c r="A90" s="809" t="s">
        <v>1219</v>
      </c>
      <c r="B90" s="810" t="s">
        <v>1220</v>
      </c>
      <c r="C90" s="811">
        <v>-321690260</v>
      </c>
      <c r="D90" s="811">
        <v>-321690260</v>
      </c>
      <c r="E90" s="811">
        <v>0</v>
      </c>
      <c r="F90" s="811"/>
      <c r="G90" s="811">
        <v>-115422161</v>
      </c>
      <c r="H90" s="811">
        <v>-115422161</v>
      </c>
      <c r="I90" s="811">
        <v>0</v>
      </c>
      <c r="J90" s="811"/>
      <c r="K90" s="811">
        <v>-10636000</v>
      </c>
      <c r="L90" s="811">
        <v>-10636000</v>
      </c>
      <c r="M90" s="811">
        <v>0</v>
      </c>
      <c r="N90" s="812" t="s">
        <v>1099</v>
      </c>
      <c r="O90" s="811">
        <v>-2657000</v>
      </c>
      <c r="P90" s="811">
        <v>-2657000</v>
      </c>
      <c r="Q90" s="811">
        <v>0</v>
      </c>
      <c r="R90" s="811">
        <v>-13293000</v>
      </c>
      <c r="S90" s="811">
        <v>-13293000</v>
      </c>
      <c r="T90" s="811">
        <v>0</v>
      </c>
      <c r="U90" s="811"/>
      <c r="V90" s="811">
        <v>-128715161</v>
      </c>
      <c r="W90" s="811">
        <v>-128715161</v>
      </c>
      <c r="X90" s="811">
        <v>0</v>
      </c>
      <c r="Y90" s="668"/>
      <c r="Z90" s="668"/>
      <c r="AA90" s="668"/>
      <c r="AB90" s="668"/>
      <c r="AC90" s="668"/>
      <c r="AD90" s="668"/>
      <c r="AE90" s="668"/>
      <c r="AF90" s="668"/>
      <c r="AG90" s="668"/>
      <c r="AM90" s="553"/>
      <c r="AN90" s="553"/>
      <c r="AO90" s="552"/>
      <c r="AP90" s="813" t="s">
        <v>1219</v>
      </c>
      <c r="AQ90" s="814" t="s">
        <v>1220</v>
      </c>
      <c r="AR90" s="815">
        <v>-321690260</v>
      </c>
      <c r="AS90" s="816">
        <v>-321690260</v>
      </c>
      <c r="AT90" s="816">
        <v>0</v>
      </c>
      <c r="AU90" s="817"/>
      <c r="AV90" s="815">
        <v>-35802667</v>
      </c>
      <c r="AW90" s="816">
        <v>-35802667</v>
      </c>
      <c r="AX90" s="816">
        <v>0</v>
      </c>
      <c r="AY90" s="815">
        <v>-66000</v>
      </c>
      <c r="AZ90" s="816">
        <v>-66000</v>
      </c>
      <c r="BA90" s="816">
        <v>0</v>
      </c>
      <c r="BB90" s="815">
        <v>-2657000</v>
      </c>
      <c r="BC90" s="816">
        <v>-2657000</v>
      </c>
      <c r="BD90" s="816">
        <v>0</v>
      </c>
      <c r="BE90" s="815">
        <v>-13293000</v>
      </c>
      <c r="BF90" s="816">
        <v>-13293000</v>
      </c>
      <c r="BG90" s="816">
        <v>0</v>
      </c>
      <c r="BH90" s="815">
        <v>-128715161</v>
      </c>
      <c r="BI90" s="816">
        <v>-128715161</v>
      </c>
      <c r="BJ90" s="816">
        <v>0</v>
      </c>
      <c r="BK90" s="818"/>
      <c r="BM90" s="815"/>
      <c r="BN90" s="816"/>
      <c r="BO90" s="816"/>
      <c r="BP90" s="818"/>
      <c r="BQ90" s="542"/>
      <c r="BR90" s="819"/>
      <c r="BS90" s="819"/>
      <c r="BT90" s="819"/>
      <c r="BU90" s="819"/>
      <c r="BV90" s="752"/>
      <c r="BW90" s="819"/>
      <c r="BX90" s="819"/>
      <c r="BY90" s="819"/>
      <c r="BZ90" s="819"/>
      <c r="CA90" s="819"/>
      <c r="CB90" s="819"/>
      <c r="CD90"/>
      <c r="CE90" s="721"/>
    </row>
    <row r="91" spans="1:86" ht="22.35" hidden="1" customHeight="1">
      <c r="A91" s="809" t="s">
        <v>1221</v>
      </c>
      <c r="B91" s="810" t="s">
        <v>1222</v>
      </c>
      <c r="C91" s="811"/>
      <c r="D91" s="811"/>
      <c r="E91" s="811">
        <v>0</v>
      </c>
      <c r="F91" s="811"/>
      <c r="G91" s="811">
        <v>0</v>
      </c>
      <c r="H91" s="811">
        <v>0</v>
      </c>
      <c r="I91" s="811">
        <v>0</v>
      </c>
      <c r="J91" s="811"/>
      <c r="K91" s="751">
        <v>-812100</v>
      </c>
      <c r="L91" s="529">
        <v>-812100</v>
      </c>
      <c r="M91" s="811">
        <v>0</v>
      </c>
      <c r="N91" s="812" t="s">
        <v>1099</v>
      </c>
      <c r="O91" s="811">
        <v>0</v>
      </c>
      <c r="P91" s="811">
        <v>0</v>
      </c>
      <c r="Q91" s="811">
        <v>0</v>
      </c>
      <c r="R91" s="811">
        <v>-812100</v>
      </c>
      <c r="S91" s="811">
        <v>-812100</v>
      </c>
      <c r="T91" s="811">
        <v>0</v>
      </c>
      <c r="U91" s="811"/>
      <c r="V91" s="811">
        <v>-812100</v>
      </c>
      <c r="W91" s="811">
        <v>-812100</v>
      </c>
      <c r="X91" s="811">
        <v>0</v>
      </c>
      <c r="Y91" s="668"/>
      <c r="Z91" s="668"/>
      <c r="AA91" s="668"/>
      <c r="AB91" s="668"/>
      <c r="AC91" s="668"/>
      <c r="AD91" s="668"/>
      <c r="AE91" s="668"/>
      <c r="AF91" s="668"/>
      <c r="AG91" s="668"/>
      <c r="AM91" s="553"/>
      <c r="AN91" s="553"/>
      <c r="AO91" s="552"/>
      <c r="AP91" s="820" t="s">
        <v>1221</v>
      </c>
      <c r="AQ91" s="816" t="s">
        <v>1222</v>
      </c>
      <c r="AR91" s="815">
        <v>0</v>
      </c>
      <c r="AS91" s="816">
        <v>0</v>
      </c>
      <c r="AT91" s="816">
        <v>0</v>
      </c>
      <c r="AU91" s="821"/>
      <c r="AV91" s="822"/>
      <c r="AW91" s="823"/>
      <c r="AX91" s="823"/>
      <c r="AY91" s="822"/>
      <c r="AZ91" s="823"/>
      <c r="BA91" s="823"/>
      <c r="BB91" s="815">
        <v>0</v>
      </c>
      <c r="BC91" s="823">
        <v>0</v>
      </c>
      <c r="BD91" s="816">
        <v>0</v>
      </c>
      <c r="BE91" s="815">
        <v>-812100</v>
      </c>
      <c r="BF91" s="823">
        <v>-812100</v>
      </c>
      <c r="BG91" s="816">
        <v>0</v>
      </c>
      <c r="BH91" s="815">
        <v>-812100</v>
      </c>
      <c r="BI91" s="823">
        <v>-812100</v>
      </c>
      <c r="BJ91" s="816">
        <v>0</v>
      </c>
      <c r="BK91" s="824"/>
      <c r="BM91" s="822"/>
      <c r="BN91" s="823"/>
      <c r="BO91" s="816"/>
      <c r="BP91" s="824"/>
      <c r="BQ91" s="542"/>
      <c r="BR91" s="819"/>
      <c r="BS91" s="825"/>
      <c r="BT91" s="819"/>
      <c r="BU91" s="819"/>
      <c r="BV91" s="752"/>
      <c r="BW91" s="819"/>
      <c r="BX91" s="819"/>
      <c r="BY91" s="819"/>
      <c r="BZ91" s="819"/>
      <c r="CA91" s="819"/>
      <c r="CB91" s="819"/>
      <c r="CD91"/>
      <c r="CE91" s="721"/>
    </row>
    <row r="92" spans="1:86" ht="22.35" hidden="1" customHeight="1">
      <c r="A92" s="809" t="s">
        <v>1223</v>
      </c>
      <c r="B92" s="810" t="s">
        <v>1224</v>
      </c>
      <c r="C92" s="811"/>
      <c r="D92" s="811"/>
      <c r="E92" s="811"/>
      <c r="F92" s="811"/>
      <c r="G92" s="811"/>
      <c r="H92" s="811"/>
      <c r="I92" s="811"/>
      <c r="J92" s="811"/>
      <c r="K92" s="811">
        <v>-315000</v>
      </c>
      <c r="L92" s="811">
        <v>-315000</v>
      </c>
      <c r="M92" s="811">
        <v>0</v>
      </c>
      <c r="N92" s="812" t="s">
        <v>1099</v>
      </c>
      <c r="O92" s="811">
        <v>0</v>
      </c>
      <c r="P92" s="811">
        <v>0</v>
      </c>
      <c r="Q92" s="811">
        <v>0</v>
      </c>
      <c r="R92" s="811">
        <v>-315000</v>
      </c>
      <c r="S92" s="811">
        <v>-315000</v>
      </c>
      <c r="T92" s="811">
        <v>0</v>
      </c>
      <c r="U92" s="811"/>
      <c r="V92" s="811">
        <v>-315000</v>
      </c>
      <c r="W92" s="811">
        <v>-315000</v>
      </c>
      <c r="X92" s="811">
        <v>0</v>
      </c>
      <c r="Y92" s="668"/>
      <c r="Z92" s="668"/>
      <c r="AA92" s="668"/>
      <c r="AB92" s="668"/>
      <c r="AC92" s="668"/>
      <c r="AD92" s="668"/>
      <c r="AE92" s="668"/>
      <c r="AF92" s="668"/>
      <c r="AG92" s="668"/>
      <c r="AM92" s="553"/>
      <c r="AN92" s="553"/>
      <c r="AO92" s="552"/>
      <c r="AP92" s="820" t="s">
        <v>1223</v>
      </c>
      <c r="AQ92" s="816" t="s">
        <v>1224</v>
      </c>
      <c r="AR92" s="815">
        <v>0</v>
      </c>
      <c r="AS92" s="816">
        <v>0</v>
      </c>
      <c r="AT92" s="816">
        <v>0</v>
      </c>
      <c r="AU92" s="821"/>
      <c r="AV92" s="822"/>
      <c r="AW92" s="823"/>
      <c r="AX92" s="823"/>
      <c r="AY92" s="822"/>
      <c r="AZ92" s="823"/>
      <c r="BA92" s="823"/>
      <c r="BB92" s="815">
        <v>0</v>
      </c>
      <c r="BC92" s="823">
        <v>0</v>
      </c>
      <c r="BD92" s="816">
        <v>0</v>
      </c>
      <c r="BE92" s="815">
        <v>-315000</v>
      </c>
      <c r="BF92" s="823">
        <v>-315000</v>
      </c>
      <c r="BG92" s="816">
        <v>0</v>
      </c>
      <c r="BH92" s="815">
        <v>-315000</v>
      </c>
      <c r="BI92" s="823">
        <v>-315000</v>
      </c>
      <c r="BJ92" s="816">
        <v>0</v>
      </c>
      <c r="BK92" s="824"/>
      <c r="BM92" s="822"/>
      <c r="BN92" s="823"/>
      <c r="BO92" s="816"/>
      <c r="BP92" s="824"/>
      <c r="BQ92" s="542"/>
      <c r="BR92" s="819"/>
      <c r="BS92" s="825"/>
      <c r="BT92" s="819"/>
      <c r="BU92" s="819"/>
      <c r="BV92" s="752"/>
      <c r="BW92" s="819"/>
      <c r="BX92" s="819"/>
      <c r="BY92" s="819"/>
      <c r="BZ92" s="819"/>
      <c r="CA92" s="819"/>
      <c r="CB92" s="819"/>
      <c r="CD92"/>
      <c r="CE92" s="721"/>
    </row>
    <row r="93" spans="1:86" ht="22.35" hidden="1" customHeight="1">
      <c r="A93" s="826"/>
      <c r="B93" s="827" t="s">
        <v>1225</v>
      </c>
      <c r="C93" s="673">
        <v>-321690260</v>
      </c>
      <c r="D93" s="673">
        <v>-321690260</v>
      </c>
      <c r="E93" s="673">
        <v>0</v>
      </c>
      <c r="F93" s="673"/>
      <c r="G93" s="673">
        <v>-115422161</v>
      </c>
      <c r="H93" s="673">
        <v>-115422161</v>
      </c>
      <c r="I93" s="673">
        <v>0</v>
      </c>
      <c r="J93" s="673"/>
      <c r="K93" s="673">
        <v>-11763100</v>
      </c>
      <c r="L93" s="673">
        <v>-11763100</v>
      </c>
      <c r="M93" s="673">
        <v>0</v>
      </c>
      <c r="N93" s="828" t="s">
        <v>1099</v>
      </c>
      <c r="O93" s="673">
        <v>-2657000</v>
      </c>
      <c r="P93" s="673">
        <v>-2657000</v>
      </c>
      <c r="Q93" s="673">
        <v>0</v>
      </c>
      <c r="R93" s="673">
        <v>-14420100</v>
      </c>
      <c r="S93" s="673">
        <v>-14420100</v>
      </c>
      <c r="T93" s="673">
        <v>0</v>
      </c>
      <c r="U93" s="673"/>
      <c r="V93" s="673">
        <v>-129842261</v>
      </c>
      <c r="W93" s="673">
        <v>-129842261</v>
      </c>
      <c r="X93" s="673">
        <v>0</v>
      </c>
      <c r="Y93" s="829"/>
      <c r="Z93" s="668"/>
      <c r="AA93" s="668"/>
      <c r="AB93" s="668"/>
      <c r="AC93" s="668"/>
      <c r="AD93" s="668"/>
      <c r="AE93" s="668"/>
      <c r="AF93" s="668"/>
      <c r="AG93" s="668"/>
      <c r="AM93" s="553"/>
      <c r="AN93" s="553"/>
      <c r="AO93" s="552"/>
      <c r="AP93" s="830"/>
      <c r="AQ93" s="831"/>
      <c r="AR93" s="832">
        <v>-321690260</v>
      </c>
      <c r="AS93" s="833">
        <v>-321690260</v>
      </c>
      <c r="AT93" s="833"/>
      <c r="AU93" s="834"/>
      <c r="AV93" s="832">
        <v>-35802667</v>
      </c>
      <c r="AW93" s="833">
        <v>-35802667</v>
      </c>
      <c r="AX93" s="833">
        <v>0</v>
      </c>
      <c r="AY93" s="832">
        <v>-66000</v>
      </c>
      <c r="AZ93" s="833">
        <v>-66000</v>
      </c>
      <c r="BA93" s="833">
        <v>0</v>
      </c>
      <c r="BB93" s="832">
        <v>-2657000</v>
      </c>
      <c r="BC93" s="833">
        <v>-2657000</v>
      </c>
      <c r="BD93" s="833">
        <v>0</v>
      </c>
      <c r="BE93" s="832">
        <v>-14420100</v>
      </c>
      <c r="BF93" s="833">
        <v>-14420100</v>
      </c>
      <c r="BG93" s="833">
        <v>0</v>
      </c>
      <c r="BH93" s="832">
        <v>-129842261</v>
      </c>
      <c r="BI93" s="833">
        <v>-129842261</v>
      </c>
      <c r="BJ93" s="833">
        <v>0</v>
      </c>
      <c r="BK93" s="835"/>
      <c r="BM93" s="822"/>
      <c r="BN93" s="823"/>
      <c r="BO93" s="823"/>
      <c r="BP93" s="824"/>
      <c r="BQ93" s="542"/>
      <c r="BR93" s="819"/>
      <c r="BS93" s="825"/>
      <c r="BT93" s="719"/>
      <c r="BU93" s="719"/>
      <c r="BV93" s="720"/>
      <c r="BW93" s="719"/>
      <c r="BX93" s="719"/>
      <c r="BY93" s="719"/>
      <c r="BZ93" s="719"/>
      <c r="CA93" s="719"/>
      <c r="CB93" s="719"/>
      <c r="CD93"/>
      <c r="CE93" s="721"/>
    </row>
    <row r="94" spans="1:86" s="556" customFormat="1" ht="22.35" hidden="1" customHeight="1">
      <c r="A94" s="836"/>
      <c r="B94" s="837" t="s">
        <v>1226</v>
      </c>
      <c r="C94" s="838">
        <v>64964620</v>
      </c>
      <c r="D94" s="838">
        <v>-51182262</v>
      </c>
      <c r="E94" s="838">
        <v>116146882</v>
      </c>
      <c r="F94" s="838"/>
      <c r="G94" s="838">
        <v>20507120</v>
      </c>
      <c r="H94" s="838">
        <v>-35893771</v>
      </c>
      <c r="I94" s="838">
        <v>56400891</v>
      </c>
      <c r="J94" s="838"/>
      <c r="K94" s="838">
        <v>16927650</v>
      </c>
      <c r="L94" s="838">
        <v>11756262</v>
      </c>
      <c r="M94" s="838">
        <v>5171388</v>
      </c>
      <c r="N94" s="839" t="s">
        <v>1099</v>
      </c>
      <c r="O94" s="838">
        <v>1316000</v>
      </c>
      <c r="P94" s="838">
        <v>322275</v>
      </c>
      <c r="Q94" s="838">
        <v>993725</v>
      </c>
      <c r="R94" s="838">
        <v>18243650</v>
      </c>
      <c r="S94" s="838">
        <v>12078537</v>
      </c>
      <c r="T94" s="838">
        <v>6165113</v>
      </c>
      <c r="U94" s="838"/>
      <c r="V94" s="838">
        <v>38750770</v>
      </c>
      <c r="W94" s="838">
        <v>-23815234</v>
      </c>
      <c r="X94" s="838">
        <v>62566004</v>
      </c>
      <c r="Y94" s="840"/>
      <c r="Z94" s="727"/>
      <c r="AA94" s="727"/>
      <c r="AB94" s="727"/>
      <c r="AC94" s="727"/>
      <c r="AD94" s="727"/>
      <c r="AE94" s="727"/>
      <c r="AF94" s="727"/>
      <c r="AG94" s="727"/>
      <c r="AH94" s="553"/>
      <c r="AI94" s="553"/>
      <c r="AJ94" s="553"/>
      <c r="AK94" s="552"/>
      <c r="AL94" s="552"/>
      <c r="AM94" s="553"/>
      <c r="AN94" s="553"/>
      <c r="AO94" s="552"/>
      <c r="AP94" s="841"/>
      <c r="AQ94" s="842" t="s">
        <v>1227</v>
      </c>
      <c r="AR94" s="841">
        <v>64964620</v>
      </c>
      <c r="AS94" s="843">
        <v>-51182262</v>
      </c>
      <c r="AT94" s="843">
        <v>116146882</v>
      </c>
      <c r="AU94" s="844"/>
      <c r="AV94" s="841">
        <v>16330000</v>
      </c>
      <c r="AW94" s="843">
        <v>-121647</v>
      </c>
      <c r="AX94" s="843">
        <v>16451647</v>
      </c>
      <c r="AY94" s="841">
        <v>0</v>
      </c>
      <c r="AZ94" s="843">
        <v>-66000</v>
      </c>
      <c r="BA94" s="843">
        <v>66000</v>
      </c>
      <c r="BB94" s="841">
        <v>1316000</v>
      </c>
      <c r="BC94" s="843">
        <v>322275</v>
      </c>
      <c r="BD94" s="843">
        <v>993725</v>
      </c>
      <c r="BE94" s="841">
        <v>18243650</v>
      </c>
      <c r="BF94" s="843">
        <v>12078537</v>
      </c>
      <c r="BG94" s="843">
        <v>6165113</v>
      </c>
      <c r="BH94" s="841">
        <v>38750770</v>
      </c>
      <c r="BI94" s="843">
        <v>-23815234</v>
      </c>
      <c r="BJ94" s="843">
        <v>62566004</v>
      </c>
      <c r="BK94" s="845"/>
      <c r="BL94" s="534"/>
      <c r="BM94" s="846"/>
      <c r="BN94" s="847"/>
      <c r="BO94" s="847"/>
      <c r="BP94" s="848"/>
      <c r="BQ94" s="542"/>
      <c r="BR94" s="849"/>
      <c r="BS94" s="850"/>
      <c r="BT94" s="838"/>
      <c r="BU94" s="838"/>
      <c r="BV94" s="851"/>
      <c r="BW94" s="838"/>
      <c r="BX94" s="838"/>
      <c r="BY94" s="838"/>
      <c r="BZ94" s="838"/>
      <c r="CA94" s="838"/>
      <c r="CB94" s="838"/>
      <c r="CC94" s="553"/>
      <c r="CD94"/>
      <c r="CE94" s="721"/>
      <c r="CF94" s="529"/>
      <c r="CG94" s="529"/>
      <c r="CH94" s="529"/>
    </row>
    <row r="95" spans="1:86" s="853" customFormat="1" ht="22.35" hidden="1" customHeight="1">
      <c r="A95" s="852"/>
      <c r="C95" s="854">
        <v>0</v>
      </c>
      <c r="D95" s="854"/>
      <c r="E95" s="854">
        <v>0</v>
      </c>
      <c r="F95" s="854"/>
      <c r="G95" s="854">
        <v>0</v>
      </c>
      <c r="H95" s="854"/>
      <c r="I95" s="854">
        <v>0</v>
      </c>
      <c r="J95" s="854"/>
      <c r="K95" s="854">
        <v>-15135150</v>
      </c>
      <c r="L95" s="854"/>
      <c r="M95" s="854">
        <v>0</v>
      </c>
      <c r="N95" s="855"/>
      <c r="O95" s="854">
        <v>0</v>
      </c>
      <c r="P95" s="854"/>
      <c r="Q95" s="854">
        <v>0</v>
      </c>
      <c r="R95" s="854">
        <v>-15135150</v>
      </c>
      <c r="S95" s="854"/>
      <c r="T95" s="854">
        <v>0</v>
      </c>
      <c r="U95" s="854"/>
      <c r="V95" s="854">
        <v>-15135150</v>
      </c>
      <c r="W95" s="854"/>
      <c r="X95" s="854">
        <v>0</v>
      </c>
      <c r="Y95" s="854"/>
      <c r="AH95" s="856"/>
      <c r="AI95" s="856"/>
      <c r="AJ95" s="856"/>
      <c r="AK95" s="857"/>
      <c r="AL95" s="857"/>
      <c r="AM95" s="856"/>
      <c r="AN95" s="856"/>
      <c r="AO95" s="857"/>
      <c r="AP95" s="858"/>
      <c r="AQ95" s="858"/>
      <c r="AR95" s="858">
        <v>0</v>
      </c>
      <c r="AS95" s="858">
        <v>0</v>
      </c>
      <c r="AT95" s="858">
        <v>0</v>
      </c>
      <c r="AU95" s="858"/>
      <c r="AV95" s="859">
        <v>0</v>
      </c>
      <c r="AW95" s="859"/>
      <c r="AX95" s="859">
        <v>0</v>
      </c>
      <c r="AY95" s="858"/>
      <c r="AZ95" s="858"/>
      <c r="BA95" s="858"/>
      <c r="BB95" s="858">
        <v>0</v>
      </c>
      <c r="BC95" s="858">
        <v>0</v>
      </c>
      <c r="BD95" s="858">
        <v>0</v>
      </c>
      <c r="BE95" s="858">
        <v>0</v>
      </c>
      <c r="BF95" s="858">
        <v>0</v>
      </c>
      <c r="BG95" s="858">
        <v>0</v>
      </c>
      <c r="BH95" s="858">
        <v>0</v>
      </c>
      <c r="BI95" s="858">
        <v>0</v>
      </c>
      <c r="BJ95" s="858">
        <v>0</v>
      </c>
      <c r="BK95" s="858"/>
      <c r="BL95" s="858"/>
      <c r="BM95" s="858"/>
      <c r="BN95" s="858"/>
      <c r="BO95" s="858"/>
      <c r="BP95" s="858"/>
      <c r="CD95" s="860"/>
      <c r="CE95" s="861"/>
    </row>
    <row r="96" spans="1:86" ht="22.35" hidden="1" customHeight="1"/>
    <row r="97" spans="15:26" ht="22.35" hidden="1" customHeight="1"/>
    <row r="99" spans="15:26" ht="22.35" customHeight="1">
      <c r="O99" s="535"/>
      <c r="P99" s="535"/>
      <c r="Q99" s="535"/>
      <c r="R99" s="535"/>
      <c r="S99" s="535"/>
      <c r="T99" s="535"/>
      <c r="U99" s="535"/>
      <c r="V99" s="535"/>
      <c r="W99" s="535"/>
      <c r="X99" s="535"/>
      <c r="Y99" s="535"/>
      <c r="Z99" s="535"/>
    </row>
    <row r="100" spans="15:26" ht="22.35" customHeight="1">
      <c r="O100" s="535"/>
      <c r="P100" s="535"/>
      <c r="Q100" s="535"/>
      <c r="R100" s="535"/>
      <c r="S100" s="535"/>
      <c r="T100" s="535"/>
      <c r="U100" s="535"/>
      <c r="V100" s="535"/>
      <c r="W100" s="535"/>
      <c r="X100" s="535"/>
      <c r="Y100" s="535"/>
      <c r="Z100" s="535"/>
    </row>
    <row r="101" spans="15:26" ht="22.35" customHeight="1">
      <c r="O101" s="535"/>
      <c r="P101" s="535"/>
      <c r="Q101" s="535"/>
      <c r="R101" s="535"/>
      <c r="S101" s="535"/>
      <c r="T101" s="535"/>
      <c r="U101" s="535"/>
      <c r="V101" s="535"/>
      <c r="W101" s="535"/>
      <c r="X101" s="535"/>
      <c r="Y101" s="535"/>
      <c r="Z101" s="535"/>
    </row>
    <row r="102" spans="15:26" ht="22.35" customHeight="1">
      <c r="O102" s="535"/>
      <c r="P102" s="535"/>
      <c r="Q102" s="535"/>
      <c r="R102" s="535"/>
      <c r="S102" s="535"/>
      <c r="T102" s="535"/>
      <c r="U102" s="535"/>
      <c r="V102" s="535"/>
      <c r="W102" s="535"/>
      <c r="X102" s="535"/>
      <c r="Y102" s="535"/>
      <c r="Z102" s="535"/>
    </row>
    <row r="103" spans="15:26" ht="22.35" customHeight="1">
      <c r="O103" s="535"/>
      <c r="P103" s="535"/>
      <c r="Q103" s="535"/>
      <c r="R103" s="535"/>
      <c r="S103" s="535"/>
      <c r="T103" s="535"/>
      <c r="U103" s="535"/>
      <c r="V103" s="535"/>
      <c r="W103" s="535"/>
      <c r="X103" s="535"/>
      <c r="Y103" s="535"/>
      <c r="Z103" s="535"/>
    </row>
    <row r="104" spans="15:26" ht="22.35" customHeight="1">
      <c r="O104" s="535"/>
      <c r="P104" s="535"/>
      <c r="Q104" s="535"/>
      <c r="R104" s="535"/>
      <c r="S104" s="535"/>
      <c r="T104" s="535"/>
      <c r="U104" s="535"/>
      <c r="V104" s="535"/>
      <c r="W104" s="535"/>
      <c r="X104" s="535"/>
      <c r="Y104" s="535"/>
      <c r="Z104" s="535"/>
    </row>
    <row r="105" spans="15:26" ht="22.35" customHeight="1">
      <c r="O105" s="535"/>
      <c r="P105" s="535"/>
      <c r="Q105" s="535"/>
      <c r="R105" s="535"/>
      <c r="S105" s="535"/>
      <c r="T105" s="535"/>
      <c r="U105" s="535"/>
      <c r="V105" s="535"/>
      <c r="W105" s="535"/>
      <c r="X105" s="535"/>
      <c r="Y105" s="535"/>
      <c r="Z105" s="535"/>
    </row>
    <row r="106" spans="15:26" ht="22.35" customHeight="1">
      <c r="O106" s="535"/>
      <c r="P106" s="535"/>
      <c r="Q106" s="535"/>
      <c r="R106" s="535"/>
      <c r="S106" s="535"/>
      <c r="T106" s="535"/>
      <c r="U106" s="535"/>
      <c r="V106" s="535"/>
      <c r="W106" s="535"/>
      <c r="X106" s="535"/>
      <c r="Y106" s="535"/>
      <c r="Z106" s="535"/>
    </row>
    <row r="107" spans="15:26" ht="22.35" customHeight="1">
      <c r="O107" s="535"/>
      <c r="P107" s="535"/>
      <c r="Q107" s="535"/>
      <c r="R107" s="535"/>
      <c r="S107" s="535"/>
      <c r="T107" s="535"/>
      <c r="U107" s="535"/>
      <c r="V107" s="535"/>
      <c r="W107" s="535"/>
      <c r="X107" s="535"/>
      <c r="Y107" s="535"/>
      <c r="Z107" s="535"/>
    </row>
    <row r="108" spans="15:26" ht="22.35" customHeight="1">
      <c r="O108" s="535"/>
      <c r="P108" s="535"/>
      <c r="Q108" s="535"/>
      <c r="R108" s="535"/>
      <c r="S108" s="535"/>
      <c r="T108" s="535"/>
      <c r="U108" s="535"/>
      <c r="V108" s="535"/>
      <c r="W108" s="535"/>
      <c r="X108" s="535"/>
      <c r="Y108" s="535"/>
      <c r="Z108" s="535"/>
    </row>
    <row r="109" spans="15:26" ht="22.35" customHeight="1">
      <c r="O109" s="535"/>
      <c r="P109" s="535"/>
      <c r="Q109" s="535"/>
      <c r="R109" s="535"/>
      <c r="S109" s="535"/>
      <c r="T109" s="535"/>
      <c r="U109" s="535"/>
      <c r="V109" s="535"/>
      <c r="W109" s="535"/>
      <c r="X109" s="535"/>
      <c r="Y109" s="535"/>
      <c r="Z109" s="535"/>
    </row>
    <row r="110" spans="15:26" ht="22.35" customHeight="1">
      <c r="O110" s="535"/>
      <c r="P110" s="535"/>
      <c r="Q110" s="535"/>
      <c r="R110" s="535"/>
      <c r="S110" s="535"/>
      <c r="T110" s="535"/>
      <c r="U110" s="535"/>
      <c r="V110" s="535"/>
      <c r="W110" s="535"/>
      <c r="X110" s="535"/>
      <c r="Y110" s="535"/>
      <c r="Z110" s="535"/>
    </row>
    <row r="111" spans="15:26" ht="22.35" customHeight="1">
      <c r="O111" s="535"/>
      <c r="P111" s="535"/>
      <c r="Q111" s="535"/>
      <c r="R111" s="535"/>
      <c r="S111" s="535"/>
      <c r="T111" s="535"/>
      <c r="U111" s="535"/>
      <c r="V111" s="535"/>
      <c r="W111" s="535"/>
      <c r="X111" s="535"/>
      <c r="Y111" s="535"/>
      <c r="Z111" s="535"/>
    </row>
    <row r="112" spans="15:26" ht="22.35" customHeight="1">
      <c r="O112" s="535"/>
      <c r="P112" s="535"/>
      <c r="Q112" s="535"/>
      <c r="R112" s="535"/>
      <c r="S112" s="535"/>
      <c r="T112" s="535"/>
      <c r="U112" s="535"/>
      <c r="V112" s="535"/>
      <c r="W112" s="535"/>
      <c r="X112" s="535"/>
      <c r="Y112" s="535"/>
      <c r="Z112" s="535"/>
    </row>
  </sheetData>
  <mergeCells count="69">
    <mergeCell ref="BU56:BU57"/>
    <mergeCell ref="BV56:BV57"/>
    <mergeCell ref="BW56:BY56"/>
    <mergeCell ref="BZ56:CB56"/>
    <mergeCell ref="AV71:AX71"/>
    <mergeCell ref="BE56:BG56"/>
    <mergeCell ref="BH56:BJ56"/>
    <mergeCell ref="BM56:BO56"/>
    <mergeCell ref="BR56:BR57"/>
    <mergeCell ref="BS56:BS57"/>
    <mergeCell ref="BT56:BT57"/>
    <mergeCell ref="BB56:BD56"/>
    <mergeCell ref="AS56:AS57"/>
    <mergeCell ref="AT56:AT57"/>
    <mergeCell ref="AU56:AU57"/>
    <mergeCell ref="AV56:AX56"/>
    <mergeCell ref="AY56:BA56"/>
    <mergeCell ref="O56:Q56"/>
    <mergeCell ref="R56:T56"/>
    <mergeCell ref="V56:X56"/>
    <mergeCell ref="AP56:AP57"/>
    <mergeCell ref="AQ56:AQ57"/>
    <mergeCell ref="AR56:AR57"/>
    <mergeCell ref="BZ3:CB3"/>
    <mergeCell ref="BW55:CB55"/>
    <mergeCell ref="A56:A57"/>
    <mergeCell ref="B56:B57"/>
    <mergeCell ref="C56:C57"/>
    <mergeCell ref="D56:D57"/>
    <mergeCell ref="E56:E57"/>
    <mergeCell ref="G56:I56"/>
    <mergeCell ref="K56:M56"/>
    <mergeCell ref="N56:N57"/>
    <mergeCell ref="BR3:BR4"/>
    <mergeCell ref="BS3:BS4"/>
    <mergeCell ref="BT3:BT4"/>
    <mergeCell ref="BU3:BU4"/>
    <mergeCell ref="BV3:BV4"/>
    <mergeCell ref="AR3:AR4"/>
    <mergeCell ref="AS3:AS4"/>
    <mergeCell ref="AT3:AT4"/>
    <mergeCell ref="BW3:BY3"/>
    <mergeCell ref="AV3:AX3"/>
    <mergeCell ref="AY3:BA3"/>
    <mergeCell ref="BB3:BD3"/>
    <mergeCell ref="BE3:BG3"/>
    <mergeCell ref="BH3:BJ3"/>
    <mergeCell ref="BM3:BO3"/>
    <mergeCell ref="A3:A4"/>
    <mergeCell ref="B3:B4"/>
    <mergeCell ref="C3:C4"/>
    <mergeCell ref="D3:D4"/>
    <mergeCell ref="E3:E4"/>
    <mergeCell ref="BM2:BP2"/>
    <mergeCell ref="BW2:CB2"/>
    <mergeCell ref="F3:F4"/>
    <mergeCell ref="K2:M2"/>
    <mergeCell ref="O2:Q2"/>
    <mergeCell ref="R2:U2"/>
    <mergeCell ref="AA2:AB2"/>
    <mergeCell ref="AU3:AU4"/>
    <mergeCell ref="G3:J3"/>
    <mergeCell ref="K3:M3"/>
    <mergeCell ref="N3:N4"/>
    <mergeCell ref="O3:Q3"/>
    <mergeCell ref="R3:U3"/>
    <mergeCell ref="V3:Y3"/>
    <mergeCell ref="AP3:AP4"/>
    <mergeCell ref="AQ3:AQ4"/>
  </mergeCells>
  <phoneticPr fontId="101" type="noConversion"/>
  <conditionalFormatting sqref="N3:N25">
    <cfRule type="cellIs" dxfId="99" priority="3" stopIfTrue="1" operator="equal">
      <formula>1</formula>
    </cfRule>
    <cfRule type="cellIs" dxfId="98" priority="4" stopIfTrue="1" operator="between">
      <formula>0.9</formula>
      <formula>1</formula>
    </cfRule>
  </conditionalFormatting>
  <conditionalFormatting sqref="N47:N49">
    <cfRule type="cellIs" dxfId="97" priority="1" stopIfTrue="1" operator="equal">
      <formula>1</formula>
    </cfRule>
    <cfRule type="cellIs" dxfId="96" priority="2" stopIfTrue="1" operator="between">
      <formula>0.9</formula>
      <formula>1</formula>
    </cfRule>
  </conditionalFormatting>
  <conditionalFormatting sqref="N56:N57">
    <cfRule type="cellIs" dxfId="95" priority="7" stopIfTrue="1" operator="equal">
      <formula>1</formula>
    </cfRule>
    <cfRule type="cellIs" dxfId="94" priority="8" stopIfTrue="1" operator="between">
      <formula>0.9</formula>
      <formula>1</formula>
    </cfRule>
  </conditionalFormatting>
  <conditionalFormatting sqref="N62:N63">
    <cfRule type="cellIs" dxfId="93" priority="5" stopIfTrue="1" operator="equal">
      <formula>1</formula>
    </cfRule>
    <cfRule type="cellIs" dxfId="92" priority="6" stopIfTrue="1" operator="between">
      <formula>0.9</formula>
      <formula>1</formula>
    </cfRule>
  </conditionalFormatting>
  <conditionalFormatting sqref="N69:N73 N96:N65459">
    <cfRule type="cellIs" dxfId="91" priority="11" stopIfTrue="1" operator="equal">
      <formula>1</formula>
    </cfRule>
    <cfRule type="cellIs" dxfId="90" priority="12" stopIfTrue="1" operator="between">
      <formula>0.9</formula>
      <formula>1</formula>
    </cfRule>
  </conditionalFormatting>
  <conditionalFormatting sqref="N75:N93">
    <cfRule type="cellIs" dxfId="89" priority="9" stopIfTrue="1" operator="equal">
      <formula>1</formula>
    </cfRule>
    <cfRule type="cellIs" dxfId="88" priority="10" stopIfTrue="1" operator="between">
      <formula>0.9</formula>
      <formula>1</formula>
    </cfRule>
  </conditionalFormatting>
  <dataValidations count="1">
    <dataValidation type="list" allowBlank="1" showInputMessage="1" showErrorMessage="1" sqref="WXY983006:WXY983007 WOC983006:WOC983007 CF65502:CF65503 LM65502:LM65503 VI65502:VI65503 AFE65502:AFE65503 APA65502:APA65503 AYW65502:AYW65503 BIS65502:BIS65503 BSO65502:BSO65503 CCK65502:CCK65503 CMG65502:CMG65503 CWC65502:CWC65503 DFY65502:DFY65503 DPU65502:DPU65503 DZQ65502:DZQ65503 EJM65502:EJM65503 ETI65502:ETI65503 FDE65502:FDE65503 FNA65502:FNA65503 FWW65502:FWW65503 GGS65502:GGS65503 GQO65502:GQO65503 HAK65502:HAK65503 HKG65502:HKG65503 HUC65502:HUC65503 IDY65502:IDY65503 INU65502:INU65503 IXQ65502:IXQ65503 JHM65502:JHM65503 JRI65502:JRI65503 KBE65502:KBE65503 KLA65502:KLA65503 KUW65502:KUW65503 LES65502:LES65503 LOO65502:LOO65503 LYK65502:LYK65503 MIG65502:MIG65503 MSC65502:MSC65503 NBY65502:NBY65503 NLU65502:NLU65503 NVQ65502:NVQ65503 OFM65502:OFM65503 OPI65502:OPI65503 OZE65502:OZE65503 PJA65502:PJA65503 PSW65502:PSW65503 QCS65502:QCS65503 QMO65502:QMO65503 QWK65502:QWK65503 RGG65502:RGG65503 RQC65502:RQC65503 RZY65502:RZY65503 SJU65502:SJU65503 STQ65502:STQ65503 TDM65502:TDM65503 TNI65502:TNI65503 TXE65502:TXE65503 UHA65502:UHA65503 UQW65502:UQW65503 VAS65502:VAS65503 VKO65502:VKO65503 VUK65502:VUK65503 WEG65502:WEG65503 WOC65502:WOC65503 WXY65502:WXY65503 CF131038:CF131039 LM131038:LM131039 VI131038:VI131039 AFE131038:AFE131039 APA131038:APA131039 AYW131038:AYW131039 BIS131038:BIS131039 BSO131038:BSO131039 CCK131038:CCK131039 CMG131038:CMG131039 CWC131038:CWC131039 DFY131038:DFY131039 DPU131038:DPU131039 DZQ131038:DZQ131039 EJM131038:EJM131039 ETI131038:ETI131039 FDE131038:FDE131039 FNA131038:FNA131039 FWW131038:FWW131039 GGS131038:GGS131039 GQO131038:GQO131039 HAK131038:HAK131039 HKG131038:HKG131039 HUC131038:HUC131039 IDY131038:IDY131039 INU131038:INU131039 IXQ131038:IXQ131039 JHM131038:JHM131039 JRI131038:JRI131039 KBE131038:KBE131039 KLA131038:KLA131039 KUW131038:KUW131039 LES131038:LES131039 LOO131038:LOO131039 LYK131038:LYK131039 MIG131038:MIG131039 MSC131038:MSC131039 NBY131038:NBY131039 NLU131038:NLU131039 NVQ131038:NVQ131039 OFM131038:OFM131039 OPI131038:OPI131039 OZE131038:OZE131039 PJA131038:PJA131039 PSW131038:PSW131039 QCS131038:QCS131039 QMO131038:QMO131039 QWK131038:QWK131039 RGG131038:RGG131039 RQC131038:RQC131039 RZY131038:RZY131039 SJU131038:SJU131039 STQ131038:STQ131039 TDM131038:TDM131039 TNI131038:TNI131039 TXE131038:TXE131039 UHA131038:UHA131039 UQW131038:UQW131039 VAS131038:VAS131039 VKO131038:VKO131039 VUK131038:VUK131039 WEG131038:WEG131039 WOC131038:WOC131039 WXY131038:WXY131039 CF196574:CF196575 LM196574:LM196575 VI196574:VI196575 AFE196574:AFE196575 APA196574:APA196575 AYW196574:AYW196575 BIS196574:BIS196575 BSO196574:BSO196575 CCK196574:CCK196575 CMG196574:CMG196575 CWC196574:CWC196575 DFY196574:DFY196575 DPU196574:DPU196575 DZQ196574:DZQ196575 EJM196574:EJM196575 ETI196574:ETI196575 FDE196574:FDE196575 FNA196574:FNA196575 FWW196574:FWW196575 GGS196574:GGS196575 GQO196574:GQO196575 HAK196574:HAK196575 HKG196574:HKG196575 HUC196574:HUC196575 IDY196574:IDY196575 INU196574:INU196575 IXQ196574:IXQ196575 JHM196574:JHM196575 JRI196574:JRI196575 KBE196574:KBE196575 KLA196574:KLA196575 KUW196574:KUW196575 LES196574:LES196575 LOO196574:LOO196575 LYK196574:LYK196575 MIG196574:MIG196575 MSC196574:MSC196575 NBY196574:NBY196575 NLU196574:NLU196575 NVQ196574:NVQ196575 OFM196574:OFM196575 OPI196574:OPI196575 OZE196574:OZE196575 PJA196574:PJA196575 PSW196574:PSW196575 QCS196574:QCS196575 QMO196574:QMO196575 QWK196574:QWK196575 RGG196574:RGG196575 RQC196574:RQC196575 RZY196574:RZY196575 SJU196574:SJU196575 STQ196574:STQ196575 TDM196574:TDM196575 TNI196574:TNI196575 TXE196574:TXE196575 UHA196574:UHA196575 UQW196574:UQW196575 VAS196574:VAS196575 VKO196574:VKO196575 VUK196574:VUK196575 WEG196574:WEG196575 WOC196574:WOC196575 WXY196574:WXY196575 CF262110:CF262111 LM262110:LM262111 VI262110:VI262111 AFE262110:AFE262111 APA262110:APA262111 AYW262110:AYW262111 BIS262110:BIS262111 BSO262110:BSO262111 CCK262110:CCK262111 CMG262110:CMG262111 CWC262110:CWC262111 DFY262110:DFY262111 DPU262110:DPU262111 DZQ262110:DZQ262111 EJM262110:EJM262111 ETI262110:ETI262111 FDE262110:FDE262111 FNA262110:FNA262111 FWW262110:FWW262111 GGS262110:GGS262111 GQO262110:GQO262111 HAK262110:HAK262111 HKG262110:HKG262111 HUC262110:HUC262111 IDY262110:IDY262111 INU262110:INU262111 IXQ262110:IXQ262111 JHM262110:JHM262111 JRI262110:JRI262111 KBE262110:KBE262111 KLA262110:KLA262111 KUW262110:KUW262111 LES262110:LES262111 LOO262110:LOO262111 LYK262110:LYK262111 MIG262110:MIG262111 MSC262110:MSC262111 NBY262110:NBY262111 NLU262110:NLU262111 NVQ262110:NVQ262111 OFM262110:OFM262111 OPI262110:OPI262111 OZE262110:OZE262111 PJA262110:PJA262111 PSW262110:PSW262111 QCS262110:QCS262111 QMO262110:QMO262111 QWK262110:QWK262111 RGG262110:RGG262111 RQC262110:RQC262111 RZY262110:RZY262111 SJU262110:SJU262111 STQ262110:STQ262111 TDM262110:TDM262111 TNI262110:TNI262111 TXE262110:TXE262111 UHA262110:UHA262111 UQW262110:UQW262111 VAS262110:VAS262111 VKO262110:VKO262111 VUK262110:VUK262111 WEG262110:WEG262111 WOC262110:WOC262111 WXY262110:WXY262111 CF327646:CF327647 LM327646:LM327647 VI327646:VI327647 AFE327646:AFE327647 APA327646:APA327647 AYW327646:AYW327647 BIS327646:BIS327647 BSO327646:BSO327647 CCK327646:CCK327647 CMG327646:CMG327647 CWC327646:CWC327647 DFY327646:DFY327647 DPU327646:DPU327647 DZQ327646:DZQ327647 EJM327646:EJM327647 ETI327646:ETI327647 FDE327646:FDE327647 FNA327646:FNA327647 FWW327646:FWW327647 GGS327646:GGS327647 GQO327646:GQO327647 HAK327646:HAK327647 HKG327646:HKG327647 HUC327646:HUC327647 IDY327646:IDY327647 INU327646:INU327647 IXQ327646:IXQ327647 JHM327646:JHM327647 JRI327646:JRI327647 KBE327646:KBE327647 KLA327646:KLA327647 KUW327646:KUW327647 LES327646:LES327647 LOO327646:LOO327647 LYK327646:LYK327647 MIG327646:MIG327647 MSC327646:MSC327647 NBY327646:NBY327647 NLU327646:NLU327647 NVQ327646:NVQ327647 OFM327646:OFM327647 OPI327646:OPI327647 OZE327646:OZE327647 PJA327646:PJA327647 PSW327646:PSW327647 QCS327646:QCS327647 QMO327646:QMO327647 QWK327646:QWK327647 RGG327646:RGG327647 RQC327646:RQC327647 RZY327646:RZY327647 SJU327646:SJU327647 STQ327646:STQ327647 TDM327646:TDM327647 TNI327646:TNI327647 TXE327646:TXE327647 UHA327646:UHA327647 UQW327646:UQW327647 VAS327646:VAS327647 VKO327646:VKO327647 VUK327646:VUK327647 WEG327646:WEG327647 WOC327646:WOC327647 WXY327646:WXY327647 CF393182:CF393183 LM393182:LM393183 VI393182:VI393183 AFE393182:AFE393183 APA393182:APA393183 AYW393182:AYW393183 BIS393182:BIS393183 BSO393182:BSO393183 CCK393182:CCK393183 CMG393182:CMG393183 CWC393182:CWC393183 DFY393182:DFY393183 DPU393182:DPU393183 DZQ393182:DZQ393183 EJM393182:EJM393183 ETI393182:ETI393183 FDE393182:FDE393183 FNA393182:FNA393183 FWW393182:FWW393183 GGS393182:GGS393183 GQO393182:GQO393183 HAK393182:HAK393183 HKG393182:HKG393183 HUC393182:HUC393183 IDY393182:IDY393183 INU393182:INU393183 IXQ393182:IXQ393183 JHM393182:JHM393183 JRI393182:JRI393183 KBE393182:KBE393183 KLA393182:KLA393183 KUW393182:KUW393183 LES393182:LES393183 LOO393182:LOO393183 LYK393182:LYK393183 MIG393182:MIG393183 MSC393182:MSC393183 NBY393182:NBY393183 NLU393182:NLU393183 NVQ393182:NVQ393183 OFM393182:OFM393183 OPI393182:OPI393183 OZE393182:OZE393183 PJA393182:PJA393183 PSW393182:PSW393183 QCS393182:QCS393183 QMO393182:QMO393183 QWK393182:QWK393183 RGG393182:RGG393183 RQC393182:RQC393183 RZY393182:RZY393183 SJU393182:SJU393183 STQ393182:STQ393183 TDM393182:TDM393183 TNI393182:TNI393183 TXE393182:TXE393183 UHA393182:UHA393183 UQW393182:UQW393183 VAS393182:VAS393183 VKO393182:VKO393183 VUK393182:VUK393183 WEG393182:WEG393183 WOC393182:WOC393183 WXY393182:WXY393183 CF458718:CF458719 LM458718:LM458719 VI458718:VI458719 AFE458718:AFE458719 APA458718:APA458719 AYW458718:AYW458719 BIS458718:BIS458719 BSO458718:BSO458719 CCK458718:CCK458719 CMG458718:CMG458719 CWC458718:CWC458719 DFY458718:DFY458719 DPU458718:DPU458719 DZQ458718:DZQ458719 EJM458718:EJM458719 ETI458718:ETI458719 FDE458718:FDE458719 FNA458718:FNA458719 FWW458718:FWW458719 GGS458718:GGS458719 GQO458718:GQO458719 HAK458718:HAK458719 HKG458718:HKG458719 HUC458718:HUC458719 IDY458718:IDY458719 INU458718:INU458719 IXQ458718:IXQ458719 JHM458718:JHM458719 JRI458718:JRI458719 KBE458718:KBE458719 KLA458718:KLA458719 KUW458718:KUW458719 LES458718:LES458719 LOO458718:LOO458719 LYK458718:LYK458719 MIG458718:MIG458719 MSC458718:MSC458719 NBY458718:NBY458719 NLU458718:NLU458719 NVQ458718:NVQ458719 OFM458718:OFM458719 OPI458718:OPI458719 OZE458718:OZE458719 PJA458718:PJA458719 PSW458718:PSW458719 QCS458718:QCS458719 QMO458718:QMO458719 QWK458718:QWK458719 RGG458718:RGG458719 RQC458718:RQC458719 RZY458718:RZY458719 SJU458718:SJU458719 STQ458718:STQ458719 TDM458718:TDM458719 TNI458718:TNI458719 TXE458718:TXE458719 UHA458718:UHA458719 UQW458718:UQW458719 VAS458718:VAS458719 VKO458718:VKO458719 VUK458718:VUK458719 WEG458718:WEG458719 WOC458718:WOC458719 WXY458718:WXY458719 CF524254:CF524255 LM524254:LM524255 VI524254:VI524255 AFE524254:AFE524255 APA524254:APA524255 AYW524254:AYW524255 BIS524254:BIS524255 BSO524254:BSO524255 CCK524254:CCK524255 CMG524254:CMG524255 CWC524254:CWC524255 DFY524254:DFY524255 DPU524254:DPU524255 DZQ524254:DZQ524255 EJM524254:EJM524255 ETI524254:ETI524255 FDE524254:FDE524255 FNA524254:FNA524255 FWW524254:FWW524255 GGS524254:GGS524255 GQO524254:GQO524255 HAK524254:HAK524255 HKG524254:HKG524255 HUC524254:HUC524255 IDY524254:IDY524255 INU524254:INU524255 IXQ524254:IXQ524255 JHM524254:JHM524255 JRI524254:JRI524255 KBE524254:KBE524255 KLA524254:KLA524255 KUW524254:KUW524255 LES524254:LES524255 LOO524254:LOO524255 LYK524254:LYK524255 MIG524254:MIG524255 MSC524254:MSC524255 NBY524254:NBY524255 NLU524254:NLU524255 NVQ524254:NVQ524255 OFM524254:OFM524255 OPI524254:OPI524255 OZE524254:OZE524255 PJA524254:PJA524255 PSW524254:PSW524255 QCS524254:QCS524255 QMO524254:QMO524255 QWK524254:QWK524255 RGG524254:RGG524255 RQC524254:RQC524255 RZY524254:RZY524255 SJU524254:SJU524255 STQ524254:STQ524255 TDM524254:TDM524255 TNI524254:TNI524255 TXE524254:TXE524255 UHA524254:UHA524255 UQW524254:UQW524255 VAS524254:VAS524255 VKO524254:VKO524255 VUK524254:VUK524255 WEG524254:WEG524255 WOC524254:WOC524255 WXY524254:WXY524255 CF589790:CF589791 LM589790:LM589791 VI589790:VI589791 AFE589790:AFE589791 APA589790:APA589791 AYW589790:AYW589791 BIS589790:BIS589791 BSO589790:BSO589791 CCK589790:CCK589791 CMG589790:CMG589791 CWC589790:CWC589791 DFY589790:DFY589791 DPU589790:DPU589791 DZQ589790:DZQ589791 EJM589790:EJM589791 ETI589790:ETI589791 FDE589790:FDE589791 FNA589790:FNA589791 FWW589790:FWW589791 GGS589790:GGS589791 GQO589790:GQO589791 HAK589790:HAK589791 HKG589790:HKG589791 HUC589790:HUC589791 IDY589790:IDY589791 INU589790:INU589791 IXQ589790:IXQ589791 JHM589790:JHM589791 JRI589790:JRI589791 KBE589790:KBE589791 KLA589790:KLA589791 KUW589790:KUW589791 LES589790:LES589791 LOO589790:LOO589791 LYK589790:LYK589791 MIG589790:MIG589791 MSC589790:MSC589791 NBY589790:NBY589791 NLU589790:NLU589791 NVQ589790:NVQ589791 OFM589790:OFM589791 OPI589790:OPI589791 OZE589790:OZE589791 PJA589790:PJA589791 PSW589790:PSW589791 QCS589790:QCS589791 QMO589790:QMO589791 QWK589790:QWK589791 RGG589790:RGG589791 RQC589790:RQC589791 RZY589790:RZY589791 SJU589790:SJU589791 STQ589790:STQ589791 TDM589790:TDM589791 TNI589790:TNI589791 TXE589790:TXE589791 UHA589790:UHA589791 UQW589790:UQW589791 VAS589790:VAS589791 VKO589790:VKO589791 VUK589790:VUK589791 WEG589790:WEG589791 WOC589790:WOC589791 WXY589790:WXY589791 CF655326:CF655327 LM655326:LM655327 VI655326:VI655327 AFE655326:AFE655327 APA655326:APA655327 AYW655326:AYW655327 BIS655326:BIS655327 BSO655326:BSO655327 CCK655326:CCK655327 CMG655326:CMG655327 CWC655326:CWC655327 DFY655326:DFY655327 DPU655326:DPU655327 DZQ655326:DZQ655327 EJM655326:EJM655327 ETI655326:ETI655327 FDE655326:FDE655327 FNA655326:FNA655327 FWW655326:FWW655327 GGS655326:GGS655327 GQO655326:GQO655327 HAK655326:HAK655327 HKG655326:HKG655327 HUC655326:HUC655327 IDY655326:IDY655327 INU655326:INU655327 IXQ655326:IXQ655327 JHM655326:JHM655327 JRI655326:JRI655327 KBE655326:KBE655327 KLA655326:KLA655327 KUW655326:KUW655327 LES655326:LES655327 LOO655326:LOO655327 LYK655326:LYK655327 MIG655326:MIG655327 MSC655326:MSC655327 NBY655326:NBY655327 NLU655326:NLU655327 NVQ655326:NVQ655327 OFM655326:OFM655327 OPI655326:OPI655327 OZE655326:OZE655327 PJA655326:PJA655327 PSW655326:PSW655327 QCS655326:QCS655327 QMO655326:QMO655327 QWK655326:QWK655327 RGG655326:RGG655327 RQC655326:RQC655327 RZY655326:RZY655327 SJU655326:SJU655327 STQ655326:STQ655327 TDM655326:TDM655327 TNI655326:TNI655327 TXE655326:TXE655327 UHA655326:UHA655327 UQW655326:UQW655327 VAS655326:VAS655327 VKO655326:VKO655327 VUK655326:VUK655327 WEG655326:WEG655327 WOC655326:WOC655327 WXY655326:WXY655327 CF720862:CF720863 LM720862:LM720863 VI720862:VI720863 AFE720862:AFE720863 APA720862:APA720863 AYW720862:AYW720863 BIS720862:BIS720863 BSO720862:BSO720863 CCK720862:CCK720863 CMG720862:CMG720863 CWC720862:CWC720863 DFY720862:DFY720863 DPU720862:DPU720863 DZQ720862:DZQ720863 EJM720862:EJM720863 ETI720862:ETI720863 FDE720862:FDE720863 FNA720862:FNA720863 FWW720862:FWW720863 GGS720862:GGS720863 GQO720862:GQO720863 HAK720862:HAK720863 HKG720862:HKG720863 HUC720862:HUC720863 IDY720862:IDY720863 INU720862:INU720863 IXQ720862:IXQ720863 JHM720862:JHM720863 JRI720862:JRI720863 KBE720862:KBE720863 KLA720862:KLA720863 KUW720862:KUW720863 LES720862:LES720863 LOO720862:LOO720863 LYK720862:LYK720863 MIG720862:MIG720863 MSC720862:MSC720863 NBY720862:NBY720863 NLU720862:NLU720863 NVQ720862:NVQ720863 OFM720862:OFM720863 OPI720862:OPI720863 OZE720862:OZE720863 PJA720862:PJA720863 PSW720862:PSW720863 QCS720862:QCS720863 QMO720862:QMO720863 QWK720862:QWK720863 RGG720862:RGG720863 RQC720862:RQC720863 RZY720862:RZY720863 SJU720862:SJU720863 STQ720862:STQ720863 TDM720862:TDM720863 TNI720862:TNI720863 TXE720862:TXE720863 UHA720862:UHA720863 UQW720862:UQW720863 VAS720862:VAS720863 VKO720862:VKO720863 VUK720862:VUK720863 WEG720862:WEG720863 WOC720862:WOC720863 WXY720862:WXY720863 CF786398:CF786399 LM786398:LM786399 VI786398:VI786399 AFE786398:AFE786399 APA786398:APA786399 AYW786398:AYW786399 BIS786398:BIS786399 BSO786398:BSO786399 CCK786398:CCK786399 CMG786398:CMG786399 CWC786398:CWC786399 DFY786398:DFY786399 DPU786398:DPU786399 DZQ786398:DZQ786399 EJM786398:EJM786399 ETI786398:ETI786399 FDE786398:FDE786399 FNA786398:FNA786399 FWW786398:FWW786399 GGS786398:GGS786399 GQO786398:GQO786399 HAK786398:HAK786399 HKG786398:HKG786399 HUC786398:HUC786399 IDY786398:IDY786399 INU786398:INU786399 IXQ786398:IXQ786399 JHM786398:JHM786399 JRI786398:JRI786399 KBE786398:KBE786399 KLA786398:KLA786399 KUW786398:KUW786399 LES786398:LES786399 LOO786398:LOO786399 LYK786398:LYK786399 MIG786398:MIG786399 MSC786398:MSC786399 NBY786398:NBY786399 NLU786398:NLU786399 NVQ786398:NVQ786399 OFM786398:OFM786399 OPI786398:OPI786399 OZE786398:OZE786399 PJA786398:PJA786399 PSW786398:PSW786399 QCS786398:QCS786399 QMO786398:QMO786399 QWK786398:QWK786399 RGG786398:RGG786399 RQC786398:RQC786399 RZY786398:RZY786399 SJU786398:SJU786399 STQ786398:STQ786399 TDM786398:TDM786399 TNI786398:TNI786399 TXE786398:TXE786399 UHA786398:UHA786399 UQW786398:UQW786399 VAS786398:VAS786399 VKO786398:VKO786399 VUK786398:VUK786399 WEG786398:WEG786399 WOC786398:WOC786399 WXY786398:WXY786399 CF851934:CF851935 LM851934:LM851935 VI851934:VI851935 AFE851934:AFE851935 APA851934:APA851935 AYW851934:AYW851935 BIS851934:BIS851935 BSO851934:BSO851935 CCK851934:CCK851935 CMG851934:CMG851935 CWC851934:CWC851935 DFY851934:DFY851935 DPU851934:DPU851935 DZQ851934:DZQ851935 EJM851934:EJM851935 ETI851934:ETI851935 FDE851934:FDE851935 FNA851934:FNA851935 FWW851934:FWW851935 GGS851934:GGS851935 GQO851934:GQO851935 HAK851934:HAK851935 HKG851934:HKG851935 HUC851934:HUC851935 IDY851934:IDY851935 INU851934:INU851935 IXQ851934:IXQ851935 JHM851934:JHM851935 JRI851934:JRI851935 KBE851934:KBE851935 KLA851934:KLA851935 KUW851934:KUW851935 LES851934:LES851935 LOO851934:LOO851935 LYK851934:LYK851935 MIG851934:MIG851935 MSC851934:MSC851935 NBY851934:NBY851935 NLU851934:NLU851935 NVQ851934:NVQ851935 OFM851934:OFM851935 OPI851934:OPI851935 OZE851934:OZE851935 PJA851934:PJA851935 PSW851934:PSW851935 QCS851934:QCS851935 QMO851934:QMO851935 QWK851934:QWK851935 RGG851934:RGG851935 RQC851934:RQC851935 RZY851934:RZY851935 SJU851934:SJU851935 STQ851934:STQ851935 TDM851934:TDM851935 TNI851934:TNI851935 TXE851934:TXE851935 UHA851934:UHA851935 UQW851934:UQW851935 VAS851934:VAS851935 VKO851934:VKO851935 VUK851934:VUK851935 WEG851934:WEG851935 WOC851934:WOC851935 WXY851934:WXY851935 CF917470:CF917471 LM917470:LM917471 VI917470:VI917471 AFE917470:AFE917471 APA917470:APA917471 AYW917470:AYW917471 BIS917470:BIS917471 BSO917470:BSO917471 CCK917470:CCK917471 CMG917470:CMG917471 CWC917470:CWC917471 DFY917470:DFY917471 DPU917470:DPU917471 DZQ917470:DZQ917471 EJM917470:EJM917471 ETI917470:ETI917471 FDE917470:FDE917471 FNA917470:FNA917471 FWW917470:FWW917471 GGS917470:GGS917471 GQO917470:GQO917471 HAK917470:HAK917471 HKG917470:HKG917471 HUC917470:HUC917471 IDY917470:IDY917471 INU917470:INU917471 IXQ917470:IXQ917471 JHM917470:JHM917471 JRI917470:JRI917471 KBE917470:KBE917471 KLA917470:KLA917471 KUW917470:KUW917471 LES917470:LES917471 LOO917470:LOO917471 LYK917470:LYK917471 MIG917470:MIG917471 MSC917470:MSC917471 NBY917470:NBY917471 NLU917470:NLU917471 NVQ917470:NVQ917471 OFM917470:OFM917471 OPI917470:OPI917471 OZE917470:OZE917471 PJA917470:PJA917471 PSW917470:PSW917471 QCS917470:QCS917471 QMO917470:QMO917471 QWK917470:QWK917471 RGG917470:RGG917471 RQC917470:RQC917471 RZY917470:RZY917471 SJU917470:SJU917471 STQ917470:STQ917471 TDM917470:TDM917471 TNI917470:TNI917471 TXE917470:TXE917471 UHA917470:UHA917471 UQW917470:UQW917471 VAS917470:VAS917471 VKO917470:VKO917471 VUK917470:VUK917471 WEG917470:WEG917471 WOC917470:WOC917471 WXY917470:WXY917471 CF983006:CF983007 LM983006:LM983007 VI983006:VI983007 AFE983006:AFE983007 APA983006:APA983007 AYW983006:AYW983007 BIS983006:BIS983007 BSO983006:BSO983007 CCK983006:CCK983007 CMG983006:CMG983007 CWC983006:CWC983007 DFY983006:DFY983007 DPU983006:DPU983007 DZQ983006:DZQ983007 EJM983006:EJM983007 ETI983006:ETI983007 FDE983006:FDE983007 FNA983006:FNA983007 FWW983006:FWW983007 GGS983006:GGS983007 GQO983006:GQO983007 HAK983006:HAK983007 HKG983006:HKG983007 HUC983006:HUC983007 IDY983006:IDY983007 INU983006:INU983007 IXQ983006:IXQ983007 JHM983006:JHM983007 JRI983006:JRI983007 KBE983006:KBE983007 KLA983006:KLA983007 KUW983006:KUW983007 LES983006:LES983007 LOO983006:LOO983007 LYK983006:LYK983007 MIG983006:MIG983007 MSC983006:MSC983007 NBY983006:NBY983007 NLU983006:NLU983007 NVQ983006:NVQ983007 OFM983006:OFM983007 OPI983006:OPI983007 OZE983006:OZE983007 PJA983006:PJA983007 PSW983006:PSW983007 QCS983006:QCS983007 QMO983006:QMO983007 QWK983006:QWK983007 RGG983006:RGG983007 RQC983006:RQC983007 RZY983006:RZY983007 SJU983006:SJU983007 STQ983006:STQ983007 TDM983006:TDM983007 TNI983006:TNI983007 TXE983006:TXE983007 UHA983006:UHA983007 UQW983006:UQW983007 VAS983006:VAS983007 VKO983006:VKO983007 VUK983006:VUK983007 WEG983006:WEG983007" xr:uid="{E9546771-B37D-490E-9335-23149951A554}">
      <formula1>$BD$5:$BD$5</formula1>
    </dataValidation>
  </dataValidation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4E6B-37DA-4156-9B3E-0EA02EE9BD8B}">
  <sheetPr>
    <tabColor rgb="FFFFC000"/>
  </sheetPr>
  <dimension ref="A1:HB217"/>
  <sheetViews>
    <sheetView topLeftCell="FX1" zoomScale="70" zoomScaleNormal="70" workbookViewId="0">
      <selection activeCell="FA29" sqref="FA29"/>
    </sheetView>
  </sheetViews>
  <sheetFormatPr defaultColWidth="8.33203125" defaultRowHeight="15.6" outlineLevelCol="2"/>
  <cols>
    <col min="1" max="1" width="9.33203125" style="532" customWidth="1"/>
    <col min="2" max="2" width="25.109375" style="532" customWidth="1"/>
    <col min="3" max="3" width="9" style="532" customWidth="1" outlineLevel="1"/>
    <col min="4" max="5" width="7.77734375" style="532" customWidth="1" outlineLevel="1"/>
    <col min="6" max="7" width="13.88671875" style="532" customWidth="1"/>
    <col min="8" max="8" width="13.88671875" style="1294" customWidth="1"/>
    <col min="9" max="9" width="9.77734375" style="533" customWidth="1"/>
    <col min="10" max="11" width="14" style="532" hidden="1" customWidth="1" outlineLevel="1"/>
    <col min="12" max="12" width="14" style="1294" hidden="1" customWidth="1" outlineLevel="1"/>
    <col min="13" max="13" width="13.88671875" style="533" hidden="1" customWidth="1" outlineLevel="1"/>
    <col min="14" max="15" width="13.88671875" style="532" hidden="1" customWidth="1" outlineLevel="1"/>
    <col min="16" max="16" width="13.88671875" style="1294" hidden="1" customWidth="1" outlineLevel="1"/>
    <col min="17" max="17" width="13.88671875" style="532" customWidth="1" collapsed="1"/>
    <col min="18" max="19" width="13.88671875" style="532" customWidth="1"/>
    <col min="20" max="20" width="8.109375" style="532" customWidth="1"/>
    <col min="21" max="23" width="16.77734375" style="532" customWidth="1"/>
    <col min="24" max="25" width="12.109375" style="532" customWidth="1" outlineLevel="1"/>
    <col min="26" max="26" width="13.21875" style="532" customWidth="1" outlineLevel="1"/>
    <col min="27" max="28" width="12.109375" style="532" hidden="1" customWidth="1" outlineLevel="2"/>
    <col min="29" max="31" width="15.88671875" style="532" hidden="1" customWidth="1" outlineLevel="2"/>
    <col min="32" max="32" width="14.6640625" style="532" hidden="1" customWidth="1" outlineLevel="2"/>
    <col min="33" max="33" width="8.6640625" style="1427" hidden="1" customWidth="1" outlineLevel="2"/>
    <col min="34" max="34" width="12.109375" style="532" customWidth="1" outlineLevel="1" collapsed="1"/>
    <col min="35" max="36" width="12.109375" style="532" customWidth="1" outlineLevel="1"/>
    <col min="37" max="39" width="12.109375" style="532" hidden="1" customWidth="1" outlineLevel="2"/>
    <col min="40" max="41" width="15.88671875" style="532" hidden="1" customWidth="1" outlineLevel="2"/>
    <col min="42" max="42" width="13.109375" style="532" hidden="1" customWidth="1" outlineLevel="2"/>
    <col min="43" max="43" width="8.6640625" style="1427" hidden="1" customWidth="1" outlineLevel="2"/>
    <col min="44" max="44" width="12.109375" style="532" customWidth="1" outlineLevel="1" collapsed="1"/>
    <col min="45" max="46" width="12.109375" style="532" customWidth="1" outlineLevel="1"/>
    <col min="47" max="49" width="12.109375" style="532" hidden="1" customWidth="1" outlineLevel="2"/>
    <col min="50" max="51" width="15.88671875" style="532" hidden="1" customWidth="1" outlineLevel="2"/>
    <col min="52" max="52" width="13.109375" style="532" hidden="1" customWidth="1" outlineLevel="2"/>
    <col min="53" max="53" width="9.44140625" style="1427" hidden="1" customWidth="1" outlineLevel="2"/>
    <col min="54" max="54" width="12.109375" style="532" customWidth="1" outlineLevel="1" collapsed="1"/>
    <col min="55" max="56" width="12.109375" style="532" customWidth="1" outlineLevel="1"/>
    <col min="57" max="59" width="12.109375" style="532" hidden="1" customWidth="1" outlineLevel="2"/>
    <col min="60" max="61" width="15.88671875" style="532" hidden="1" customWidth="1" outlineLevel="2"/>
    <col min="62" max="62" width="13.109375" style="532" hidden="1" customWidth="1" outlineLevel="2"/>
    <col min="63" max="63" width="9.44140625" style="1427" hidden="1" customWidth="1" outlineLevel="2"/>
    <col min="64" max="64" width="12.109375" style="532" customWidth="1" outlineLevel="1" collapsed="1"/>
    <col min="65" max="66" width="12.109375" style="532" customWidth="1" outlineLevel="1"/>
    <col min="67" max="69" width="12.109375" style="532" hidden="1" customWidth="1" outlineLevel="2"/>
    <col min="70" max="71" width="15.88671875" style="532" hidden="1" customWidth="1" outlineLevel="2"/>
    <col min="72" max="72" width="13.109375" style="532" hidden="1" customWidth="1" outlineLevel="2"/>
    <col min="73" max="73" width="8.6640625" style="1427" hidden="1" customWidth="1" outlineLevel="2"/>
    <col min="74" max="74" width="12.109375" style="532" customWidth="1" outlineLevel="1" collapsed="1"/>
    <col min="75" max="75" width="12.109375" style="532" customWidth="1" outlineLevel="1"/>
    <col min="76" max="76" width="15.88671875" style="532" customWidth="1" outlineLevel="1"/>
    <col min="77" max="79" width="12.109375" style="532" hidden="1" customWidth="1" outlineLevel="2"/>
    <col min="80" max="81" width="15.88671875" style="532" hidden="1" customWidth="1" outlineLevel="2"/>
    <col min="82" max="82" width="13.109375" style="532" hidden="1" customWidth="1" outlineLevel="2"/>
    <col min="83" max="83" width="9.44140625" style="1427" hidden="1" customWidth="1" outlineLevel="2"/>
    <col min="84" max="84" width="12.109375" style="532" customWidth="1" outlineLevel="1" collapsed="1"/>
    <col min="85" max="86" width="12.109375" style="532" customWidth="1" outlineLevel="1"/>
    <col min="87" max="89" width="12.109375" style="532" hidden="1" customWidth="1" outlineLevel="2"/>
    <col min="90" max="91" width="15.88671875" style="532" hidden="1" customWidth="1" outlineLevel="2"/>
    <col min="92" max="92" width="13.109375" style="532" hidden="1" customWidth="1" outlineLevel="2"/>
    <col min="93" max="93" width="9.44140625" style="1427" hidden="1" customWidth="1" outlineLevel="2"/>
    <col min="94" max="94" width="13.109375" style="532" customWidth="1" outlineLevel="1" collapsed="1"/>
    <col min="95" max="95" width="19" style="532" customWidth="1" outlineLevel="1"/>
    <col min="96" max="96" width="17.109375" style="532" customWidth="1" outlineLevel="1"/>
    <col min="97" max="97" width="14.21875" style="532" hidden="1" customWidth="1" outlineLevel="2"/>
    <col min="98" max="98" width="21.21875" style="532" hidden="1" customWidth="1" outlineLevel="2"/>
    <col min="99" max="99" width="13.109375" style="532" hidden="1" customWidth="1" outlineLevel="2"/>
    <col min="100" max="101" width="15.88671875" style="532" hidden="1" customWidth="1" outlineLevel="2"/>
    <col min="102" max="102" width="13.109375" style="532" hidden="1" customWidth="1" outlineLevel="2"/>
    <col min="103" max="103" width="9.44140625" style="1427" hidden="1" customWidth="1" outlineLevel="2"/>
    <col min="104" max="104" width="12.88671875" style="532" customWidth="1" outlineLevel="1" collapsed="1"/>
    <col min="105" max="105" width="19" style="532" customWidth="1" outlineLevel="1"/>
    <col min="106" max="106" width="14.21875" style="532" customWidth="1" outlineLevel="1"/>
    <col min="107" max="109" width="12.109375" style="532" hidden="1" customWidth="1" outlineLevel="2"/>
    <col min="110" max="111" width="15.88671875" style="532" hidden="1" customWidth="1" outlineLevel="2"/>
    <col min="112" max="112" width="13.109375" style="532" hidden="1" customWidth="1" outlineLevel="2"/>
    <col min="113" max="113" width="8.6640625" style="1427" hidden="1" customWidth="1" outlineLevel="2"/>
    <col min="114" max="114" width="12.88671875" style="532" customWidth="1" outlineLevel="1" collapsed="1"/>
    <col min="115" max="115" width="19.88671875" style="532" customWidth="1" outlineLevel="1"/>
    <col min="116" max="116" width="14" style="532" customWidth="1" outlineLevel="1"/>
    <col min="117" max="122" width="14" style="532" hidden="1" customWidth="1" outlineLevel="2"/>
    <col min="123" max="123" width="8.6640625" style="1427" hidden="1" customWidth="1" outlineLevel="2"/>
    <col min="124" max="124" width="12.88671875" style="532" customWidth="1" outlineLevel="1" collapsed="1"/>
    <col min="125" max="125" width="15.109375" style="532" customWidth="1" outlineLevel="1"/>
    <col min="126" max="126" width="15.88671875" style="532" customWidth="1" outlineLevel="1"/>
    <col min="127" max="129" width="12.109375" style="532" customWidth="1" outlineLevel="2"/>
    <col min="130" max="131" width="14.109375" style="532" customWidth="1" outlineLevel="2"/>
    <col min="132" max="132" width="12.109375" style="532" customWidth="1" outlineLevel="2"/>
    <col min="133" max="133" width="8.6640625" style="1427" customWidth="1" outlineLevel="2"/>
    <col min="134" max="134" width="13.109375" style="532" customWidth="1" outlineLevel="1"/>
    <col min="135" max="135" width="14.88671875" style="532" customWidth="1" outlineLevel="1"/>
    <col min="136" max="136" width="14" style="532" customWidth="1" outlineLevel="1"/>
    <col min="137" max="139" width="14.6640625" style="532" customWidth="1"/>
    <col min="140" max="140" width="8.6640625" style="1427" customWidth="1"/>
    <col min="141" max="143" width="14.33203125" style="532" hidden="1" customWidth="1" outlineLevel="1"/>
    <col min="144" max="144" width="10.33203125" style="1427" hidden="1" customWidth="1" outlineLevel="1"/>
    <col min="145" max="145" width="15.109375" style="532" customWidth="1" collapsed="1"/>
    <col min="146" max="147" width="15.109375" style="532" customWidth="1"/>
    <col min="148" max="148" width="9.77734375" style="1427" customWidth="1"/>
    <col min="149" max="149" width="14.6640625" style="532" customWidth="1" collapsed="1"/>
    <col min="150" max="150" width="14.6640625" style="532" customWidth="1"/>
    <col min="151" max="151" width="14.88671875" style="532" customWidth="1"/>
    <col min="152" max="152" width="9.33203125" style="1427" customWidth="1"/>
    <col min="153" max="154" width="14.33203125" style="532" customWidth="1" outlineLevel="1"/>
    <col min="155" max="156" width="12.109375" style="532" customWidth="1" outlineLevel="1"/>
    <col min="157" max="159" width="15.109375" style="532" customWidth="1"/>
    <col min="160" max="160" width="9.77734375" style="1427" customWidth="1"/>
    <col min="161" max="161" width="14.88671875" style="532" customWidth="1" collapsed="1"/>
    <col min="162" max="163" width="14.88671875" style="532" customWidth="1"/>
    <col min="164" max="164" width="8.6640625" style="1427" customWidth="1"/>
    <col min="165" max="166" width="14.33203125" style="532" customWidth="1" outlineLevel="1"/>
    <col min="167" max="168" width="12.109375" style="532" customWidth="1" outlineLevel="1"/>
    <col min="169" max="171" width="15.109375" style="532" customWidth="1"/>
    <col min="172" max="172" width="9.77734375" style="1427" customWidth="1"/>
    <col min="173" max="173" width="14.88671875" style="532" customWidth="1" collapsed="1"/>
    <col min="174" max="175" width="14.88671875" style="532" customWidth="1"/>
    <col min="176" max="176" width="10.33203125" style="1427" bestFit="1" customWidth="1"/>
    <col min="177" max="179" width="13.88671875" style="532" customWidth="1" outlineLevel="1"/>
    <col min="180" max="180" width="12.109375" style="532" customWidth="1" outlineLevel="1"/>
    <col min="181" max="183" width="15.109375" style="532" customWidth="1"/>
    <col min="184" max="184" width="11" style="1427" bestFit="1" customWidth="1"/>
    <col min="185" max="185" width="14.88671875" style="532" customWidth="1" collapsed="1"/>
    <col min="186" max="187" width="14.88671875" style="532" customWidth="1"/>
    <col min="188" max="188" width="10.33203125" style="1427" bestFit="1" customWidth="1"/>
    <col min="189" max="191" width="13.88671875" style="532" customWidth="1" outlineLevel="1"/>
    <col min="192" max="192" width="12.109375" style="532" customWidth="1" outlineLevel="1"/>
    <col min="193" max="195" width="15.109375" style="532" customWidth="1"/>
    <col min="196" max="196" width="11" style="1427" bestFit="1" customWidth="1"/>
    <col min="197" max="197" width="14.88671875" style="532" customWidth="1" collapsed="1"/>
    <col min="198" max="199" width="14.88671875" style="532" customWidth="1"/>
    <col min="200" max="200" width="10.33203125" style="1427" bestFit="1" customWidth="1"/>
    <col min="201" max="203" width="13.88671875" style="532" customWidth="1" outlineLevel="1"/>
    <col min="204" max="204" width="12.109375" style="532" customWidth="1" outlineLevel="1"/>
    <col min="205" max="207" width="15.109375" style="532" customWidth="1"/>
    <col min="208" max="208" width="11" style="1427" bestFit="1" customWidth="1"/>
    <col min="209" max="16384" width="8.33203125" style="532"/>
  </cols>
  <sheetData>
    <row r="1" spans="1:210" ht="29.1" customHeight="1">
      <c r="A1" s="553" t="s">
        <v>2038</v>
      </c>
      <c r="B1" s="552">
        <v>2</v>
      </c>
      <c r="C1" s="552">
        <v>3</v>
      </c>
      <c r="D1" s="552">
        <v>4</v>
      </c>
      <c r="E1" s="552">
        <v>5</v>
      </c>
      <c r="F1" s="552">
        <v>10</v>
      </c>
      <c r="G1" s="552">
        <v>11</v>
      </c>
      <c r="H1" s="552">
        <v>12</v>
      </c>
      <c r="I1" s="552">
        <v>13</v>
      </c>
      <c r="J1" s="552" t="s">
        <v>1433</v>
      </c>
      <c r="K1" s="552">
        <v>7</v>
      </c>
      <c r="L1" s="552">
        <v>8</v>
      </c>
      <c r="M1" s="552">
        <v>9</v>
      </c>
      <c r="N1" s="552">
        <v>14</v>
      </c>
      <c r="O1" s="552">
        <v>15</v>
      </c>
      <c r="P1" s="552">
        <v>16</v>
      </c>
      <c r="Q1" s="552">
        <v>17</v>
      </c>
      <c r="R1" s="552">
        <v>18</v>
      </c>
      <c r="S1" s="552">
        <v>19</v>
      </c>
      <c r="T1" s="552">
        <v>20</v>
      </c>
      <c r="U1" s="552">
        <v>21</v>
      </c>
      <c r="V1" s="552">
        <v>22</v>
      </c>
      <c r="W1" s="552">
        <v>23</v>
      </c>
      <c r="X1" s="552">
        <v>24</v>
      </c>
      <c r="Y1" s="552">
        <v>25</v>
      </c>
      <c r="Z1" s="552">
        <v>26</v>
      </c>
      <c r="AA1" s="552">
        <v>27</v>
      </c>
      <c r="AB1" s="552">
        <v>28</v>
      </c>
      <c r="AC1" s="552">
        <v>29</v>
      </c>
      <c r="AD1" s="552">
        <v>30</v>
      </c>
      <c r="AE1" s="552">
        <v>31</v>
      </c>
      <c r="AF1" s="552">
        <v>32</v>
      </c>
      <c r="AG1" s="552">
        <v>33</v>
      </c>
      <c r="AH1" s="552">
        <v>34</v>
      </c>
      <c r="AI1" s="552">
        <v>35</v>
      </c>
      <c r="AJ1" s="552">
        <v>36</v>
      </c>
      <c r="AK1" s="552">
        <v>37</v>
      </c>
      <c r="AL1" s="552">
        <v>38</v>
      </c>
      <c r="AM1" s="552">
        <v>39</v>
      </c>
      <c r="AN1" s="552">
        <v>40</v>
      </c>
      <c r="AO1" s="552">
        <v>41</v>
      </c>
      <c r="AP1" s="552">
        <v>42</v>
      </c>
      <c r="AQ1" s="552">
        <v>43</v>
      </c>
      <c r="AR1" s="552">
        <v>44</v>
      </c>
      <c r="AS1" s="552">
        <v>45</v>
      </c>
      <c r="AT1" s="552">
        <v>46</v>
      </c>
      <c r="AU1" s="552">
        <v>47</v>
      </c>
      <c r="AV1" s="552">
        <v>48</v>
      </c>
      <c r="AW1" s="552">
        <v>49</v>
      </c>
      <c r="AX1" s="552">
        <v>50</v>
      </c>
      <c r="AY1" s="552">
        <v>51</v>
      </c>
      <c r="AZ1" s="552">
        <v>52</v>
      </c>
      <c r="BA1" s="552">
        <v>53</v>
      </c>
      <c r="BB1" s="552">
        <v>54</v>
      </c>
      <c r="BC1" s="552">
        <v>55</v>
      </c>
      <c r="BD1" s="552">
        <v>56</v>
      </c>
      <c r="BE1" s="552">
        <v>57</v>
      </c>
      <c r="BF1" s="552">
        <v>58</v>
      </c>
      <c r="BG1" s="552">
        <v>59</v>
      </c>
      <c r="BH1" s="552">
        <v>60</v>
      </c>
      <c r="BI1" s="552">
        <v>61</v>
      </c>
      <c r="BJ1" s="552">
        <v>62</v>
      </c>
      <c r="BK1" s="552">
        <v>63</v>
      </c>
      <c r="BL1" s="552">
        <v>64</v>
      </c>
      <c r="BM1" s="552">
        <v>65</v>
      </c>
      <c r="BN1" s="552">
        <v>66</v>
      </c>
      <c r="BO1" s="552">
        <v>67</v>
      </c>
      <c r="BP1" s="552">
        <v>68</v>
      </c>
      <c r="BQ1" s="552">
        <v>69</v>
      </c>
      <c r="BR1" s="552">
        <v>70</v>
      </c>
      <c r="BS1" s="552">
        <v>71</v>
      </c>
      <c r="BT1" s="552">
        <v>72</v>
      </c>
      <c r="BU1" s="552">
        <v>73</v>
      </c>
      <c r="BV1" s="552">
        <v>74</v>
      </c>
      <c r="BW1" s="552">
        <v>75</v>
      </c>
      <c r="BX1" s="552">
        <v>76</v>
      </c>
      <c r="BY1" s="552">
        <v>77</v>
      </c>
      <c r="BZ1" s="552">
        <v>78</v>
      </c>
      <c r="CA1" s="552">
        <v>79</v>
      </c>
      <c r="CB1" s="552">
        <v>80</v>
      </c>
      <c r="CC1" s="552">
        <v>81</v>
      </c>
      <c r="CD1" s="552">
        <v>82</v>
      </c>
      <c r="CE1" s="552">
        <v>83</v>
      </c>
      <c r="CF1" s="552">
        <v>84</v>
      </c>
      <c r="CG1" s="552">
        <v>85</v>
      </c>
      <c r="CH1" s="552">
        <v>86</v>
      </c>
      <c r="CI1" s="552">
        <v>87</v>
      </c>
      <c r="CJ1" s="552">
        <v>88</v>
      </c>
      <c r="CK1" s="552">
        <v>89</v>
      </c>
      <c r="CL1" s="552">
        <v>90</v>
      </c>
      <c r="CM1" s="552">
        <v>91</v>
      </c>
      <c r="CN1" s="552">
        <v>92</v>
      </c>
      <c r="CO1" s="552">
        <v>93</v>
      </c>
      <c r="CP1" s="552">
        <v>94</v>
      </c>
      <c r="CQ1" s="552">
        <v>95</v>
      </c>
      <c r="CR1" s="552">
        <v>96</v>
      </c>
      <c r="CS1" s="552">
        <v>97</v>
      </c>
      <c r="CT1" s="552">
        <v>98</v>
      </c>
      <c r="CU1" s="552">
        <v>99</v>
      </c>
      <c r="CV1" s="552">
        <v>100</v>
      </c>
      <c r="CW1" s="552">
        <v>101</v>
      </c>
      <c r="CX1" s="552">
        <v>102</v>
      </c>
      <c r="CY1" s="552">
        <v>103</v>
      </c>
      <c r="CZ1" s="552">
        <v>104</v>
      </c>
      <c r="DA1" s="552">
        <v>105</v>
      </c>
      <c r="DB1" s="552">
        <v>106</v>
      </c>
      <c r="DC1" s="552">
        <v>107</v>
      </c>
      <c r="DD1" s="552">
        <v>108</v>
      </c>
      <c r="DE1" s="552">
        <v>109</v>
      </c>
      <c r="DF1" s="552">
        <v>110</v>
      </c>
      <c r="DG1" s="552">
        <v>111</v>
      </c>
      <c r="DH1" s="552">
        <v>112</v>
      </c>
      <c r="DI1" s="552">
        <v>113</v>
      </c>
      <c r="DJ1" s="552">
        <v>114</v>
      </c>
      <c r="DK1" s="552">
        <v>115</v>
      </c>
      <c r="DL1" s="552">
        <v>116</v>
      </c>
      <c r="DM1" s="552">
        <v>117</v>
      </c>
      <c r="DN1" s="552">
        <v>118</v>
      </c>
      <c r="DO1" s="552">
        <v>119</v>
      </c>
      <c r="DP1" s="552">
        <v>120</v>
      </c>
      <c r="DQ1" s="552">
        <v>121</v>
      </c>
      <c r="DR1" s="552">
        <v>122</v>
      </c>
      <c r="DS1" s="552">
        <v>123</v>
      </c>
      <c r="DT1" s="552">
        <v>124</v>
      </c>
      <c r="DU1" s="552">
        <v>125</v>
      </c>
      <c r="DV1" s="552">
        <v>126</v>
      </c>
      <c r="DW1" s="552">
        <v>127</v>
      </c>
      <c r="DX1" s="552">
        <v>128</v>
      </c>
      <c r="DY1" s="552">
        <v>129</v>
      </c>
      <c r="DZ1" s="552">
        <v>130</v>
      </c>
      <c r="EA1" s="552">
        <v>131</v>
      </c>
      <c r="EB1" s="552">
        <v>132</v>
      </c>
      <c r="EC1" s="552">
        <v>133</v>
      </c>
      <c r="ED1" s="552">
        <v>134</v>
      </c>
      <c r="EE1" s="552">
        <v>135</v>
      </c>
      <c r="EF1" s="552">
        <v>136</v>
      </c>
      <c r="EG1" s="552">
        <v>137</v>
      </c>
      <c r="EH1" s="552">
        <v>138</v>
      </c>
      <c r="EI1" s="552">
        <v>139</v>
      </c>
      <c r="EJ1" s="552">
        <v>140</v>
      </c>
      <c r="EK1" s="552">
        <v>141</v>
      </c>
      <c r="EL1" s="552">
        <v>142</v>
      </c>
      <c r="EM1" s="552">
        <v>143</v>
      </c>
      <c r="EN1" s="552">
        <v>144</v>
      </c>
      <c r="EO1" s="552">
        <v>145</v>
      </c>
      <c r="EP1" s="552">
        <v>146</v>
      </c>
      <c r="EQ1" s="552" t="s">
        <v>1434</v>
      </c>
      <c r="ER1" s="552">
        <v>148</v>
      </c>
      <c r="ES1" s="1421" t="s">
        <v>1435</v>
      </c>
      <c r="ET1" s="1421" t="s">
        <v>1436</v>
      </c>
      <c r="EU1" s="1421" t="s">
        <v>1437</v>
      </c>
      <c r="EV1" s="1421" t="s">
        <v>1438</v>
      </c>
      <c r="EW1" s="1421" t="s">
        <v>1439</v>
      </c>
      <c r="EX1" s="1421" t="s">
        <v>1440</v>
      </c>
      <c r="EY1" s="1421" t="s">
        <v>1441</v>
      </c>
      <c r="EZ1" s="1421" t="s">
        <v>1442</v>
      </c>
      <c r="FA1" s="1421" t="s">
        <v>1443</v>
      </c>
      <c r="FB1" s="1421" t="s">
        <v>1444</v>
      </c>
      <c r="FC1" s="1421" t="s">
        <v>1445</v>
      </c>
      <c r="FD1" s="1421" t="s">
        <v>1446</v>
      </c>
      <c r="FE1" s="1421" t="s">
        <v>1447</v>
      </c>
      <c r="FF1" s="1421" t="s">
        <v>1448</v>
      </c>
      <c r="FG1" s="1421" t="s">
        <v>1449</v>
      </c>
      <c r="FH1" s="1421" t="s">
        <v>1450</v>
      </c>
      <c r="FI1" s="1421" t="s">
        <v>1451</v>
      </c>
      <c r="FJ1" s="1421" t="s">
        <v>1452</v>
      </c>
      <c r="FK1" s="1421" t="s">
        <v>1453</v>
      </c>
      <c r="FL1" s="1421" t="s">
        <v>1454</v>
      </c>
      <c r="FM1" s="1421" t="s">
        <v>1455</v>
      </c>
      <c r="FN1" s="1421" t="s">
        <v>1456</v>
      </c>
      <c r="FO1" s="1421" t="s">
        <v>1457</v>
      </c>
      <c r="FP1" s="1421" t="s">
        <v>1458</v>
      </c>
      <c r="FQ1" s="1421" t="s">
        <v>1459</v>
      </c>
      <c r="FR1" s="1421" t="s">
        <v>1460</v>
      </c>
      <c r="FS1" s="1421" t="s">
        <v>1461</v>
      </c>
      <c r="FT1" s="1421" t="s">
        <v>1462</v>
      </c>
      <c r="FU1" s="1421" t="s">
        <v>1463</v>
      </c>
      <c r="FV1" s="1421" t="s">
        <v>1464</v>
      </c>
      <c r="FW1" s="1421" t="s">
        <v>1465</v>
      </c>
      <c r="FX1" s="1421" t="s">
        <v>1466</v>
      </c>
      <c r="FY1" s="1421" t="s">
        <v>1467</v>
      </c>
      <c r="FZ1" s="1421" t="s">
        <v>1468</v>
      </c>
      <c r="GA1" s="1421" t="s">
        <v>1469</v>
      </c>
      <c r="GB1" s="1421" t="s">
        <v>1470</v>
      </c>
      <c r="GC1" s="1421" t="s">
        <v>1471</v>
      </c>
      <c r="GD1" s="1421" t="s">
        <v>1472</v>
      </c>
      <c r="GE1" s="1421" t="s">
        <v>1473</v>
      </c>
      <c r="GF1" s="1421" t="s">
        <v>1474</v>
      </c>
      <c r="GG1" s="1421" t="s">
        <v>1475</v>
      </c>
      <c r="GH1" s="1421" t="s">
        <v>1476</v>
      </c>
      <c r="GI1" s="1421" t="s">
        <v>1477</v>
      </c>
      <c r="GJ1" s="1421" t="s">
        <v>1478</v>
      </c>
      <c r="GK1" s="1421" t="s">
        <v>1479</v>
      </c>
      <c r="GL1" s="1421" t="s">
        <v>1480</v>
      </c>
      <c r="GM1" s="1421" t="s">
        <v>1481</v>
      </c>
      <c r="GN1" s="1421" t="s">
        <v>1482</v>
      </c>
      <c r="GO1" s="1421" t="s">
        <v>1483</v>
      </c>
      <c r="GP1" s="1421" t="s">
        <v>1484</v>
      </c>
      <c r="GQ1" s="1421" t="s">
        <v>1485</v>
      </c>
      <c r="GR1" s="1421" t="s">
        <v>1486</v>
      </c>
      <c r="GS1" s="1421" t="s">
        <v>1487</v>
      </c>
      <c r="GT1" s="1421" t="s">
        <v>1488</v>
      </c>
      <c r="GU1" s="1421" t="s">
        <v>1489</v>
      </c>
      <c r="GV1" s="1421" t="s">
        <v>1490</v>
      </c>
      <c r="GW1" s="1421" t="s">
        <v>1491</v>
      </c>
      <c r="GX1" s="1421" t="s">
        <v>1492</v>
      </c>
      <c r="GY1" s="1421" t="s">
        <v>1493</v>
      </c>
      <c r="GZ1" s="1421" t="s">
        <v>1494</v>
      </c>
    </row>
    <row r="2" spans="1:210" ht="29.1" customHeight="1">
      <c r="A2" s="1422" t="s">
        <v>1495</v>
      </c>
      <c r="B2" s="553"/>
      <c r="C2" s="1423"/>
      <c r="D2" s="1423"/>
      <c r="E2" s="1423"/>
      <c r="F2" s="1424"/>
      <c r="H2" s="532"/>
      <c r="I2" s="870"/>
      <c r="J2" s="1425" t="s">
        <v>2039</v>
      </c>
      <c r="K2" s="872"/>
      <c r="L2" s="1426"/>
      <c r="N2" s="1424"/>
      <c r="P2" s="532"/>
      <c r="Q2" s="533"/>
      <c r="R2" s="533"/>
      <c r="S2" s="533"/>
      <c r="T2" s="533"/>
      <c r="U2" s="533"/>
      <c r="V2" s="883"/>
      <c r="W2" s="533"/>
      <c r="X2" s="533"/>
      <c r="Y2" s="533"/>
      <c r="Z2" s="533"/>
      <c r="AA2" s="533"/>
      <c r="AB2" s="533"/>
      <c r="AC2" s="533"/>
      <c r="AD2" s="533"/>
      <c r="AE2" s="533"/>
      <c r="AF2" s="533"/>
      <c r="AG2" s="533"/>
      <c r="AH2" s="533"/>
      <c r="AI2" s="533"/>
      <c r="AJ2" s="533"/>
      <c r="AK2" s="533"/>
      <c r="AL2" s="533"/>
      <c r="AM2" s="533"/>
      <c r="AN2" s="533"/>
      <c r="AO2" s="533"/>
      <c r="AP2" s="533"/>
      <c r="AQ2" s="533"/>
      <c r="AR2" s="533"/>
      <c r="AS2" s="533"/>
      <c r="AT2" s="533"/>
      <c r="AU2" s="533"/>
      <c r="AV2" s="533"/>
      <c r="AW2" s="533"/>
      <c r="AX2" s="533"/>
      <c r="AY2" s="533"/>
      <c r="AZ2" s="533"/>
      <c r="BA2" s="533"/>
      <c r="BB2" s="533"/>
      <c r="BC2" s="533"/>
      <c r="BD2" s="533"/>
      <c r="BE2" s="533"/>
      <c r="BF2" s="533"/>
      <c r="BG2" s="533"/>
      <c r="BH2" s="533"/>
      <c r="BI2" s="533"/>
      <c r="BJ2" s="533"/>
      <c r="BK2" s="533"/>
      <c r="BL2" s="533"/>
      <c r="BM2" s="533"/>
      <c r="BN2" s="533"/>
      <c r="BO2" s="533"/>
      <c r="BP2" s="533"/>
      <c r="BQ2" s="533"/>
      <c r="BR2" s="533"/>
      <c r="BS2" s="533"/>
      <c r="BT2" s="533"/>
      <c r="BU2" s="533"/>
      <c r="BV2" s="533"/>
      <c r="BW2" s="533"/>
      <c r="BX2" s="533"/>
      <c r="BY2" s="533"/>
      <c r="BZ2" s="533"/>
      <c r="CA2" s="533"/>
      <c r="CB2" s="533"/>
      <c r="CC2" s="533"/>
      <c r="CD2" s="533"/>
      <c r="CE2" s="533"/>
      <c r="CF2" s="533"/>
      <c r="CG2" s="533"/>
      <c r="CH2" s="533"/>
      <c r="CI2" s="533"/>
      <c r="CJ2" s="533"/>
      <c r="CK2" s="533"/>
      <c r="CL2" s="533"/>
      <c r="CM2" s="533"/>
      <c r="CN2" s="533"/>
      <c r="CO2" s="533"/>
      <c r="CP2" s="533"/>
      <c r="CQ2" s="533"/>
      <c r="CR2" s="533"/>
      <c r="CS2" s="533"/>
      <c r="CT2" s="533"/>
      <c r="CU2" s="533"/>
      <c r="CV2" s="533"/>
      <c r="CW2" s="533"/>
      <c r="CX2" s="533"/>
      <c r="CY2" s="533"/>
      <c r="CZ2" s="533"/>
      <c r="DA2" s="533"/>
      <c r="DB2" s="533"/>
      <c r="DC2" s="533"/>
      <c r="DD2" s="533"/>
      <c r="DE2" s="533"/>
      <c r="DF2" s="533"/>
      <c r="DG2" s="533"/>
      <c r="DH2" s="533"/>
      <c r="DI2" s="533"/>
      <c r="DJ2" s="533"/>
      <c r="DK2" s="533"/>
      <c r="DL2" s="533"/>
      <c r="DM2" s="533"/>
      <c r="DN2" s="533"/>
      <c r="DO2" s="533"/>
      <c r="DP2" s="533"/>
      <c r="DQ2" s="533"/>
      <c r="DR2" s="533"/>
      <c r="DS2" s="533"/>
      <c r="DT2" s="533"/>
      <c r="DU2" s="533"/>
      <c r="DV2" s="533"/>
      <c r="DW2" s="533"/>
      <c r="DX2" s="533"/>
      <c r="DY2" s="533"/>
      <c r="DZ2" s="533"/>
      <c r="EA2" s="533"/>
      <c r="EB2" s="533"/>
      <c r="EC2" s="533"/>
      <c r="ED2" s="533"/>
      <c r="EE2" s="533"/>
      <c r="EF2" s="533"/>
      <c r="EG2" s="533"/>
      <c r="EH2" s="533"/>
      <c r="EI2" s="533"/>
      <c r="EJ2" s="533"/>
      <c r="EK2" s="533"/>
      <c r="EL2" s="533"/>
      <c r="EM2" s="533"/>
      <c r="EN2" s="533"/>
      <c r="EO2" s="533"/>
      <c r="EP2" s="533"/>
      <c r="EQ2" s="533"/>
      <c r="ES2" s="533"/>
      <c r="ET2" s="533"/>
      <c r="EU2" s="533"/>
      <c r="EV2" s="533"/>
      <c r="EW2" s="533"/>
      <c r="EX2" s="533"/>
      <c r="EY2" s="533"/>
      <c r="EZ2" s="533"/>
      <c r="FA2" s="533"/>
      <c r="FB2" s="533"/>
      <c r="FC2" s="533"/>
      <c r="FE2" s="533"/>
      <c r="FF2" s="533"/>
      <c r="FG2" s="533"/>
      <c r="FH2" s="533"/>
      <c r="FI2" s="533"/>
      <c r="FJ2" s="533"/>
      <c r="FK2" s="533"/>
      <c r="FL2" s="533"/>
      <c r="FM2" s="533"/>
      <c r="FN2" s="533"/>
      <c r="FO2" s="533"/>
      <c r="FQ2" s="533"/>
      <c r="FR2" s="533"/>
      <c r="FS2" s="533"/>
      <c r="FT2" s="533"/>
      <c r="FU2" s="533"/>
      <c r="FV2" s="533"/>
      <c r="FW2" s="533"/>
      <c r="FX2" s="533"/>
      <c r="FY2" s="533"/>
      <c r="FZ2" s="533"/>
      <c r="GA2" s="533"/>
      <c r="GC2" s="533"/>
      <c r="GD2" s="533"/>
      <c r="GE2" s="533"/>
      <c r="GF2" s="533"/>
      <c r="GG2" s="533"/>
      <c r="GH2" s="533"/>
      <c r="GI2" s="533"/>
      <c r="GJ2" s="533"/>
      <c r="GK2" s="533"/>
      <c r="GL2" s="533"/>
      <c r="GM2" s="533"/>
      <c r="GO2" s="533"/>
      <c r="GP2" s="533"/>
      <c r="GQ2" s="533"/>
      <c r="GR2" s="533"/>
      <c r="GS2" s="533"/>
      <c r="GT2" s="533"/>
      <c r="GU2" s="533"/>
      <c r="GV2" s="533"/>
      <c r="GW2" s="533"/>
      <c r="GX2" s="533"/>
      <c r="GY2" s="533"/>
    </row>
    <row r="3" spans="1:210" ht="29.1" customHeight="1">
      <c r="A3" s="1428" t="s">
        <v>2040</v>
      </c>
      <c r="B3" s="1429"/>
      <c r="C3" s="1430"/>
      <c r="D3" s="1431" t="s">
        <v>1496</v>
      </c>
      <c r="E3" s="1432"/>
      <c r="F3" s="2641" t="s">
        <v>2041</v>
      </c>
      <c r="G3" s="2642"/>
      <c r="H3" s="2642"/>
      <c r="I3" s="2642"/>
      <c r="J3" s="2643" t="s">
        <v>2042</v>
      </c>
      <c r="K3" s="2644"/>
      <c r="L3" s="2644"/>
      <c r="M3" s="2645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3"/>
      <c r="AB3" s="533"/>
      <c r="AC3" s="533"/>
      <c r="AD3" s="533"/>
      <c r="AE3" s="533"/>
      <c r="AF3" s="533"/>
      <c r="AG3" s="533"/>
      <c r="AH3" s="533"/>
      <c r="AI3" s="533"/>
      <c r="AJ3" s="533"/>
      <c r="AK3" s="533"/>
      <c r="AL3" s="533"/>
      <c r="AM3" s="533"/>
      <c r="AN3" s="533"/>
      <c r="AO3" s="533"/>
      <c r="AP3" s="533"/>
      <c r="AQ3" s="533"/>
      <c r="AR3" s="533"/>
      <c r="AS3" s="533"/>
      <c r="AT3" s="533"/>
      <c r="AU3" s="533"/>
      <c r="AV3" s="533"/>
      <c r="AW3" s="533"/>
      <c r="AX3" s="533"/>
      <c r="AY3" s="533"/>
      <c r="AZ3" s="533"/>
      <c r="BA3" s="533"/>
      <c r="BB3" s="533"/>
      <c r="BC3" s="533"/>
      <c r="BD3" s="533"/>
      <c r="BE3" s="533"/>
      <c r="BF3" s="533"/>
      <c r="BG3" s="533"/>
      <c r="BH3" s="533"/>
      <c r="BI3" s="533"/>
      <c r="BJ3" s="533"/>
      <c r="BK3" s="533"/>
      <c r="BL3" s="533"/>
      <c r="BM3" s="533"/>
      <c r="BN3" s="533"/>
      <c r="BO3" s="533"/>
      <c r="BP3" s="533"/>
      <c r="BQ3" s="533"/>
      <c r="BR3" s="533"/>
      <c r="BS3" s="533"/>
      <c r="BT3" s="533"/>
      <c r="BU3" s="533"/>
      <c r="BV3" s="533"/>
      <c r="BW3" s="533"/>
      <c r="BX3" s="533"/>
      <c r="BY3" s="533"/>
      <c r="BZ3" s="533"/>
      <c r="CA3" s="533"/>
      <c r="CB3" s="533"/>
      <c r="CC3" s="533"/>
      <c r="CD3" s="533"/>
      <c r="CE3" s="533"/>
      <c r="CF3" s="533"/>
      <c r="CG3" s="533"/>
      <c r="CH3" s="533"/>
      <c r="CI3" s="533"/>
      <c r="CJ3" s="533"/>
      <c r="CK3" s="533"/>
      <c r="CL3" s="533"/>
      <c r="CM3" s="533"/>
      <c r="CN3" s="533"/>
      <c r="CO3" s="533"/>
      <c r="CP3" s="533"/>
      <c r="CQ3" s="533"/>
      <c r="CR3" s="533"/>
      <c r="CS3" s="533"/>
      <c r="CT3" s="533"/>
      <c r="CU3" s="533"/>
      <c r="CV3" s="533"/>
      <c r="CW3" s="533"/>
      <c r="CX3" s="533"/>
      <c r="CY3" s="533"/>
      <c r="CZ3" s="533"/>
      <c r="DA3" s="533"/>
      <c r="DB3" s="533"/>
      <c r="DC3" s="533"/>
      <c r="DD3" s="533"/>
      <c r="DE3" s="533"/>
      <c r="DF3" s="533"/>
      <c r="DG3" s="533"/>
      <c r="DH3" s="533"/>
      <c r="DI3" s="533"/>
      <c r="DJ3" s="533"/>
      <c r="DK3" s="533"/>
      <c r="DL3" s="533"/>
      <c r="DM3" s="533"/>
      <c r="DN3" s="533"/>
      <c r="DO3" s="533"/>
      <c r="DP3" s="533"/>
      <c r="DQ3" s="533"/>
      <c r="DR3" s="533"/>
      <c r="DS3" s="533"/>
      <c r="DT3" s="533"/>
      <c r="DU3" s="533"/>
      <c r="DV3" s="533"/>
      <c r="DW3" s="533"/>
      <c r="DX3" s="533"/>
      <c r="DY3" s="533"/>
      <c r="DZ3" s="533"/>
      <c r="EA3" s="533"/>
      <c r="EB3" s="533"/>
      <c r="EC3" s="533"/>
      <c r="ED3" s="533"/>
      <c r="EE3" s="533"/>
      <c r="EF3" s="533"/>
      <c r="EG3" s="533"/>
      <c r="EH3" s="533"/>
      <c r="EI3" s="533"/>
      <c r="EJ3" s="533"/>
      <c r="EK3" s="533"/>
      <c r="EL3" s="533"/>
      <c r="EM3" s="533"/>
      <c r="EN3" s="533"/>
      <c r="EO3" s="533"/>
      <c r="EP3" s="533"/>
      <c r="EQ3" s="533"/>
      <c r="ES3" s="533"/>
      <c r="ET3" s="533"/>
      <c r="EU3" s="533"/>
      <c r="EV3" s="533"/>
      <c r="EW3" s="533"/>
      <c r="EX3" s="533"/>
      <c r="EY3" s="533"/>
      <c r="EZ3" s="533"/>
      <c r="FA3" s="533"/>
      <c r="FB3" s="533"/>
      <c r="FC3" s="533"/>
      <c r="FE3" s="533"/>
      <c r="FF3" s="533"/>
      <c r="FG3" s="533"/>
      <c r="FH3" s="533"/>
      <c r="FI3" s="533"/>
      <c r="FJ3" s="533"/>
      <c r="FK3" s="533"/>
      <c r="FL3" s="533"/>
      <c r="FM3" s="533"/>
      <c r="FN3" s="533"/>
      <c r="FO3" s="533"/>
      <c r="FQ3" s="533"/>
      <c r="FR3" s="533"/>
      <c r="FS3" s="533"/>
      <c r="FT3" s="533"/>
      <c r="FU3" s="533"/>
      <c r="FV3" s="533"/>
      <c r="FW3" s="533"/>
      <c r="FX3" s="533"/>
      <c r="FY3" s="533"/>
      <c r="FZ3" s="533"/>
      <c r="GA3" s="533"/>
      <c r="GC3" s="533"/>
      <c r="GD3" s="533"/>
      <c r="GE3" s="533"/>
      <c r="GF3" s="533"/>
      <c r="GG3" s="533"/>
      <c r="GH3" s="533"/>
      <c r="GI3" s="533"/>
      <c r="GJ3" s="533"/>
      <c r="GK3" s="533"/>
      <c r="GL3" s="533"/>
      <c r="GM3" s="533"/>
      <c r="GO3" s="533"/>
      <c r="GP3" s="533"/>
      <c r="GQ3" s="533"/>
      <c r="GR3" s="533"/>
      <c r="GS3" s="533"/>
      <c r="GT3" s="533"/>
      <c r="GU3" s="533"/>
      <c r="GV3" s="533"/>
      <c r="GW3" s="533"/>
      <c r="GX3" s="533"/>
      <c r="GY3" s="533"/>
    </row>
    <row r="4" spans="1:210" s="553" customFormat="1" ht="27" customHeight="1">
      <c r="A4" s="1433"/>
      <c r="B4" s="1434"/>
      <c r="C4" s="1435" t="s">
        <v>1497</v>
      </c>
      <c r="D4" s="1435" t="s">
        <v>1498</v>
      </c>
      <c r="E4" s="1435" t="s">
        <v>1499</v>
      </c>
      <c r="F4" s="2587" t="s">
        <v>2043</v>
      </c>
      <c r="G4" s="2582"/>
      <c r="H4" s="2582"/>
      <c r="I4" s="2583"/>
      <c r="J4" s="2646" t="s">
        <v>2044</v>
      </c>
      <c r="K4" s="2647"/>
      <c r="L4" s="2647"/>
      <c r="M4" s="2648"/>
      <c r="N4" s="2587" t="s">
        <v>1500</v>
      </c>
      <c r="O4" s="2582"/>
      <c r="P4" s="2583"/>
      <c r="Q4" s="2635" t="s">
        <v>2045</v>
      </c>
      <c r="R4" s="2636"/>
      <c r="S4" s="2636"/>
      <c r="T4" s="1437"/>
      <c r="U4" s="2625" t="s">
        <v>1501</v>
      </c>
      <c r="V4" s="2626" t="s">
        <v>1502</v>
      </c>
      <c r="W4" s="2626"/>
      <c r="X4" s="1438"/>
      <c r="Y4" s="1439" t="s">
        <v>1503</v>
      </c>
      <c r="Z4" s="1440"/>
      <c r="AA4" s="1441"/>
      <c r="AB4" s="1442" t="s">
        <v>1504</v>
      </c>
      <c r="AC4" s="1440"/>
      <c r="AD4" s="2632" t="s">
        <v>2046</v>
      </c>
      <c r="AE4" s="2633"/>
      <c r="AF4" s="2634"/>
      <c r="AG4" s="1443" t="s">
        <v>1505</v>
      </c>
      <c r="AH4" s="1436"/>
      <c r="AI4" s="1431" t="s">
        <v>1506</v>
      </c>
      <c r="AJ4" s="1444"/>
      <c r="AK4" s="1429"/>
      <c r="AL4" s="1445" t="s">
        <v>1507</v>
      </c>
      <c r="AM4" s="1418"/>
      <c r="AN4" s="2635" t="s">
        <v>2047</v>
      </c>
      <c r="AO4" s="2636"/>
      <c r="AP4" s="2637"/>
      <c r="AQ4" s="1437" t="s">
        <v>1505</v>
      </c>
      <c r="AR4" s="1441"/>
      <c r="AS4" s="1442" t="s">
        <v>1508</v>
      </c>
      <c r="AT4" s="1440"/>
      <c r="AU4" s="1441"/>
      <c r="AV4" s="1442" t="s">
        <v>1509</v>
      </c>
      <c r="AW4" s="1440"/>
      <c r="AX4" s="2638" t="s">
        <v>2048</v>
      </c>
      <c r="AY4" s="2639"/>
      <c r="AZ4" s="2640"/>
      <c r="BA4" s="1443" t="s">
        <v>1505</v>
      </c>
      <c r="BB4" s="1446"/>
      <c r="BC4" s="1446" t="s">
        <v>1510</v>
      </c>
      <c r="BD4" s="1431"/>
      <c r="BE4" s="1436"/>
      <c r="BF4" s="1431" t="s">
        <v>1511</v>
      </c>
      <c r="BG4" s="1444"/>
      <c r="BH4" s="2587" t="s">
        <v>2049</v>
      </c>
      <c r="BI4" s="2582"/>
      <c r="BJ4" s="2583"/>
      <c r="BK4" s="1437" t="s">
        <v>1505</v>
      </c>
      <c r="BL4" s="1439"/>
      <c r="BM4" s="1439" t="s">
        <v>1512</v>
      </c>
      <c r="BN4" s="1442"/>
      <c r="BO4" s="1441"/>
      <c r="BP4" s="1442" t="s">
        <v>1513</v>
      </c>
      <c r="BQ4" s="1440"/>
      <c r="BR4" s="2632" t="s">
        <v>2050</v>
      </c>
      <c r="BS4" s="2633"/>
      <c r="BT4" s="2634"/>
      <c r="BU4" s="1443" t="s">
        <v>1505</v>
      </c>
      <c r="BV4" s="1436"/>
      <c r="BW4" s="1431" t="s">
        <v>1514</v>
      </c>
      <c r="BX4" s="1444"/>
      <c r="BY4" s="1429"/>
      <c r="BZ4" s="1445" t="s">
        <v>1515</v>
      </c>
      <c r="CA4" s="1418"/>
      <c r="CB4" s="2587" t="s">
        <v>2051</v>
      </c>
      <c r="CC4" s="2582"/>
      <c r="CD4" s="2583"/>
      <c r="CE4" s="1437" t="s">
        <v>1505</v>
      </c>
      <c r="CF4" s="1439"/>
      <c r="CG4" s="1439" t="s">
        <v>1516</v>
      </c>
      <c r="CH4" s="1442"/>
      <c r="CI4" s="1441"/>
      <c r="CJ4" s="1442" t="s">
        <v>1517</v>
      </c>
      <c r="CK4" s="1440"/>
      <c r="CL4" s="2632" t="s">
        <v>2052</v>
      </c>
      <c r="CM4" s="2633"/>
      <c r="CN4" s="2634"/>
      <c r="CO4" s="1443" t="s">
        <v>1505</v>
      </c>
      <c r="CP4" s="1446"/>
      <c r="CQ4" s="1446" t="s">
        <v>1518</v>
      </c>
      <c r="CR4" s="1431"/>
      <c r="CS4" s="1436"/>
      <c r="CT4" s="1431" t="s">
        <v>1519</v>
      </c>
      <c r="CU4" s="1444"/>
      <c r="CV4" s="2587" t="s">
        <v>2053</v>
      </c>
      <c r="CW4" s="2582"/>
      <c r="CX4" s="2583"/>
      <c r="CY4" s="1437" t="s">
        <v>1505</v>
      </c>
      <c r="CZ4" s="1439"/>
      <c r="DA4" s="1439" t="s">
        <v>1520</v>
      </c>
      <c r="DB4" s="1442"/>
      <c r="DC4" s="1441"/>
      <c r="DD4" s="1442" t="s">
        <v>1521</v>
      </c>
      <c r="DE4" s="1440"/>
      <c r="DF4" s="2632" t="s">
        <v>2054</v>
      </c>
      <c r="DG4" s="2633"/>
      <c r="DH4" s="2634"/>
      <c r="DI4" s="1443" t="s">
        <v>1505</v>
      </c>
      <c r="DJ4" s="1446"/>
      <c r="DK4" s="1446" t="s">
        <v>1522</v>
      </c>
      <c r="DL4" s="1431"/>
      <c r="DM4" s="1436"/>
      <c r="DN4" s="1431" t="s">
        <v>1523</v>
      </c>
      <c r="DO4" s="1444"/>
      <c r="DP4" s="2587" t="s">
        <v>2055</v>
      </c>
      <c r="DQ4" s="2582"/>
      <c r="DR4" s="2583"/>
      <c r="DS4" s="1437" t="s">
        <v>1505</v>
      </c>
      <c r="DT4" s="1439"/>
      <c r="DU4" s="1439" t="s">
        <v>1524</v>
      </c>
      <c r="DV4" s="1442"/>
      <c r="DW4" s="1441"/>
      <c r="DX4" s="1442" t="s">
        <v>1525</v>
      </c>
      <c r="DY4" s="1440"/>
      <c r="DZ4" s="2632" t="s">
        <v>2056</v>
      </c>
      <c r="EA4" s="2633"/>
      <c r="EB4" s="2634"/>
      <c r="EC4" s="1443" t="s">
        <v>1505</v>
      </c>
      <c r="ED4" s="1446"/>
      <c r="EE4" s="1446" t="s">
        <v>1526</v>
      </c>
      <c r="EF4" s="1431"/>
      <c r="EG4" s="1441"/>
      <c r="EH4" s="1442" t="s">
        <v>1527</v>
      </c>
      <c r="EI4" s="1440"/>
      <c r="EJ4" s="1447"/>
      <c r="EK4" s="2628" t="s">
        <v>2057</v>
      </c>
      <c r="EL4" s="2629"/>
      <c r="EM4" s="2630"/>
      <c r="EN4" s="1448"/>
      <c r="EO4" s="2625" t="s">
        <v>1528</v>
      </c>
      <c r="EP4" s="2626"/>
      <c r="EQ4" s="2626"/>
      <c r="ER4" s="2627"/>
      <c r="ES4" s="1441"/>
      <c r="ET4" s="1442" t="s">
        <v>1529</v>
      </c>
      <c r="EU4" s="1440"/>
      <c r="EV4" s="1447"/>
      <c r="EW4" s="2631" t="s">
        <v>2492</v>
      </c>
      <c r="EX4" s="2629"/>
      <c r="EY4" s="2630"/>
      <c r="EZ4" s="1448"/>
      <c r="FA4" s="2625" t="s">
        <v>1530</v>
      </c>
      <c r="FB4" s="2626"/>
      <c r="FC4" s="2626"/>
      <c r="FD4" s="2627"/>
      <c r="FE4" s="1441"/>
      <c r="FF4" s="1442" t="s">
        <v>1531</v>
      </c>
      <c r="FG4" s="1440"/>
      <c r="FH4" s="1447"/>
      <c r="FI4" s="2628" t="s">
        <v>2058</v>
      </c>
      <c r="FJ4" s="2629"/>
      <c r="FK4" s="2630"/>
      <c r="FL4" s="1448"/>
      <c r="FM4" s="2625" t="s">
        <v>1532</v>
      </c>
      <c r="FN4" s="2626"/>
      <c r="FO4" s="2626"/>
      <c r="FP4" s="2627"/>
      <c r="FQ4" s="1441"/>
      <c r="FR4" s="1442" t="s">
        <v>1533</v>
      </c>
      <c r="FS4" s="1440"/>
      <c r="FT4" s="1447"/>
      <c r="FU4" s="2628" t="s">
        <v>2058</v>
      </c>
      <c r="FV4" s="2629"/>
      <c r="FW4" s="2630"/>
      <c r="FX4" s="1448"/>
      <c r="FY4" s="2625" t="s">
        <v>1534</v>
      </c>
      <c r="FZ4" s="2626"/>
      <c r="GA4" s="2626"/>
      <c r="GB4" s="2627"/>
      <c r="GC4" s="1441"/>
      <c r="GD4" s="1442" t="s">
        <v>1535</v>
      </c>
      <c r="GE4" s="1440"/>
      <c r="GF4" s="1447"/>
      <c r="GG4" s="2628" t="s">
        <v>2059</v>
      </c>
      <c r="GH4" s="2629"/>
      <c r="GI4" s="2630"/>
      <c r="GJ4" s="1448"/>
      <c r="GK4" s="2625" t="s">
        <v>1536</v>
      </c>
      <c r="GL4" s="2626"/>
      <c r="GM4" s="2626"/>
      <c r="GN4" s="2627"/>
      <c r="GO4" s="1441"/>
      <c r="GP4" s="1442" t="s">
        <v>1537</v>
      </c>
      <c r="GQ4" s="1440"/>
      <c r="GR4" s="1447"/>
      <c r="GS4" s="2628" t="s">
        <v>2060</v>
      </c>
      <c r="GT4" s="2629"/>
      <c r="GU4" s="2630"/>
      <c r="GV4" s="1448"/>
      <c r="GW4" s="2625" t="s">
        <v>1538</v>
      </c>
      <c r="GX4" s="2626"/>
      <c r="GY4" s="2626"/>
      <c r="GZ4" s="2627"/>
    </row>
    <row r="5" spans="1:210" s="553" customFormat="1" ht="33.75" customHeight="1">
      <c r="A5" s="1433" t="s">
        <v>1539</v>
      </c>
      <c r="B5" s="1449" t="s">
        <v>801</v>
      </c>
      <c r="C5" s="1435"/>
      <c r="D5" s="1435"/>
      <c r="E5" s="1450" t="s">
        <v>2061</v>
      </c>
      <c r="F5" s="1451" t="s">
        <v>2062</v>
      </c>
      <c r="G5" s="1451" t="s">
        <v>2063</v>
      </c>
      <c r="H5" s="1451" t="s">
        <v>2064</v>
      </c>
      <c r="I5" s="1451" t="s">
        <v>2065</v>
      </c>
      <c r="J5" s="1451" t="s">
        <v>2062</v>
      </c>
      <c r="K5" s="1451" t="s">
        <v>2063</v>
      </c>
      <c r="L5" s="1451" t="s">
        <v>2064</v>
      </c>
      <c r="M5" s="1451" t="s">
        <v>2065</v>
      </c>
      <c r="N5" s="1451" t="s">
        <v>2066</v>
      </c>
      <c r="O5" s="1451" t="s">
        <v>1291</v>
      </c>
      <c r="P5" s="1451" t="s">
        <v>1773</v>
      </c>
      <c r="Q5" s="1452" t="s">
        <v>1020</v>
      </c>
      <c r="R5" s="1452" t="s">
        <v>1021</v>
      </c>
      <c r="S5" s="1453" t="s">
        <v>1022</v>
      </c>
      <c r="T5" s="1452" t="s">
        <v>1540</v>
      </c>
      <c r="U5" s="1454" t="s">
        <v>1020</v>
      </c>
      <c r="V5" s="1454" t="s">
        <v>1021</v>
      </c>
      <c r="W5" s="1455" t="s">
        <v>1022</v>
      </c>
      <c r="X5" s="1456" t="s">
        <v>1020</v>
      </c>
      <c r="Y5" s="1456" t="s">
        <v>1021</v>
      </c>
      <c r="Z5" s="1456" t="s">
        <v>1022</v>
      </c>
      <c r="AA5" s="1456" t="s">
        <v>2067</v>
      </c>
      <c r="AB5" s="1456" t="s">
        <v>2068</v>
      </c>
      <c r="AC5" s="1456" t="s">
        <v>2069</v>
      </c>
      <c r="AD5" s="1456" t="s">
        <v>2070</v>
      </c>
      <c r="AE5" s="1456" t="s">
        <v>2071</v>
      </c>
      <c r="AF5" s="1456" t="s">
        <v>2072</v>
      </c>
      <c r="AG5" s="1456" t="s">
        <v>1541</v>
      </c>
      <c r="AH5" s="1452" t="s">
        <v>1020</v>
      </c>
      <c r="AI5" s="1452" t="s">
        <v>1021</v>
      </c>
      <c r="AJ5" s="1452" t="s">
        <v>2073</v>
      </c>
      <c r="AK5" s="1452" t="s">
        <v>2067</v>
      </c>
      <c r="AL5" s="1452" t="s">
        <v>2068</v>
      </c>
      <c r="AM5" s="1452" t="s">
        <v>2069</v>
      </c>
      <c r="AN5" s="1452" t="s">
        <v>2070</v>
      </c>
      <c r="AO5" s="1452" t="s">
        <v>2071</v>
      </c>
      <c r="AP5" s="1452" t="s">
        <v>2074</v>
      </c>
      <c r="AQ5" s="1452" t="s">
        <v>1541</v>
      </c>
      <c r="AR5" s="1456" t="s">
        <v>1020</v>
      </c>
      <c r="AS5" s="1456" t="s">
        <v>1021</v>
      </c>
      <c r="AT5" s="1456" t="s">
        <v>2073</v>
      </c>
      <c r="AU5" s="1456" t="s">
        <v>2067</v>
      </c>
      <c r="AV5" s="1456" t="s">
        <v>2068</v>
      </c>
      <c r="AW5" s="1456" t="s">
        <v>2069</v>
      </c>
      <c r="AX5" s="1456" t="s">
        <v>2070</v>
      </c>
      <c r="AY5" s="1456" t="s">
        <v>2071</v>
      </c>
      <c r="AZ5" s="1456" t="s">
        <v>2074</v>
      </c>
      <c r="BA5" s="1456" t="s">
        <v>1541</v>
      </c>
      <c r="BB5" s="1449" t="s">
        <v>1020</v>
      </c>
      <c r="BC5" s="1452" t="s">
        <v>1021</v>
      </c>
      <c r="BD5" s="1452" t="s">
        <v>2073</v>
      </c>
      <c r="BE5" s="1452" t="s">
        <v>2067</v>
      </c>
      <c r="BF5" s="1452" t="s">
        <v>2068</v>
      </c>
      <c r="BG5" s="1452" t="s">
        <v>2069</v>
      </c>
      <c r="BH5" s="1452" t="s">
        <v>2070</v>
      </c>
      <c r="BI5" s="1452" t="s">
        <v>2071</v>
      </c>
      <c r="BJ5" s="1452" t="s">
        <v>2072</v>
      </c>
      <c r="BK5" s="1452" t="s">
        <v>1541</v>
      </c>
      <c r="BL5" s="1457" t="s">
        <v>1020</v>
      </c>
      <c r="BM5" s="1456" t="s">
        <v>1021</v>
      </c>
      <c r="BN5" s="1456" t="s">
        <v>2073</v>
      </c>
      <c r="BO5" s="1456" t="s">
        <v>2067</v>
      </c>
      <c r="BP5" s="1456" t="s">
        <v>2068</v>
      </c>
      <c r="BQ5" s="1456" t="s">
        <v>2069</v>
      </c>
      <c r="BR5" s="1456" t="s">
        <v>2070</v>
      </c>
      <c r="BS5" s="1456" t="s">
        <v>2071</v>
      </c>
      <c r="BT5" s="1456" t="s">
        <v>2072</v>
      </c>
      <c r="BU5" s="1456" t="s">
        <v>1541</v>
      </c>
      <c r="BV5" s="1452" t="s">
        <v>1020</v>
      </c>
      <c r="BW5" s="1452" t="s">
        <v>1021</v>
      </c>
      <c r="BX5" s="1452" t="s">
        <v>2073</v>
      </c>
      <c r="BY5" s="1452" t="s">
        <v>2067</v>
      </c>
      <c r="BZ5" s="1452" t="s">
        <v>2068</v>
      </c>
      <c r="CA5" s="1452" t="s">
        <v>2069</v>
      </c>
      <c r="CB5" s="1452" t="s">
        <v>2070</v>
      </c>
      <c r="CC5" s="1452" t="s">
        <v>2071</v>
      </c>
      <c r="CD5" s="1452" t="s">
        <v>2072</v>
      </c>
      <c r="CE5" s="1452" t="s">
        <v>1541</v>
      </c>
      <c r="CF5" s="1457" t="s">
        <v>1020</v>
      </c>
      <c r="CG5" s="1456" t="s">
        <v>1021</v>
      </c>
      <c r="CH5" s="1456" t="s">
        <v>1022</v>
      </c>
      <c r="CI5" s="1456" t="s">
        <v>2067</v>
      </c>
      <c r="CJ5" s="1456" t="s">
        <v>2068</v>
      </c>
      <c r="CK5" s="1456" t="s">
        <v>2069</v>
      </c>
      <c r="CL5" s="1456" t="s">
        <v>2075</v>
      </c>
      <c r="CM5" s="1456" t="s">
        <v>2076</v>
      </c>
      <c r="CN5" s="1456" t="s">
        <v>2072</v>
      </c>
      <c r="CO5" s="1456" t="s">
        <v>1541</v>
      </c>
      <c r="CP5" s="1449" t="s">
        <v>1020</v>
      </c>
      <c r="CQ5" s="1452" t="s">
        <v>1021</v>
      </c>
      <c r="CR5" s="1452" t="s">
        <v>1022</v>
      </c>
      <c r="CS5" s="1452" t="s">
        <v>2067</v>
      </c>
      <c r="CT5" s="1452" t="s">
        <v>2068</v>
      </c>
      <c r="CU5" s="1452" t="s">
        <v>2069</v>
      </c>
      <c r="CV5" s="1452" t="s">
        <v>2070</v>
      </c>
      <c r="CW5" s="1452" t="s">
        <v>2071</v>
      </c>
      <c r="CX5" s="1452" t="s">
        <v>2072</v>
      </c>
      <c r="CY5" s="1452" t="s">
        <v>1541</v>
      </c>
      <c r="CZ5" s="1457" t="s">
        <v>1020</v>
      </c>
      <c r="DA5" s="1456" t="s">
        <v>1021</v>
      </c>
      <c r="DB5" s="1456" t="s">
        <v>2073</v>
      </c>
      <c r="DC5" s="1456" t="s">
        <v>2067</v>
      </c>
      <c r="DD5" s="1456" t="s">
        <v>2068</v>
      </c>
      <c r="DE5" s="1456" t="s">
        <v>2069</v>
      </c>
      <c r="DF5" s="1456" t="s">
        <v>2070</v>
      </c>
      <c r="DG5" s="1456" t="s">
        <v>2071</v>
      </c>
      <c r="DH5" s="1456" t="s">
        <v>2072</v>
      </c>
      <c r="DI5" s="1456" t="s">
        <v>1541</v>
      </c>
      <c r="DJ5" s="1449" t="s">
        <v>1020</v>
      </c>
      <c r="DK5" s="1452" t="s">
        <v>1021</v>
      </c>
      <c r="DL5" s="1452" t="s">
        <v>2073</v>
      </c>
      <c r="DM5" s="1452" t="s">
        <v>2067</v>
      </c>
      <c r="DN5" s="1452" t="s">
        <v>2068</v>
      </c>
      <c r="DO5" s="1452" t="s">
        <v>2069</v>
      </c>
      <c r="DP5" s="1452" t="s">
        <v>2070</v>
      </c>
      <c r="DQ5" s="1452" t="s">
        <v>2071</v>
      </c>
      <c r="DR5" s="1452" t="s">
        <v>2072</v>
      </c>
      <c r="DS5" s="1452" t="s">
        <v>1541</v>
      </c>
      <c r="DT5" s="1457" t="s">
        <v>1020</v>
      </c>
      <c r="DU5" s="1456" t="s">
        <v>1021</v>
      </c>
      <c r="DV5" s="1456" t="s">
        <v>2073</v>
      </c>
      <c r="DW5" s="1456" t="s">
        <v>2067</v>
      </c>
      <c r="DX5" s="1456" t="s">
        <v>2068</v>
      </c>
      <c r="DY5" s="1456" t="s">
        <v>2069</v>
      </c>
      <c r="DZ5" s="1456" t="s">
        <v>2070</v>
      </c>
      <c r="EA5" s="1456" t="s">
        <v>2071</v>
      </c>
      <c r="EB5" s="1456" t="s">
        <v>2072</v>
      </c>
      <c r="EC5" s="1456" t="s">
        <v>1541</v>
      </c>
      <c r="ED5" s="1449" t="s">
        <v>1020</v>
      </c>
      <c r="EE5" s="1452" t="s">
        <v>1021</v>
      </c>
      <c r="EF5" s="1452" t="s">
        <v>2073</v>
      </c>
      <c r="EG5" s="1456" t="s">
        <v>2067</v>
      </c>
      <c r="EH5" s="1456" t="s">
        <v>2068</v>
      </c>
      <c r="EI5" s="1456" t="s">
        <v>2069</v>
      </c>
      <c r="EJ5" s="1458" t="s">
        <v>996</v>
      </c>
      <c r="EK5" s="1459" t="s">
        <v>2077</v>
      </c>
      <c r="EL5" s="1459" t="s">
        <v>2078</v>
      </c>
      <c r="EM5" s="1459" t="s">
        <v>1022</v>
      </c>
      <c r="EN5" s="1460" t="s">
        <v>996</v>
      </c>
      <c r="EO5" s="1454" t="s">
        <v>1020</v>
      </c>
      <c r="EP5" s="1454" t="s">
        <v>1021</v>
      </c>
      <c r="EQ5" s="1455" t="s">
        <v>1022</v>
      </c>
      <c r="ER5" s="1461" t="s">
        <v>1542</v>
      </c>
      <c r="ES5" s="1456" t="s">
        <v>2067</v>
      </c>
      <c r="ET5" s="1456" t="s">
        <v>2068</v>
      </c>
      <c r="EU5" s="1456" t="s">
        <v>2069</v>
      </c>
      <c r="EV5" s="1458" t="s">
        <v>996</v>
      </c>
      <c r="EW5" s="1459" t="s">
        <v>2070</v>
      </c>
      <c r="EX5" s="1459" t="s">
        <v>2071</v>
      </c>
      <c r="EY5" s="1459" t="s">
        <v>2072</v>
      </c>
      <c r="EZ5" s="1460" t="s">
        <v>996</v>
      </c>
      <c r="FA5" s="1454" t="s">
        <v>1020</v>
      </c>
      <c r="FB5" s="1454" t="s">
        <v>1021</v>
      </c>
      <c r="FC5" s="1455" t="s">
        <v>1022</v>
      </c>
      <c r="FD5" s="1461" t="s">
        <v>1542</v>
      </c>
      <c r="FE5" s="1456" t="s">
        <v>2067</v>
      </c>
      <c r="FF5" s="1456" t="s">
        <v>2068</v>
      </c>
      <c r="FG5" s="1456" t="s">
        <v>2069</v>
      </c>
      <c r="FH5" s="1458" t="s">
        <v>996</v>
      </c>
      <c r="FI5" s="1459" t="s">
        <v>2070</v>
      </c>
      <c r="FJ5" s="1459" t="s">
        <v>2071</v>
      </c>
      <c r="FK5" s="1459" t="s">
        <v>2072</v>
      </c>
      <c r="FL5" s="1460" t="s">
        <v>996</v>
      </c>
      <c r="FM5" s="1454" t="s">
        <v>1020</v>
      </c>
      <c r="FN5" s="1454" t="s">
        <v>1021</v>
      </c>
      <c r="FO5" s="1455" t="s">
        <v>1022</v>
      </c>
      <c r="FP5" s="1461" t="s">
        <v>1542</v>
      </c>
      <c r="FQ5" s="1456" t="s">
        <v>2067</v>
      </c>
      <c r="FR5" s="1456" t="s">
        <v>2068</v>
      </c>
      <c r="FS5" s="1456" t="s">
        <v>2069</v>
      </c>
      <c r="FT5" s="1458" t="s">
        <v>996</v>
      </c>
      <c r="FU5" s="1459" t="s">
        <v>2070</v>
      </c>
      <c r="FV5" s="1459" t="s">
        <v>2071</v>
      </c>
      <c r="FW5" s="1459" t="s">
        <v>2072</v>
      </c>
      <c r="FX5" s="1460" t="s">
        <v>996</v>
      </c>
      <c r="FY5" s="1454" t="s">
        <v>1020</v>
      </c>
      <c r="FZ5" s="1454" t="s">
        <v>1021</v>
      </c>
      <c r="GA5" s="1455" t="s">
        <v>1022</v>
      </c>
      <c r="GB5" s="1461" t="s">
        <v>1542</v>
      </c>
      <c r="GC5" s="1456" t="s">
        <v>2067</v>
      </c>
      <c r="GD5" s="1456" t="s">
        <v>2068</v>
      </c>
      <c r="GE5" s="1456" t="s">
        <v>2069</v>
      </c>
      <c r="GF5" s="1458" t="s">
        <v>996</v>
      </c>
      <c r="GG5" s="1459" t="s">
        <v>2070</v>
      </c>
      <c r="GH5" s="1459" t="s">
        <v>2071</v>
      </c>
      <c r="GI5" s="1459" t="s">
        <v>2072</v>
      </c>
      <c r="GJ5" s="1460" t="s">
        <v>996</v>
      </c>
      <c r="GK5" s="1454" t="s">
        <v>1020</v>
      </c>
      <c r="GL5" s="1454" t="s">
        <v>1021</v>
      </c>
      <c r="GM5" s="1455" t="s">
        <v>1022</v>
      </c>
      <c r="GN5" s="1461" t="s">
        <v>1542</v>
      </c>
      <c r="GO5" s="1456" t="s">
        <v>2067</v>
      </c>
      <c r="GP5" s="1456" t="s">
        <v>2068</v>
      </c>
      <c r="GQ5" s="1456" t="s">
        <v>2069</v>
      </c>
      <c r="GR5" s="1458" t="s">
        <v>996</v>
      </c>
      <c r="GS5" s="1459" t="s">
        <v>2070</v>
      </c>
      <c r="GT5" s="1459" t="s">
        <v>2071</v>
      </c>
      <c r="GU5" s="1459" t="s">
        <v>2072</v>
      </c>
      <c r="GV5" s="1460" t="s">
        <v>996</v>
      </c>
      <c r="GW5" s="1454" t="s">
        <v>1020</v>
      </c>
      <c r="GX5" s="1454" t="s">
        <v>1021</v>
      </c>
      <c r="GY5" s="1455" t="s">
        <v>1022</v>
      </c>
      <c r="GZ5" s="1461" t="s">
        <v>1542</v>
      </c>
    </row>
    <row r="6" spans="1:210" s="553" customFormat="1" ht="28.5" customHeight="1">
      <c r="A6" s="1462"/>
      <c r="B6" s="1463"/>
      <c r="C6" s="1464" t="s">
        <v>2079</v>
      </c>
      <c r="D6" s="1464"/>
      <c r="E6" s="1464" t="s">
        <v>2080</v>
      </c>
      <c r="F6" s="1465" t="s">
        <v>1543</v>
      </c>
      <c r="G6" s="1465" t="s">
        <v>1544</v>
      </c>
      <c r="H6" s="1465" t="s">
        <v>1008</v>
      </c>
      <c r="I6" s="1465" t="s">
        <v>1542</v>
      </c>
      <c r="J6" s="1465" t="s">
        <v>1016</v>
      </c>
      <c r="K6" s="1465" t="s">
        <v>1017</v>
      </c>
      <c r="L6" s="1465" t="s">
        <v>1008</v>
      </c>
      <c r="M6" s="1465" t="s">
        <v>1542</v>
      </c>
      <c r="N6" s="1465" t="s">
        <v>1543</v>
      </c>
      <c r="O6" s="1465" t="s">
        <v>1544</v>
      </c>
      <c r="P6" s="1465" t="s">
        <v>1008</v>
      </c>
      <c r="Q6" s="1466" t="s">
        <v>1027</v>
      </c>
      <c r="R6" s="1466" t="s">
        <v>1028</v>
      </c>
      <c r="S6" s="1467" t="s">
        <v>1008</v>
      </c>
      <c r="T6" s="1466"/>
      <c r="U6" s="1468" t="s">
        <v>1027</v>
      </c>
      <c r="V6" s="1468" t="s">
        <v>1028</v>
      </c>
      <c r="W6" s="1469" t="s">
        <v>1008</v>
      </c>
      <c r="X6" s="1470" t="s">
        <v>1027</v>
      </c>
      <c r="Y6" s="1470" t="s">
        <v>1028</v>
      </c>
      <c r="Z6" s="1470" t="s">
        <v>1008</v>
      </c>
      <c r="AA6" s="1470" t="s">
        <v>825</v>
      </c>
      <c r="AB6" s="1470" t="s">
        <v>826</v>
      </c>
      <c r="AC6" s="1470" t="s">
        <v>804</v>
      </c>
      <c r="AD6" s="1470" t="s">
        <v>1027</v>
      </c>
      <c r="AE6" s="1470" t="s">
        <v>1028</v>
      </c>
      <c r="AF6" s="1470" t="s">
        <v>1008</v>
      </c>
      <c r="AG6" s="1471"/>
      <c r="AH6" s="1466" t="s">
        <v>1027</v>
      </c>
      <c r="AI6" s="1466" t="s">
        <v>1028</v>
      </c>
      <c r="AJ6" s="1466" t="s">
        <v>1008</v>
      </c>
      <c r="AK6" s="1466" t="s">
        <v>1027</v>
      </c>
      <c r="AL6" s="1466" t="s">
        <v>1028</v>
      </c>
      <c r="AM6" s="1466" t="s">
        <v>1008</v>
      </c>
      <c r="AN6" s="1466" t="s">
        <v>1027</v>
      </c>
      <c r="AO6" s="1466" t="s">
        <v>1028</v>
      </c>
      <c r="AP6" s="1466" t="s">
        <v>1008</v>
      </c>
      <c r="AQ6" s="1472"/>
      <c r="AR6" s="1470" t="s">
        <v>1027</v>
      </c>
      <c r="AS6" s="1470" t="s">
        <v>1028</v>
      </c>
      <c r="AT6" s="1470" t="s">
        <v>1008</v>
      </c>
      <c r="AU6" s="1470" t="s">
        <v>1027</v>
      </c>
      <c r="AV6" s="1470" t="s">
        <v>1028</v>
      </c>
      <c r="AW6" s="1470" t="s">
        <v>1008</v>
      </c>
      <c r="AX6" s="1470" t="s">
        <v>1027</v>
      </c>
      <c r="AY6" s="1470" t="s">
        <v>1028</v>
      </c>
      <c r="AZ6" s="1470" t="s">
        <v>1008</v>
      </c>
      <c r="BA6" s="1471"/>
      <c r="BB6" s="1463" t="s">
        <v>1027</v>
      </c>
      <c r="BC6" s="1466" t="s">
        <v>1028</v>
      </c>
      <c r="BD6" s="1466" t="s">
        <v>1008</v>
      </c>
      <c r="BE6" s="1466" t="s">
        <v>825</v>
      </c>
      <c r="BF6" s="1466" t="s">
        <v>826</v>
      </c>
      <c r="BG6" s="1466" t="s">
        <v>804</v>
      </c>
      <c r="BH6" s="1466" t="s">
        <v>825</v>
      </c>
      <c r="BI6" s="1466" t="s">
        <v>826</v>
      </c>
      <c r="BJ6" s="1466" t="s">
        <v>804</v>
      </c>
      <c r="BK6" s="1472"/>
      <c r="BL6" s="1473" t="s">
        <v>1027</v>
      </c>
      <c r="BM6" s="1470" t="s">
        <v>1028</v>
      </c>
      <c r="BN6" s="1470" t="s">
        <v>1008</v>
      </c>
      <c r="BO6" s="1470" t="s">
        <v>825</v>
      </c>
      <c r="BP6" s="1470" t="s">
        <v>826</v>
      </c>
      <c r="BQ6" s="1470" t="s">
        <v>804</v>
      </c>
      <c r="BR6" s="1470" t="s">
        <v>825</v>
      </c>
      <c r="BS6" s="1470" t="s">
        <v>826</v>
      </c>
      <c r="BT6" s="1470" t="s">
        <v>804</v>
      </c>
      <c r="BU6" s="1471"/>
      <c r="BV6" s="1466" t="s">
        <v>1027</v>
      </c>
      <c r="BW6" s="1466" t="s">
        <v>1028</v>
      </c>
      <c r="BX6" s="1466" t="s">
        <v>1008</v>
      </c>
      <c r="BY6" s="1466" t="s">
        <v>825</v>
      </c>
      <c r="BZ6" s="1466" t="s">
        <v>826</v>
      </c>
      <c r="CA6" s="1466" t="s">
        <v>804</v>
      </c>
      <c r="CB6" s="1466" t="s">
        <v>825</v>
      </c>
      <c r="CC6" s="1466" t="s">
        <v>826</v>
      </c>
      <c r="CD6" s="1466" t="s">
        <v>804</v>
      </c>
      <c r="CE6" s="1472"/>
      <c r="CF6" s="1473" t="s">
        <v>1027</v>
      </c>
      <c r="CG6" s="1470" t="s">
        <v>1028</v>
      </c>
      <c r="CH6" s="1470" t="s">
        <v>1008</v>
      </c>
      <c r="CI6" s="1470" t="s">
        <v>825</v>
      </c>
      <c r="CJ6" s="1470" t="s">
        <v>826</v>
      </c>
      <c r="CK6" s="1470" t="s">
        <v>804</v>
      </c>
      <c r="CL6" s="1470" t="s">
        <v>825</v>
      </c>
      <c r="CM6" s="1470" t="s">
        <v>826</v>
      </c>
      <c r="CN6" s="1470" t="s">
        <v>804</v>
      </c>
      <c r="CO6" s="1471"/>
      <c r="CP6" s="1463" t="s">
        <v>1027</v>
      </c>
      <c r="CQ6" s="1466" t="s">
        <v>1028</v>
      </c>
      <c r="CR6" s="1466" t="s">
        <v>1008</v>
      </c>
      <c r="CS6" s="1466" t="s">
        <v>825</v>
      </c>
      <c r="CT6" s="1466" t="s">
        <v>826</v>
      </c>
      <c r="CU6" s="1466" t="s">
        <v>804</v>
      </c>
      <c r="CV6" s="1466" t="s">
        <v>825</v>
      </c>
      <c r="CW6" s="1466" t="s">
        <v>826</v>
      </c>
      <c r="CX6" s="1466" t="s">
        <v>804</v>
      </c>
      <c r="CY6" s="1472"/>
      <c r="CZ6" s="1473" t="s">
        <v>1027</v>
      </c>
      <c r="DA6" s="1470" t="s">
        <v>1028</v>
      </c>
      <c r="DB6" s="1470" t="s">
        <v>1008</v>
      </c>
      <c r="DC6" s="1470" t="s">
        <v>825</v>
      </c>
      <c r="DD6" s="1470" t="s">
        <v>826</v>
      </c>
      <c r="DE6" s="1470" t="s">
        <v>804</v>
      </c>
      <c r="DF6" s="1470" t="s">
        <v>825</v>
      </c>
      <c r="DG6" s="1470" t="s">
        <v>826</v>
      </c>
      <c r="DH6" s="1470" t="s">
        <v>804</v>
      </c>
      <c r="DI6" s="1471"/>
      <c r="DJ6" s="1463" t="s">
        <v>1027</v>
      </c>
      <c r="DK6" s="1466" t="s">
        <v>1028</v>
      </c>
      <c r="DL6" s="1466" t="s">
        <v>1008</v>
      </c>
      <c r="DM6" s="1466" t="s">
        <v>825</v>
      </c>
      <c r="DN6" s="1466" t="s">
        <v>826</v>
      </c>
      <c r="DO6" s="1466" t="s">
        <v>804</v>
      </c>
      <c r="DP6" s="1466" t="s">
        <v>825</v>
      </c>
      <c r="DQ6" s="1466" t="s">
        <v>826</v>
      </c>
      <c r="DR6" s="1466" t="s">
        <v>804</v>
      </c>
      <c r="DS6" s="1472"/>
      <c r="DT6" s="1473" t="s">
        <v>1027</v>
      </c>
      <c r="DU6" s="1470" t="s">
        <v>1028</v>
      </c>
      <c r="DV6" s="1470" t="s">
        <v>1008</v>
      </c>
      <c r="DW6" s="1470" t="s">
        <v>825</v>
      </c>
      <c r="DX6" s="1470" t="s">
        <v>826</v>
      </c>
      <c r="DY6" s="1470" t="s">
        <v>804</v>
      </c>
      <c r="DZ6" s="1470" t="s">
        <v>825</v>
      </c>
      <c r="EA6" s="1470" t="s">
        <v>826</v>
      </c>
      <c r="EB6" s="1470" t="s">
        <v>804</v>
      </c>
      <c r="EC6" s="1471"/>
      <c r="ED6" s="1463" t="s">
        <v>1027</v>
      </c>
      <c r="EE6" s="1466" t="s">
        <v>1028</v>
      </c>
      <c r="EF6" s="1466" t="s">
        <v>1008</v>
      </c>
      <c r="EG6" s="1470" t="s">
        <v>825</v>
      </c>
      <c r="EH6" s="1470" t="s">
        <v>826</v>
      </c>
      <c r="EI6" s="1470" t="s">
        <v>804</v>
      </c>
      <c r="EJ6" s="1471"/>
      <c r="EK6" s="1474" t="s">
        <v>825</v>
      </c>
      <c r="EL6" s="1474" t="s">
        <v>826</v>
      </c>
      <c r="EM6" s="1474" t="s">
        <v>804</v>
      </c>
      <c r="EN6" s="1475"/>
      <c r="EO6" s="1468" t="s">
        <v>1027</v>
      </c>
      <c r="EP6" s="1468" t="s">
        <v>1028</v>
      </c>
      <c r="EQ6" s="1469" t="s">
        <v>1008</v>
      </c>
      <c r="ER6" s="1476"/>
      <c r="ES6" s="1470" t="s">
        <v>825</v>
      </c>
      <c r="ET6" s="1470" t="s">
        <v>826</v>
      </c>
      <c r="EU6" s="1470" t="s">
        <v>804</v>
      </c>
      <c r="EV6" s="1471"/>
      <c r="EW6" s="1474" t="s">
        <v>825</v>
      </c>
      <c r="EX6" s="1474" t="s">
        <v>826</v>
      </c>
      <c r="EY6" s="1474" t="s">
        <v>804</v>
      </c>
      <c r="EZ6" s="1475"/>
      <c r="FA6" s="1468" t="s">
        <v>1027</v>
      </c>
      <c r="FB6" s="1468" t="s">
        <v>1028</v>
      </c>
      <c r="FC6" s="1469" t="s">
        <v>1008</v>
      </c>
      <c r="FD6" s="1476"/>
      <c r="FE6" s="1470" t="s">
        <v>825</v>
      </c>
      <c r="FF6" s="1470" t="s">
        <v>826</v>
      </c>
      <c r="FG6" s="1470" t="s">
        <v>804</v>
      </c>
      <c r="FH6" s="1471"/>
      <c r="FI6" s="1474" t="s">
        <v>825</v>
      </c>
      <c r="FJ6" s="1474" t="s">
        <v>826</v>
      </c>
      <c r="FK6" s="1474" t="s">
        <v>804</v>
      </c>
      <c r="FL6" s="1475"/>
      <c r="FM6" s="1468" t="s">
        <v>1027</v>
      </c>
      <c r="FN6" s="1468" t="s">
        <v>1028</v>
      </c>
      <c r="FO6" s="1469" t="s">
        <v>1008</v>
      </c>
      <c r="FP6" s="1476"/>
      <c r="FQ6" s="1470" t="s">
        <v>825</v>
      </c>
      <c r="FR6" s="1470" t="s">
        <v>826</v>
      </c>
      <c r="FS6" s="1470" t="s">
        <v>804</v>
      </c>
      <c r="FT6" s="1471"/>
      <c r="FU6" s="1474" t="s">
        <v>825</v>
      </c>
      <c r="FV6" s="1474" t="s">
        <v>826</v>
      </c>
      <c r="FW6" s="1474" t="s">
        <v>804</v>
      </c>
      <c r="FX6" s="1475"/>
      <c r="FY6" s="1468" t="s">
        <v>1027</v>
      </c>
      <c r="FZ6" s="1468" t="s">
        <v>1028</v>
      </c>
      <c r="GA6" s="1469" t="s">
        <v>1008</v>
      </c>
      <c r="GB6" s="1476"/>
      <c r="GC6" s="1470" t="s">
        <v>825</v>
      </c>
      <c r="GD6" s="1470" t="s">
        <v>826</v>
      </c>
      <c r="GE6" s="1470" t="s">
        <v>804</v>
      </c>
      <c r="GF6" s="1471"/>
      <c r="GG6" s="1474" t="s">
        <v>825</v>
      </c>
      <c r="GH6" s="1474" t="s">
        <v>826</v>
      </c>
      <c r="GI6" s="1474" t="s">
        <v>804</v>
      </c>
      <c r="GJ6" s="1475"/>
      <c r="GK6" s="1468" t="s">
        <v>1027</v>
      </c>
      <c r="GL6" s="1468" t="s">
        <v>1028</v>
      </c>
      <c r="GM6" s="1469" t="s">
        <v>1008</v>
      </c>
      <c r="GN6" s="1476"/>
      <c r="GO6" s="1470" t="s">
        <v>825</v>
      </c>
      <c r="GP6" s="1470" t="s">
        <v>826</v>
      </c>
      <c r="GQ6" s="1470" t="s">
        <v>804</v>
      </c>
      <c r="GR6" s="1471"/>
      <c r="GS6" s="1474" t="s">
        <v>825</v>
      </c>
      <c r="GT6" s="1474" t="s">
        <v>826</v>
      </c>
      <c r="GU6" s="1474" t="s">
        <v>804</v>
      </c>
      <c r="GV6" s="1475"/>
      <c r="GW6" s="1468" t="s">
        <v>1027</v>
      </c>
      <c r="GX6" s="1468" t="s">
        <v>1028</v>
      </c>
      <c r="GY6" s="1469" t="s">
        <v>1008</v>
      </c>
      <c r="GZ6" s="1476"/>
    </row>
    <row r="7" spans="1:210">
      <c r="A7" s="1477" t="s">
        <v>620</v>
      </c>
      <c r="B7" s="1478" t="s">
        <v>621</v>
      </c>
      <c r="C7" s="753" t="s">
        <v>1308</v>
      </c>
      <c r="D7" s="753" t="s">
        <v>1246</v>
      </c>
      <c r="E7" s="753"/>
      <c r="F7" s="1479">
        <v>1632393</v>
      </c>
      <c r="G7" s="1479">
        <v>1966785</v>
      </c>
      <c r="H7" s="1480">
        <v>-334392</v>
      </c>
      <c r="I7" s="1481">
        <v>-0.20484772968274184</v>
      </c>
      <c r="J7" s="1482">
        <v>1632393</v>
      </c>
      <c r="K7" s="1482">
        <v>998160</v>
      </c>
      <c r="L7" s="1483">
        <v>634233</v>
      </c>
      <c r="M7" s="1481">
        <v>0.38852960040872508</v>
      </c>
      <c r="N7" s="1482">
        <v>0</v>
      </c>
      <c r="O7" s="1482">
        <v>968625</v>
      </c>
      <c r="P7" s="1483">
        <v>-968625</v>
      </c>
      <c r="Q7" s="752">
        <v>646676</v>
      </c>
      <c r="R7" s="752">
        <v>981068</v>
      </c>
      <c r="S7" s="752">
        <v>-334392</v>
      </c>
      <c r="T7" s="1484">
        <v>-0.51709356772170301</v>
      </c>
      <c r="U7" s="1485">
        <v>985717</v>
      </c>
      <c r="V7" s="1485">
        <v>985717</v>
      </c>
      <c r="W7" s="1485">
        <v>0</v>
      </c>
      <c r="X7" s="752">
        <v>2966</v>
      </c>
      <c r="Y7" s="752">
        <v>2966</v>
      </c>
      <c r="Z7" s="752">
        <v>0</v>
      </c>
      <c r="AA7" s="752">
        <v>2966</v>
      </c>
      <c r="AB7" s="752">
        <v>2966</v>
      </c>
      <c r="AC7" s="752">
        <v>0</v>
      </c>
      <c r="AD7" s="752">
        <v>649642</v>
      </c>
      <c r="AE7" s="752">
        <v>984034</v>
      </c>
      <c r="AF7" s="752">
        <v>-334392</v>
      </c>
      <c r="AG7" s="1486">
        <v>0.39796911650564537</v>
      </c>
      <c r="AH7" s="752">
        <v>2967</v>
      </c>
      <c r="AI7" s="752">
        <v>2967</v>
      </c>
      <c r="AJ7" s="752">
        <v>0</v>
      </c>
      <c r="AK7" s="752">
        <v>5933</v>
      </c>
      <c r="AL7" s="752">
        <v>5933</v>
      </c>
      <c r="AM7" s="752">
        <v>0</v>
      </c>
      <c r="AN7" s="752">
        <v>652609</v>
      </c>
      <c r="AO7" s="752">
        <v>987001</v>
      </c>
      <c r="AP7" s="752">
        <v>-334392</v>
      </c>
      <c r="AQ7" s="1486">
        <v>0.39978669352294455</v>
      </c>
      <c r="AR7" s="752">
        <v>2966</v>
      </c>
      <c r="AS7" s="752">
        <v>2966</v>
      </c>
      <c r="AT7" s="752">
        <v>0</v>
      </c>
      <c r="AU7" s="752">
        <v>8899</v>
      </c>
      <c r="AV7" s="752">
        <v>8899</v>
      </c>
      <c r="AW7" s="752">
        <v>0</v>
      </c>
      <c r="AX7" s="752">
        <v>655575</v>
      </c>
      <c r="AY7" s="752">
        <v>989967</v>
      </c>
      <c r="AZ7" s="752">
        <v>-334392</v>
      </c>
      <c r="BA7" s="1486">
        <v>0.40160365794266456</v>
      </c>
      <c r="BB7" s="752">
        <v>98868</v>
      </c>
      <c r="BC7" s="752">
        <v>98868</v>
      </c>
      <c r="BD7" s="752">
        <v>0</v>
      </c>
      <c r="BE7" s="752">
        <v>107767</v>
      </c>
      <c r="BF7" s="752">
        <v>107767</v>
      </c>
      <c r="BG7" s="752">
        <v>0</v>
      </c>
      <c r="BH7" s="752">
        <v>754443</v>
      </c>
      <c r="BI7" s="752">
        <v>1088835</v>
      </c>
      <c r="BJ7" s="752">
        <v>-334392</v>
      </c>
      <c r="BK7" s="1486">
        <v>0.46216995539677025</v>
      </c>
      <c r="BL7" s="752">
        <v>98868</v>
      </c>
      <c r="BM7" s="752">
        <v>98868</v>
      </c>
      <c r="BN7" s="752">
        <v>0</v>
      </c>
      <c r="BO7" s="752">
        <v>206635</v>
      </c>
      <c r="BP7" s="752">
        <v>206635</v>
      </c>
      <c r="BQ7" s="752">
        <v>0</v>
      </c>
      <c r="BR7" s="752">
        <v>853311</v>
      </c>
      <c r="BS7" s="752">
        <v>1187703</v>
      </c>
      <c r="BT7" s="752">
        <v>-334392</v>
      </c>
      <c r="BU7" s="1486">
        <v>0.52273625285087599</v>
      </c>
      <c r="BV7" s="752">
        <v>98868</v>
      </c>
      <c r="BW7" s="752">
        <v>98868</v>
      </c>
      <c r="BX7" s="752">
        <v>0</v>
      </c>
      <c r="BY7" s="752">
        <v>305503</v>
      </c>
      <c r="BZ7" s="752">
        <v>305503</v>
      </c>
      <c r="CA7" s="752">
        <v>0</v>
      </c>
      <c r="CB7" s="752">
        <v>952179</v>
      </c>
      <c r="CC7" s="752">
        <v>1286571</v>
      </c>
      <c r="CD7" s="752">
        <v>-334392</v>
      </c>
      <c r="CE7" s="1486">
        <v>0.58330255030498168</v>
      </c>
      <c r="CF7" s="752">
        <v>101835</v>
      </c>
      <c r="CG7" s="752">
        <v>101835</v>
      </c>
      <c r="CH7" s="752">
        <v>0</v>
      </c>
      <c r="CI7" s="752">
        <v>407338</v>
      </c>
      <c r="CJ7" s="752">
        <v>407338</v>
      </c>
      <c r="CK7" s="752">
        <v>0</v>
      </c>
      <c r="CL7" s="752">
        <v>1054014</v>
      </c>
      <c r="CM7" s="752">
        <v>1388406</v>
      </c>
      <c r="CN7" s="752">
        <v>-334392</v>
      </c>
      <c r="CO7" s="1486">
        <v>0.6456864247763866</v>
      </c>
      <c r="CP7" s="752">
        <v>131494</v>
      </c>
      <c r="CQ7" s="752">
        <v>131494</v>
      </c>
      <c r="CR7" s="752">
        <v>0</v>
      </c>
      <c r="CS7" s="752">
        <v>538832</v>
      </c>
      <c r="CT7" s="752">
        <v>538832</v>
      </c>
      <c r="CU7" s="752">
        <v>0</v>
      </c>
      <c r="CV7" s="752">
        <v>1185508</v>
      </c>
      <c r="CW7" s="752">
        <v>1519900</v>
      </c>
      <c r="CX7" s="752">
        <v>-334392</v>
      </c>
      <c r="CY7" s="1486">
        <v>0.72623933084741232</v>
      </c>
      <c r="CZ7" s="752">
        <v>131495</v>
      </c>
      <c r="DA7" s="752">
        <v>131495</v>
      </c>
      <c r="DB7" s="752">
        <v>0</v>
      </c>
      <c r="DC7" s="752">
        <v>670327</v>
      </c>
      <c r="DD7" s="752">
        <v>670327</v>
      </c>
      <c r="DE7" s="752">
        <v>0</v>
      </c>
      <c r="DF7" s="752">
        <v>1317003</v>
      </c>
      <c r="DG7" s="752">
        <v>1651395</v>
      </c>
      <c r="DH7" s="752">
        <v>-334392</v>
      </c>
      <c r="DI7" s="1486">
        <v>0.80679284951601726</v>
      </c>
      <c r="DJ7" s="752">
        <v>131495</v>
      </c>
      <c r="DK7" s="752">
        <v>131495</v>
      </c>
      <c r="DL7" s="752">
        <v>0</v>
      </c>
      <c r="DM7" s="752">
        <v>801822</v>
      </c>
      <c r="DN7" s="752">
        <v>801822</v>
      </c>
      <c r="DO7" s="752">
        <v>0</v>
      </c>
      <c r="DP7" s="752">
        <v>1448498</v>
      </c>
      <c r="DQ7" s="752">
        <v>1782890</v>
      </c>
      <c r="DR7" s="752">
        <v>-334392</v>
      </c>
      <c r="DS7" s="1486">
        <v>0.8873463681846222</v>
      </c>
      <c r="DT7" s="752">
        <v>82061</v>
      </c>
      <c r="DU7" s="752">
        <v>82061</v>
      </c>
      <c r="DV7" s="752">
        <v>0</v>
      </c>
      <c r="DW7" s="752">
        <v>883883</v>
      </c>
      <c r="DX7" s="752">
        <v>883883</v>
      </c>
      <c r="DY7" s="752">
        <v>0</v>
      </c>
      <c r="DZ7" s="752">
        <v>1530559</v>
      </c>
      <c r="EA7" s="752">
        <v>1864951</v>
      </c>
      <c r="EB7" s="752">
        <v>-334392</v>
      </c>
      <c r="EC7" s="1486">
        <v>0.9376167381261743</v>
      </c>
      <c r="ED7" s="752">
        <v>101834</v>
      </c>
      <c r="EE7" s="752">
        <v>101834</v>
      </c>
      <c r="EF7" s="752">
        <v>0</v>
      </c>
      <c r="EG7" s="1179">
        <v>985717</v>
      </c>
      <c r="EH7" s="1179">
        <v>985717</v>
      </c>
      <c r="EI7" s="1179">
        <v>0</v>
      </c>
      <c r="EJ7" s="1487">
        <v>0</v>
      </c>
      <c r="EK7" s="1488">
        <v>1632393</v>
      </c>
      <c r="EL7" s="1488">
        <v>1966785</v>
      </c>
      <c r="EM7" s="1488">
        <v>-334392</v>
      </c>
      <c r="EN7" s="1489">
        <v>-0.20484772968274184</v>
      </c>
      <c r="EO7" s="1485">
        <v>0</v>
      </c>
      <c r="EP7" s="1485">
        <v>0</v>
      </c>
      <c r="EQ7" s="1485">
        <v>0</v>
      </c>
      <c r="ER7" s="1490" t="s">
        <v>630</v>
      </c>
      <c r="ES7" s="1179">
        <v>0</v>
      </c>
      <c r="ET7" s="1179">
        <v>0</v>
      </c>
      <c r="EU7" s="1179">
        <v>0</v>
      </c>
      <c r="EV7" s="1487" t="s">
        <v>630</v>
      </c>
      <c r="EW7" s="1488">
        <v>1632393</v>
      </c>
      <c r="EX7" s="1488">
        <v>1966785</v>
      </c>
      <c r="EY7" s="1488">
        <v>-334392</v>
      </c>
      <c r="EZ7" s="1489">
        <v>-0.20484772968274184</v>
      </c>
      <c r="FA7" s="1485">
        <v>0</v>
      </c>
      <c r="FB7" s="1485">
        <v>0</v>
      </c>
      <c r="FC7" s="1485">
        <v>0</v>
      </c>
      <c r="FD7" s="1490" t="s">
        <v>630</v>
      </c>
      <c r="FE7" s="1179">
        <v>0</v>
      </c>
      <c r="FF7" s="1179">
        <v>0</v>
      </c>
      <c r="FG7" s="1179">
        <v>0</v>
      </c>
      <c r="FH7" s="1487" t="s">
        <v>630</v>
      </c>
      <c r="FI7" s="1488">
        <v>1632393</v>
      </c>
      <c r="FJ7" s="1488">
        <v>1966785</v>
      </c>
      <c r="FK7" s="1488">
        <v>-334392</v>
      </c>
      <c r="FL7" s="1489">
        <v>-0.20484772968274184</v>
      </c>
      <c r="FM7" s="1485">
        <v>0</v>
      </c>
      <c r="FN7" s="1485">
        <v>0</v>
      </c>
      <c r="FO7" s="1485">
        <v>0</v>
      </c>
      <c r="FP7" s="1490" t="s">
        <v>630</v>
      </c>
      <c r="FQ7" s="1179">
        <v>0</v>
      </c>
      <c r="FR7" s="1179">
        <v>0</v>
      </c>
      <c r="FS7" s="1179">
        <v>0</v>
      </c>
      <c r="FT7" s="1487" t="s">
        <v>630</v>
      </c>
      <c r="FU7" s="1488">
        <v>1632393</v>
      </c>
      <c r="FV7" s="1488">
        <v>1966785</v>
      </c>
      <c r="FW7" s="1488">
        <v>-334392</v>
      </c>
      <c r="FX7" s="1489">
        <v>-0.20484772968274184</v>
      </c>
      <c r="FY7" s="1485">
        <v>0</v>
      </c>
      <c r="FZ7" s="1485">
        <v>0</v>
      </c>
      <c r="GA7" s="1485">
        <v>0</v>
      </c>
      <c r="GB7" s="1490" t="s">
        <v>630</v>
      </c>
      <c r="GC7" s="1179">
        <v>0</v>
      </c>
      <c r="GD7" s="1179">
        <v>0</v>
      </c>
      <c r="GE7" s="1179">
        <v>0</v>
      </c>
      <c r="GF7" s="1487" t="s">
        <v>630</v>
      </c>
      <c r="GG7" s="1488">
        <v>1632393</v>
      </c>
      <c r="GH7" s="1488">
        <v>1966785</v>
      </c>
      <c r="GI7" s="1488">
        <v>-334392</v>
      </c>
      <c r="GJ7" s="1489">
        <v>-0.20484772968274184</v>
      </c>
      <c r="GK7" s="1485">
        <v>0</v>
      </c>
      <c r="GL7" s="1485">
        <v>0</v>
      </c>
      <c r="GM7" s="1485">
        <v>0</v>
      </c>
      <c r="GN7" s="1490" t="s">
        <v>630</v>
      </c>
      <c r="GO7" s="1179">
        <v>0</v>
      </c>
      <c r="GP7" s="1179">
        <v>0</v>
      </c>
      <c r="GQ7" s="1179">
        <v>0</v>
      </c>
      <c r="GR7" s="1487" t="s">
        <v>630</v>
      </c>
      <c r="GS7" s="1488">
        <v>1632393</v>
      </c>
      <c r="GT7" s="1488">
        <v>1966785</v>
      </c>
      <c r="GU7" s="1488">
        <v>-334392</v>
      </c>
      <c r="GV7" s="1489">
        <v>-0.20484772968274184</v>
      </c>
      <c r="GW7" s="1485">
        <v>0</v>
      </c>
      <c r="GX7" s="1485">
        <v>0</v>
      </c>
      <c r="GY7" s="1485">
        <v>0</v>
      </c>
      <c r="GZ7" s="1490" t="s">
        <v>630</v>
      </c>
    </row>
    <row r="8" spans="1:210">
      <c r="A8" s="752" t="s">
        <v>1545</v>
      </c>
      <c r="B8" s="1478" t="s">
        <v>623</v>
      </c>
      <c r="C8" s="753" t="s">
        <v>1308</v>
      </c>
      <c r="D8" s="753" t="s">
        <v>1246</v>
      </c>
      <c r="E8" s="753"/>
      <c r="F8" s="1491">
        <v>24780000</v>
      </c>
      <c r="G8" s="1491">
        <v>16733307</v>
      </c>
      <c r="H8" s="1492">
        <v>8046693</v>
      </c>
      <c r="I8" s="1481">
        <v>0.32472530266343824</v>
      </c>
      <c r="J8" s="1482">
        <v>24780000</v>
      </c>
      <c r="K8" s="1482">
        <v>12131165</v>
      </c>
      <c r="L8" s="1483">
        <v>12648835</v>
      </c>
      <c r="M8" s="1481">
        <v>0.51044531880548827</v>
      </c>
      <c r="N8" s="1482">
        <v>0</v>
      </c>
      <c r="O8" s="1482">
        <v>4602142</v>
      </c>
      <c r="P8" s="1483">
        <v>-4602142</v>
      </c>
      <c r="Q8" s="752">
        <v>15400125</v>
      </c>
      <c r="R8" s="752">
        <v>10399315</v>
      </c>
      <c r="S8" s="752">
        <v>5000810</v>
      </c>
      <c r="T8" s="1484">
        <v>0.32472528632072789</v>
      </c>
      <c r="U8" s="1485">
        <v>9379875</v>
      </c>
      <c r="V8" s="1485">
        <v>6333992</v>
      </c>
      <c r="W8" s="1485">
        <v>3045883</v>
      </c>
      <c r="X8" s="752">
        <v>225688</v>
      </c>
      <c r="Y8" s="752">
        <v>152401</v>
      </c>
      <c r="Z8" s="752">
        <v>73287</v>
      </c>
      <c r="AA8" s="752">
        <v>225688</v>
      </c>
      <c r="AB8" s="752">
        <v>152401</v>
      </c>
      <c r="AC8" s="752">
        <v>73287</v>
      </c>
      <c r="AD8" s="752">
        <v>15625813</v>
      </c>
      <c r="AE8" s="752">
        <v>10551716</v>
      </c>
      <c r="AF8" s="752">
        <v>5074097</v>
      </c>
      <c r="AG8" s="1486">
        <v>0.63058163841807913</v>
      </c>
      <c r="AH8" s="752">
        <v>70453</v>
      </c>
      <c r="AI8" s="752">
        <v>47575</v>
      </c>
      <c r="AJ8" s="752">
        <v>22878</v>
      </c>
      <c r="AK8" s="752">
        <v>296141</v>
      </c>
      <c r="AL8" s="752">
        <v>199976</v>
      </c>
      <c r="AM8" s="752">
        <v>96165</v>
      </c>
      <c r="AN8" s="752">
        <v>15696266</v>
      </c>
      <c r="AO8" s="752">
        <v>10599291</v>
      </c>
      <c r="AP8" s="752">
        <v>5096975</v>
      </c>
      <c r="AQ8" s="1486">
        <v>0.63342477804681196</v>
      </c>
      <c r="AR8" s="752">
        <v>73980</v>
      </c>
      <c r="AS8" s="752">
        <v>49957</v>
      </c>
      <c r="AT8" s="752">
        <v>24023</v>
      </c>
      <c r="AU8" s="752">
        <v>370121</v>
      </c>
      <c r="AV8" s="752">
        <v>249933</v>
      </c>
      <c r="AW8" s="752">
        <v>120188</v>
      </c>
      <c r="AX8" s="752">
        <v>15770246</v>
      </c>
      <c r="AY8" s="752">
        <v>10649248</v>
      </c>
      <c r="AZ8" s="752">
        <v>5120998</v>
      </c>
      <c r="BA8" s="1486">
        <v>0.63641025020177566</v>
      </c>
      <c r="BB8" s="752">
        <v>75745</v>
      </c>
      <c r="BC8" s="752">
        <v>51149</v>
      </c>
      <c r="BD8" s="752">
        <v>24596</v>
      </c>
      <c r="BE8" s="752">
        <v>445866</v>
      </c>
      <c r="BF8" s="752">
        <v>301082</v>
      </c>
      <c r="BG8" s="752">
        <v>144784</v>
      </c>
      <c r="BH8" s="752">
        <v>15845991</v>
      </c>
      <c r="BI8" s="752">
        <v>10700397</v>
      </c>
      <c r="BJ8" s="752">
        <v>5145594</v>
      </c>
      <c r="BK8" s="1486">
        <v>0.63946694915254232</v>
      </c>
      <c r="BL8" s="752">
        <v>75746</v>
      </c>
      <c r="BM8" s="752">
        <v>51149</v>
      </c>
      <c r="BN8" s="752">
        <v>24597</v>
      </c>
      <c r="BO8" s="752">
        <v>521612</v>
      </c>
      <c r="BP8" s="752">
        <v>352231</v>
      </c>
      <c r="BQ8" s="752">
        <v>169381</v>
      </c>
      <c r="BR8" s="752">
        <v>15921737</v>
      </c>
      <c r="BS8" s="752">
        <v>10751546</v>
      </c>
      <c r="BT8" s="752">
        <v>5170191</v>
      </c>
      <c r="BU8" s="1486">
        <v>0.64252368845843422</v>
      </c>
      <c r="BV8" s="752">
        <v>103598</v>
      </c>
      <c r="BW8" s="752">
        <v>69957</v>
      </c>
      <c r="BX8" s="752">
        <v>33641</v>
      </c>
      <c r="BY8" s="752">
        <v>625210</v>
      </c>
      <c r="BZ8" s="752">
        <v>422188</v>
      </c>
      <c r="CA8" s="752">
        <v>203022</v>
      </c>
      <c r="CB8" s="752">
        <v>16025335</v>
      </c>
      <c r="CC8" s="752">
        <v>10821503</v>
      </c>
      <c r="CD8" s="752">
        <v>5203832</v>
      </c>
      <c r="CE8" s="1486">
        <v>0.64670439870863594</v>
      </c>
      <c r="CF8" s="752">
        <v>188641</v>
      </c>
      <c r="CG8" s="752">
        <v>127385</v>
      </c>
      <c r="CH8" s="752">
        <v>61256</v>
      </c>
      <c r="CI8" s="752">
        <v>813851</v>
      </c>
      <c r="CJ8" s="752">
        <v>549573</v>
      </c>
      <c r="CK8" s="752">
        <v>264278</v>
      </c>
      <c r="CL8" s="752">
        <v>16213976</v>
      </c>
      <c r="CM8" s="752">
        <v>10948888</v>
      </c>
      <c r="CN8" s="752">
        <v>5265088</v>
      </c>
      <c r="CO8" s="1486">
        <v>0.65431702986279261</v>
      </c>
      <c r="CP8" s="752">
        <v>38700</v>
      </c>
      <c r="CQ8" s="752">
        <v>26133</v>
      </c>
      <c r="CR8" s="752">
        <v>12567</v>
      </c>
      <c r="CS8" s="752">
        <v>852551</v>
      </c>
      <c r="CT8" s="752">
        <v>575706</v>
      </c>
      <c r="CU8" s="752">
        <v>276845</v>
      </c>
      <c r="CV8" s="752">
        <v>16252676</v>
      </c>
      <c r="CW8" s="752">
        <v>10975021</v>
      </c>
      <c r="CX8" s="752">
        <v>5277655</v>
      </c>
      <c r="CY8" s="1486">
        <v>0.65587877320419696</v>
      </c>
      <c r="CZ8" s="752">
        <v>38700</v>
      </c>
      <c r="DA8" s="752">
        <v>26133</v>
      </c>
      <c r="DB8" s="752">
        <v>12567</v>
      </c>
      <c r="DC8" s="752">
        <v>891251</v>
      </c>
      <c r="DD8" s="752">
        <v>601839</v>
      </c>
      <c r="DE8" s="752">
        <v>289412</v>
      </c>
      <c r="DF8" s="752">
        <v>16291376</v>
      </c>
      <c r="DG8" s="752">
        <v>11001154</v>
      </c>
      <c r="DH8" s="752">
        <v>5290222</v>
      </c>
      <c r="DI8" s="1486">
        <v>0.65744051654560132</v>
      </c>
      <c r="DJ8" s="752">
        <v>38700</v>
      </c>
      <c r="DK8" s="752">
        <v>26133</v>
      </c>
      <c r="DL8" s="752">
        <v>12567</v>
      </c>
      <c r="DM8" s="752">
        <v>929951</v>
      </c>
      <c r="DN8" s="752">
        <v>627972</v>
      </c>
      <c r="DO8" s="752">
        <v>301979</v>
      </c>
      <c r="DP8" s="752">
        <v>16330076</v>
      </c>
      <c r="DQ8" s="752">
        <v>11027287</v>
      </c>
      <c r="DR8" s="752">
        <v>5302789</v>
      </c>
      <c r="DS8" s="1486">
        <v>0.65900225988700567</v>
      </c>
      <c r="DT8" s="752">
        <v>38700</v>
      </c>
      <c r="DU8" s="752">
        <v>26133</v>
      </c>
      <c r="DV8" s="752">
        <v>12567</v>
      </c>
      <c r="DW8" s="752">
        <v>968651</v>
      </c>
      <c r="DX8" s="752">
        <v>654105</v>
      </c>
      <c r="DY8" s="752">
        <v>314546</v>
      </c>
      <c r="DZ8" s="752">
        <v>16368776</v>
      </c>
      <c r="EA8" s="752">
        <v>11053420</v>
      </c>
      <c r="EB8" s="752">
        <v>5315356</v>
      </c>
      <c r="EC8" s="1486">
        <v>0.66056400322841002</v>
      </c>
      <c r="ED8" s="752">
        <v>68317</v>
      </c>
      <c r="EE8" s="752">
        <v>46133</v>
      </c>
      <c r="EF8" s="752">
        <v>22184</v>
      </c>
      <c r="EG8" s="1179">
        <v>1036968</v>
      </c>
      <c r="EH8" s="1179">
        <v>700238</v>
      </c>
      <c r="EI8" s="1179">
        <v>336730</v>
      </c>
      <c r="EJ8" s="1487">
        <v>0.32472554601492043</v>
      </c>
      <c r="EK8" s="1488">
        <v>16437093</v>
      </c>
      <c r="EL8" s="1488">
        <v>11099553</v>
      </c>
      <c r="EM8" s="1488">
        <v>5337540</v>
      </c>
      <c r="EN8" s="1489">
        <v>0.32472530270407302</v>
      </c>
      <c r="EO8" s="1485">
        <v>8342907</v>
      </c>
      <c r="EP8" s="1485">
        <v>5633754</v>
      </c>
      <c r="EQ8" s="1485">
        <v>2709153</v>
      </c>
      <c r="ER8" s="1490">
        <v>0.32472530258338012</v>
      </c>
      <c r="ES8" s="1179">
        <v>1055992</v>
      </c>
      <c r="ET8" s="1179">
        <v>713085</v>
      </c>
      <c r="EU8" s="1179">
        <v>342907</v>
      </c>
      <c r="EV8" s="1487">
        <v>0.32472499791665088</v>
      </c>
      <c r="EW8" s="1488">
        <v>17493085</v>
      </c>
      <c r="EX8" s="1488">
        <v>11812638</v>
      </c>
      <c r="EY8" s="1488">
        <v>5680447</v>
      </c>
      <c r="EZ8" s="1489">
        <v>0.32472528430519831</v>
      </c>
      <c r="FA8" s="1485">
        <v>7286915</v>
      </c>
      <c r="FB8" s="1485">
        <v>4920669</v>
      </c>
      <c r="FC8" s="1485">
        <v>2366246</v>
      </c>
      <c r="FD8" s="1490">
        <v>0.32472534673452347</v>
      </c>
      <c r="FE8" s="1179">
        <v>7286915</v>
      </c>
      <c r="FF8" s="1179">
        <v>4920669</v>
      </c>
      <c r="FG8" s="1179">
        <v>2366246</v>
      </c>
      <c r="FH8" s="1487">
        <v>0.32472534673452347</v>
      </c>
      <c r="FI8" s="1488">
        <v>24780000</v>
      </c>
      <c r="FJ8" s="1488">
        <v>16733307</v>
      </c>
      <c r="FK8" s="1488">
        <v>8046693</v>
      </c>
      <c r="FL8" s="1489">
        <v>0.32472530266343824</v>
      </c>
      <c r="FM8" s="1485">
        <v>0</v>
      </c>
      <c r="FN8" s="1485">
        <v>0</v>
      </c>
      <c r="FO8" s="1485">
        <v>0</v>
      </c>
      <c r="FP8" s="1490" t="s">
        <v>630</v>
      </c>
      <c r="FQ8" s="1179">
        <v>0</v>
      </c>
      <c r="FR8" s="1179">
        <v>0</v>
      </c>
      <c r="FS8" s="1179">
        <v>0</v>
      </c>
      <c r="FT8" s="1487" t="s">
        <v>630</v>
      </c>
      <c r="FU8" s="1488">
        <v>24780000</v>
      </c>
      <c r="FV8" s="1488">
        <v>16733307</v>
      </c>
      <c r="FW8" s="1488">
        <v>8046693</v>
      </c>
      <c r="FX8" s="1489">
        <v>0.32472530266343824</v>
      </c>
      <c r="FY8" s="1485">
        <v>0</v>
      </c>
      <c r="FZ8" s="1485">
        <v>0</v>
      </c>
      <c r="GA8" s="1485">
        <v>0</v>
      </c>
      <c r="GB8" s="1490" t="s">
        <v>630</v>
      </c>
      <c r="GC8" s="1179">
        <v>0</v>
      </c>
      <c r="GD8" s="1179">
        <v>0</v>
      </c>
      <c r="GE8" s="1179">
        <v>0</v>
      </c>
      <c r="GF8" s="1487" t="s">
        <v>630</v>
      </c>
      <c r="GG8" s="1488">
        <v>24780000</v>
      </c>
      <c r="GH8" s="1488">
        <v>16733307</v>
      </c>
      <c r="GI8" s="1488">
        <v>8046693</v>
      </c>
      <c r="GJ8" s="1489">
        <v>0.32472530266343824</v>
      </c>
      <c r="GK8" s="1485">
        <v>0</v>
      </c>
      <c r="GL8" s="1485">
        <v>0</v>
      </c>
      <c r="GM8" s="1485">
        <v>0</v>
      </c>
      <c r="GN8" s="1490" t="s">
        <v>630</v>
      </c>
      <c r="GO8" s="1179">
        <v>0</v>
      </c>
      <c r="GP8" s="1179">
        <v>0</v>
      </c>
      <c r="GQ8" s="1179">
        <v>0</v>
      </c>
      <c r="GR8" s="1487" t="s">
        <v>630</v>
      </c>
      <c r="GS8" s="1488">
        <v>24780000</v>
      </c>
      <c r="GT8" s="1488">
        <v>16733307</v>
      </c>
      <c r="GU8" s="1488">
        <v>8046693</v>
      </c>
      <c r="GV8" s="1489">
        <v>0.32472530266343824</v>
      </c>
      <c r="GW8" s="1485">
        <v>0</v>
      </c>
      <c r="GX8" s="1485">
        <v>0</v>
      </c>
      <c r="GY8" s="1485">
        <v>0</v>
      </c>
      <c r="GZ8" s="1490" t="s">
        <v>630</v>
      </c>
    </row>
    <row r="9" spans="1:210">
      <c r="A9" s="752" t="s">
        <v>624</v>
      </c>
      <c r="B9" s="1478" t="s">
        <v>580</v>
      </c>
      <c r="C9" s="753" t="s">
        <v>1308</v>
      </c>
      <c r="D9" s="753" t="s">
        <v>1246</v>
      </c>
      <c r="E9" s="753"/>
      <c r="F9" s="1491">
        <v>11380550</v>
      </c>
      <c r="G9" s="1491">
        <v>8457888</v>
      </c>
      <c r="H9" s="1492">
        <v>2922662</v>
      </c>
      <c r="I9" s="1481">
        <v>0.25681201699390627</v>
      </c>
      <c r="J9" s="1482">
        <v>11380550</v>
      </c>
      <c r="K9" s="1482">
        <v>8880550</v>
      </c>
      <c r="L9" s="1483">
        <v>2500000</v>
      </c>
      <c r="M9" s="1481">
        <v>0.21967303864927443</v>
      </c>
      <c r="N9" s="1482">
        <v>0</v>
      </c>
      <c r="O9" s="1482">
        <v>-422662</v>
      </c>
      <c r="P9" s="1483">
        <v>422662</v>
      </c>
      <c r="Q9" s="752">
        <v>6723930</v>
      </c>
      <c r="R9" s="752">
        <v>4997144</v>
      </c>
      <c r="S9" s="752">
        <v>1726786</v>
      </c>
      <c r="T9" s="1484">
        <v>0.25681201321251113</v>
      </c>
      <c r="U9" s="1485">
        <v>4656620</v>
      </c>
      <c r="V9" s="1485">
        <v>3460744</v>
      </c>
      <c r="W9" s="1485">
        <v>1195876</v>
      </c>
      <c r="X9" s="752">
        <v>1118433</v>
      </c>
      <c r="Y9" s="752">
        <v>831206</v>
      </c>
      <c r="Z9" s="752">
        <v>287227</v>
      </c>
      <c r="AA9" s="752">
        <v>1118433</v>
      </c>
      <c r="AB9" s="752">
        <v>831206</v>
      </c>
      <c r="AC9" s="752">
        <v>287227</v>
      </c>
      <c r="AD9" s="752">
        <v>7842363</v>
      </c>
      <c r="AE9" s="752">
        <v>5828350</v>
      </c>
      <c r="AF9" s="752">
        <v>2014013</v>
      </c>
      <c r="AG9" s="1486">
        <v>0.68910228416025587</v>
      </c>
      <c r="AH9" s="752">
        <v>35262</v>
      </c>
      <c r="AI9" s="752">
        <v>26206</v>
      </c>
      <c r="AJ9" s="752">
        <v>9056</v>
      </c>
      <c r="AK9" s="752">
        <v>1153695</v>
      </c>
      <c r="AL9" s="752">
        <v>857412</v>
      </c>
      <c r="AM9" s="752">
        <v>296283</v>
      </c>
      <c r="AN9" s="752">
        <v>7877625</v>
      </c>
      <c r="AO9" s="752">
        <v>5854556</v>
      </c>
      <c r="AP9" s="752">
        <v>2023069</v>
      </c>
      <c r="AQ9" s="1486">
        <v>0.69220072843579616</v>
      </c>
      <c r="AR9" s="752">
        <v>83347</v>
      </c>
      <c r="AS9" s="752">
        <v>61943</v>
      </c>
      <c r="AT9" s="752">
        <v>21404</v>
      </c>
      <c r="AU9" s="752">
        <v>1237042</v>
      </c>
      <c r="AV9" s="752">
        <v>919355</v>
      </c>
      <c r="AW9" s="752">
        <v>317687</v>
      </c>
      <c r="AX9" s="752">
        <v>7960972</v>
      </c>
      <c r="AY9" s="752">
        <v>5916499</v>
      </c>
      <c r="AZ9" s="752">
        <v>2044473</v>
      </c>
      <c r="BA9" s="1486">
        <v>0.69952436393671658</v>
      </c>
      <c r="BB9" s="752">
        <v>35262</v>
      </c>
      <c r="BC9" s="752">
        <v>26206</v>
      </c>
      <c r="BD9" s="752">
        <v>9056</v>
      </c>
      <c r="BE9" s="752">
        <v>1272304</v>
      </c>
      <c r="BF9" s="752">
        <v>945561</v>
      </c>
      <c r="BG9" s="752">
        <v>326743</v>
      </c>
      <c r="BH9" s="752">
        <v>7996234</v>
      </c>
      <c r="BI9" s="752">
        <v>5942705</v>
      </c>
      <c r="BJ9" s="752">
        <v>2053529</v>
      </c>
      <c r="BK9" s="1486">
        <v>0.70262280821225687</v>
      </c>
      <c r="BL9" s="752">
        <v>35262</v>
      </c>
      <c r="BM9" s="752">
        <v>26206</v>
      </c>
      <c r="BN9" s="752">
        <v>9056</v>
      </c>
      <c r="BO9" s="752">
        <v>1307566</v>
      </c>
      <c r="BP9" s="752">
        <v>971767</v>
      </c>
      <c r="BQ9" s="752">
        <v>335799</v>
      </c>
      <c r="BR9" s="752">
        <v>8031496</v>
      </c>
      <c r="BS9" s="752">
        <v>5968911</v>
      </c>
      <c r="BT9" s="752">
        <v>2062585</v>
      </c>
      <c r="BU9" s="1486">
        <v>0.70572125248779716</v>
      </c>
      <c r="BV9" s="752">
        <v>110258</v>
      </c>
      <c r="BW9" s="752">
        <v>81943</v>
      </c>
      <c r="BX9" s="752">
        <v>28315</v>
      </c>
      <c r="BY9" s="752">
        <v>1417824</v>
      </c>
      <c r="BZ9" s="752">
        <v>1053710</v>
      </c>
      <c r="CA9" s="752">
        <v>364114</v>
      </c>
      <c r="CB9" s="752">
        <v>8141754</v>
      </c>
      <c r="CC9" s="752">
        <v>6050854</v>
      </c>
      <c r="CD9" s="752">
        <v>2090900</v>
      </c>
      <c r="CE9" s="1486">
        <v>0.71540953644595384</v>
      </c>
      <c r="CF9" s="752">
        <v>35262</v>
      </c>
      <c r="CG9" s="752">
        <v>26206</v>
      </c>
      <c r="CH9" s="752">
        <v>9056</v>
      </c>
      <c r="CI9" s="752">
        <v>1453086</v>
      </c>
      <c r="CJ9" s="752">
        <v>1079916</v>
      </c>
      <c r="CK9" s="752">
        <v>373170</v>
      </c>
      <c r="CL9" s="752">
        <v>8177016</v>
      </c>
      <c r="CM9" s="752">
        <v>6077060</v>
      </c>
      <c r="CN9" s="752">
        <v>2099956</v>
      </c>
      <c r="CO9" s="1486">
        <v>0.71850798072149413</v>
      </c>
      <c r="CP9" s="752">
        <v>35262</v>
      </c>
      <c r="CQ9" s="752">
        <v>26206</v>
      </c>
      <c r="CR9" s="752">
        <v>9056</v>
      </c>
      <c r="CS9" s="752">
        <v>1488348</v>
      </c>
      <c r="CT9" s="752">
        <v>1106122</v>
      </c>
      <c r="CU9" s="752">
        <v>382226</v>
      </c>
      <c r="CV9" s="752">
        <v>8212278</v>
      </c>
      <c r="CW9" s="752">
        <v>6103266</v>
      </c>
      <c r="CX9" s="752">
        <v>2109012</v>
      </c>
      <c r="CY9" s="1486">
        <v>0.72160642499703442</v>
      </c>
      <c r="CZ9" s="752">
        <v>83347</v>
      </c>
      <c r="DA9" s="752">
        <v>61943</v>
      </c>
      <c r="DB9" s="752">
        <v>21404</v>
      </c>
      <c r="DC9" s="752">
        <v>1571695</v>
      </c>
      <c r="DD9" s="752">
        <v>1168065</v>
      </c>
      <c r="DE9" s="752">
        <v>403630</v>
      </c>
      <c r="DF9" s="752">
        <v>8295625</v>
      </c>
      <c r="DG9" s="752">
        <v>6165209</v>
      </c>
      <c r="DH9" s="752">
        <v>2130416</v>
      </c>
      <c r="DI9" s="1486">
        <v>0.72893006049795483</v>
      </c>
      <c r="DJ9" s="752">
        <v>35262</v>
      </c>
      <c r="DK9" s="752">
        <v>26206</v>
      </c>
      <c r="DL9" s="752">
        <v>9056</v>
      </c>
      <c r="DM9" s="752">
        <v>1606957</v>
      </c>
      <c r="DN9" s="752">
        <v>1194271</v>
      </c>
      <c r="DO9" s="752">
        <v>412686</v>
      </c>
      <c r="DP9" s="752">
        <v>8330887</v>
      </c>
      <c r="DQ9" s="752">
        <v>6191415</v>
      </c>
      <c r="DR9" s="752">
        <v>2139472</v>
      </c>
      <c r="DS9" s="1486">
        <v>0.73202850477349513</v>
      </c>
      <c r="DT9" s="752">
        <v>35261</v>
      </c>
      <c r="DU9" s="752">
        <v>26206</v>
      </c>
      <c r="DV9" s="752">
        <v>9055</v>
      </c>
      <c r="DW9" s="752">
        <v>1642218</v>
      </c>
      <c r="DX9" s="752">
        <v>1220477</v>
      </c>
      <c r="DY9" s="752">
        <v>421741</v>
      </c>
      <c r="DZ9" s="752">
        <v>8366148</v>
      </c>
      <c r="EA9" s="752">
        <v>6217621</v>
      </c>
      <c r="EB9" s="752">
        <v>2148527</v>
      </c>
      <c r="EC9" s="1486">
        <v>0.73512686117981996</v>
      </c>
      <c r="ED9" s="752">
        <v>110259</v>
      </c>
      <c r="EE9" s="752">
        <v>81943</v>
      </c>
      <c r="EF9" s="752">
        <v>28316</v>
      </c>
      <c r="EG9" s="1179">
        <v>1752477</v>
      </c>
      <c r="EH9" s="1179">
        <v>1302420</v>
      </c>
      <c r="EI9" s="1179">
        <v>450057</v>
      </c>
      <c r="EJ9" s="1487">
        <v>0.25681192962874833</v>
      </c>
      <c r="EK9" s="1488">
        <v>8476407</v>
      </c>
      <c r="EL9" s="1488">
        <v>6299564</v>
      </c>
      <c r="EM9" s="1488">
        <v>2176843</v>
      </c>
      <c r="EN9" s="1489">
        <v>0.25681199593176685</v>
      </c>
      <c r="EO9" s="1485">
        <v>2904143</v>
      </c>
      <c r="EP9" s="1485">
        <v>2158324</v>
      </c>
      <c r="EQ9" s="1485">
        <v>745819</v>
      </c>
      <c r="ER9" s="1490">
        <v>0.25681207846858783</v>
      </c>
      <c r="ES9" s="1179">
        <v>2904143</v>
      </c>
      <c r="ET9" s="1179">
        <v>2158324</v>
      </c>
      <c r="EU9" s="1179">
        <v>745819</v>
      </c>
      <c r="EV9" s="1487">
        <v>0.25681207846858783</v>
      </c>
      <c r="EW9" s="1488">
        <v>11380550</v>
      </c>
      <c r="EX9" s="1488">
        <v>8457888</v>
      </c>
      <c r="EY9" s="1488">
        <v>2922662</v>
      </c>
      <c r="EZ9" s="1489">
        <v>0.25681201699390627</v>
      </c>
      <c r="FA9" s="1485">
        <v>0</v>
      </c>
      <c r="FB9" s="1485">
        <v>0</v>
      </c>
      <c r="FC9" s="1485">
        <v>0</v>
      </c>
      <c r="FD9" s="1490" t="s">
        <v>630</v>
      </c>
      <c r="FE9" s="1179">
        <v>0</v>
      </c>
      <c r="FF9" s="1179">
        <v>0</v>
      </c>
      <c r="FG9" s="1179">
        <v>0</v>
      </c>
      <c r="FH9" s="1487" t="s">
        <v>630</v>
      </c>
      <c r="FI9" s="1488">
        <v>11380550</v>
      </c>
      <c r="FJ9" s="1488">
        <v>8457888</v>
      </c>
      <c r="FK9" s="1488">
        <v>2922662</v>
      </c>
      <c r="FL9" s="1489">
        <v>0.25681201699390627</v>
      </c>
      <c r="FM9" s="1485">
        <v>0</v>
      </c>
      <c r="FN9" s="1485">
        <v>0</v>
      </c>
      <c r="FO9" s="1485">
        <v>0</v>
      </c>
      <c r="FP9" s="1490" t="s">
        <v>630</v>
      </c>
      <c r="FQ9" s="1179">
        <v>0</v>
      </c>
      <c r="FR9" s="1179">
        <v>0</v>
      </c>
      <c r="FS9" s="1179">
        <v>0</v>
      </c>
      <c r="FT9" s="1487" t="s">
        <v>630</v>
      </c>
      <c r="FU9" s="1488">
        <v>11380550</v>
      </c>
      <c r="FV9" s="1488">
        <v>8457888</v>
      </c>
      <c r="FW9" s="1488">
        <v>2922662</v>
      </c>
      <c r="FX9" s="1489">
        <v>0.25681201699390627</v>
      </c>
      <c r="FY9" s="1485">
        <v>0</v>
      </c>
      <c r="FZ9" s="1485">
        <v>0</v>
      </c>
      <c r="GA9" s="1485">
        <v>0</v>
      </c>
      <c r="GB9" s="1490" t="s">
        <v>630</v>
      </c>
      <c r="GC9" s="1179">
        <v>0</v>
      </c>
      <c r="GD9" s="1179">
        <v>0</v>
      </c>
      <c r="GE9" s="1179">
        <v>0</v>
      </c>
      <c r="GF9" s="1487" t="s">
        <v>630</v>
      </c>
      <c r="GG9" s="1488">
        <v>11380550</v>
      </c>
      <c r="GH9" s="1488">
        <v>8457888</v>
      </c>
      <c r="GI9" s="1488">
        <v>2922662</v>
      </c>
      <c r="GJ9" s="1489">
        <v>0.25681201699390627</v>
      </c>
      <c r="GK9" s="1485">
        <v>0</v>
      </c>
      <c r="GL9" s="1485">
        <v>0</v>
      </c>
      <c r="GM9" s="1485">
        <v>0</v>
      </c>
      <c r="GN9" s="1490" t="s">
        <v>630</v>
      </c>
      <c r="GO9" s="1179">
        <v>0</v>
      </c>
      <c r="GP9" s="1179">
        <v>0</v>
      </c>
      <c r="GQ9" s="1179">
        <v>0</v>
      </c>
      <c r="GR9" s="1487" t="s">
        <v>630</v>
      </c>
      <c r="GS9" s="1488">
        <v>11380550</v>
      </c>
      <c r="GT9" s="1488">
        <v>8457888</v>
      </c>
      <c r="GU9" s="1488">
        <v>2922662</v>
      </c>
      <c r="GV9" s="1489">
        <v>0.25681201699390627</v>
      </c>
      <c r="GW9" s="1485">
        <v>0</v>
      </c>
      <c r="GX9" s="1485">
        <v>0</v>
      </c>
      <c r="GY9" s="1485">
        <v>0</v>
      </c>
      <c r="GZ9" s="1490" t="s">
        <v>630</v>
      </c>
    </row>
    <row r="10" spans="1:210">
      <c r="A10" s="752" t="s">
        <v>626</v>
      </c>
      <c r="B10" s="1478" t="s">
        <v>2081</v>
      </c>
      <c r="C10" s="753" t="s">
        <v>1308</v>
      </c>
      <c r="D10" s="753" t="s">
        <v>1246</v>
      </c>
      <c r="E10" s="753"/>
      <c r="F10" s="1491">
        <v>1950000</v>
      </c>
      <c r="G10" s="1491">
        <v>1258917</v>
      </c>
      <c r="H10" s="1492">
        <v>691083</v>
      </c>
      <c r="I10" s="1481">
        <v>0.35440153846153843</v>
      </c>
      <c r="J10" s="1482">
        <v>1950000</v>
      </c>
      <c r="K10" s="1482">
        <v>1350000</v>
      </c>
      <c r="L10" s="1483">
        <v>600000</v>
      </c>
      <c r="M10" s="1481">
        <v>0.30769230769230771</v>
      </c>
      <c r="N10" s="1482">
        <v>0</v>
      </c>
      <c r="O10" s="1482">
        <v>-91083</v>
      </c>
      <c r="P10" s="1483">
        <v>91083</v>
      </c>
      <c r="Q10" s="752">
        <v>1950000</v>
      </c>
      <c r="R10" s="752">
        <v>1258917</v>
      </c>
      <c r="S10" s="752">
        <v>691083</v>
      </c>
      <c r="T10" s="1484">
        <v>0.35440153846153843</v>
      </c>
      <c r="U10" s="1485">
        <v>0</v>
      </c>
      <c r="V10" s="1485">
        <v>0</v>
      </c>
      <c r="W10" s="1485">
        <v>0</v>
      </c>
      <c r="X10" s="752">
        <v>0</v>
      </c>
      <c r="Y10" s="752">
        <v>0</v>
      </c>
      <c r="Z10" s="752">
        <v>0</v>
      </c>
      <c r="AA10" s="752">
        <v>0</v>
      </c>
      <c r="AB10" s="752">
        <v>0</v>
      </c>
      <c r="AC10" s="752">
        <v>0</v>
      </c>
      <c r="AD10" s="752">
        <v>1950000</v>
      </c>
      <c r="AE10" s="752">
        <v>1258917</v>
      </c>
      <c r="AF10" s="752">
        <v>691083</v>
      </c>
      <c r="AG10" s="1486">
        <v>1</v>
      </c>
      <c r="AH10" s="752">
        <v>0</v>
      </c>
      <c r="AI10" s="752">
        <v>0</v>
      </c>
      <c r="AJ10" s="752">
        <v>0</v>
      </c>
      <c r="AK10" s="752">
        <v>0</v>
      </c>
      <c r="AL10" s="752">
        <v>0</v>
      </c>
      <c r="AM10" s="752">
        <v>0</v>
      </c>
      <c r="AN10" s="752">
        <v>1950000</v>
      </c>
      <c r="AO10" s="752">
        <v>1258917</v>
      </c>
      <c r="AP10" s="752">
        <v>691083</v>
      </c>
      <c r="AQ10" s="1486">
        <v>1</v>
      </c>
      <c r="AR10" s="752">
        <v>0</v>
      </c>
      <c r="AS10" s="752">
        <v>0</v>
      </c>
      <c r="AT10" s="752">
        <v>0</v>
      </c>
      <c r="AU10" s="752">
        <v>0</v>
      </c>
      <c r="AV10" s="752">
        <v>0</v>
      </c>
      <c r="AW10" s="752">
        <v>0</v>
      </c>
      <c r="AX10" s="752">
        <v>1950000</v>
      </c>
      <c r="AY10" s="752">
        <v>1258917</v>
      </c>
      <c r="AZ10" s="752">
        <v>691083</v>
      </c>
      <c r="BA10" s="1486">
        <v>1</v>
      </c>
      <c r="BB10" s="752">
        <v>0</v>
      </c>
      <c r="BC10" s="752">
        <v>0</v>
      </c>
      <c r="BD10" s="752">
        <v>0</v>
      </c>
      <c r="BE10" s="752">
        <v>0</v>
      </c>
      <c r="BF10" s="752">
        <v>0</v>
      </c>
      <c r="BG10" s="752">
        <v>0</v>
      </c>
      <c r="BH10" s="752">
        <v>1950000</v>
      </c>
      <c r="BI10" s="752">
        <v>1258917</v>
      </c>
      <c r="BJ10" s="752">
        <v>691083</v>
      </c>
      <c r="BK10" s="1486">
        <v>1</v>
      </c>
      <c r="BL10" s="752">
        <v>0</v>
      </c>
      <c r="BM10" s="752">
        <v>0</v>
      </c>
      <c r="BN10" s="752">
        <v>0</v>
      </c>
      <c r="BO10" s="752">
        <v>0</v>
      </c>
      <c r="BP10" s="752">
        <v>0</v>
      </c>
      <c r="BQ10" s="752">
        <v>0</v>
      </c>
      <c r="BR10" s="752">
        <v>1950000</v>
      </c>
      <c r="BS10" s="752">
        <v>1258917</v>
      </c>
      <c r="BT10" s="752">
        <v>691083</v>
      </c>
      <c r="BU10" s="1486">
        <v>1</v>
      </c>
      <c r="BV10" s="752">
        <v>0</v>
      </c>
      <c r="BW10" s="752">
        <v>0</v>
      </c>
      <c r="BX10" s="752">
        <v>0</v>
      </c>
      <c r="BY10" s="752">
        <v>0</v>
      </c>
      <c r="BZ10" s="752">
        <v>0</v>
      </c>
      <c r="CA10" s="752">
        <v>0</v>
      </c>
      <c r="CB10" s="752">
        <v>1950000</v>
      </c>
      <c r="CC10" s="752">
        <v>1258917</v>
      </c>
      <c r="CD10" s="752">
        <v>691083</v>
      </c>
      <c r="CE10" s="1486">
        <v>1</v>
      </c>
      <c r="CF10" s="752">
        <v>0</v>
      </c>
      <c r="CG10" s="752">
        <v>0</v>
      </c>
      <c r="CH10" s="752">
        <v>0</v>
      </c>
      <c r="CI10" s="752">
        <v>0</v>
      </c>
      <c r="CJ10" s="752">
        <v>0</v>
      </c>
      <c r="CK10" s="752">
        <v>0</v>
      </c>
      <c r="CL10" s="752">
        <v>1950000</v>
      </c>
      <c r="CM10" s="752">
        <v>1258917</v>
      </c>
      <c r="CN10" s="752">
        <v>691083</v>
      </c>
      <c r="CO10" s="1486">
        <v>1</v>
      </c>
      <c r="CP10" s="752">
        <v>0</v>
      </c>
      <c r="CQ10" s="752">
        <v>0</v>
      </c>
      <c r="CR10" s="752">
        <v>0</v>
      </c>
      <c r="CS10" s="752">
        <v>0</v>
      </c>
      <c r="CT10" s="752">
        <v>0</v>
      </c>
      <c r="CU10" s="752">
        <v>0</v>
      </c>
      <c r="CV10" s="752">
        <v>1950000</v>
      </c>
      <c r="CW10" s="752">
        <v>1258917</v>
      </c>
      <c r="CX10" s="752">
        <v>691083</v>
      </c>
      <c r="CY10" s="1486">
        <v>1</v>
      </c>
      <c r="CZ10" s="752">
        <v>0</v>
      </c>
      <c r="DA10" s="752">
        <v>0</v>
      </c>
      <c r="DB10" s="752">
        <v>0</v>
      </c>
      <c r="DC10" s="752">
        <v>0</v>
      </c>
      <c r="DD10" s="752">
        <v>0</v>
      </c>
      <c r="DE10" s="752">
        <v>0</v>
      </c>
      <c r="DF10" s="752">
        <v>1950000</v>
      </c>
      <c r="DG10" s="752">
        <v>1258917</v>
      </c>
      <c r="DH10" s="752">
        <v>691083</v>
      </c>
      <c r="DI10" s="1486">
        <v>1</v>
      </c>
      <c r="DJ10" s="752">
        <v>0</v>
      </c>
      <c r="DK10" s="752">
        <v>0</v>
      </c>
      <c r="DL10" s="752">
        <v>0</v>
      </c>
      <c r="DM10" s="752">
        <v>0</v>
      </c>
      <c r="DN10" s="752">
        <v>0</v>
      </c>
      <c r="DO10" s="752">
        <v>0</v>
      </c>
      <c r="DP10" s="752">
        <v>1950000</v>
      </c>
      <c r="DQ10" s="752">
        <v>1258917</v>
      </c>
      <c r="DR10" s="752">
        <v>691083</v>
      </c>
      <c r="DS10" s="1486">
        <v>1</v>
      </c>
      <c r="DT10" s="752">
        <v>0</v>
      </c>
      <c r="DU10" s="752">
        <v>0</v>
      </c>
      <c r="DV10" s="752">
        <v>0</v>
      </c>
      <c r="DW10" s="752">
        <v>0</v>
      </c>
      <c r="DX10" s="752">
        <v>0</v>
      </c>
      <c r="DY10" s="752">
        <v>0</v>
      </c>
      <c r="DZ10" s="752">
        <v>1950000</v>
      </c>
      <c r="EA10" s="752">
        <v>1258917</v>
      </c>
      <c r="EB10" s="752">
        <v>691083</v>
      </c>
      <c r="EC10" s="1486">
        <v>1</v>
      </c>
      <c r="ED10" s="752">
        <v>0</v>
      </c>
      <c r="EE10" s="752">
        <v>0</v>
      </c>
      <c r="EF10" s="752">
        <v>0</v>
      </c>
      <c r="EG10" s="1179">
        <v>0</v>
      </c>
      <c r="EH10" s="1179">
        <v>0</v>
      </c>
      <c r="EI10" s="1179">
        <v>0</v>
      </c>
      <c r="EJ10" s="1487" t="s">
        <v>630</v>
      </c>
      <c r="EK10" s="1488">
        <v>1950000</v>
      </c>
      <c r="EL10" s="1488">
        <v>1258917</v>
      </c>
      <c r="EM10" s="1488">
        <v>691083</v>
      </c>
      <c r="EN10" s="1489">
        <v>0.35440153846153843</v>
      </c>
      <c r="EO10" s="1485">
        <v>0</v>
      </c>
      <c r="EP10" s="1485">
        <v>0</v>
      </c>
      <c r="EQ10" s="1485">
        <v>0</v>
      </c>
      <c r="ER10" s="1490" t="s">
        <v>630</v>
      </c>
      <c r="ES10" s="1179">
        <v>0</v>
      </c>
      <c r="ET10" s="1179">
        <v>0</v>
      </c>
      <c r="EU10" s="1179">
        <v>0</v>
      </c>
      <c r="EV10" s="1487" t="s">
        <v>630</v>
      </c>
      <c r="EW10" s="1488">
        <v>1950000</v>
      </c>
      <c r="EX10" s="1488">
        <v>1258917</v>
      </c>
      <c r="EY10" s="1488">
        <v>691083</v>
      </c>
      <c r="EZ10" s="1489">
        <v>0.35440153846153843</v>
      </c>
      <c r="FA10" s="1485">
        <v>0</v>
      </c>
      <c r="FB10" s="1485">
        <v>0</v>
      </c>
      <c r="FC10" s="1485">
        <v>0</v>
      </c>
      <c r="FD10" s="1490" t="s">
        <v>630</v>
      </c>
      <c r="FE10" s="1179">
        <v>0</v>
      </c>
      <c r="FF10" s="1179">
        <v>0</v>
      </c>
      <c r="FG10" s="1179">
        <v>0</v>
      </c>
      <c r="FH10" s="1487" t="s">
        <v>630</v>
      </c>
      <c r="FI10" s="1488">
        <v>1950000</v>
      </c>
      <c r="FJ10" s="1488">
        <v>1258917</v>
      </c>
      <c r="FK10" s="1488">
        <v>691083</v>
      </c>
      <c r="FL10" s="1489">
        <v>0.35440153846153843</v>
      </c>
      <c r="FM10" s="1485">
        <v>0</v>
      </c>
      <c r="FN10" s="1485">
        <v>0</v>
      </c>
      <c r="FO10" s="1485">
        <v>0</v>
      </c>
      <c r="FP10" s="1490" t="s">
        <v>630</v>
      </c>
      <c r="FQ10" s="1179">
        <v>0</v>
      </c>
      <c r="FR10" s="1179">
        <v>0</v>
      </c>
      <c r="FS10" s="1179">
        <v>0</v>
      </c>
      <c r="FT10" s="1487" t="s">
        <v>630</v>
      </c>
      <c r="FU10" s="1488">
        <v>1950000</v>
      </c>
      <c r="FV10" s="1488">
        <v>1258917</v>
      </c>
      <c r="FW10" s="1488">
        <v>691083</v>
      </c>
      <c r="FX10" s="1489">
        <v>0.35440153846153843</v>
      </c>
      <c r="FY10" s="1485">
        <v>0</v>
      </c>
      <c r="FZ10" s="1485">
        <v>0</v>
      </c>
      <c r="GA10" s="1485">
        <v>0</v>
      </c>
      <c r="GB10" s="1490" t="s">
        <v>630</v>
      </c>
      <c r="GC10" s="1179">
        <v>0</v>
      </c>
      <c r="GD10" s="1179">
        <v>0</v>
      </c>
      <c r="GE10" s="1179">
        <v>0</v>
      </c>
      <c r="GF10" s="1487" t="s">
        <v>630</v>
      </c>
      <c r="GG10" s="1488">
        <v>1950000</v>
      </c>
      <c r="GH10" s="1488">
        <v>1258917</v>
      </c>
      <c r="GI10" s="1488">
        <v>691083</v>
      </c>
      <c r="GJ10" s="1489">
        <v>0.35440153846153843</v>
      </c>
      <c r="GK10" s="1485">
        <v>0</v>
      </c>
      <c r="GL10" s="1485">
        <v>0</v>
      </c>
      <c r="GM10" s="1485">
        <v>0</v>
      </c>
      <c r="GN10" s="1490" t="s">
        <v>630</v>
      </c>
      <c r="GO10" s="1179">
        <v>0</v>
      </c>
      <c r="GP10" s="1179">
        <v>0</v>
      </c>
      <c r="GQ10" s="1179">
        <v>0</v>
      </c>
      <c r="GR10" s="1487" t="s">
        <v>630</v>
      </c>
      <c r="GS10" s="1488">
        <v>1950000</v>
      </c>
      <c r="GT10" s="1488">
        <v>1258917</v>
      </c>
      <c r="GU10" s="1488">
        <v>691083</v>
      </c>
      <c r="GV10" s="1489">
        <v>0.35440153846153843</v>
      </c>
      <c r="GW10" s="1485">
        <v>0</v>
      </c>
      <c r="GX10" s="1485">
        <v>0</v>
      </c>
      <c r="GY10" s="1485">
        <v>0</v>
      </c>
      <c r="GZ10" s="1490" t="s">
        <v>630</v>
      </c>
    </row>
    <row r="11" spans="1:210">
      <c r="A11" s="752" t="s">
        <v>628</v>
      </c>
      <c r="B11" s="1478" t="s">
        <v>1311</v>
      </c>
      <c r="C11" s="753" t="s">
        <v>1308</v>
      </c>
      <c r="D11" s="753" t="s">
        <v>1246</v>
      </c>
      <c r="E11" s="753"/>
      <c r="F11" s="1491">
        <v>18000000</v>
      </c>
      <c r="G11" s="1491">
        <v>16145608</v>
      </c>
      <c r="H11" s="1492">
        <v>1854392</v>
      </c>
      <c r="I11" s="1481">
        <v>0.10302177777777778</v>
      </c>
      <c r="J11" s="1482">
        <v>18000000</v>
      </c>
      <c r="K11" s="1482">
        <v>14322000</v>
      </c>
      <c r="L11" s="1483">
        <v>3678000</v>
      </c>
      <c r="M11" s="1481">
        <v>0.20433333333333334</v>
      </c>
      <c r="N11" s="1482">
        <v>0</v>
      </c>
      <c r="O11" s="1482">
        <v>1823608</v>
      </c>
      <c r="P11" s="1483">
        <v>-1823608</v>
      </c>
      <c r="Q11" s="752">
        <v>9402387</v>
      </c>
      <c r="R11" s="752">
        <v>8433736</v>
      </c>
      <c r="S11" s="752">
        <v>968651</v>
      </c>
      <c r="T11" s="1484">
        <v>0.10302181775755455</v>
      </c>
      <c r="U11" s="1485">
        <v>8597613</v>
      </c>
      <c r="V11" s="1485">
        <v>7711872</v>
      </c>
      <c r="W11" s="1485">
        <v>885741</v>
      </c>
      <c r="X11" s="752">
        <v>76942</v>
      </c>
      <c r="Y11" s="752">
        <v>69016</v>
      </c>
      <c r="Z11" s="752">
        <v>7926</v>
      </c>
      <c r="AA11" s="752">
        <v>76942</v>
      </c>
      <c r="AB11" s="752">
        <v>69016</v>
      </c>
      <c r="AC11" s="752">
        <v>7926</v>
      </c>
      <c r="AD11" s="752">
        <v>9479329</v>
      </c>
      <c r="AE11" s="752">
        <v>8502752</v>
      </c>
      <c r="AF11" s="752">
        <v>976577</v>
      </c>
      <c r="AG11" s="1486">
        <v>0.52662938888888888</v>
      </c>
      <c r="AH11" s="752">
        <v>50383</v>
      </c>
      <c r="AI11" s="752">
        <v>45192</v>
      </c>
      <c r="AJ11" s="752">
        <v>5191</v>
      </c>
      <c r="AK11" s="752">
        <v>127325</v>
      </c>
      <c r="AL11" s="752">
        <v>114208</v>
      </c>
      <c r="AM11" s="752">
        <v>13117</v>
      </c>
      <c r="AN11" s="752">
        <v>9529712</v>
      </c>
      <c r="AO11" s="752">
        <v>8547944</v>
      </c>
      <c r="AP11" s="752">
        <v>981768</v>
      </c>
      <c r="AQ11" s="1486">
        <v>0.52942844444444448</v>
      </c>
      <c r="AR11" s="752">
        <v>30462</v>
      </c>
      <c r="AS11" s="752">
        <v>27324</v>
      </c>
      <c r="AT11" s="752">
        <v>3138</v>
      </c>
      <c r="AU11" s="752">
        <v>157787</v>
      </c>
      <c r="AV11" s="752">
        <v>141532</v>
      </c>
      <c r="AW11" s="752">
        <v>16255</v>
      </c>
      <c r="AX11" s="752">
        <v>9560174</v>
      </c>
      <c r="AY11" s="752">
        <v>8575268</v>
      </c>
      <c r="AZ11" s="752">
        <v>984906</v>
      </c>
      <c r="BA11" s="1486">
        <v>0.53112077777777777</v>
      </c>
      <c r="BB11" s="752">
        <v>30462</v>
      </c>
      <c r="BC11" s="752">
        <v>27324</v>
      </c>
      <c r="BD11" s="752">
        <v>3138</v>
      </c>
      <c r="BE11" s="752">
        <v>188249</v>
      </c>
      <c r="BF11" s="752">
        <v>168856</v>
      </c>
      <c r="BG11" s="752">
        <v>19393</v>
      </c>
      <c r="BH11" s="752">
        <v>9590636</v>
      </c>
      <c r="BI11" s="752">
        <v>8602592</v>
      </c>
      <c r="BJ11" s="752">
        <v>988044</v>
      </c>
      <c r="BK11" s="1486">
        <v>0.53281311111111107</v>
      </c>
      <c r="BL11" s="752">
        <v>103505</v>
      </c>
      <c r="BM11" s="752">
        <v>92841</v>
      </c>
      <c r="BN11" s="752">
        <v>10664</v>
      </c>
      <c r="BO11" s="752">
        <v>291754</v>
      </c>
      <c r="BP11" s="752">
        <v>261697</v>
      </c>
      <c r="BQ11" s="752">
        <v>30057</v>
      </c>
      <c r="BR11" s="752">
        <v>9694141</v>
      </c>
      <c r="BS11" s="752">
        <v>8695433</v>
      </c>
      <c r="BT11" s="752">
        <v>998708</v>
      </c>
      <c r="BU11" s="1486">
        <v>0.53856338888888888</v>
      </c>
      <c r="BV11" s="752">
        <v>92601</v>
      </c>
      <c r="BW11" s="752">
        <v>83061</v>
      </c>
      <c r="BX11" s="752">
        <v>9540</v>
      </c>
      <c r="BY11" s="752">
        <v>384355</v>
      </c>
      <c r="BZ11" s="752">
        <v>344758</v>
      </c>
      <c r="CA11" s="752">
        <v>39597</v>
      </c>
      <c r="CB11" s="752">
        <v>9786742</v>
      </c>
      <c r="CC11" s="752">
        <v>8778494</v>
      </c>
      <c r="CD11" s="752">
        <v>1008248</v>
      </c>
      <c r="CE11" s="1486">
        <v>0.54370788888888888</v>
      </c>
      <c r="CF11" s="752">
        <v>70303</v>
      </c>
      <c r="CG11" s="752">
        <v>63061</v>
      </c>
      <c r="CH11" s="752">
        <v>7242</v>
      </c>
      <c r="CI11" s="752">
        <v>454658</v>
      </c>
      <c r="CJ11" s="752">
        <v>407819</v>
      </c>
      <c r="CK11" s="752">
        <v>46839</v>
      </c>
      <c r="CL11" s="752">
        <v>9857045</v>
      </c>
      <c r="CM11" s="752">
        <v>8841555</v>
      </c>
      <c r="CN11" s="752">
        <v>1015490</v>
      </c>
      <c r="CO11" s="1486">
        <v>0.54761361111111106</v>
      </c>
      <c r="CP11" s="752">
        <v>37103</v>
      </c>
      <c r="CQ11" s="752">
        <v>33280</v>
      </c>
      <c r="CR11" s="752">
        <v>3823</v>
      </c>
      <c r="CS11" s="752">
        <v>491761</v>
      </c>
      <c r="CT11" s="752">
        <v>441099</v>
      </c>
      <c r="CU11" s="752">
        <v>50662</v>
      </c>
      <c r="CV11" s="752">
        <v>9894148</v>
      </c>
      <c r="CW11" s="752">
        <v>8874835</v>
      </c>
      <c r="CX11" s="752">
        <v>1019313</v>
      </c>
      <c r="CY11" s="1486">
        <v>0.54967488888888894</v>
      </c>
      <c r="CZ11" s="752">
        <v>30462</v>
      </c>
      <c r="DA11" s="752">
        <v>27324</v>
      </c>
      <c r="DB11" s="752">
        <v>3138</v>
      </c>
      <c r="DC11" s="752">
        <v>522223</v>
      </c>
      <c r="DD11" s="752">
        <v>468423</v>
      </c>
      <c r="DE11" s="752">
        <v>53800</v>
      </c>
      <c r="DF11" s="752">
        <v>9924610</v>
      </c>
      <c r="DG11" s="752">
        <v>8902159</v>
      </c>
      <c r="DH11" s="752">
        <v>1022451</v>
      </c>
      <c r="DI11" s="1486">
        <v>0.55136722222222223</v>
      </c>
      <c r="DJ11" s="752">
        <v>33118</v>
      </c>
      <c r="DK11" s="752">
        <v>29706</v>
      </c>
      <c r="DL11" s="752">
        <v>3412</v>
      </c>
      <c r="DM11" s="752">
        <v>555341</v>
      </c>
      <c r="DN11" s="752">
        <v>498129</v>
      </c>
      <c r="DO11" s="752">
        <v>57212</v>
      </c>
      <c r="DP11" s="752">
        <v>9957728</v>
      </c>
      <c r="DQ11" s="752">
        <v>8931865</v>
      </c>
      <c r="DR11" s="752">
        <v>1025863</v>
      </c>
      <c r="DS11" s="1486">
        <v>0.55320711111111109</v>
      </c>
      <c r="DT11" s="752">
        <v>47727</v>
      </c>
      <c r="DU11" s="752">
        <v>42810</v>
      </c>
      <c r="DV11" s="752">
        <v>4917</v>
      </c>
      <c r="DW11" s="752">
        <v>603068</v>
      </c>
      <c r="DX11" s="752">
        <v>540939</v>
      </c>
      <c r="DY11" s="752">
        <v>62129</v>
      </c>
      <c r="DZ11" s="752">
        <v>10005455</v>
      </c>
      <c r="EA11" s="752">
        <v>8974675</v>
      </c>
      <c r="EB11" s="752">
        <v>1030780</v>
      </c>
      <c r="EC11" s="1486">
        <v>0.55585861111111112</v>
      </c>
      <c r="ED11" s="752">
        <v>70024</v>
      </c>
      <c r="EE11" s="752">
        <v>62810</v>
      </c>
      <c r="EF11" s="752">
        <v>7214</v>
      </c>
      <c r="EG11" s="1179">
        <v>673092</v>
      </c>
      <c r="EH11" s="1179">
        <v>603749</v>
      </c>
      <c r="EI11" s="1179">
        <v>69343</v>
      </c>
      <c r="EJ11" s="1487">
        <v>0.10302157803093782</v>
      </c>
      <c r="EK11" s="1488">
        <v>10075479</v>
      </c>
      <c r="EL11" s="1488">
        <v>9037485</v>
      </c>
      <c r="EM11" s="1488">
        <v>1037994</v>
      </c>
      <c r="EN11" s="1489">
        <v>0.10302180174262683</v>
      </c>
      <c r="EO11" s="1485">
        <v>7924521</v>
      </c>
      <c r="EP11" s="1485">
        <v>7108123</v>
      </c>
      <c r="EQ11" s="1485">
        <v>816398</v>
      </c>
      <c r="ER11" s="1490">
        <v>0.10302174730813383</v>
      </c>
      <c r="ES11" s="1179">
        <v>679285</v>
      </c>
      <c r="ET11" s="1179">
        <v>609304</v>
      </c>
      <c r="EU11" s="1179">
        <v>69981</v>
      </c>
      <c r="EV11" s="1487">
        <v>0.10302155943381644</v>
      </c>
      <c r="EW11" s="1488">
        <v>10754764</v>
      </c>
      <c r="EX11" s="1488">
        <v>9646789</v>
      </c>
      <c r="EY11" s="1488">
        <v>1107975</v>
      </c>
      <c r="EZ11" s="1489">
        <v>0.10302178643808456</v>
      </c>
      <c r="FA11" s="1485">
        <v>7245236</v>
      </c>
      <c r="FB11" s="1485">
        <v>6498819</v>
      </c>
      <c r="FC11" s="1485">
        <v>746417</v>
      </c>
      <c r="FD11" s="1490">
        <v>0.10302176492249528</v>
      </c>
      <c r="FE11" s="1179">
        <v>598791</v>
      </c>
      <c r="FF11" s="1179">
        <v>537103</v>
      </c>
      <c r="FG11" s="1179">
        <v>61688</v>
      </c>
      <c r="FH11" s="1487">
        <v>0.10302092048811688</v>
      </c>
      <c r="FI11" s="1488">
        <v>11353555</v>
      </c>
      <c r="FJ11" s="1488">
        <v>10183892</v>
      </c>
      <c r="FK11" s="1488">
        <v>1169663</v>
      </c>
      <c r="FL11" s="1489">
        <v>0.10302174076753932</v>
      </c>
      <c r="FM11" s="1485">
        <v>6646445</v>
      </c>
      <c r="FN11" s="1485">
        <v>5961716</v>
      </c>
      <c r="FO11" s="1485">
        <v>684729</v>
      </c>
      <c r="FP11" s="1490">
        <v>0.10302184099921086</v>
      </c>
      <c r="FQ11" s="1179">
        <v>604112</v>
      </c>
      <c r="FR11" s="1179">
        <v>541875</v>
      </c>
      <c r="FS11" s="1179">
        <v>62237</v>
      </c>
      <c r="FT11" s="1487">
        <v>0.1030222872579919</v>
      </c>
      <c r="FU11" s="1488">
        <v>11957667</v>
      </c>
      <c r="FV11" s="1488">
        <v>10725767</v>
      </c>
      <c r="FW11" s="1488">
        <v>1231900</v>
      </c>
      <c r="FX11" s="1489">
        <v>0.10302176837672432</v>
      </c>
      <c r="FY11" s="1485">
        <v>6042333</v>
      </c>
      <c r="FZ11" s="1485">
        <v>5419841</v>
      </c>
      <c r="GA11" s="1485">
        <v>622492</v>
      </c>
      <c r="GB11" s="1490">
        <v>0.10302179638229141</v>
      </c>
      <c r="GC11" s="1179">
        <v>791228</v>
      </c>
      <c r="GD11" s="1179">
        <v>709714</v>
      </c>
      <c r="GE11" s="1179">
        <v>81514</v>
      </c>
      <c r="GF11" s="1487">
        <v>0.10302213774032264</v>
      </c>
      <c r="GG11" s="1488">
        <v>12748895</v>
      </c>
      <c r="GH11" s="1488">
        <v>11435481</v>
      </c>
      <c r="GI11" s="1488">
        <v>1313414</v>
      </c>
      <c r="GJ11" s="1489">
        <v>0.10302179130034407</v>
      </c>
      <c r="GK11" s="1485">
        <v>5251105</v>
      </c>
      <c r="GL11" s="1485">
        <v>4710127</v>
      </c>
      <c r="GM11" s="1485">
        <v>540978</v>
      </c>
      <c r="GN11" s="1490">
        <v>0.10302174494701591</v>
      </c>
      <c r="GO11" s="1179">
        <v>5251105</v>
      </c>
      <c r="GP11" s="1179">
        <v>4710127</v>
      </c>
      <c r="GQ11" s="1179">
        <v>540978</v>
      </c>
      <c r="GR11" s="1487">
        <v>0.10302174494701591</v>
      </c>
      <c r="GS11" s="1488">
        <v>18000000</v>
      </c>
      <c r="GT11" s="1488">
        <v>16145608</v>
      </c>
      <c r="GU11" s="1488">
        <v>1854392</v>
      </c>
      <c r="GV11" s="1489">
        <v>0.10302177777777778</v>
      </c>
      <c r="GW11" s="1485">
        <v>0</v>
      </c>
      <c r="GX11" s="1485">
        <v>0</v>
      </c>
      <c r="GY11" s="1485">
        <v>0</v>
      </c>
      <c r="GZ11" s="1490" t="s">
        <v>630</v>
      </c>
    </row>
    <row r="12" spans="1:210" ht="15" customHeight="1">
      <c r="A12" s="752" t="s">
        <v>631</v>
      </c>
      <c r="B12" s="1478" t="s">
        <v>1312</v>
      </c>
      <c r="C12" s="753" t="s">
        <v>1308</v>
      </c>
      <c r="D12" s="753" t="s">
        <v>1246</v>
      </c>
      <c r="E12" s="753"/>
      <c r="F12" s="1491">
        <v>4380000</v>
      </c>
      <c r="G12" s="1491">
        <v>4575503</v>
      </c>
      <c r="H12" s="1492">
        <v>-195503</v>
      </c>
      <c r="I12" s="1481">
        <v>-4.4635388127853878E-2</v>
      </c>
      <c r="J12" s="1482">
        <v>4380000</v>
      </c>
      <c r="K12" s="1482">
        <v>5129590</v>
      </c>
      <c r="L12" s="1483">
        <v>-749590</v>
      </c>
      <c r="M12" s="1481">
        <v>-0.17113926940639271</v>
      </c>
      <c r="N12" s="1482">
        <v>0</v>
      </c>
      <c r="O12" s="1482">
        <v>-554087</v>
      </c>
      <c r="P12" s="1483">
        <v>554087</v>
      </c>
      <c r="Q12" s="752">
        <v>3490734</v>
      </c>
      <c r="R12" s="752">
        <v>3686237</v>
      </c>
      <c r="S12" s="752">
        <v>-195503</v>
      </c>
      <c r="T12" s="1484">
        <v>-5.6006272606277073E-2</v>
      </c>
      <c r="U12" s="1485">
        <v>889266</v>
      </c>
      <c r="V12" s="1485">
        <v>889266</v>
      </c>
      <c r="W12" s="1485">
        <v>0</v>
      </c>
      <c r="X12" s="752">
        <v>218939</v>
      </c>
      <c r="Y12" s="752">
        <v>218939</v>
      </c>
      <c r="Z12" s="752">
        <v>0</v>
      </c>
      <c r="AA12" s="752">
        <v>218939</v>
      </c>
      <c r="AB12" s="752">
        <v>218939</v>
      </c>
      <c r="AC12" s="752">
        <v>0</v>
      </c>
      <c r="AD12" s="752">
        <v>3709673</v>
      </c>
      <c r="AE12" s="752">
        <v>3905176</v>
      </c>
      <c r="AF12" s="752">
        <v>-195503</v>
      </c>
      <c r="AG12" s="1486">
        <v>0.8469573059360731</v>
      </c>
      <c r="AH12" s="752">
        <v>118592</v>
      </c>
      <c r="AI12" s="752">
        <v>118592</v>
      </c>
      <c r="AJ12" s="752">
        <v>0</v>
      </c>
      <c r="AK12" s="752">
        <v>337531</v>
      </c>
      <c r="AL12" s="752">
        <v>337531</v>
      </c>
      <c r="AM12" s="752">
        <v>0</v>
      </c>
      <c r="AN12" s="752">
        <v>3828265</v>
      </c>
      <c r="AO12" s="752">
        <v>4023768</v>
      </c>
      <c r="AP12" s="752">
        <v>-195503</v>
      </c>
      <c r="AQ12" s="1486">
        <v>0.87403310502283105</v>
      </c>
      <c r="AR12" s="752">
        <v>118592</v>
      </c>
      <c r="AS12" s="752">
        <v>118592</v>
      </c>
      <c r="AT12" s="752">
        <v>0</v>
      </c>
      <c r="AU12" s="752">
        <v>456123</v>
      </c>
      <c r="AV12" s="752">
        <v>456123</v>
      </c>
      <c r="AW12" s="752">
        <v>0</v>
      </c>
      <c r="AX12" s="752">
        <v>3946857</v>
      </c>
      <c r="AY12" s="752">
        <v>4142360</v>
      </c>
      <c r="AZ12" s="752">
        <v>-195503</v>
      </c>
      <c r="BA12" s="1486">
        <v>0.90110890410958899</v>
      </c>
      <c r="BB12" s="752">
        <v>50173</v>
      </c>
      <c r="BC12" s="752">
        <v>50173</v>
      </c>
      <c r="BD12" s="752">
        <v>0</v>
      </c>
      <c r="BE12" s="752">
        <v>506296</v>
      </c>
      <c r="BF12" s="752">
        <v>506296</v>
      </c>
      <c r="BG12" s="752">
        <v>0</v>
      </c>
      <c r="BH12" s="752">
        <v>3997030</v>
      </c>
      <c r="BI12" s="752">
        <v>4192533</v>
      </c>
      <c r="BJ12" s="752">
        <v>-195503</v>
      </c>
      <c r="BK12" s="1486">
        <v>0.91256392694063926</v>
      </c>
      <c r="BL12" s="752">
        <v>50174</v>
      </c>
      <c r="BM12" s="752">
        <v>50174</v>
      </c>
      <c r="BN12" s="752">
        <v>0</v>
      </c>
      <c r="BO12" s="752">
        <v>556470</v>
      </c>
      <c r="BP12" s="752">
        <v>556470</v>
      </c>
      <c r="BQ12" s="752">
        <v>0</v>
      </c>
      <c r="BR12" s="752">
        <v>4047204</v>
      </c>
      <c r="BS12" s="752">
        <v>4242707</v>
      </c>
      <c r="BT12" s="752">
        <v>-195503</v>
      </c>
      <c r="BU12" s="1486">
        <v>0.92401917808219181</v>
      </c>
      <c r="BV12" s="752">
        <v>50173</v>
      </c>
      <c r="BW12" s="752">
        <v>50173</v>
      </c>
      <c r="BX12" s="752">
        <v>0</v>
      </c>
      <c r="BY12" s="752">
        <v>606643</v>
      </c>
      <c r="BZ12" s="752">
        <v>606643</v>
      </c>
      <c r="CA12" s="752">
        <v>0</v>
      </c>
      <c r="CB12" s="752">
        <v>4097377</v>
      </c>
      <c r="CC12" s="752">
        <v>4292880</v>
      </c>
      <c r="CD12" s="752">
        <v>-195503</v>
      </c>
      <c r="CE12" s="1486">
        <v>0.93547420091324196</v>
      </c>
      <c r="CF12" s="752">
        <v>72980</v>
      </c>
      <c r="CG12" s="752">
        <v>72980</v>
      </c>
      <c r="CH12" s="752">
        <v>0</v>
      </c>
      <c r="CI12" s="752">
        <v>679623</v>
      </c>
      <c r="CJ12" s="752">
        <v>679623</v>
      </c>
      <c r="CK12" s="752">
        <v>0</v>
      </c>
      <c r="CL12" s="752">
        <v>4170357</v>
      </c>
      <c r="CM12" s="752">
        <v>4365860</v>
      </c>
      <c r="CN12" s="752">
        <v>-195503</v>
      </c>
      <c r="CO12" s="1486">
        <v>0.95213630136986305</v>
      </c>
      <c r="CP12" s="752">
        <v>0</v>
      </c>
      <c r="CQ12" s="752">
        <v>0</v>
      </c>
      <c r="CR12" s="752">
        <v>0</v>
      </c>
      <c r="CS12" s="752">
        <v>679623</v>
      </c>
      <c r="CT12" s="752">
        <v>679623</v>
      </c>
      <c r="CU12" s="752">
        <v>0</v>
      </c>
      <c r="CV12" s="752">
        <v>4170357</v>
      </c>
      <c r="CW12" s="752">
        <v>4365860</v>
      </c>
      <c r="CX12" s="752">
        <v>-195503</v>
      </c>
      <c r="CY12" s="1486">
        <v>0.95213630136986305</v>
      </c>
      <c r="CZ12" s="752">
        <v>0</v>
      </c>
      <c r="DA12" s="752">
        <v>0</v>
      </c>
      <c r="DB12" s="752">
        <v>0</v>
      </c>
      <c r="DC12" s="752">
        <v>679623</v>
      </c>
      <c r="DD12" s="752">
        <v>679623</v>
      </c>
      <c r="DE12" s="752">
        <v>0</v>
      </c>
      <c r="DF12" s="752">
        <v>4170357</v>
      </c>
      <c r="DG12" s="752">
        <v>4365860</v>
      </c>
      <c r="DH12" s="752">
        <v>-195503</v>
      </c>
      <c r="DI12" s="1486">
        <v>0.95213630136986305</v>
      </c>
      <c r="DJ12" s="752">
        <v>0</v>
      </c>
      <c r="DK12" s="752">
        <v>0</v>
      </c>
      <c r="DL12" s="752">
        <v>0</v>
      </c>
      <c r="DM12" s="752">
        <v>679623</v>
      </c>
      <c r="DN12" s="752">
        <v>679623</v>
      </c>
      <c r="DO12" s="752">
        <v>0</v>
      </c>
      <c r="DP12" s="752">
        <v>4170357</v>
      </c>
      <c r="DQ12" s="752">
        <v>4365860</v>
      </c>
      <c r="DR12" s="752">
        <v>-195503</v>
      </c>
      <c r="DS12" s="1486">
        <v>0.95213630136986305</v>
      </c>
      <c r="DT12" s="752">
        <v>0</v>
      </c>
      <c r="DU12" s="752">
        <v>0</v>
      </c>
      <c r="DV12" s="752">
        <v>0</v>
      </c>
      <c r="DW12" s="752">
        <v>679623</v>
      </c>
      <c r="DX12" s="752">
        <v>679623</v>
      </c>
      <c r="DY12" s="752">
        <v>0</v>
      </c>
      <c r="DZ12" s="752">
        <v>4170357</v>
      </c>
      <c r="EA12" s="752">
        <v>4365860</v>
      </c>
      <c r="EB12" s="752">
        <v>-195503</v>
      </c>
      <c r="EC12" s="1486">
        <v>0.95213630136986305</v>
      </c>
      <c r="ED12" s="752">
        <v>209643</v>
      </c>
      <c r="EE12" s="752">
        <v>209643</v>
      </c>
      <c r="EF12" s="752">
        <v>0</v>
      </c>
      <c r="EG12" s="1179">
        <v>889266</v>
      </c>
      <c r="EH12" s="1179">
        <v>889266</v>
      </c>
      <c r="EI12" s="1179">
        <v>0</v>
      </c>
      <c r="EJ12" s="1487">
        <v>0</v>
      </c>
      <c r="EK12" s="1488">
        <v>4380000</v>
      </c>
      <c r="EL12" s="1488">
        <v>4575503</v>
      </c>
      <c r="EM12" s="1488">
        <v>-195503</v>
      </c>
      <c r="EN12" s="1489">
        <v>-4.4635388127853878E-2</v>
      </c>
      <c r="EO12" s="1485">
        <v>0</v>
      </c>
      <c r="EP12" s="1485">
        <v>0</v>
      </c>
      <c r="EQ12" s="1485">
        <v>0</v>
      </c>
      <c r="ER12" s="1490" t="s">
        <v>630</v>
      </c>
      <c r="ES12" s="1179">
        <v>0</v>
      </c>
      <c r="ET12" s="1179">
        <v>0</v>
      </c>
      <c r="EU12" s="1179">
        <v>0</v>
      </c>
      <c r="EV12" s="1487" t="s">
        <v>630</v>
      </c>
      <c r="EW12" s="1488">
        <v>4380000</v>
      </c>
      <c r="EX12" s="1488">
        <v>4575503</v>
      </c>
      <c r="EY12" s="1488">
        <v>-195503</v>
      </c>
      <c r="EZ12" s="1489">
        <v>-4.4635388127853878E-2</v>
      </c>
      <c r="FA12" s="1485">
        <v>0</v>
      </c>
      <c r="FB12" s="1485">
        <v>0</v>
      </c>
      <c r="FC12" s="1485">
        <v>0</v>
      </c>
      <c r="FD12" s="1490" t="s">
        <v>630</v>
      </c>
      <c r="FE12" s="1179">
        <v>0</v>
      </c>
      <c r="FF12" s="1179">
        <v>0</v>
      </c>
      <c r="FG12" s="1179">
        <v>0</v>
      </c>
      <c r="FH12" s="1487" t="s">
        <v>630</v>
      </c>
      <c r="FI12" s="1488">
        <v>4380000</v>
      </c>
      <c r="FJ12" s="1488">
        <v>4575503</v>
      </c>
      <c r="FK12" s="1488">
        <v>-195503</v>
      </c>
      <c r="FL12" s="1489">
        <v>-4.4635388127853878E-2</v>
      </c>
      <c r="FM12" s="1485">
        <v>0</v>
      </c>
      <c r="FN12" s="1485">
        <v>0</v>
      </c>
      <c r="FO12" s="1485">
        <v>0</v>
      </c>
      <c r="FP12" s="1490" t="s">
        <v>630</v>
      </c>
      <c r="FQ12" s="1179">
        <v>0</v>
      </c>
      <c r="FR12" s="1179">
        <v>0</v>
      </c>
      <c r="FS12" s="1179">
        <v>0</v>
      </c>
      <c r="FT12" s="1487" t="s">
        <v>630</v>
      </c>
      <c r="FU12" s="1488">
        <v>4380000</v>
      </c>
      <c r="FV12" s="1488">
        <v>4575503</v>
      </c>
      <c r="FW12" s="1488">
        <v>-195503</v>
      </c>
      <c r="FX12" s="1489">
        <v>-4.4635388127853878E-2</v>
      </c>
      <c r="FY12" s="1485">
        <v>0</v>
      </c>
      <c r="FZ12" s="1485">
        <v>0</v>
      </c>
      <c r="GA12" s="1485">
        <v>0</v>
      </c>
      <c r="GB12" s="1490" t="s">
        <v>630</v>
      </c>
      <c r="GC12" s="1179">
        <v>0</v>
      </c>
      <c r="GD12" s="1179">
        <v>0</v>
      </c>
      <c r="GE12" s="1179">
        <v>0</v>
      </c>
      <c r="GF12" s="1487" t="s">
        <v>630</v>
      </c>
      <c r="GG12" s="1488">
        <v>4380000</v>
      </c>
      <c r="GH12" s="1488">
        <v>4575503</v>
      </c>
      <c r="GI12" s="1488">
        <v>-195503</v>
      </c>
      <c r="GJ12" s="1489">
        <v>-4.4635388127853878E-2</v>
      </c>
      <c r="GK12" s="1485">
        <v>0</v>
      </c>
      <c r="GL12" s="1485">
        <v>0</v>
      </c>
      <c r="GM12" s="1485">
        <v>0</v>
      </c>
      <c r="GN12" s="1490" t="s">
        <v>630</v>
      </c>
      <c r="GO12" s="1179">
        <v>0</v>
      </c>
      <c r="GP12" s="1179">
        <v>0</v>
      </c>
      <c r="GQ12" s="1179">
        <v>0</v>
      </c>
      <c r="GR12" s="1487" t="s">
        <v>630</v>
      </c>
      <c r="GS12" s="1488">
        <v>4380000</v>
      </c>
      <c r="GT12" s="1488">
        <v>4575503</v>
      </c>
      <c r="GU12" s="1488">
        <v>-195503</v>
      </c>
      <c r="GV12" s="1489">
        <v>-4.4635388127853878E-2</v>
      </c>
      <c r="GW12" s="1485">
        <v>0</v>
      </c>
      <c r="GX12" s="1485">
        <v>0</v>
      </c>
      <c r="GY12" s="1485">
        <v>0</v>
      </c>
      <c r="GZ12" s="1490" t="s">
        <v>630</v>
      </c>
    </row>
    <row r="13" spans="1:210" s="611" customFormat="1">
      <c r="A13" s="1493" t="s">
        <v>633</v>
      </c>
      <c r="B13" s="1494" t="s">
        <v>2082</v>
      </c>
      <c r="C13" s="1495" t="s">
        <v>1314</v>
      </c>
      <c r="D13" s="1495" t="s">
        <v>1246</v>
      </c>
      <c r="E13" s="1495"/>
      <c r="F13" s="1496">
        <v>3525000</v>
      </c>
      <c r="G13" s="1496">
        <v>2838696</v>
      </c>
      <c r="H13" s="1497">
        <v>686304</v>
      </c>
      <c r="I13" s="1498">
        <v>0.19469617021276595</v>
      </c>
      <c r="J13" s="1499">
        <v>3525000</v>
      </c>
      <c r="K13" s="1499">
        <v>2619762</v>
      </c>
      <c r="L13" s="1500">
        <v>905238</v>
      </c>
      <c r="M13" s="1498">
        <v>0.25680510638297871</v>
      </c>
      <c r="N13" s="1499">
        <v>0</v>
      </c>
      <c r="O13" s="1499">
        <v>218934</v>
      </c>
      <c r="P13" s="1500">
        <v>-218934</v>
      </c>
      <c r="Q13" s="1493">
        <v>1567877</v>
      </c>
      <c r="R13" s="1493">
        <v>1262617</v>
      </c>
      <c r="S13" s="1493">
        <v>305260</v>
      </c>
      <c r="T13" s="1501">
        <v>0.19469639518916343</v>
      </c>
      <c r="U13" s="1502">
        <v>1957123</v>
      </c>
      <c r="V13" s="1502">
        <v>1576079</v>
      </c>
      <c r="W13" s="1502">
        <v>381044</v>
      </c>
      <c r="X13" s="1493">
        <v>0</v>
      </c>
      <c r="Y13" s="1493">
        <v>0</v>
      </c>
      <c r="Z13" s="1493">
        <v>0</v>
      </c>
      <c r="AA13" s="1493">
        <v>0</v>
      </c>
      <c r="AB13" s="1493">
        <v>0</v>
      </c>
      <c r="AC13" s="1493">
        <v>0</v>
      </c>
      <c r="AD13" s="1493">
        <v>1567877</v>
      </c>
      <c r="AE13" s="1493">
        <v>1262617</v>
      </c>
      <c r="AF13" s="1493">
        <v>305260</v>
      </c>
      <c r="AG13" s="1503">
        <v>0.44478780141843971</v>
      </c>
      <c r="AH13" s="1493">
        <v>0</v>
      </c>
      <c r="AI13" s="1493">
        <v>0</v>
      </c>
      <c r="AJ13" s="1493">
        <v>0</v>
      </c>
      <c r="AK13" s="1493">
        <v>0</v>
      </c>
      <c r="AL13" s="1493">
        <v>0</v>
      </c>
      <c r="AM13" s="1493">
        <v>0</v>
      </c>
      <c r="AN13" s="1493">
        <v>1567877</v>
      </c>
      <c r="AO13" s="1493">
        <v>1262617</v>
      </c>
      <c r="AP13" s="1493">
        <v>305260</v>
      </c>
      <c r="AQ13" s="1503">
        <v>0.44478780141843971</v>
      </c>
      <c r="AR13" s="1493">
        <v>207089</v>
      </c>
      <c r="AS13" s="1493">
        <v>166770</v>
      </c>
      <c r="AT13" s="1493">
        <v>40319</v>
      </c>
      <c r="AU13" s="1493">
        <v>207089</v>
      </c>
      <c r="AV13" s="1493">
        <v>166770</v>
      </c>
      <c r="AW13" s="1493">
        <v>40319</v>
      </c>
      <c r="AX13" s="1493">
        <v>1774966</v>
      </c>
      <c r="AY13" s="1493">
        <v>1429387</v>
      </c>
      <c r="AZ13" s="1493">
        <v>345579</v>
      </c>
      <c r="BA13" s="1503">
        <v>0.50353645390070922</v>
      </c>
      <c r="BB13" s="1493">
        <v>48814</v>
      </c>
      <c r="BC13" s="1493">
        <v>39310</v>
      </c>
      <c r="BD13" s="1493">
        <v>9504</v>
      </c>
      <c r="BE13" s="1493">
        <v>255903</v>
      </c>
      <c r="BF13" s="1493">
        <v>206080</v>
      </c>
      <c r="BG13" s="1493">
        <v>49823</v>
      </c>
      <c r="BH13" s="1493">
        <v>1823780</v>
      </c>
      <c r="BI13" s="1493">
        <v>1468697</v>
      </c>
      <c r="BJ13" s="1493">
        <v>355083</v>
      </c>
      <c r="BK13" s="1503">
        <v>0.51738439716312057</v>
      </c>
      <c r="BL13" s="1493">
        <v>48814</v>
      </c>
      <c r="BM13" s="1493">
        <v>39310</v>
      </c>
      <c r="BN13" s="1493">
        <v>9504</v>
      </c>
      <c r="BO13" s="1493">
        <v>304717</v>
      </c>
      <c r="BP13" s="1493">
        <v>245390</v>
      </c>
      <c r="BQ13" s="1493">
        <v>59327</v>
      </c>
      <c r="BR13" s="1493">
        <v>1872594</v>
      </c>
      <c r="BS13" s="1493">
        <v>1508007</v>
      </c>
      <c r="BT13" s="1493">
        <v>364587</v>
      </c>
      <c r="BU13" s="1503">
        <v>0.53123234042553191</v>
      </c>
      <c r="BV13" s="1493">
        <v>86067</v>
      </c>
      <c r="BW13" s="1493">
        <v>69310</v>
      </c>
      <c r="BX13" s="1493">
        <v>16757</v>
      </c>
      <c r="BY13" s="1493">
        <v>390784</v>
      </c>
      <c r="BZ13" s="1493">
        <v>314700</v>
      </c>
      <c r="CA13" s="1493">
        <v>76084</v>
      </c>
      <c r="CB13" s="1493">
        <v>1958661</v>
      </c>
      <c r="CC13" s="1493">
        <v>1577317</v>
      </c>
      <c r="CD13" s="1493">
        <v>381344</v>
      </c>
      <c r="CE13" s="1503">
        <v>0.5556485106382979</v>
      </c>
      <c r="CF13" s="1493">
        <v>48814</v>
      </c>
      <c r="CG13" s="1493">
        <v>39310</v>
      </c>
      <c r="CH13" s="1493">
        <v>9504</v>
      </c>
      <c r="CI13" s="1493">
        <v>439598</v>
      </c>
      <c r="CJ13" s="1493">
        <v>354010</v>
      </c>
      <c r="CK13" s="1493">
        <v>85588</v>
      </c>
      <c r="CL13" s="1493">
        <v>2007475</v>
      </c>
      <c r="CM13" s="1493">
        <v>1616627</v>
      </c>
      <c r="CN13" s="1493">
        <v>390848</v>
      </c>
      <c r="CO13" s="1503">
        <v>0.56949645390070924</v>
      </c>
      <c r="CP13" s="1493">
        <v>48813</v>
      </c>
      <c r="CQ13" s="1493">
        <v>39310</v>
      </c>
      <c r="CR13" s="1493">
        <v>9503</v>
      </c>
      <c r="CS13" s="1493">
        <v>488411</v>
      </c>
      <c r="CT13" s="1493">
        <v>393320</v>
      </c>
      <c r="CU13" s="1493">
        <v>95091</v>
      </c>
      <c r="CV13" s="1493">
        <v>2056288</v>
      </c>
      <c r="CW13" s="1493">
        <v>1655937</v>
      </c>
      <c r="CX13" s="1493">
        <v>400351</v>
      </c>
      <c r="CY13" s="1503">
        <v>0.58334411347517734</v>
      </c>
      <c r="CZ13" s="1493">
        <v>48814</v>
      </c>
      <c r="DA13" s="1493">
        <v>39310</v>
      </c>
      <c r="DB13" s="1493">
        <v>9504</v>
      </c>
      <c r="DC13" s="1493">
        <v>537225</v>
      </c>
      <c r="DD13" s="1493">
        <v>432630</v>
      </c>
      <c r="DE13" s="1493">
        <v>104595</v>
      </c>
      <c r="DF13" s="1493">
        <v>2105102</v>
      </c>
      <c r="DG13" s="1493">
        <v>1695247</v>
      </c>
      <c r="DH13" s="1493">
        <v>409855</v>
      </c>
      <c r="DI13" s="1503">
        <v>0.59719205673758868</v>
      </c>
      <c r="DJ13" s="1493">
        <v>48814</v>
      </c>
      <c r="DK13" s="1493">
        <v>39310</v>
      </c>
      <c r="DL13" s="1493">
        <v>9504</v>
      </c>
      <c r="DM13" s="1493">
        <v>586039</v>
      </c>
      <c r="DN13" s="1493">
        <v>471940</v>
      </c>
      <c r="DO13" s="1493">
        <v>114099</v>
      </c>
      <c r="DP13" s="1493">
        <v>2153916</v>
      </c>
      <c r="DQ13" s="1493">
        <v>1734557</v>
      </c>
      <c r="DR13" s="1493">
        <v>419359</v>
      </c>
      <c r="DS13" s="1503">
        <v>0.61104000000000003</v>
      </c>
      <c r="DT13" s="1493">
        <v>48814</v>
      </c>
      <c r="DU13" s="1493">
        <v>39310</v>
      </c>
      <c r="DV13" s="1493">
        <v>9504</v>
      </c>
      <c r="DW13" s="1493">
        <v>634853</v>
      </c>
      <c r="DX13" s="1493">
        <v>511250</v>
      </c>
      <c r="DY13" s="1493">
        <v>123603</v>
      </c>
      <c r="DZ13" s="1493">
        <v>2202730</v>
      </c>
      <c r="EA13" s="1493">
        <v>1773867</v>
      </c>
      <c r="EB13" s="1493">
        <v>428863</v>
      </c>
      <c r="EC13" s="1503">
        <v>0.62488794326241137</v>
      </c>
      <c r="ED13" s="1493">
        <v>98485</v>
      </c>
      <c r="EE13" s="1493">
        <v>79310</v>
      </c>
      <c r="EF13" s="1493">
        <v>19175</v>
      </c>
      <c r="EG13" s="1189">
        <v>733338</v>
      </c>
      <c r="EH13" s="1189">
        <v>590560</v>
      </c>
      <c r="EI13" s="1189">
        <v>142778</v>
      </c>
      <c r="EJ13" s="1504">
        <v>0.19469603375251249</v>
      </c>
      <c r="EK13" s="1505">
        <v>2301215</v>
      </c>
      <c r="EL13" s="1505">
        <v>1853177</v>
      </c>
      <c r="EM13" s="1505">
        <v>448038</v>
      </c>
      <c r="EN13" s="1506">
        <v>0.19469628000860414</v>
      </c>
      <c r="EO13" s="1502">
        <v>1223785</v>
      </c>
      <c r="EP13" s="1502">
        <v>985519</v>
      </c>
      <c r="EQ13" s="1502">
        <v>238266</v>
      </c>
      <c r="ER13" s="1507">
        <v>0.19469596375180281</v>
      </c>
      <c r="ES13" s="1189">
        <v>353987</v>
      </c>
      <c r="ET13" s="1189">
        <v>285067</v>
      </c>
      <c r="EU13" s="1189">
        <v>68920</v>
      </c>
      <c r="EV13" s="1504">
        <v>0.1946964154050855</v>
      </c>
      <c r="EW13" s="1505">
        <v>2655202</v>
      </c>
      <c r="EX13" s="1505">
        <v>2138244</v>
      </c>
      <c r="EY13" s="1505">
        <v>516958</v>
      </c>
      <c r="EZ13" s="1506">
        <v>0.194696298059432</v>
      </c>
      <c r="FA13" s="1502">
        <v>869798</v>
      </c>
      <c r="FB13" s="1502">
        <v>700452</v>
      </c>
      <c r="FC13" s="1502">
        <v>169346</v>
      </c>
      <c r="FD13" s="1507">
        <v>0.19469577993971013</v>
      </c>
      <c r="FE13" s="1189">
        <v>869798</v>
      </c>
      <c r="FF13" s="1189">
        <v>700452</v>
      </c>
      <c r="FG13" s="1189">
        <v>169346</v>
      </c>
      <c r="FH13" s="1504">
        <v>0.19469577993971013</v>
      </c>
      <c r="FI13" s="1505">
        <v>3525000</v>
      </c>
      <c r="FJ13" s="1505">
        <v>2838696</v>
      </c>
      <c r="FK13" s="1505">
        <v>686304</v>
      </c>
      <c r="FL13" s="1506">
        <v>0.19469617021276595</v>
      </c>
      <c r="FM13" s="1502">
        <v>0</v>
      </c>
      <c r="FN13" s="1502">
        <v>0</v>
      </c>
      <c r="FO13" s="1502">
        <v>0</v>
      </c>
      <c r="FP13" s="1507" t="s">
        <v>630</v>
      </c>
      <c r="FQ13" s="1189">
        <v>0</v>
      </c>
      <c r="FR13" s="1189">
        <v>0</v>
      </c>
      <c r="FS13" s="1189">
        <v>0</v>
      </c>
      <c r="FT13" s="1504" t="s">
        <v>630</v>
      </c>
      <c r="FU13" s="1505">
        <v>3525000</v>
      </c>
      <c r="FV13" s="1505">
        <v>2838696</v>
      </c>
      <c r="FW13" s="1505">
        <v>686304</v>
      </c>
      <c r="FX13" s="1506">
        <v>0.19469617021276595</v>
      </c>
      <c r="FY13" s="1502">
        <v>0</v>
      </c>
      <c r="FZ13" s="1502">
        <v>0</v>
      </c>
      <c r="GA13" s="1502">
        <v>0</v>
      </c>
      <c r="GB13" s="1507" t="s">
        <v>630</v>
      </c>
      <c r="GC13" s="1189">
        <v>0</v>
      </c>
      <c r="GD13" s="1189">
        <v>0</v>
      </c>
      <c r="GE13" s="1189">
        <v>0</v>
      </c>
      <c r="GF13" s="1504" t="s">
        <v>630</v>
      </c>
      <c r="GG13" s="1505">
        <v>3525000</v>
      </c>
      <c r="GH13" s="1505">
        <v>2838696</v>
      </c>
      <c r="GI13" s="1505">
        <v>686304</v>
      </c>
      <c r="GJ13" s="1506">
        <v>0.19469617021276595</v>
      </c>
      <c r="GK13" s="1502">
        <v>0</v>
      </c>
      <c r="GL13" s="1502">
        <v>0</v>
      </c>
      <c r="GM13" s="1502">
        <v>0</v>
      </c>
      <c r="GN13" s="1507" t="s">
        <v>630</v>
      </c>
      <c r="GO13" s="1189">
        <v>0</v>
      </c>
      <c r="GP13" s="1189">
        <v>0</v>
      </c>
      <c r="GQ13" s="1189">
        <v>0</v>
      </c>
      <c r="GR13" s="1504" t="s">
        <v>630</v>
      </c>
      <c r="GS13" s="1505">
        <v>3525000</v>
      </c>
      <c r="GT13" s="1505">
        <v>2838696</v>
      </c>
      <c r="GU13" s="1505">
        <v>686304</v>
      </c>
      <c r="GV13" s="1506">
        <v>0.19469617021276595</v>
      </c>
      <c r="GW13" s="1502">
        <v>0</v>
      </c>
      <c r="GX13" s="1502">
        <v>0</v>
      </c>
      <c r="GY13" s="1502">
        <v>0</v>
      </c>
      <c r="GZ13" s="1507" t="s">
        <v>630</v>
      </c>
      <c r="HB13" s="532" t="s">
        <v>2493</v>
      </c>
    </row>
    <row r="14" spans="1:210">
      <c r="A14" s="752" t="s">
        <v>634</v>
      </c>
      <c r="B14" s="1478" t="s">
        <v>1315</v>
      </c>
      <c r="C14" s="753" t="s">
        <v>1308</v>
      </c>
      <c r="D14" s="753" t="s">
        <v>1246</v>
      </c>
      <c r="E14" s="753"/>
      <c r="F14" s="1491">
        <v>7800000</v>
      </c>
      <c r="G14" s="1491">
        <v>7041372</v>
      </c>
      <c r="H14" s="1492">
        <v>758628</v>
      </c>
      <c r="I14" s="1481">
        <v>9.7259999999999999E-2</v>
      </c>
      <c r="J14" s="1482">
        <v>7800000</v>
      </c>
      <c r="K14" s="1482">
        <v>5637208</v>
      </c>
      <c r="L14" s="1483">
        <v>2162792</v>
      </c>
      <c r="M14" s="1481">
        <v>0.27728102564102564</v>
      </c>
      <c r="N14" s="1482">
        <v>0</v>
      </c>
      <c r="O14" s="1482">
        <v>1404164</v>
      </c>
      <c r="P14" s="1483">
        <v>-1404164</v>
      </c>
      <c r="Q14" s="752">
        <v>5416753</v>
      </c>
      <c r="R14" s="752">
        <v>4889920</v>
      </c>
      <c r="S14" s="752">
        <v>526833</v>
      </c>
      <c r="T14" s="1484">
        <v>9.7259926749475187E-2</v>
      </c>
      <c r="U14" s="1485">
        <v>2383247</v>
      </c>
      <c r="V14" s="1485">
        <v>2151452</v>
      </c>
      <c r="W14" s="1485">
        <v>231795</v>
      </c>
      <c r="X14" s="752">
        <v>131955</v>
      </c>
      <c r="Y14" s="752">
        <v>119121</v>
      </c>
      <c r="Z14" s="752">
        <v>12834</v>
      </c>
      <c r="AA14" s="752">
        <v>131955</v>
      </c>
      <c r="AB14" s="752">
        <v>119121</v>
      </c>
      <c r="AC14" s="752">
        <v>12834</v>
      </c>
      <c r="AD14" s="752">
        <v>5548708</v>
      </c>
      <c r="AE14" s="752">
        <v>5009041</v>
      </c>
      <c r="AF14" s="752">
        <v>539667</v>
      </c>
      <c r="AG14" s="1486">
        <v>0.71137282051282047</v>
      </c>
      <c r="AH14" s="752">
        <v>131955</v>
      </c>
      <c r="AI14" s="752">
        <v>119121</v>
      </c>
      <c r="AJ14" s="752">
        <v>12834</v>
      </c>
      <c r="AK14" s="752">
        <v>263910</v>
      </c>
      <c r="AL14" s="752">
        <v>238242</v>
      </c>
      <c r="AM14" s="752">
        <v>25668</v>
      </c>
      <c r="AN14" s="752">
        <v>5680663</v>
      </c>
      <c r="AO14" s="752">
        <v>5128162</v>
      </c>
      <c r="AP14" s="752">
        <v>552501</v>
      </c>
      <c r="AQ14" s="1486">
        <v>0.72829012820512817</v>
      </c>
      <c r="AR14" s="752">
        <v>131955</v>
      </c>
      <c r="AS14" s="752">
        <v>119121</v>
      </c>
      <c r="AT14" s="752">
        <v>12834</v>
      </c>
      <c r="AU14" s="752">
        <v>395865</v>
      </c>
      <c r="AV14" s="752">
        <v>357363</v>
      </c>
      <c r="AW14" s="752">
        <v>38502</v>
      </c>
      <c r="AX14" s="752">
        <v>5812618</v>
      </c>
      <c r="AY14" s="752">
        <v>5247283</v>
      </c>
      <c r="AZ14" s="752">
        <v>565335</v>
      </c>
      <c r="BA14" s="1486">
        <v>0.74520743589743588</v>
      </c>
      <c r="BB14" s="752">
        <v>131955</v>
      </c>
      <c r="BC14" s="752">
        <v>119121</v>
      </c>
      <c r="BD14" s="752">
        <v>12834</v>
      </c>
      <c r="BE14" s="752">
        <v>527820</v>
      </c>
      <c r="BF14" s="752">
        <v>476484</v>
      </c>
      <c r="BG14" s="752">
        <v>51336</v>
      </c>
      <c r="BH14" s="752">
        <v>5944573</v>
      </c>
      <c r="BI14" s="752">
        <v>5366404</v>
      </c>
      <c r="BJ14" s="752">
        <v>578169</v>
      </c>
      <c r="BK14" s="1486">
        <v>0.76212474358974358</v>
      </c>
      <c r="BL14" s="752">
        <v>131955</v>
      </c>
      <c r="BM14" s="752">
        <v>119121</v>
      </c>
      <c r="BN14" s="752">
        <v>12834</v>
      </c>
      <c r="BO14" s="752">
        <v>659775</v>
      </c>
      <c r="BP14" s="752">
        <v>595605</v>
      </c>
      <c r="BQ14" s="752">
        <v>64170</v>
      </c>
      <c r="BR14" s="752">
        <v>6076528</v>
      </c>
      <c r="BS14" s="752">
        <v>5485525</v>
      </c>
      <c r="BT14" s="752">
        <v>591003</v>
      </c>
      <c r="BU14" s="1486">
        <v>0.77904205128205128</v>
      </c>
      <c r="BV14" s="752">
        <v>154110</v>
      </c>
      <c r="BW14" s="752">
        <v>139121</v>
      </c>
      <c r="BX14" s="752">
        <v>14989</v>
      </c>
      <c r="BY14" s="752">
        <v>813885</v>
      </c>
      <c r="BZ14" s="752">
        <v>734726</v>
      </c>
      <c r="CA14" s="752">
        <v>79159</v>
      </c>
      <c r="CB14" s="752">
        <v>6230638</v>
      </c>
      <c r="CC14" s="752">
        <v>5624646</v>
      </c>
      <c r="CD14" s="752">
        <v>605992</v>
      </c>
      <c r="CE14" s="1486">
        <v>0.79879974358974359</v>
      </c>
      <c r="CF14" s="752">
        <v>131955</v>
      </c>
      <c r="CG14" s="752">
        <v>119121</v>
      </c>
      <c r="CH14" s="752">
        <v>12834</v>
      </c>
      <c r="CI14" s="752">
        <v>945840</v>
      </c>
      <c r="CJ14" s="752">
        <v>853847</v>
      </c>
      <c r="CK14" s="752">
        <v>91993</v>
      </c>
      <c r="CL14" s="752">
        <v>6362593</v>
      </c>
      <c r="CM14" s="752">
        <v>5743767</v>
      </c>
      <c r="CN14" s="752">
        <v>618826</v>
      </c>
      <c r="CO14" s="1486">
        <v>0.8157170512820513</v>
      </c>
      <c r="CP14" s="752">
        <v>131955</v>
      </c>
      <c r="CQ14" s="752">
        <v>119121</v>
      </c>
      <c r="CR14" s="752">
        <v>12834</v>
      </c>
      <c r="CS14" s="752">
        <v>1077795</v>
      </c>
      <c r="CT14" s="752">
        <v>972968</v>
      </c>
      <c r="CU14" s="752">
        <v>104827</v>
      </c>
      <c r="CV14" s="752">
        <v>6494548</v>
      </c>
      <c r="CW14" s="752">
        <v>5862888</v>
      </c>
      <c r="CX14" s="752">
        <v>631660</v>
      </c>
      <c r="CY14" s="1486">
        <v>0.832634358974359</v>
      </c>
      <c r="CZ14" s="752">
        <v>131955</v>
      </c>
      <c r="DA14" s="752">
        <v>119121</v>
      </c>
      <c r="DB14" s="752">
        <v>12834</v>
      </c>
      <c r="DC14" s="752">
        <v>1209750</v>
      </c>
      <c r="DD14" s="752">
        <v>1092089</v>
      </c>
      <c r="DE14" s="752">
        <v>117661</v>
      </c>
      <c r="DF14" s="752">
        <v>6626503</v>
      </c>
      <c r="DG14" s="752">
        <v>5982009</v>
      </c>
      <c r="DH14" s="752">
        <v>644494</v>
      </c>
      <c r="DI14" s="1486">
        <v>0.8495516666666667</v>
      </c>
      <c r="DJ14" s="752">
        <v>131955</v>
      </c>
      <c r="DK14" s="752">
        <v>119121</v>
      </c>
      <c r="DL14" s="752">
        <v>12834</v>
      </c>
      <c r="DM14" s="752">
        <v>1341705</v>
      </c>
      <c r="DN14" s="752">
        <v>1211210</v>
      </c>
      <c r="DO14" s="752">
        <v>130495</v>
      </c>
      <c r="DP14" s="752">
        <v>6758458</v>
      </c>
      <c r="DQ14" s="752">
        <v>6101130</v>
      </c>
      <c r="DR14" s="752">
        <v>657328</v>
      </c>
      <c r="DS14" s="1486">
        <v>0.86646897435897441</v>
      </c>
      <c r="DT14" s="752">
        <v>131955</v>
      </c>
      <c r="DU14" s="752">
        <v>119121</v>
      </c>
      <c r="DV14" s="752">
        <v>12834</v>
      </c>
      <c r="DW14" s="752">
        <v>1473660</v>
      </c>
      <c r="DX14" s="752">
        <v>1330331</v>
      </c>
      <c r="DY14" s="752">
        <v>143329</v>
      </c>
      <c r="DZ14" s="752">
        <v>6890413</v>
      </c>
      <c r="EA14" s="752">
        <v>6220251</v>
      </c>
      <c r="EB14" s="752">
        <v>670162</v>
      </c>
      <c r="EC14" s="1486">
        <v>0.883386282051282</v>
      </c>
      <c r="ED14" s="752">
        <v>909587</v>
      </c>
      <c r="EE14" s="752">
        <v>821121</v>
      </c>
      <c r="EF14" s="752">
        <v>88466</v>
      </c>
      <c r="EG14" s="1179">
        <v>2383247</v>
      </c>
      <c r="EH14" s="1179">
        <v>2151452</v>
      </c>
      <c r="EI14" s="1179">
        <v>231795</v>
      </c>
      <c r="EJ14" s="1487">
        <v>9.7260166487149677E-2</v>
      </c>
      <c r="EK14" s="1488">
        <v>7800000</v>
      </c>
      <c r="EL14" s="1488">
        <v>7041372</v>
      </c>
      <c r="EM14" s="1488">
        <v>758628</v>
      </c>
      <c r="EN14" s="1489">
        <v>9.7259999999999999E-2</v>
      </c>
      <c r="EO14" s="1485">
        <v>0</v>
      </c>
      <c r="EP14" s="1485">
        <v>0</v>
      </c>
      <c r="EQ14" s="1485">
        <v>0</v>
      </c>
      <c r="ER14" s="1490" t="s">
        <v>630</v>
      </c>
      <c r="ES14" s="1179">
        <v>0</v>
      </c>
      <c r="ET14" s="1179">
        <v>0</v>
      </c>
      <c r="EU14" s="1179">
        <v>0</v>
      </c>
      <c r="EV14" s="1487" t="s">
        <v>630</v>
      </c>
      <c r="EW14" s="1488">
        <v>7800000</v>
      </c>
      <c r="EX14" s="1488">
        <v>7041372</v>
      </c>
      <c r="EY14" s="1488">
        <v>758628</v>
      </c>
      <c r="EZ14" s="1489">
        <v>9.7259999999999999E-2</v>
      </c>
      <c r="FA14" s="1485">
        <v>0</v>
      </c>
      <c r="FB14" s="1485">
        <v>0</v>
      </c>
      <c r="FC14" s="1485">
        <v>0</v>
      </c>
      <c r="FD14" s="1490" t="s">
        <v>630</v>
      </c>
      <c r="FE14" s="1179">
        <v>0</v>
      </c>
      <c r="FF14" s="1179">
        <v>0</v>
      </c>
      <c r="FG14" s="1179">
        <v>0</v>
      </c>
      <c r="FH14" s="1487" t="s">
        <v>630</v>
      </c>
      <c r="FI14" s="1488">
        <v>7800000</v>
      </c>
      <c r="FJ14" s="1488">
        <v>7041372</v>
      </c>
      <c r="FK14" s="1488">
        <v>758628</v>
      </c>
      <c r="FL14" s="1489">
        <v>9.7259999999999999E-2</v>
      </c>
      <c r="FM14" s="1485">
        <v>0</v>
      </c>
      <c r="FN14" s="1485">
        <v>0</v>
      </c>
      <c r="FO14" s="1485">
        <v>0</v>
      </c>
      <c r="FP14" s="1490" t="s">
        <v>630</v>
      </c>
      <c r="FQ14" s="1179">
        <v>0</v>
      </c>
      <c r="FR14" s="1179">
        <v>0</v>
      </c>
      <c r="FS14" s="1179">
        <v>0</v>
      </c>
      <c r="FT14" s="1487" t="s">
        <v>630</v>
      </c>
      <c r="FU14" s="1488">
        <v>7800000</v>
      </c>
      <c r="FV14" s="1488">
        <v>7041372</v>
      </c>
      <c r="FW14" s="1488">
        <v>758628</v>
      </c>
      <c r="FX14" s="1489">
        <v>9.7259999999999999E-2</v>
      </c>
      <c r="FY14" s="1485">
        <v>0</v>
      </c>
      <c r="FZ14" s="1485">
        <v>0</v>
      </c>
      <c r="GA14" s="1485">
        <v>0</v>
      </c>
      <c r="GB14" s="1490" t="s">
        <v>630</v>
      </c>
      <c r="GC14" s="1179">
        <v>0</v>
      </c>
      <c r="GD14" s="1179">
        <v>0</v>
      </c>
      <c r="GE14" s="1179">
        <v>0</v>
      </c>
      <c r="GF14" s="1487" t="s">
        <v>630</v>
      </c>
      <c r="GG14" s="1488">
        <v>7800000</v>
      </c>
      <c r="GH14" s="1488">
        <v>7041372</v>
      </c>
      <c r="GI14" s="1488">
        <v>758628</v>
      </c>
      <c r="GJ14" s="1489">
        <v>9.7259999999999999E-2</v>
      </c>
      <c r="GK14" s="1485">
        <v>0</v>
      </c>
      <c r="GL14" s="1485">
        <v>0</v>
      </c>
      <c r="GM14" s="1485">
        <v>0</v>
      </c>
      <c r="GN14" s="1490" t="s">
        <v>630</v>
      </c>
      <c r="GO14" s="1179">
        <v>0</v>
      </c>
      <c r="GP14" s="1179">
        <v>0</v>
      </c>
      <c r="GQ14" s="1179">
        <v>0</v>
      </c>
      <c r="GR14" s="1487" t="s">
        <v>630</v>
      </c>
      <c r="GS14" s="1488">
        <v>7800000</v>
      </c>
      <c r="GT14" s="1488">
        <v>7041372</v>
      </c>
      <c r="GU14" s="1488">
        <v>758628</v>
      </c>
      <c r="GV14" s="1489">
        <v>9.7259999999999999E-2</v>
      </c>
      <c r="GW14" s="1485">
        <v>0</v>
      </c>
      <c r="GX14" s="1485">
        <v>0</v>
      </c>
      <c r="GY14" s="1485">
        <v>0</v>
      </c>
      <c r="GZ14" s="1490" t="s">
        <v>630</v>
      </c>
      <c r="HB14" s="872" t="s">
        <v>2494</v>
      </c>
    </row>
    <row r="15" spans="1:210" ht="15" customHeight="1">
      <c r="A15" s="752" t="s">
        <v>636</v>
      </c>
      <c r="B15" s="1478" t="s">
        <v>1316</v>
      </c>
      <c r="C15" s="753" t="s">
        <v>1308</v>
      </c>
      <c r="D15" s="753" t="s">
        <v>1246</v>
      </c>
      <c r="E15" s="753"/>
      <c r="F15" s="1491">
        <v>40013400</v>
      </c>
      <c r="G15" s="1491">
        <v>26960687</v>
      </c>
      <c r="H15" s="1492">
        <v>13052713</v>
      </c>
      <c r="I15" s="1481">
        <v>0.32620854513737896</v>
      </c>
      <c r="J15" s="1482">
        <v>40013400</v>
      </c>
      <c r="K15" s="1482">
        <v>27131618</v>
      </c>
      <c r="L15" s="1483">
        <v>12881782</v>
      </c>
      <c r="M15" s="1481">
        <v>0.32193670120509627</v>
      </c>
      <c r="N15" s="1482">
        <v>0</v>
      </c>
      <c r="O15" s="1482">
        <v>-170931</v>
      </c>
      <c r="P15" s="1483">
        <v>170931</v>
      </c>
      <c r="Q15" s="752">
        <v>6050452</v>
      </c>
      <c r="R15" s="752">
        <v>4076743</v>
      </c>
      <c r="S15" s="752">
        <v>1973709</v>
      </c>
      <c r="T15" s="1484">
        <v>0.32620852128072414</v>
      </c>
      <c r="U15" s="1485">
        <v>33962948</v>
      </c>
      <c r="V15" s="1485">
        <v>22883944</v>
      </c>
      <c r="W15" s="1485">
        <v>11079004</v>
      </c>
      <c r="X15" s="752">
        <v>774240</v>
      </c>
      <c r="Y15" s="752">
        <v>521676</v>
      </c>
      <c r="Z15" s="752">
        <v>252564</v>
      </c>
      <c r="AA15" s="752">
        <v>774240</v>
      </c>
      <c r="AB15" s="752">
        <v>521676</v>
      </c>
      <c r="AC15" s="752">
        <v>252564</v>
      </c>
      <c r="AD15" s="752">
        <v>6824692</v>
      </c>
      <c r="AE15" s="752">
        <v>4598419</v>
      </c>
      <c r="AF15" s="752">
        <v>2226273</v>
      </c>
      <c r="AG15" s="1486">
        <v>0.17056016234561422</v>
      </c>
      <c r="AH15" s="752">
        <v>800759</v>
      </c>
      <c r="AI15" s="752">
        <v>539545</v>
      </c>
      <c r="AJ15" s="752">
        <v>261214</v>
      </c>
      <c r="AK15" s="752">
        <v>1574999</v>
      </c>
      <c r="AL15" s="752">
        <v>1061221</v>
      </c>
      <c r="AM15" s="752">
        <v>513778</v>
      </c>
      <c r="AN15" s="752">
        <v>7625451</v>
      </c>
      <c r="AO15" s="752">
        <v>5137964</v>
      </c>
      <c r="AP15" s="752">
        <v>2487487</v>
      </c>
      <c r="AQ15" s="1486">
        <v>0.19057243323486631</v>
      </c>
      <c r="AR15" s="752">
        <v>730042</v>
      </c>
      <c r="AS15" s="752">
        <v>491896</v>
      </c>
      <c r="AT15" s="752">
        <v>238146</v>
      </c>
      <c r="AU15" s="752">
        <v>2305041</v>
      </c>
      <c r="AV15" s="752">
        <v>1553117</v>
      </c>
      <c r="AW15" s="752">
        <v>751924</v>
      </c>
      <c r="AX15" s="752">
        <v>8355493</v>
      </c>
      <c r="AY15" s="752">
        <v>5629860</v>
      </c>
      <c r="AZ15" s="752">
        <v>2725633</v>
      </c>
      <c r="BA15" s="1486">
        <v>0.20881737118065449</v>
      </c>
      <c r="BB15" s="752">
        <v>464853</v>
      </c>
      <c r="BC15" s="752">
        <v>313214</v>
      </c>
      <c r="BD15" s="752">
        <v>151639</v>
      </c>
      <c r="BE15" s="752">
        <v>2769894</v>
      </c>
      <c r="BF15" s="752">
        <v>1866331</v>
      </c>
      <c r="BG15" s="752">
        <v>903563</v>
      </c>
      <c r="BH15" s="752">
        <v>8820346</v>
      </c>
      <c r="BI15" s="752">
        <v>5943074</v>
      </c>
      <c r="BJ15" s="752">
        <v>2877272</v>
      </c>
      <c r="BK15" s="1486">
        <v>0.22043480434054591</v>
      </c>
      <c r="BL15" s="752">
        <v>75913</v>
      </c>
      <c r="BM15" s="752">
        <v>51149</v>
      </c>
      <c r="BN15" s="752">
        <v>24764</v>
      </c>
      <c r="BO15" s="752">
        <v>2845807</v>
      </c>
      <c r="BP15" s="752">
        <v>1917480</v>
      </c>
      <c r="BQ15" s="752">
        <v>928327</v>
      </c>
      <c r="BR15" s="752">
        <v>8896259</v>
      </c>
      <c r="BS15" s="752">
        <v>5994223</v>
      </c>
      <c r="BT15" s="752">
        <v>2902036</v>
      </c>
      <c r="BU15" s="1486">
        <v>0.22233199378208301</v>
      </c>
      <c r="BV15" s="752">
        <v>120436</v>
      </c>
      <c r="BW15" s="752">
        <v>81149</v>
      </c>
      <c r="BX15" s="752">
        <v>39287</v>
      </c>
      <c r="BY15" s="752">
        <v>2966243</v>
      </c>
      <c r="BZ15" s="752">
        <v>1998629</v>
      </c>
      <c r="CA15" s="752">
        <v>967614</v>
      </c>
      <c r="CB15" s="752">
        <v>9016695</v>
      </c>
      <c r="CC15" s="752">
        <v>6075372</v>
      </c>
      <c r="CD15" s="752">
        <v>2941323</v>
      </c>
      <c r="CE15" s="1486">
        <v>0.22534188546836809</v>
      </c>
      <c r="CF15" s="752">
        <v>75912</v>
      </c>
      <c r="CG15" s="752">
        <v>51149</v>
      </c>
      <c r="CH15" s="752">
        <v>24763</v>
      </c>
      <c r="CI15" s="752">
        <v>3042155</v>
      </c>
      <c r="CJ15" s="752">
        <v>2049778</v>
      </c>
      <c r="CK15" s="752">
        <v>992377</v>
      </c>
      <c r="CL15" s="752">
        <v>9092607</v>
      </c>
      <c r="CM15" s="752">
        <v>6126521</v>
      </c>
      <c r="CN15" s="752">
        <v>2966086</v>
      </c>
      <c r="CO15" s="1486">
        <v>0.22723904991827737</v>
      </c>
      <c r="CP15" s="752">
        <v>75912</v>
      </c>
      <c r="CQ15" s="752">
        <v>51149</v>
      </c>
      <c r="CR15" s="752">
        <v>24763</v>
      </c>
      <c r="CS15" s="752">
        <v>3118067</v>
      </c>
      <c r="CT15" s="752">
        <v>2100927</v>
      </c>
      <c r="CU15" s="752">
        <v>1017140</v>
      </c>
      <c r="CV15" s="752">
        <v>9168519</v>
      </c>
      <c r="CW15" s="752">
        <v>6177670</v>
      </c>
      <c r="CX15" s="752">
        <v>2990849</v>
      </c>
      <c r="CY15" s="1486">
        <v>0.22913621436818665</v>
      </c>
      <c r="CZ15" s="752">
        <v>75913</v>
      </c>
      <c r="DA15" s="752">
        <v>51149</v>
      </c>
      <c r="DB15" s="752">
        <v>24764</v>
      </c>
      <c r="DC15" s="752">
        <v>3193980</v>
      </c>
      <c r="DD15" s="752">
        <v>2152076</v>
      </c>
      <c r="DE15" s="752">
        <v>1041904</v>
      </c>
      <c r="DF15" s="752">
        <v>9244432</v>
      </c>
      <c r="DG15" s="752">
        <v>6228819</v>
      </c>
      <c r="DH15" s="752">
        <v>3015613</v>
      </c>
      <c r="DI15" s="1486">
        <v>0.23103340380972373</v>
      </c>
      <c r="DJ15" s="752">
        <v>75912</v>
      </c>
      <c r="DK15" s="752">
        <v>51149</v>
      </c>
      <c r="DL15" s="752">
        <v>24763</v>
      </c>
      <c r="DM15" s="752">
        <v>3269892</v>
      </c>
      <c r="DN15" s="752">
        <v>2203225</v>
      </c>
      <c r="DO15" s="752">
        <v>1066667</v>
      </c>
      <c r="DP15" s="752">
        <v>9320344</v>
      </c>
      <c r="DQ15" s="752">
        <v>6279968</v>
      </c>
      <c r="DR15" s="752">
        <v>3040376</v>
      </c>
      <c r="DS15" s="1486">
        <v>0.23293056825963301</v>
      </c>
      <c r="DT15" s="752">
        <v>75912</v>
      </c>
      <c r="DU15" s="752">
        <v>51149</v>
      </c>
      <c r="DV15" s="752">
        <v>24763</v>
      </c>
      <c r="DW15" s="752">
        <v>3345804</v>
      </c>
      <c r="DX15" s="752">
        <v>2254374</v>
      </c>
      <c r="DY15" s="752">
        <v>1091430</v>
      </c>
      <c r="DZ15" s="752">
        <v>9396256</v>
      </c>
      <c r="EA15" s="752">
        <v>6331117</v>
      </c>
      <c r="EB15" s="752">
        <v>3065139</v>
      </c>
      <c r="EC15" s="1486">
        <v>0.2348277327095423</v>
      </c>
      <c r="ED15" s="752">
        <v>297228</v>
      </c>
      <c r="EE15" s="752">
        <v>200270</v>
      </c>
      <c r="EF15" s="752">
        <v>96958</v>
      </c>
      <c r="EG15" s="1179">
        <v>3643032</v>
      </c>
      <c r="EH15" s="1179">
        <v>2454644</v>
      </c>
      <c r="EI15" s="1179">
        <v>1188388</v>
      </c>
      <c r="EJ15" s="1487">
        <v>0.32620849885480008</v>
      </c>
      <c r="EK15" s="1488">
        <v>9693484</v>
      </c>
      <c r="EL15" s="1488">
        <v>6531387</v>
      </c>
      <c r="EM15" s="1488">
        <v>3162097</v>
      </c>
      <c r="EN15" s="1489">
        <v>0.32620851285255126</v>
      </c>
      <c r="EO15" s="1485">
        <v>30319916</v>
      </c>
      <c r="EP15" s="1485">
        <v>20429300</v>
      </c>
      <c r="EQ15" s="1485">
        <v>9890616</v>
      </c>
      <c r="ER15" s="1490">
        <v>0.32620855545905864</v>
      </c>
      <c r="ES15" s="1179">
        <v>2817532</v>
      </c>
      <c r="ET15" s="1179">
        <v>1898429</v>
      </c>
      <c r="EU15" s="1179">
        <v>919103</v>
      </c>
      <c r="EV15" s="1487">
        <v>0.32620853995624538</v>
      </c>
      <c r="EW15" s="1488">
        <v>12511016</v>
      </c>
      <c r="EX15" s="1488">
        <v>8429816</v>
      </c>
      <c r="EY15" s="1488">
        <v>4081200</v>
      </c>
      <c r="EZ15" s="1489">
        <v>0.32620851895641412</v>
      </c>
      <c r="FA15" s="1485">
        <v>27502384</v>
      </c>
      <c r="FB15" s="1485">
        <v>18530871</v>
      </c>
      <c r="FC15" s="1485">
        <v>8971513</v>
      </c>
      <c r="FD15" s="1490">
        <v>0.3262085570472727</v>
      </c>
      <c r="FE15" s="1179">
        <v>1431289</v>
      </c>
      <c r="FF15" s="1179">
        <v>964390</v>
      </c>
      <c r="FG15" s="1179">
        <v>466899</v>
      </c>
      <c r="FH15" s="1487">
        <v>0.32620875308899877</v>
      </c>
      <c r="FI15" s="1488">
        <v>13942305</v>
      </c>
      <c r="FJ15" s="1488">
        <v>9394206</v>
      </c>
      <c r="FK15" s="1488">
        <v>4548099</v>
      </c>
      <c r="FL15" s="1489">
        <v>0.32620854299199453</v>
      </c>
      <c r="FM15" s="1485">
        <v>26071095</v>
      </c>
      <c r="FN15" s="1485">
        <v>17566481</v>
      </c>
      <c r="FO15" s="1485">
        <v>8504614</v>
      </c>
      <c r="FP15" s="1490">
        <v>0.32620854628468809</v>
      </c>
      <c r="FQ15" s="1179">
        <v>1428224</v>
      </c>
      <c r="FR15" s="1179">
        <v>962325</v>
      </c>
      <c r="FS15" s="1179">
        <v>465899</v>
      </c>
      <c r="FT15" s="1487">
        <v>0.32620863393977417</v>
      </c>
      <c r="FU15" s="1488">
        <v>15370529</v>
      </c>
      <c r="FV15" s="1488">
        <v>10356531</v>
      </c>
      <c r="FW15" s="1488">
        <v>5013998</v>
      </c>
      <c r="FX15" s="1489">
        <v>0.32620855144282934</v>
      </c>
      <c r="FY15" s="1485">
        <v>24642871</v>
      </c>
      <c r="FZ15" s="1485">
        <v>16604156</v>
      </c>
      <c r="GA15" s="1485">
        <v>8038715</v>
      </c>
      <c r="GB15" s="1490">
        <v>0.32620854120447246</v>
      </c>
      <c r="GC15" s="1179">
        <v>2526528</v>
      </c>
      <c r="GD15" s="1179">
        <v>1702353</v>
      </c>
      <c r="GE15" s="1179">
        <v>824175</v>
      </c>
      <c r="GF15" s="1487">
        <v>0.32620853598297744</v>
      </c>
      <c r="GG15" s="1488">
        <v>17897057</v>
      </c>
      <c r="GH15" s="1488">
        <v>12058884</v>
      </c>
      <c r="GI15" s="1488">
        <v>5838173</v>
      </c>
      <c r="GJ15" s="1489">
        <v>0.32620854926036164</v>
      </c>
      <c r="GK15" s="1485">
        <v>22116343</v>
      </c>
      <c r="GL15" s="1485">
        <v>14901803</v>
      </c>
      <c r="GM15" s="1485">
        <v>7214540</v>
      </c>
      <c r="GN15" s="1490">
        <v>0.32620854180096592</v>
      </c>
      <c r="GO15" s="1179">
        <v>22116343</v>
      </c>
      <c r="GP15" s="1179">
        <v>14901803</v>
      </c>
      <c r="GQ15" s="1179">
        <v>7214540</v>
      </c>
      <c r="GR15" s="1487">
        <v>0.32620854180096592</v>
      </c>
      <c r="GS15" s="1488">
        <v>40013400</v>
      </c>
      <c r="GT15" s="1488">
        <v>26960687</v>
      </c>
      <c r="GU15" s="1488">
        <v>13052713</v>
      </c>
      <c r="GV15" s="1489">
        <v>0.32620854513737896</v>
      </c>
      <c r="GW15" s="1485">
        <v>0</v>
      </c>
      <c r="GX15" s="1485">
        <v>0</v>
      </c>
      <c r="GY15" s="1485">
        <v>0</v>
      </c>
      <c r="GZ15" s="1490" t="s">
        <v>630</v>
      </c>
      <c r="HB15" s="532" t="s">
        <v>2495</v>
      </c>
    </row>
    <row r="16" spans="1:210" s="690" customFormat="1" ht="15" customHeight="1">
      <c r="A16" s="685" t="s">
        <v>1065</v>
      </c>
      <c r="B16" s="685" t="s">
        <v>1066</v>
      </c>
      <c r="C16" s="1308" t="s">
        <v>1318</v>
      </c>
      <c r="D16" s="1308" t="s">
        <v>1246</v>
      </c>
      <c r="E16" s="1508"/>
      <c r="F16" s="1509">
        <v>49477750</v>
      </c>
      <c r="G16" s="1509">
        <v>33486571</v>
      </c>
      <c r="H16" s="1510">
        <v>15991179</v>
      </c>
      <c r="I16" s="1511">
        <v>0.32319939770907125</v>
      </c>
      <c r="J16" s="1512">
        <v>49477750</v>
      </c>
      <c r="K16" s="1512">
        <v>34006210</v>
      </c>
      <c r="L16" s="1513">
        <v>15471540</v>
      </c>
      <c r="M16" s="1511">
        <v>0.31269691932232163</v>
      </c>
      <c r="N16" s="1512">
        <v>0</v>
      </c>
      <c r="O16" s="1512">
        <v>-519639</v>
      </c>
      <c r="P16" s="1513">
        <v>519639</v>
      </c>
      <c r="Q16" s="752">
        <v>5437006</v>
      </c>
      <c r="R16" s="752">
        <v>3679769</v>
      </c>
      <c r="S16" s="1514">
        <v>1757237</v>
      </c>
      <c r="T16" s="1515">
        <v>0.32319938583845592</v>
      </c>
      <c r="U16" s="1516">
        <v>44040744</v>
      </c>
      <c r="V16" s="1516">
        <v>29806802</v>
      </c>
      <c r="W16" s="1516">
        <v>14233942</v>
      </c>
      <c r="X16" s="752">
        <v>621193</v>
      </c>
      <c r="Y16" s="752">
        <v>420424</v>
      </c>
      <c r="Z16" s="1514">
        <v>200769</v>
      </c>
      <c r="AA16" s="1514">
        <v>621193</v>
      </c>
      <c r="AB16" s="1514">
        <v>420424</v>
      </c>
      <c r="AC16" s="1514">
        <v>200769</v>
      </c>
      <c r="AD16" s="1514">
        <v>6058199</v>
      </c>
      <c r="AE16" s="1514">
        <v>4100193</v>
      </c>
      <c r="AF16" s="1514">
        <v>1958006</v>
      </c>
      <c r="AG16" s="1517">
        <v>0.12244289604923425</v>
      </c>
      <c r="AH16" s="752">
        <v>480389</v>
      </c>
      <c r="AI16" s="752">
        <v>325127</v>
      </c>
      <c r="AJ16" s="1514">
        <v>155262</v>
      </c>
      <c r="AK16" s="1514">
        <v>1101582</v>
      </c>
      <c r="AL16" s="1514">
        <v>745551</v>
      </c>
      <c r="AM16" s="1514">
        <v>356031</v>
      </c>
      <c r="AN16" s="1514">
        <v>6538588</v>
      </c>
      <c r="AO16" s="1514">
        <v>4425320</v>
      </c>
      <c r="AP16" s="1514">
        <v>2113268</v>
      </c>
      <c r="AQ16" s="1517">
        <v>0.13215208856506208</v>
      </c>
      <c r="AR16" s="752">
        <v>871120</v>
      </c>
      <c r="AS16" s="752">
        <v>589575</v>
      </c>
      <c r="AT16" s="1514">
        <v>281545</v>
      </c>
      <c r="AU16" s="1514">
        <v>1972702</v>
      </c>
      <c r="AV16" s="1514">
        <v>1335126</v>
      </c>
      <c r="AW16" s="1514">
        <v>637576</v>
      </c>
      <c r="AX16" s="1514">
        <v>7409708</v>
      </c>
      <c r="AY16" s="1514">
        <v>5014895</v>
      </c>
      <c r="AZ16" s="1514">
        <v>2394813</v>
      </c>
      <c r="BA16" s="1517">
        <v>0.14975838634537747</v>
      </c>
      <c r="BB16" s="752">
        <v>385344</v>
      </c>
      <c r="BC16" s="752">
        <v>260801</v>
      </c>
      <c r="BD16" s="1514">
        <v>124543</v>
      </c>
      <c r="BE16" s="1514">
        <v>2358046</v>
      </c>
      <c r="BF16" s="1514">
        <v>1595927</v>
      </c>
      <c r="BG16" s="1514">
        <v>762119</v>
      </c>
      <c r="BH16" s="1514">
        <v>7795052</v>
      </c>
      <c r="BI16" s="1514">
        <v>5275696</v>
      </c>
      <c r="BJ16" s="1514">
        <v>2519356</v>
      </c>
      <c r="BK16" s="1517">
        <v>0.15754661438727507</v>
      </c>
      <c r="BL16" s="752">
        <v>367744</v>
      </c>
      <c r="BM16" s="752">
        <v>248889</v>
      </c>
      <c r="BN16" s="1514">
        <v>118855</v>
      </c>
      <c r="BO16" s="1514">
        <v>2725790</v>
      </c>
      <c r="BP16" s="1514">
        <v>1844816</v>
      </c>
      <c r="BQ16" s="1514">
        <v>880974</v>
      </c>
      <c r="BR16" s="1514">
        <v>8162796</v>
      </c>
      <c r="BS16" s="1514">
        <v>5524585</v>
      </c>
      <c r="BT16" s="1514">
        <v>2638211</v>
      </c>
      <c r="BU16" s="1517">
        <v>0.16497912698131989</v>
      </c>
      <c r="BV16" s="752">
        <v>745371</v>
      </c>
      <c r="BW16" s="752">
        <v>504468</v>
      </c>
      <c r="BX16" s="1514">
        <v>240903</v>
      </c>
      <c r="BY16" s="1514">
        <v>3471161</v>
      </c>
      <c r="BZ16" s="1514">
        <v>2349284</v>
      </c>
      <c r="CA16" s="1514">
        <v>1121877</v>
      </c>
      <c r="CB16" s="1514">
        <v>8908167</v>
      </c>
      <c r="CC16" s="1514">
        <v>6029053</v>
      </c>
      <c r="CD16" s="1514">
        <v>2879114</v>
      </c>
      <c r="CE16" s="1517">
        <v>0.18004389852004185</v>
      </c>
      <c r="CF16" s="752">
        <v>269182</v>
      </c>
      <c r="CG16" s="752">
        <v>182182</v>
      </c>
      <c r="CH16" s="1514">
        <v>87000</v>
      </c>
      <c r="CI16" s="1514">
        <v>3740343</v>
      </c>
      <c r="CJ16" s="1514">
        <v>2531466</v>
      </c>
      <c r="CK16" s="1514">
        <v>1208877</v>
      </c>
      <c r="CL16" s="1514">
        <v>9177349</v>
      </c>
      <c r="CM16" s="1514">
        <v>6211235</v>
      </c>
      <c r="CN16" s="1514">
        <v>2966114</v>
      </c>
      <c r="CO16" s="1517">
        <v>0.18548436418390085</v>
      </c>
      <c r="CP16" s="752">
        <v>269181</v>
      </c>
      <c r="CQ16" s="752">
        <v>182182</v>
      </c>
      <c r="CR16" s="1514">
        <v>86999</v>
      </c>
      <c r="CS16" s="1514">
        <v>4009524</v>
      </c>
      <c r="CT16" s="1514">
        <v>2713648</v>
      </c>
      <c r="CU16" s="1514">
        <v>1295876</v>
      </c>
      <c r="CV16" s="1514">
        <v>9446530</v>
      </c>
      <c r="CW16" s="1514">
        <v>6393417</v>
      </c>
      <c r="CX16" s="1514">
        <v>3053113</v>
      </c>
      <c r="CY16" s="1517">
        <v>0.19092480963665487</v>
      </c>
      <c r="CZ16" s="752">
        <v>142457</v>
      </c>
      <c r="DA16" s="752">
        <v>96415</v>
      </c>
      <c r="DB16" s="1514">
        <v>46042</v>
      </c>
      <c r="DC16" s="1514">
        <v>4151981</v>
      </c>
      <c r="DD16" s="1514">
        <v>2810063</v>
      </c>
      <c r="DE16" s="1514">
        <v>1341918</v>
      </c>
      <c r="DF16" s="1514">
        <v>9588987</v>
      </c>
      <c r="DG16" s="1514">
        <v>6489832</v>
      </c>
      <c r="DH16" s="1514">
        <v>3099155</v>
      </c>
      <c r="DI16" s="1517">
        <v>0.19380402302044858</v>
      </c>
      <c r="DJ16" s="752">
        <v>121334</v>
      </c>
      <c r="DK16" s="752">
        <v>82119</v>
      </c>
      <c r="DL16" s="1514">
        <v>39215</v>
      </c>
      <c r="DM16" s="1514">
        <v>4273315</v>
      </c>
      <c r="DN16" s="1514">
        <v>2892182</v>
      </c>
      <c r="DO16" s="1514">
        <v>1381133</v>
      </c>
      <c r="DP16" s="1514">
        <v>9710321</v>
      </c>
      <c r="DQ16" s="1514">
        <v>6571951</v>
      </c>
      <c r="DR16" s="1514">
        <v>3138370</v>
      </c>
      <c r="DS16" s="1517">
        <v>0.19625631723350395</v>
      </c>
      <c r="DT16" s="752">
        <v>121334</v>
      </c>
      <c r="DU16" s="752">
        <v>82119</v>
      </c>
      <c r="DV16" s="1514">
        <v>39215</v>
      </c>
      <c r="DW16" s="1514">
        <v>4394649</v>
      </c>
      <c r="DX16" s="1514">
        <v>2974301</v>
      </c>
      <c r="DY16" s="1514">
        <v>1420348</v>
      </c>
      <c r="DZ16" s="1514">
        <v>9831655</v>
      </c>
      <c r="EA16" s="1514">
        <v>6654070</v>
      </c>
      <c r="EB16" s="1514">
        <v>3177585</v>
      </c>
      <c r="EC16" s="1517">
        <v>0.19870861144655932</v>
      </c>
      <c r="ED16" s="752">
        <v>250839</v>
      </c>
      <c r="EE16" s="752">
        <v>169768</v>
      </c>
      <c r="EF16" s="1514">
        <v>81071</v>
      </c>
      <c r="EG16" s="1518">
        <v>4645488</v>
      </c>
      <c r="EH16" s="1518">
        <v>3144069</v>
      </c>
      <c r="EI16" s="1518">
        <v>1501419</v>
      </c>
      <c r="EJ16" s="1519">
        <v>0.3231994141412054</v>
      </c>
      <c r="EK16" s="1520">
        <v>10082494</v>
      </c>
      <c r="EL16" s="1520">
        <v>6823838</v>
      </c>
      <c r="EM16" s="1520">
        <v>3258656</v>
      </c>
      <c r="EN16" s="1521">
        <v>0.32319939887888849</v>
      </c>
      <c r="EO16" s="1516">
        <v>39395256</v>
      </c>
      <c r="EP16" s="1516">
        <v>26662733</v>
      </c>
      <c r="EQ16" s="1516">
        <v>12732523</v>
      </c>
      <c r="ER16" s="1522">
        <v>0.32319939740967796</v>
      </c>
      <c r="ES16" s="1179">
        <v>5953096</v>
      </c>
      <c r="ET16" s="1179">
        <v>4029059</v>
      </c>
      <c r="EU16" s="1518">
        <v>1924037</v>
      </c>
      <c r="EV16" s="1519">
        <v>0.32319939070359355</v>
      </c>
      <c r="EW16" s="1520">
        <v>16035590</v>
      </c>
      <c r="EX16" s="1520">
        <v>10852897</v>
      </c>
      <c r="EY16" s="1520">
        <v>5182693</v>
      </c>
      <c r="EZ16" s="1521">
        <v>0.32319939584386981</v>
      </c>
      <c r="FA16" s="1516">
        <v>33442160</v>
      </c>
      <c r="FB16" s="1516">
        <v>22633674</v>
      </c>
      <c r="FC16" s="1516">
        <v>10808486</v>
      </c>
      <c r="FD16" s="1522">
        <v>0.32319939860343949</v>
      </c>
      <c r="FE16" s="1179">
        <v>6932212</v>
      </c>
      <c r="FF16" s="1179">
        <v>4691725</v>
      </c>
      <c r="FG16" s="1518">
        <v>2240487</v>
      </c>
      <c r="FH16" s="1519">
        <v>0.32319943475473628</v>
      </c>
      <c r="FI16" s="1520">
        <v>22967802</v>
      </c>
      <c r="FJ16" s="1520">
        <v>15544622</v>
      </c>
      <c r="FK16" s="1520">
        <v>7423180</v>
      </c>
      <c r="FL16" s="1521">
        <v>0.32319940758806609</v>
      </c>
      <c r="FM16" s="1516">
        <v>26509948</v>
      </c>
      <c r="FN16" s="1516">
        <v>17941949</v>
      </c>
      <c r="FO16" s="1516">
        <v>8567999</v>
      </c>
      <c r="FP16" s="1522">
        <v>0.32319938915006546</v>
      </c>
      <c r="FQ16" s="1179">
        <v>3376458</v>
      </c>
      <c r="FR16" s="1179">
        <v>2285189</v>
      </c>
      <c r="FS16" s="1518">
        <v>1091269</v>
      </c>
      <c r="FT16" s="1519">
        <v>0.32319934084771673</v>
      </c>
      <c r="FU16" s="1520">
        <v>26344260</v>
      </c>
      <c r="FV16" s="1520">
        <v>17829811</v>
      </c>
      <c r="FW16" s="1520">
        <v>8514449</v>
      </c>
      <c r="FX16" s="1521">
        <v>0.32319939903417289</v>
      </c>
      <c r="FY16" s="1516">
        <v>23133490</v>
      </c>
      <c r="FZ16" s="1516">
        <v>15656760</v>
      </c>
      <c r="GA16" s="1516">
        <v>7476730</v>
      </c>
      <c r="GB16" s="1522">
        <v>0.32319939620005456</v>
      </c>
      <c r="GC16" s="1179">
        <v>1665897</v>
      </c>
      <c r="GD16" s="1179">
        <v>1127480</v>
      </c>
      <c r="GE16" s="1518">
        <v>538417</v>
      </c>
      <c r="GF16" s="1519">
        <v>0.3231994535076298</v>
      </c>
      <c r="GG16" s="1520">
        <v>28010157</v>
      </c>
      <c r="GH16" s="1520">
        <v>18957291</v>
      </c>
      <c r="GI16" s="1520">
        <v>9052866</v>
      </c>
      <c r="GJ16" s="1521">
        <v>0.32319940227396798</v>
      </c>
      <c r="GK16" s="1516">
        <v>21467593</v>
      </c>
      <c r="GL16" s="1516">
        <v>14529280</v>
      </c>
      <c r="GM16" s="1516">
        <v>6938313</v>
      </c>
      <c r="GN16" s="1522">
        <v>0.32319939175295526</v>
      </c>
      <c r="GO16" s="1179">
        <v>21467593</v>
      </c>
      <c r="GP16" s="1179">
        <v>14529280</v>
      </c>
      <c r="GQ16" s="1179">
        <v>6938313</v>
      </c>
      <c r="GR16" s="1519">
        <v>0.32319939175295526</v>
      </c>
      <c r="GS16" s="1520">
        <v>49477750</v>
      </c>
      <c r="GT16" s="1520">
        <v>33486571</v>
      </c>
      <c r="GU16" s="1520">
        <v>15991179</v>
      </c>
      <c r="GV16" s="1521">
        <v>0.32319939770907125</v>
      </c>
      <c r="GW16" s="1516">
        <v>0</v>
      </c>
      <c r="GX16" s="1516">
        <v>0</v>
      </c>
      <c r="GY16" s="1516">
        <v>0</v>
      </c>
      <c r="GZ16" s="1522" t="s">
        <v>630</v>
      </c>
      <c r="HB16" s="690" t="s">
        <v>2496</v>
      </c>
    </row>
    <row r="17" spans="1:208" s="611" customFormat="1" ht="15" customHeight="1">
      <c r="A17" s="599" t="s">
        <v>1069</v>
      </c>
      <c r="B17" s="599" t="s">
        <v>1070</v>
      </c>
      <c r="C17" s="1495" t="s">
        <v>1314</v>
      </c>
      <c r="D17" s="1495" t="s">
        <v>1246</v>
      </c>
      <c r="E17" s="1141"/>
      <c r="F17" s="1496">
        <v>5000000</v>
      </c>
      <c r="G17" s="1496">
        <v>2812703</v>
      </c>
      <c r="H17" s="1497">
        <v>2187297</v>
      </c>
      <c r="I17" s="1498">
        <v>0.4374594</v>
      </c>
      <c r="J17" s="1499">
        <v>5000000</v>
      </c>
      <c r="K17" s="1499">
        <v>3337003</v>
      </c>
      <c r="L17" s="1500">
        <v>1662997</v>
      </c>
      <c r="M17" s="1498">
        <v>0.33259939999999999</v>
      </c>
      <c r="N17" s="1499">
        <v>0</v>
      </c>
      <c r="O17" s="1499">
        <v>-524300</v>
      </c>
      <c r="P17" s="1500">
        <v>524300</v>
      </c>
      <c r="Q17" s="1493">
        <v>3183632</v>
      </c>
      <c r="R17" s="1493">
        <v>1790922</v>
      </c>
      <c r="S17" s="1493">
        <v>1392710</v>
      </c>
      <c r="T17" s="1501">
        <v>0.43745948024143494</v>
      </c>
      <c r="U17" s="1502">
        <v>1816368</v>
      </c>
      <c r="V17" s="1502">
        <v>1021781</v>
      </c>
      <c r="W17" s="1502">
        <v>794587</v>
      </c>
      <c r="X17" s="1493">
        <v>0</v>
      </c>
      <c r="Y17" s="1493">
        <v>0</v>
      </c>
      <c r="Z17" s="1493">
        <v>0</v>
      </c>
      <c r="AA17" s="1493">
        <v>0</v>
      </c>
      <c r="AB17" s="1493">
        <v>0</v>
      </c>
      <c r="AC17" s="1493">
        <v>0</v>
      </c>
      <c r="AD17" s="1493">
        <v>3183632</v>
      </c>
      <c r="AE17" s="1493">
        <v>1790922</v>
      </c>
      <c r="AF17" s="1493">
        <v>1392710</v>
      </c>
      <c r="AG17" s="1503">
        <v>0.63672640000000003</v>
      </c>
      <c r="AH17" s="1493">
        <v>0</v>
      </c>
      <c r="AI17" s="1493">
        <v>0</v>
      </c>
      <c r="AJ17" s="1493">
        <v>0</v>
      </c>
      <c r="AK17" s="1493">
        <v>0</v>
      </c>
      <c r="AL17" s="1493">
        <v>0</v>
      </c>
      <c r="AM17" s="1493">
        <v>0</v>
      </c>
      <c r="AN17" s="1493">
        <v>3183632</v>
      </c>
      <c r="AO17" s="1493">
        <v>1790922</v>
      </c>
      <c r="AP17" s="1493">
        <v>1392710</v>
      </c>
      <c r="AQ17" s="1503">
        <v>0.63672640000000003</v>
      </c>
      <c r="AR17" s="1493">
        <v>0</v>
      </c>
      <c r="AS17" s="1493">
        <v>0</v>
      </c>
      <c r="AT17" s="1493">
        <v>0</v>
      </c>
      <c r="AU17" s="1493">
        <v>0</v>
      </c>
      <c r="AV17" s="1493">
        <v>0</v>
      </c>
      <c r="AW17" s="1493">
        <v>0</v>
      </c>
      <c r="AX17" s="1493">
        <v>3183632</v>
      </c>
      <c r="AY17" s="1493">
        <v>1790922</v>
      </c>
      <c r="AZ17" s="1493">
        <v>1392710</v>
      </c>
      <c r="BA17" s="1503">
        <v>0.63672640000000003</v>
      </c>
      <c r="BB17" s="1493">
        <v>0</v>
      </c>
      <c r="BC17" s="1493">
        <v>0</v>
      </c>
      <c r="BD17" s="1493">
        <v>0</v>
      </c>
      <c r="BE17" s="1493">
        <v>0</v>
      </c>
      <c r="BF17" s="1493">
        <v>0</v>
      </c>
      <c r="BG17" s="1493">
        <v>0</v>
      </c>
      <c r="BH17" s="1493">
        <v>3183632</v>
      </c>
      <c r="BI17" s="1493">
        <v>1790922</v>
      </c>
      <c r="BJ17" s="1493">
        <v>1392710</v>
      </c>
      <c r="BK17" s="1503">
        <v>0.63672640000000003</v>
      </c>
      <c r="BL17" s="1493">
        <v>0</v>
      </c>
      <c r="BM17" s="1493">
        <v>0</v>
      </c>
      <c r="BN17" s="1493">
        <v>0</v>
      </c>
      <c r="BO17" s="1493">
        <v>0</v>
      </c>
      <c r="BP17" s="1493">
        <v>0</v>
      </c>
      <c r="BQ17" s="1493">
        <v>0</v>
      </c>
      <c r="BR17" s="1493">
        <v>3183632</v>
      </c>
      <c r="BS17" s="1493">
        <v>1790922</v>
      </c>
      <c r="BT17" s="1493">
        <v>1392710</v>
      </c>
      <c r="BU17" s="1503">
        <v>0.63672640000000003</v>
      </c>
      <c r="BV17" s="1493">
        <v>0</v>
      </c>
      <c r="BW17" s="1493">
        <v>0</v>
      </c>
      <c r="BX17" s="1493">
        <v>0</v>
      </c>
      <c r="BY17" s="1493">
        <v>0</v>
      </c>
      <c r="BZ17" s="1493">
        <v>0</v>
      </c>
      <c r="CA17" s="1493">
        <v>0</v>
      </c>
      <c r="CB17" s="1493">
        <v>3183632</v>
      </c>
      <c r="CC17" s="1493">
        <v>1790922</v>
      </c>
      <c r="CD17" s="1493">
        <v>1392710</v>
      </c>
      <c r="CE17" s="1503">
        <v>0.63672640000000003</v>
      </c>
      <c r="CF17" s="1493">
        <v>211755</v>
      </c>
      <c r="CG17" s="1493">
        <v>119121</v>
      </c>
      <c r="CH17" s="1493">
        <v>92634</v>
      </c>
      <c r="CI17" s="1493">
        <v>211755</v>
      </c>
      <c r="CJ17" s="1493">
        <v>119121</v>
      </c>
      <c r="CK17" s="1493">
        <v>92634</v>
      </c>
      <c r="CL17" s="1493">
        <v>3395387</v>
      </c>
      <c r="CM17" s="1493">
        <v>1910043</v>
      </c>
      <c r="CN17" s="1493">
        <v>1485344</v>
      </c>
      <c r="CO17" s="1503">
        <v>0.67907740000000005</v>
      </c>
      <c r="CP17" s="1493">
        <v>211755</v>
      </c>
      <c r="CQ17" s="1493">
        <v>119121</v>
      </c>
      <c r="CR17" s="1493">
        <v>92634</v>
      </c>
      <c r="CS17" s="1493">
        <v>423510</v>
      </c>
      <c r="CT17" s="1493">
        <v>238242</v>
      </c>
      <c r="CU17" s="1493">
        <v>185268</v>
      </c>
      <c r="CV17" s="1493">
        <v>3607142</v>
      </c>
      <c r="CW17" s="1493">
        <v>2029164</v>
      </c>
      <c r="CX17" s="1493">
        <v>1577978</v>
      </c>
      <c r="CY17" s="1503">
        <v>0.72142839999999997</v>
      </c>
      <c r="CZ17" s="1493">
        <v>211756</v>
      </c>
      <c r="DA17" s="1493">
        <v>119121</v>
      </c>
      <c r="DB17" s="1493">
        <v>92635</v>
      </c>
      <c r="DC17" s="1493">
        <v>635266</v>
      </c>
      <c r="DD17" s="1493">
        <v>357363</v>
      </c>
      <c r="DE17" s="1493">
        <v>277903</v>
      </c>
      <c r="DF17" s="1493">
        <v>3818898</v>
      </c>
      <c r="DG17" s="1493">
        <v>2148285</v>
      </c>
      <c r="DH17" s="1493">
        <v>1670613</v>
      </c>
      <c r="DI17" s="1503">
        <v>0.7637796</v>
      </c>
      <c r="DJ17" s="1493">
        <v>211755</v>
      </c>
      <c r="DK17" s="1493">
        <v>119121</v>
      </c>
      <c r="DL17" s="1493">
        <v>92634</v>
      </c>
      <c r="DM17" s="1493">
        <v>847021</v>
      </c>
      <c r="DN17" s="1493">
        <v>476484</v>
      </c>
      <c r="DO17" s="1493">
        <v>370537</v>
      </c>
      <c r="DP17" s="1493">
        <v>4030653</v>
      </c>
      <c r="DQ17" s="1493">
        <v>2267406</v>
      </c>
      <c r="DR17" s="1493">
        <v>1763247</v>
      </c>
      <c r="DS17" s="1503">
        <v>0.80613060000000003</v>
      </c>
      <c r="DT17" s="1493">
        <v>169405</v>
      </c>
      <c r="DU17" s="1493">
        <v>95297</v>
      </c>
      <c r="DV17" s="1493">
        <v>74108</v>
      </c>
      <c r="DW17" s="1493">
        <v>1016426</v>
      </c>
      <c r="DX17" s="1493">
        <v>571781</v>
      </c>
      <c r="DY17" s="1493">
        <v>444645</v>
      </c>
      <c r="DZ17" s="1493">
        <v>4200058</v>
      </c>
      <c r="EA17" s="1493">
        <v>2362703</v>
      </c>
      <c r="EB17" s="1493">
        <v>1837355</v>
      </c>
      <c r="EC17" s="1503">
        <v>0.84001159999999997</v>
      </c>
      <c r="ED17" s="1493">
        <v>799942</v>
      </c>
      <c r="EE17" s="1493">
        <v>450000</v>
      </c>
      <c r="EF17" s="1493">
        <v>349942</v>
      </c>
      <c r="EG17" s="1189">
        <v>1816368</v>
      </c>
      <c r="EH17" s="1189">
        <v>1021781</v>
      </c>
      <c r="EI17" s="1189">
        <v>794587</v>
      </c>
      <c r="EJ17" s="1504">
        <v>0.4374592593571347</v>
      </c>
      <c r="EK17" s="1505">
        <v>5000000</v>
      </c>
      <c r="EL17" s="1505">
        <v>2812703</v>
      </c>
      <c r="EM17" s="1505">
        <v>2187297</v>
      </c>
      <c r="EN17" s="1506">
        <v>0.4374594</v>
      </c>
      <c r="EO17" s="1502">
        <v>0</v>
      </c>
      <c r="EP17" s="1502">
        <v>0</v>
      </c>
      <c r="EQ17" s="1502">
        <v>0</v>
      </c>
      <c r="ER17" s="1507" t="s">
        <v>630</v>
      </c>
      <c r="ES17" s="1189">
        <v>0</v>
      </c>
      <c r="ET17" s="1189">
        <v>0</v>
      </c>
      <c r="EU17" s="1189">
        <v>0</v>
      </c>
      <c r="EV17" s="1504" t="s">
        <v>630</v>
      </c>
      <c r="EW17" s="1505">
        <v>5000000</v>
      </c>
      <c r="EX17" s="1505">
        <v>2812703</v>
      </c>
      <c r="EY17" s="1505">
        <v>2187297</v>
      </c>
      <c r="EZ17" s="1506">
        <v>0.4374594</v>
      </c>
      <c r="FA17" s="1502">
        <v>0</v>
      </c>
      <c r="FB17" s="1502">
        <v>0</v>
      </c>
      <c r="FC17" s="1502">
        <v>0</v>
      </c>
      <c r="FD17" s="1507" t="s">
        <v>630</v>
      </c>
      <c r="FE17" s="1189">
        <v>0</v>
      </c>
      <c r="FF17" s="1189">
        <v>0</v>
      </c>
      <c r="FG17" s="1189">
        <v>0</v>
      </c>
      <c r="FH17" s="1504" t="s">
        <v>630</v>
      </c>
      <c r="FI17" s="1505">
        <v>5000000</v>
      </c>
      <c r="FJ17" s="1505">
        <v>2812703</v>
      </c>
      <c r="FK17" s="1505">
        <v>2187297</v>
      </c>
      <c r="FL17" s="1506">
        <v>0.4374594</v>
      </c>
      <c r="FM17" s="1502">
        <v>0</v>
      </c>
      <c r="FN17" s="1502">
        <v>0</v>
      </c>
      <c r="FO17" s="1502">
        <v>0</v>
      </c>
      <c r="FP17" s="1507" t="s">
        <v>630</v>
      </c>
      <c r="FQ17" s="1189">
        <v>0</v>
      </c>
      <c r="FR17" s="1189">
        <v>0</v>
      </c>
      <c r="FS17" s="1189">
        <v>0</v>
      </c>
      <c r="FT17" s="1504" t="s">
        <v>630</v>
      </c>
      <c r="FU17" s="1505">
        <v>5000000</v>
      </c>
      <c r="FV17" s="1505">
        <v>2812703</v>
      </c>
      <c r="FW17" s="1505">
        <v>2187297</v>
      </c>
      <c r="FX17" s="1506">
        <v>0.4374594</v>
      </c>
      <c r="FY17" s="1502">
        <v>0</v>
      </c>
      <c r="FZ17" s="1502">
        <v>0</v>
      </c>
      <c r="GA17" s="1502">
        <v>0</v>
      </c>
      <c r="GB17" s="1507" t="s">
        <v>630</v>
      </c>
      <c r="GC17" s="1189">
        <v>0</v>
      </c>
      <c r="GD17" s="1189">
        <v>0</v>
      </c>
      <c r="GE17" s="1189">
        <v>0</v>
      </c>
      <c r="GF17" s="1504" t="s">
        <v>630</v>
      </c>
      <c r="GG17" s="1505">
        <v>5000000</v>
      </c>
      <c r="GH17" s="1505">
        <v>2812703</v>
      </c>
      <c r="GI17" s="1505">
        <v>2187297</v>
      </c>
      <c r="GJ17" s="1506">
        <v>0.4374594</v>
      </c>
      <c r="GK17" s="1502">
        <v>0</v>
      </c>
      <c r="GL17" s="1502">
        <v>0</v>
      </c>
      <c r="GM17" s="1502">
        <v>0</v>
      </c>
      <c r="GN17" s="1507" t="s">
        <v>630</v>
      </c>
      <c r="GO17" s="1189">
        <v>0</v>
      </c>
      <c r="GP17" s="1189">
        <v>0</v>
      </c>
      <c r="GQ17" s="1189">
        <v>0</v>
      </c>
      <c r="GR17" s="1504" t="s">
        <v>630</v>
      </c>
      <c r="GS17" s="1505">
        <v>5000000</v>
      </c>
      <c r="GT17" s="1505">
        <v>2812703</v>
      </c>
      <c r="GU17" s="1505">
        <v>2187297</v>
      </c>
      <c r="GV17" s="1506">
        <v>0.4374594</v>
      </c>
      <c r="GW17" s="1502">
        <v>0</v>
      </c>
      <c r="GX17" s="1502">
        <v>0</v>
      </c>
      <c r="GY17" s="1502">
        <v>0</v>
      </c>
      <c r="GZ17" s="1507" t="s">
        <v>630</v>
      </c>
    </row>
    <row r="18" spans="1:208" s="611" customFormat="1" ht="15" customHeight="1">
      <c r="A18" s="599" t="s">
        <v>1073</v>
      </c>
      <c r="B18" s="599" t="s">
        <v>1074</v>
      </c>
      <c r="C18" s="1495" t="s">
        <v>1314</v>
      </c>
      <c r="D18" s="1495" t="s">
        <v>1246</v>
      </c>
      <c r="E18" s="1141"/>
      <c r="F18" s="1496">
        <v>11400000</v>
      </c>
      <c r="G18" s="1496">
        <v>8045334</v>
      </c>
      <c r="H18" s="1497">
        <v>3354666</v>
      </c>
      <c r="I18" s="1498">
        <v>0.29426894736842107</v>
      </c>
      <c r="J18" s="1499">
        <v>11400000</v>
      </c>
      <c r="K18" s="1499">
        <v>7248799</v>
      </c>
      <c r="L18" s="1500">
        <v>4151201</v>
      </c>
      <c r="M18" s="1498">
        <v>0.3641404385964912</v>
      </c>
      <c r="N18" s="1499">
        <v>0</v>
      </c>
      <c r="O18" s="1499">
        <v>796535</v>
      </c>
      <c r="P18" s="1500">
        <v>-796535</v>
      </c>
      <c r="Q18" s="1493">
        <v>623164</v>
      </c>
      <c r="R18" s="1493">
        <v>439786</v>
      </c>
      <c r="S18" s="1493">
        <v>183378</v>
      </c>
      <c r="T18" s="1501">
        <v>0.29426924533509635</v>
      </c>
      <c r="U18" s="1502">
        <v>10776836</v>
      </c>
      <c r="V18" s="1502">
        <v>7605548</v>
      </c>
      <c r="W18" s="1502">
        <v>3171288</v>
      </c>
      <c r="X18" s="1493">
        <v>55596</v>
      </c>
      <c r="Y18" s="1493">
        <v>39236</v>
      </c>
      <c r="Z18" s="1493">
        <v>16360</v>
      </c>
      <c r="AA18" s="1493">
        <v>55596</v>
      </c>
      <c r="AB18" s="1493">
        <v>39236</v>
      </c>
      <c r="AC18" s="1493">
        <v>16360</v>
      </c>
      <c r="AD18" s="1493">
        <v>678760</v>
      </c>
      <c r="AE18" s="1493">
        <v>479022</v>
      </c>
      <c r="AF18" s="1493">
        <v>199738</v>
      </c>
      <c r="AG18" s="1503">
        <v>5.9540350877192984E-2</v>
      </c>
      <c r="AH18" s="1493">
        <v>55596</v>
      </c>
      <c r="AI18" s="1493">
        <v>39236</v>
      </c>
      <c r="AJ18" s="1493">
        <v>16360</v>
      </c>
      <c r="AK18" s="1493">
        <v>111192</v>
      </c>
      <c r="AL18" s="1493">
        <v>78472</v>
      </c>
      <c r="AM18" s="1493">
        <v>32720</v>
      </c>
      <c r="AN18" s="1493">
        <v>734356</v>
      </c>
      <c r="AO18" s="1493">
        <v>518258</v>
      </c>
      <c r="AP18" s="1493">
        <v>216098</v>
      </c>
      <c r="AQ18" s="1503">
        <v>6.4417192982456142E-2</v>
      </c>
      <c r="AR18" s="1493">
        <v>173751</v>
      </c>
      <c r="AS18" s="1493">
        <v>122621</v>
      </c>
      <c r="AT18" s="1493">
        <v>51130</v>
      </c>
      <c r="AU18" s="1493">
        <v>284943</v>
      </c>
      <c r="AV18" s="1493">
        <v>201093</v>
      </c>
      <c r="AW18" s="1493">
        <v>83850</v>
      </c>
      <c r="AX18" s="1493">
        <v>908107</v>
      </c>
      <c r="AY18" s="1493">
        <v>640879</v>
      </c>
      <c r="AZ18" s="1493">
        <v>267228</v>
      </c>
      <c r="BA18" s="1503">
        <v>7.9658508771929828E-2</v>
      </c>
      <c r="BB18" s="1493">
        <v>55596</v>
      </c>
      <c r="BC18" s="1493">
        <v>39236</v>
      </c>
      <c r="BD18" s="1493">
        <v>16360</v>
      </c>
      <c r="BE18" s="1493">
        <v>340539</v>
      </c>
      <c r="BF18" s="1493">
        <v>240329</v>
      </c>
      <c r="BG18" s="1493">
        <v>100210</v>
      </c>
      <c r="BH18" s="1493">
        <v>963703</v>
      </c>
      <c r="BI18" s="1493">
        <v>680115</v>
      </c>
      <c r="BJ18" s="1493">
        <v>283588</v>
      </c>
      <c r="BK18" s="1503">
        <v>8.453535087719298E-2</v>
      </c>
      <c r="BL18" s="1493">
        <v>55596</v>
      </c>
      <c r="BM18" s="1493">
        <v>39236</v>
      </c>
      <c r="BN18" s="1493">
        <v>16360</v>
      </c>
      <c r="BO18" s="1493">
        <v>396135</v>
      </c>
      <c r="BP18" s="1493">
        <v>279565</v>
      </c>
      <c r="BQ18" s="1493">
        <v>116570</v>
      </c>
      <c r="BR18" s="1493">
        <v>1019299</v>
      </c>
      <c r="BS18" s="1493">
        <v>719351</v>
      </c>
      <c r="BT18" s="1493">
        <v>299948</v>
      </c>
      <c r="BU18" s="1503">
        <v>8.9412192982456146E-2</v>
      </c>
      <c r="BV18" s="1493">
        <v>83936</v>
      </c>
      <c r="BW18" s="1493">
        <v>59236</v>
      </c>
      <c r="BX18" s="1493">
        <v>24700</v>
      </c>
      <c r="BY18" s="1493">
        <v>480071</v>
      </c>
      <c r="BZ18" s="1493">
        <v>338801</v>
      </c>
      <c r="CA18" s="1493">
        <v>141270</v>
      </c>
      <c r="CB18" s="1493">
        <v>1103235</v>
      </c>
      <c r="CC18" s="1493">
        <v>778587</v>
      </c>
      <c r="CD18" s="1493">
        <v>324648</v>
      </c>
      <c r="CE18" s="1503">
        <v>9.6775E-2</v>
      </c>
      <c r="CF18" s="1493">
        <v>55596</v>
      </c>
      <c r="CG18" s="1493">
        <v>39236</v>
      </c>
      <c r="CH18" s="1493">
        <v>16360</v>
      </c>
      <c r="CI18" s="1493">
        <v>535667</v>
      </c>
      <c r="CJ18" s="1493">
        <v>378037</v>
      </c>
      <c r="CK18" s="1493">
        <v>157630</v>
      </c>
      <c r="CL18" s="1493">
        <v>1158831</v>
      </c>
      <c r="CM18" s="1493">
        <v>817823</v>
      </c>
      <c r="CN18" s="1493">
        <v>341008</v>
      </c>
      <c r="CO18" s="1503">
        <v>0.10165184210526315</v>
      </c>
      <c r="CP18" s="1493">
        <v>55596</v>
      </c>
      <c r="CQ18" s="1493">
        <v>39236</v>
      </c>
      <c r="CR18" s="1493">
        <v>16360</v>
      </c>
      <c r="CS18" s="1493">
        <v>591263</v>
      </c>
      <c r="CT18" s="1493">
        <v>417273</v>
      </c>
      <c r="CU18" s="1493">
        <v>173990</v>
      </c>
      <c r="CV18" s="1493">
        <v>1214427</v>
      </c>
      <c r="CW18" s="1493">
        <v>857059</v>
      </c>
      <c r="CX18" s="1493">
        <v>357368</v>
      </c>
      <c r="CY18" s="1503">
        <v>0.10652868421052632</v>
      </c>
      <c r="CZ18" s="1493">
        <v>55596</v>
      </c>
      <c r="DA18" s="1493">
        <v>39236</v>
      </c>
      <c r="DB18" s="1493">
        <v>16360</v>
      </c>
      <c r="DC18" s="1493">
        <v>646859</v>
      </c>
      <c r="DD18" s="1493">
        <v>456509</v>
      </c>
      <c r="DE18" s="1493">
        <v>190350</v>
      </c>
      <c r="DF18" s="1493">
        <v>1270023</v>
      </c>
      <c r="DG18" s="1493">
        <v>896295</v>
      </c>
      <c r="DH18" s="1493">
        <v>373728</v>
      </c>
      <c r="DI18" s="1503">
        <v>0.11140552631578947</v>
      </c>
      <c r="DJ18" s="1493">
        <v>55597</v>
      </c>
      <c r="DK18" s="1493">
        <v>39236</v>
      </c>
      <c r="DL18" s="1493">
        <v>16361</v>
      </c>
      <c r="DM18" s="1493">
        <v>702456</v>
      </c>
      <c r="DN18" s="1493">
        <v>495745</v>
      </c>
      <c r="DO18" s="1493">
        <v>206711</v>
      </c>
      <c r="DP18" s="1493">
        <v>1325620</v>
      </c>
      <c r="DQ18" s="1493">
        <v>935531</v>
      </c>
      <c r="DR18" s="1493">
        <v>390089</v>
      </c>
      <c r="DS18" s="1503">
        <v>0.11628245614035088</v>
      </c>
      <c r="DT18" s="1493">
        <v>55596</v>
      </c>
      <c r="DU18" s="1493">
        <v>39236</v>
      </c>
      <c r="DV18" s="1493">
        <v>16360</v>
      </c>
      <c r="DW18" s="1493">
        <v>758052</v>
      </c>
      <c r="DX18" s="1493">
        <v>534981</v>
      </c>
      <c r="DY18" s="1493">
        <v>223071</v>
      </c>
      <c r="DZ18" s="1493">
        <v>1381216</v>
      </c>
      <c r="EA18" s="1493">
        <v>974767</v>
      </c>
      <c r="EB18" s="1493">
        <v>406449</v>
      </c>
      <c r="EC18" s="1503">
        <v>0.12115929824561404</v>
      </c>
      <c r="ED18" s="1493">
        <v>83936</v>
      </c>
      <c r="EE18" s="1493">
        <v>59236</v>
      </c>
      <c r="EF18" s="1493">
        <v>24700</v>
      </c>
      <c r="EG18" s="1189">
        <v>841988</v>
      </c>
      <c r="EH18" s="1189">
        <v>594217</v>
      </c>
      <c r="EI18" s="1189">
        <v>247771</v>
      </c>
      <c r="EJ18" s="1504">
        <v>0.29426903946374533</v>
      </c>
      <c r="EK18" s="1505">
        <v>1465152</v>
      </c>
      <c r="EL18" s="1505">
        <v>1034003</v>
      </c>
      <c r="EM18" s="1505">
        <v>431149</v>
      </c>
      <c r="EN18" s="1506">
        <v>0.29426912702572838</v>
      </c>
      <c r="EO18" s="1502">
        <v>9934848</v>
      </c>
      <c r="EP18" s="1502">
        <v>7011331</v>
      </c>
      <c r="EQ18" s="1502">
        <v>2923517</v>
      </c>
      <c r="ER18" s="1507">
        <v>0.29426892087327355</v>
      </c>
      <c r="ES18" s="1189">
        <v>1067114</v>
      </c>
      <c r="ET18" s="1189">
        <v>753096</v>
      </c>
      <c r="EU18" s="1189">
        <v>314018</v>
      </c>
      <c r="EV18" s="1504">
        <v>0.29426846616200331</v>
      </c>
      <c r="EW18" s="1505">
        <v>2532266</v>
      </c>
      <c r="EX18" s="1505">
        <v>1787099</v>
      </c>
      <c r="EY18" s="1505">
        <v>745167</v>
      </c>
      <c r="EZ18" s="1506">
        <v>0.29426884853328994</v>
      </c>
      <c r="FA18" s="1502">
        <v>8867734</v>
      </c>
      <c r="FB18" s="1502">
        <v>6258235</v>
      </c>
      <c r="FC18" s="1502">
        <v>2609499</v>
      </c>
      <c r="FD18" s="1507">
        <v>0.29426897559173515</v>
      </c>
      <c r="FE18" s="1189">
        <v>1729119</v>
      </c>
      <c r="FF18" s="1189">
        <v>1220293</v>
      </c>
      <c r="FG18" s="1189">
        <v>508826</v>
      </c>
      <c r="FH18" s="1504">
        <v>0.29426893117246411</v>
      </c>
      <c r="FI18" s="1505">
        <v>4261385</v>
      </c>
      <c r="FJ18" s="1505">
        <v>3007392</v>
      </c>
      <c r="FK18" s="1505">
        <v>1253993</v>
      </c>
      <c r="FL18" s="1506">
        <v>0.29426888206533791</v>
      </c>
      <c r="FM18" s="1502">
        <v>7138615</v>
      </c>
      <c r="FN18" s="1502">
        <v>5037942</v>
      </c>
      <c r="FO18" s="1502">
        <v>2100673</v>
      </c>
      <c r="FP18" s="1507">
        <v>0.29426898635099386</v>
      </c>
      <c r="FQ18" s="1189">
        <v>1648308</v>
      </c>
      <c r="FR18" s="1189">
        <v>1163262</v>
      </c>
      <c r="FS18" s="1189">
        <v>485046</v>
      </c>
      <c r="FT18" s="1504">
        <v>0.29426903224397383</v>
      </c>
      <c r="FU18" s="1505">
        <v>5909693</v>
      </c>
      <c r="FV18" s="1505">
        <v>4170654</v>
      </c>
      <c r="FW18" s="1505">
        <v>1739039</v>
      </c>
      <c r="FX18" s="1506">
        <v>0.29426892395256404</v>
      </c>
      <c r="FY18" s="1502">
        <v>5490307</v>
      </c>
      <c r="FZ18" s="1502">
        <v>3874680</v>
      </c>
      <c r="GA18" s="1502">
        <v>1615627</v>
      </c>
      <c r="GB18" s="1507">
        <v>0.29426897257293627</v>
      </c>
      <c r="GC18" s="1189">
        <v>964504</v>
      </c>
      <c r="GD18" s="1189">
        <v>680680</v>
      </c>
      <c r="GE18" s="1189">
        <v>283824</v>
      </c>
      <c r="GF18" s="1504">
        <v>0.29426938613007309</v>
      </c>
      <c r="GG18" s="1505">
        <v>6874197</v>
      </c>
      <c r="GH18" s="1505">
        <v>4851334</v>
      </c>
      <c r="GI18" s="1505">
        <v>2022863</v>
      </c>
      <c r="GJ18" s="1506">
        <v>0.29426898879970997</v>
      </c>
      <c r="GK18" s="1502">
        <v>4525803</v>
      </c>
      <c r="GL18" s="1502">
        <v>3194000</v>
      </c>
      <c r="GM18" s="1502">
        <v>1331803</v>
      </c>
      <c r="GN18" s="1507">
        <v>0.29426888443884985</v>
      </c>
      <c r="GO18" s="1189">
        <v>4525803</v>
      </c>
      <c r="GP18" s="1189">
        <v>3194000</v>
      </c>
      <c r="GQ18" s="1189">
        <v>1331803</v>
      </c>
      <c r="GR18" s="1504">
        <v>0.29426888443884985</v>
      </c>
      <c r="GS18" s="1505">
        <v>11400000</v>
      </c>
      <c r="GT18" s="1505">
        <v>8045334</v>
      </c>
      <c r="GU18" s="1505">
        <v>3354666</v>
      </c>
      <c r="GV18" s="1506">
        <v>0.29426894736842107</v>
      </c>
      <c r="GW18" s="1502">
        <v>0</v>
      </c>
      <c r="GX18" s="1502">
        <v>0</v>
      </c>
      <c r="GY18" s="1502">
        <v>0</v>
      </c>
      <c r="GZ18" s="1507" t="s">
        <v>630</v>
      </c>
    </row>
    <row r="19" spans="1:208" s="611" customFormat="1" ht="15" customHeight="1">
      <c r="A19" s="865" t="s">
        <v>642</v>
      </c>
      <c r="B19" s="599" t="s">
        <v>1079</v>
      </c>
      <c r="C19" s="1495" t="s">
        <v>1314</v>
      </c>
      <c r="D19" s="1495" t="s">
        <v>1246</v>
      </c>
      <c r="E19" s="1141"/>
      <c r="F19" s="1496">
        <v>9400000</v>
      </c>
      <c r="G19" s="1496">
        <v>6304845</v>
      </c>
      <c r="H19" s="1497">
        <v>3095155</v>
      </c>
      <c r="I19" s="1498">
        <v>0.32927180851063831</v>
      </c>
      <c r="J19" s="1499">
        <v>9400000</v>
      </c>
      <c r="K19" s="1499">
        <v>6363155</v>
      </c>
      <c r="L19" s="1500">
        <v>3036845</v>
      </c>
      <c r="M19" s="1498">
        <v>0.32306861702127659</v>
      </c>
      <c r="N19" s="1499">
        <v>0</v>
      </c>
      <c r="O19" s="1499">
        <v>-58310</v>
      </c>
      <c r="P19" s="1500">
        <v>58310</v>
      </c>
      <c r="Q19" s="1493">
        <v>3847729</v>
      </c>
      <c r="R19" s="1493">
        <v>2580780</v>
      </c>
      <c r="S19" s="1493">
        <v>1266949</v>
      </c>
      <c r="T19" s="1501">
        <v>0.32927188999017343</v>
      </c>
      <c r="U19" s="1502">
        <v>5552271</v>
      </c>
      <c r="V19" s="1502">
        <v>3724065</v>
      </c>
      <c r="W19" s="1502">
        <v>1828206</v>
      </c>
      <c r="X19" s="1493">
        <v>239758</v>
      </c>
      <c r="Y19" s="1493">
        <v>160813</v>
      </c>
      <c r="Z19" s="1493">
        <v>78945</v>
      </c>
      <c r="AA19" s="1493">
        <v>239758</v>
      </c>
      <c r="AB19" s="1493">
        <v>160813</v>
      </c>
      <c r="AC19" s="1493">
        <v>78945</v>
      </c>
      <c r="AD19" s="1493">
        <v>4087487</v>
      </c>
      <c r="AE19" s="1493">
        <v>2741593</v>
      </c>
      <c r="AF19" s="1493">
        <v>1345894</v>
      </c>
      <c r="AG19" s="1503">
        <v>0.4348390425531915</v>
      </c>
      <c r="AH19" s="1493">
        <v>239759</v>
      </c>
      <c r="AI19" s="1493">
        <v>160813</v>
      </c>
      <c r="AJ19" s="1493">
        <v>78946</v>
      </c>
      <c r="AK19" s="1493">
        <v>479517</v>
      </c>
      <c r="AL19" s="1493">
        <v>321626</v>
      </c>
      <c r="AM19" s="1493">
        <v>157891</v>
      </c>
      <c r="AN19" s="1493">
        <v>4327246</v>
      </c>
      <c r="AO19" s="1493">
        <v>2902406</v>
      </c>
      <c r="AP19" s="1493">
        <v>1424840</v>
      </c>
      <c r="AQ19" s="1503">
        <v>0.46034531914893617</v>
      </c>
      <c r="AR19" s="1493">
        <v>239759</v>
      </c>
      <c r="AS19" s="1493">
        <v>160813</v>
      </c>
      <c r="AT19" s="1493">
        <v>78946</v>
      </c>
      <c r="AU19" s="1493">
        <v>719276</v>
      </c>
      <c r="AV19" s="1493">
        <v>482439</v>
      </c>
      <c r="AW19" s="1493">
        <v>236837</v>
      </c>
      <c r="AX19" s="1493">
        <v>4567005</v>
      </c>
      <c r="AY19" s="1493">
        <v>3063219</v>
      </c>
      <c r="AZ19" s="1493">
        <v>1503786</v>
      </c>
      <c r="BA19" s="1503">
        <v>0.48585159574468084</v>
      </c>
      <c r="BB19" s="1493">
        <v>239759</v>
      </c>
      <c r="BC19" s="1493">
        <v>160813</v>
      </c>
      <c r="BD19" s="1493">
        <v>78946</v>
      </c>
      <c r="BE19" s="1493">
        <v>959035</v>
      </c>
      <c r="BF19" s="1493">
        <v>643252</v>
      </c>
      <c r="BG19" s="1493">
        <v>315783</v>
      </c>
      <c r="BH19" s="1493">
        <v>4806764</v>
      </c>
      <c r="BI19" s="1493">
        <v>3224032</v>
      </c>
      <c r="BJ19" s="1493">
        <v>1582732</v>
      </c>
      <c r="BK19" s="1503">
        <v>0.51135787234042551</v>
      </c>
      <c r="BL19" s="1493">
        <v>239759</v>
      </c>
      <c r="BM19" s="1493">
        <v>160813</v>
      </c>
      <c r="BN19" s="1493">
        <v>78946</v>
      </c>
      <c r="BO19" s="1493">
        <v>1198794</v>
      </c>
      <c r="BP19" s="1493">
        <v>804065</v>
      </c>
      <c r="BQ19" s="1493">
        <v>394729</v>
      </c>
      <c r="BR19" s="1493">
        <v>5046523</v>
      </c>
      <c r="BS19" s="1493">
        <v>3384845</v>
      </c>
      <c r="BT19" s="1493">
        <v>1661678</v>
      </c>
      <c r="BU19" s="1503">
        <v>0.53686414893617018</v>
      </c>
      <c r="BV19" s="1493">
        <v>74545</v>
      </c>
      <c r="BW19" s="1493">
        <v>50000</v>
      </c>
      <c r="BX19" s="1493">
        <v>24545</v>
      </c>
      <c r="BY19" s="1493">
        <v>1273339</v>
      </c>
      <c r="BZ19" s="1493">
        <v>854065</v>
      </c>
      <c r="CA19" s="1493">
        <v>419274</v>
      </c>
      <c r="CB19" s="1493">
        <v>5121068</v>
      </c>
      <c r="CC19" s="1493">
        <v>3434845</v>
      </c>
      <c r="CD19" s="1493">
        <v>1686223</v>
      </c>
      <c r="CE19" s="1503">
        <v>0.54479446808510634</v>
      </c>
      <c r="CF19" s="1493">
        <v>0</v>
      </c>
      <c r="CG19" s="1493">
        <v>0</v>
      </c>
      <c r="CH19" s="1493">
        <v>0</v>
      </c>
      <c r="CI19" s="1493">
        <v>1273339</v>
      </c>
      <c r="CJ19" s="1493">
        <v>854065</v>
      </c>
      <c r="CK19" s="1493">
        <v>419274</v>
      </c>
      <c r="CL19" s="1493">
        <v>5121068</v>
      </c>
      <c r="CM19" s="1493">
        <v>3434845</v>
      </c>
      <c r="CN19" s="1493">
        <v>1686223</v>
      </c>
      <c r="CO19" s="1503">
        <v>0.54479446808510634</v>
      </c>
      <c r="CP19" s="1493">
        <v>0</v>
      </c>
      <c r="CQ19" s="1493">
        <v>0</v>
      </c>
      <c r="CR19" s="1493">
        <v>0</v>
      </c>
      <c r="CS19" s="1493">
        <v>1273339</v>
      </c>
      <c r="CT19" s="1493">
        <v>854065</v>
      </c>
      <c r="CU19" s="1493">
        <v>419274</v>
      </c>
      <c r="CV19" s="1493">
        <v>5121068</v>
      </c>
      <c r="CW19" s="1493">
        <v>3434845</v>
      </c>
      <c r="CX19" s="1493">
        <v>1686223</v>
      </c>
      <c r="CY19" s="1503">
        <v>0.54479446808510634</v>
      </c>
      <c r="CZ19" s="1493">
        <v>0</v>
      </c>
      <c r="DA19" s="1493">
        <v>0</v>
      </c>
      <c r="DB19" s="1493">
        <v>0</v>
      </c>
      <c r="DC19" s="1493">
        <v>1273339</v>
      </c>
      <c r="DD19" s="1493">
        <v>854065</v>
      </c>
      <c r="DE19" s="1493">
        <v>419274</v>
      </c>
      <c r="DF19" s="1493">
        <v>5121068</v>
      </c>
      <c r="DG19" s="1493">
        <v>3434845</v>
      </c>
      <c r="DH19" s="1493">
        <v>1686223</v>
      </c>
      <c r="DI19" s="1503">
        <v>0.54479446808510634</v>
      </c>
      <c r="DJ19" s="1493">
        <v>0</v>
      </c>
      <c r="DK19" s="1493">
        <v>0</v>
      </c>
      <c r="DL19" s="1493">
        <v>0</v>
      </c>
      <c r="DM19" s="1493">
        <v>1273339</v>
      </c>
      <c r="DN19" s="1493">
        <v>854065</v>
      </c>
      <c r="DO19" s="1493">
        <v>419274</v>
      </c>
      <c r="DP19" s="1493">
        <v>5121068</v>
      </c>
      <c r="DQ19" s="1493">
        <v>3434845</v>
      </c>
      <c r="DR19" s="1493">
        <v>1686223</v>
      </c>
      <c r="DS19" s="1503">
        <v>0.54479446808510634</v>
      </c>
      <c r="DT19" s="1493">
        <v>0</v>
      </c>
      <c r="DU19" s="1493">
        <v>0</v>
      </c>
      <c r="DV19" s="1493">
        <v>0</v>
      </c>
      <c r="DW19" s="1493">
        <v>1273339</v>
      </c>
      <c r="DX19" s="1493">
        <v>854065</v>
      </c>
      <c r="DY19" s="1493">
        <v>419274</v>
      </c>
      <c r="DZ19" s="1493">
        <v>5121068</v>
      </c>
      <c r="EA19" s="1493">
        <v>3434845</v>
      </c>
      <c r="EB19" s="1493">
        <v>1686223</v>
      </c>
      <c r="EC19" s="1503">
        <v>0.54479446808510634</v>
      </c>
      <c r="ED19" s="1493">
        <v>4278932</v>
      </c>
      <c r="EE19" s="1493">
        <v>2870000</v>
      </c>
      <c r="EF19" s="1493">
        <v>1408932</v>
      </c>
      <c r="EG19" s="1189">
        <v>5552271</v>
      </c>
      <c r="EH19" s="1189">
        <v>3724065</v>
      </c>
      <c r="EI19" s="1189">
        <v>1828206</v>
      </c>
      <c r="EJ19" s="1504">
        <v>0.32927175204524417</v>
      </c>
      <c r="EK19" s="1505">
        <v>9400000</v>
      </c>
      <c r="EL19" s="1505">
        <v>6304845</v>
      </c>
      <c r="EM19" s="1505">
        <v>3095155</v>
      </c>
      <c r="EN19" s="1506">
        <v>0.32927180851063831</v>
      </c>
      <c r="EO19" s="1502">
        <v>0</v>
      </c>
      <c r="EP19" s="1502">
        <v>0</v>
      </c>
      <c r="EQ19" s="1502">
        <v>0</v>
      </c>
      <c r="ER19" s="1507" t="s">
        <v>630</v>
      </c>
      <c r="ES19" s="1189">
        <v>0</v>
      </c>
      <c r="ET19" s="1189">
        <v>0</v>
      </c>
      <c r="EU19" s="1189">
        <v>0</v>
      </c>
      <c r="EV19" s="1504" t="s">
        <v>630</v>
      </c>
      <c r="EW19" s="1505">
        <v>9400000</v>
      </c>
      <c r="EX19" s="1505">
        <v>6304845</v>
      </c>
      <c r="EY19" s="1505">
        <v>3095155</v>
      </c>
      <c r="EZ19" s="1506">
        <v>0.32927180851063831</v>
      </c>
      <c r="FA19" s="1502">
        <v>0</v>
      </c>
      <c r="FB19" s="1502">
        <v>0</v>
      </c>
      <c r="FC19" s="1502">
        <v>0</v>
      </c>
      <c r="FD19" s="1507" t="s">
        <v>630</v>
      </c>
      <c r="FE19" s="1189">
        <v>0</v>
      </c>
      <c r="FF19" s="1189">
        <v>0</v>
      </c>
      <c r="FG19" s="1189">
        <v>0</v>
      </c>
      <c r="FH19" s="1504" t="s">
        <v>630</v>
      </c>
      <c r="FI19" s="1505">
        <v>9400000</v>
      </c>
      <c r="FJ19" s="1505">
        <v>6304845</v>
      </c>
      <c r="FK19" s="1505">
        <v>3095155</v>
      </c>
      <c r="FL19" s="1506">
        <v>0.32927180851063831</v>
      </c>
      <c r="FM19" s="1502">
        <v>0</v>
      </c>
      <c r="FN19" s="1502">
        <v>0</v>
      </c>
      <c r="FO19" s="1502">
        <v>0</v>
      </c>
      <c r="FP19" s="1507" t="s">
        <v>630</v>
      </c>
      <c r="FQ19" s="1189">
        <v>0</v>
      </c>
      <c r="FR19" s="1189">
        <v>0</v>
      </c>
      <c r="FS19" s="1189">
        <v>0</v>
      </c>
      <c r="FT19" s="1504" t="s">
        <v>630</v>
      </c>
      <c r="FU19" s="1505">
        <v>9400000</v>
      </c>
      <c r="FV19" s="1505">
        <v>6304845</v>
      </c>
      <c r="FW19" s="1505">
        <v>3095155</v>
      </c>
      <c r="FX19" s="1506">
        <v>0.32927180851063831</v>
      </c>
      <c r="FY19" s="1502">
        <v>0</v>
      </c>
      <c r="FZ19" s="1502">
        <v>0</v>
      </c>
      <c r="GA19" s="1502">
        <v>0</v>
      </c>
      <c r="GB19" s="1507" t="s">
        <v>630</v>
      </c>
      <c r="GC19" s="1189">
        <v>0</v>
      </c>
      <c r="GD19" s="1189">
        <v>0</v>
      </c>
      <c r="GE19" s="1189">
        <v>0</v>
      </c>
      <c r="GF19" s="1504" t="s">
        <v>630</v>
      </c>
      <c r="GG19" s="1505">
        <v>9400000</v>
      </c>
      <c r="GH19" s="1505">
        <v>6304845</v>
      </c>
      <c r="GI19" s="1505">
        <v>3095155</v>
      </c>
      <c r="GJ19" s="1506">
        <v>0.32927180851063831</v>
      </c>
      <c r="GK19" s="1502">
        <v>0</v>
      </c>
      <c r="GL19" s="1502">
        <v>0</v>
      </c>
      <c r="GM19" s="1502">
        <v>0</v>
      </c>
      <c r="GN19" s="1507" t="s">
        <v>630</v>
      </c>
      <c r="GO19" s="1189">
        <v>0</v>
      </c>
      <c r="GP19" s="1189">
        <v>0</v>
      </c>
      <c r="GQ19" s="1189">
        <v>0</v>
      </c>
      <c r="GR19" s="1504" t="s">
        <v>630</v>
      </c>
      <c r="GS19" s="1505">
        <v>9400000</v>
      </c>
      <c r="GT19" s="1505">
        <v>6304845</v>
      </c>
      <c r="GU19" s="1505">
        <v>3095155</v>
      </c>
      <c r="GV19" s="1506">
        <v>0.32927180851063831</v>
      </c>
      <c r="GW19" s="1502">
        <v>0</v>
      </c>
      <c r="GX19" s="1502">
        <v>0</v>
      </c>
      <c r="GY19" s="1502">
        <v>0</v>
      </c>
      <c r="GZ19" s="1507" t="s">
        <v>630</v>
      </c>
    </row>
    <row r="20" spans="1:208" s="611" customFormat="1" ht="15" customHeight="1">
      <c r="A20" s="865" t="s">
        <v>1080</v>
      </c>
      <c r="B20" s="599" t="s">
        <v>1247</v>
      </c>
      <c r="C20" s="1495" t="s">
        <v>1314</v>
      </c>
      <c r="D20" s="1495" t="s">
        <v>1246</v>
      </c>
      <c r="E20" s="1141" t="s">
        <v>1546</v>
      </c>
      <c r="F20" s="1496">
        <v>1330000</v>
      </c>
      <c r="G20" s="1496">
        <v>575468</v>
      </c>
      <c r="H20" s="1497">
        <v>754532</v>
      </c>
      <c r="I20" s="1498">
        <v>0.56731729323308266</v>
      </c>
      <c r="J20" s="1499">
        <v>1330000</v>
      </c>
      <c r="K20" s="1499">
        <v>894659</v>
      </c>
      <c r="L20" s="1500">
        <v>435341</v>
      </c>
      <c r="M20" s="1498">
        <v>0.32732406015037596</v>
      </c>
      <c r="N20" s="1499">
        <v>0</v>
      </c>
      <c r="O20" s="1499">
        <v>-319191</v>
      </c>
      <c r="P20" s="1500">
        <v>319191</v>
      </c>
      <c r="Q20" s="1493">
        <v>1330000</v>
      </c>
      <c r="R20" s="1493">
        <v>575468</v>
      </c>
      <c r="S20" s="1493">
        <v>754532</v>
      </c>
      <c r="T20" s="1501">
        <v>0.56731729323308266</v>
      </c>
      <c r="U20" s="1502">
        <v>0</v>
      </c>
      <c r="V20" s="1502">
        <v>0</v>
      </c>
      <c r="W20" s="1502">
        <v>0</v>
      </c>
      <c r="X20" s="1493">
        <v>0</v>
      </c>
      <c r="Y20" s="1493">
        <v>0</v>
      </c>
      <c r="Z20" s="1493">
        <v>0</v>
      </c>
      <c r="AA20" s="1493">
        <v>0</v>
      </c>
      <c r="AB20" s="1493">
        <v>0</v>
      </c>
      <c r="AC20" s="1493">
        <v>0</v>
      </c>
      <c r="AD20" s="1493">
        <v>1330000</v>
      </c>
      <c r="AE20" s="1493">
        <v>575468</v>
      </c>
      <c r="AF20" s="1493">
        <v>754532</v>
      </c>
      <c r="AG20" s="1503">
        <v>1</v>
      </c>
      <c r="AH20" s="1493">
        <v>0</v>
      </c>
      <c r="AI20" s="1493">
        <v>0</v>
      </c>
      <c r="AJ20" s="1493">
        <v>0</v>
      </c>
      <c r="AK20" s="1493">
        <v>0</v>
      </c>
      <c r="AL20" s="1493">
        <v>0</v>
      </c>
      <c r="AM20" s="1493">
        <v>0</v>
      </c>
      <c r="AN20" s="1493">
        <v>1330000</v>
      </c>
      <c r="AO20" s="1493">
        <v>575468</v>
      </c>
      <c r="AP20" s="1493">
        <v>754532</v>
      </c>
      <c r="AQ20" s="1503">
        <v>1</v>
      </c>
      <c r="AR20" s="1493">
        <v>0</v>
      </c>
      <c r="AS20" s="1493">
        <v>0</v>
      </c>
      <c r="AT20" s="1493">
        <v>0</v>
      </c>
      <c r="AU20" s="1493">
        <v>0</v>
      </c>
      <c r="AV20" s="1493">
        <v>0</v>
      </c>
      <c r="AW20" s="1493">
        <v>0</v>
      </c>
      <c r="AX20" s="1493">
        <v>1330000</v>
      </c>
      <c r="AY20" s="1493">
        <v>575468</v>
      </c>
      <c r="AZ20" s="1493">
        <v>754532</v>
      </c>
      <c r="BA20" s="1503">
        <v>1</v>
      </c>
      <c r="BB20" s="1493">
        <v>0</v>
      </c>
      <c r="BC20" s="1493">
        <v>0</v>
      </c>
      <c r="BD20" s="1493">
        <v>0</v>
      </c>
      <c r="BE20" s="1493">
        <v>0</v>
      </c>
      <c r="BF20" s="1493">
        <v>0</v>
      </c>
      <c r="BG20" s="1493">
        <v>0</v>
      </c>
      <c r="BH20" s="1493">
        <v>1330000</v>
      </c>
      <c r="BI20" s="1493">
        <v>575468</v>
      </c>
      <c r="BJ20" s="1493">
        <v>754532</v>
      </c>
      <c r="BK20" s="1503">
        <v>1</v>
      </c>
      <c r="BL20" s="1493">
        <v>0</v>
      </c>
      <c r="BM20" s="1493">
        <v>0</v>
      </c>
      <c r="BN20" s="1493">
        <v>0</v>
      </c>
      <c r="BO20" s="1493">
        <v>0</v>
      </c>
      <c r="BP20" s="1493">
        <v>0</v>
      </c>
      <c r="BQ20" s="1493">
        <v>0</v>
      </c>
      <c r="BR20" s="1493">
        <v>1330000</v>
      </c>
      <c r="BS20" s="1493">
        <v>575468</v>
      </c>
      <c r="BT20" s="1493">
        <v>754532</v>
      </c>
      <c r="BU20" s="1503">
        <v>1</v>
      </c>
      <c r="BV20" s="1493">
        <v>0</v>
      </c>
      <c r="BW20" s="1493">
        <v>0</v>
      </c>
      <c r="BX20" s="1493">
        <v>0</v>
      </c>
      <c r="BY20" s="1493">
        <v>0</v>
      </c>
      <c r="BZ20" s="1493">
        <v>0</v>
      </c>
      <c r="CA20" s="1493">
        <v>0</v>
      </c>
      <c r="CB20" s="1493">
        <v>1330000</v>
      </c>
      <c r="CC20" s="1493">
        <v>575468</v>
      </c>
      <c r="CD20" s="1493">
        <v>754532</v>
      </c>
      <c r="CE20" s="1503">
        <v>1</v>
      </c>
      <c r="CF20" s="1493">
        <v>0</v>
      </c>
      <c r="CG20" s="1493">
        <v>0</v>
      </c>
      <c r="CH20" s="1493">
        <v>0</v>
      </c>
      <c r="CI20" s="1493">
        <v>0</v>
      </c>
      <c r="CJ20" s="1493">
        <v>0</v>
      </c>
      <c r="CK20" s="1493">
        <v>0</v>
      </c>
      <c r="CL20" s="1493">
        <v>1330000</v>
      </c>
      <c r="CM20" s="1493">
        <v>575468</v>
      </c>
      <c r="CN20" s="1493">
        <v>754532</v>
      </c>
      <c r="CO20" s="1503">
        <v>1</v>
      </c>
      <c r="CP20" s="1493">
        <v>0</v>
      </c>
      <c r="CQ20" s="1493">
        <v>0</v>
      </c>
      <c r="CR20" s="1493">
        <v>0</v>
      </c>
      <c r="CS20" s="1493">
        <v>0</v>
      </c>
      <c r="CT20" s="1493">
        <v>0</v>
      </c>
      <c r="CU20" s="1493">
        <v>0</v>
      </c>
      <c r="CV20" s="1493">
        <v>1330000</v>
      </c>
      <c r="CW20" s="1493">
        <v>575468</v>
      </c>
      <c r="CX20" s="1493">
        <v>754532</v>
      </c>
      <c r="CY20" s="1503">
        <v>1</v>
      </c>
      <c r="CZ20" s="1493">
        <v>0</v>
      </c>
      <c r="DA20" s="1493">
        <v>0</v>
      </c>
      <c r="DB20" s="1493">
        <v>0</v>
      </c>
      <c r="DC20" s="1493">
        <v>0</v>
      </c>
      <c r="DD20" s="1493">
        <v>0</v>
      </c>
      <c r="DE20" s="1493">
        <v>0</v>
      </c>
      <c r="DF20" s="1493">
        <v>1330000</v>
      </c>
      <c r="DG20" s="1493">
        <v>575468</v>
      </c>
      <c r="DH20" s="1493">
        <v>754532</v>
      </c>
      <c r="DI20" s="1503">
        <v>1</v>
      </c>
      <c r="DJ20" s="1493">
        <v>0</v>
      </c>
      <c r="DK20" s="1493">
        <v>0</v>
      </c>
      <c r="DL20" s="1493">
        <v>0</v>
      </c>
      <c r="DM20" s="1493">
        <v>0</v>
      </c>
      <c r="DN20" s="1493">
        <v>0</v>
      </c>
      <c r="DO20" s="1493">
        <v>0</v>
      </c>
      <c r="DP20" s="1493">
        <v>1330000</v>
      </c>
      <c r="DQ20" s="1493">
        <v>575468</v>
      </c>
      <c r="DR20" s="1493">
        <v>754532</v>
      </c>
      <c r="DS20" s="1503">
        <v>1</v>
      </c>
      <c r="DT20" s="1493">
        <v>0</v>
      </c>
      <c r="DU20" s="1493">
        <v>0</v>
      </c>
      <c r="DV20" s="1493">
        <v>0</v>
      </c>
      <c r="DW20" s="1493">
        <v>0</v>
      </c>
      <c r="DX20" s="1493">
        <v>0</v>
      </c>
      <c r="DY20" s="1493">
        <v>0</v>
      </c>
      <c r="DZ20" s="1493">
        <v>1330000</v>
      </c>
      <c r="EA20" s="1493">
        <v>575468</v>
      </c>
      <c r="EB20" s="1493">
        <v>754532</v>
      </c>
      <c r="EC20" s="1503">
        <v>1</v>
      </c>
      <c r="ED20" s="1493">
        <v>0</v>
      </c>
      <c r="EE20" s="1493">
        <v>0</v>
      </c>
      <c r="EF20" s="1493">
        <v>0</v>
      </c>
      <c r="EG20" s="1189">
        <v>0</v>
      </c>
      <c r="EH20" s="1189">
        <v>0</v>
      </c>
      <c r="EI20" s="1189">
        <v>0</v>
      </c>
      <c r="EJ20" s="1504" t="s">
        <v>630</v>
      </c>
      <c r="EK20" s="1505">
        <v>1330000</v>
      </c>
      <c r="EL20" s="1505">
        <v>575468</v>
      </c>
      <c r="EM20" s="1505">
        <v>754532</v>
      </c>
      <c r="EN20" s="1506">
        <v>0.56731729323308266</v>
      </c>
      <c r="EO20" s="1502">
        <v>0</v>
      </c>
      <c r="EP20" s="1502">
        <v>0</v>
      </c>
      <c r="EQ20" s="1502">
        <v>0</v>
      </c>
      <c r="ER20" s="1507" t="s">
        <v>630</v>
      </c>
      <c r="ES20" s="1189">
        <v>0</v>
      </c>
      <c r="ET20" s="1189">
        <v>0</v>
      </c>
      <c r="EU20" s="1189">
        <v>0</v>
      </c>
      <c r="EV20" s="1504" t="s">
        <v>630</v>
      </c>
      <c r="EW20" s="1505">
        <v>1330000</v>
      </c>
      <c r="EX20" s="1505">
        <v>575468</v>
      </c>
      <c r="EY20" s="1505">
        <v>754532</v>
      </c>
      <c r="EZ20" s="1506">
        <v>0.56731729323308266</v>
      </c>
      <c r="FA20" s="1502">
        <v>0</v>
      </c>
      <c r="FB20" s="1502">
        <v>0</v>
      </c>
      <c r="FC20" s="1502">
        <v>0</v>
      </c>
      <c r="FD20" s="1507" t="s">
        <v>630</v>
      </c>
      <c r="FE20" s="1189">
        <v>0</v>
      </c>
      <c r="FF20" s="1189">
        <v>0</v>
      </c>
      <c r="FG20" s="1189">
        <v>0</v>
      </c>
      <c r="FH20" s="1504" t="s">
        <v>630</v>
      </c>
      <c r="FI20" s="1505">
        <v>1330000</v>
      </c>
      <c r="FJ20" s="1505">
        <v>575468</v>
      </c>
      <c r="FK20" s="1505">
        <v>754532</v>
      </c>
      <c r="FL20" s="1506">
        <v>0.56731729323308266</v>
      </c>
      <c r="FM20" s="1502">
        <v>0</v>
      </c>
      <c r="FN20" s="1502">
        <v>0</v>
      </c>
      <c r="FO20" s="1502">
        <v>0</v>
      </c>
      <c r="FP20" s="1507" t="s">
        <v>630</v>
      </c>
      <c r="FQ20" s="1189">
        <v>0</v>
      </c>
      <c r="FR20" s="1189">
        <v>0</v>
      </c>
      <c r="FS20" s="1189">
        <v>0</v>
      </c>
      <c r="FT20" s="1504" t="s">
        <v>630</v>
      </c>
      <c r="FU20" s="1505">
        <v>1330000</v>
      </c>
      <c r="FV20" s="1505">
        <v>575468</v>
      </c>
      <c r="FW20" s="1505">
        <v>754532</v>
      </c>
      <c r="FX20" s="1506">
        <v>0.56731729323308266</v>
      </c>
      <c r="FY20" s="1502">
        <v>0</v>
      </c>
      <c r="FZ20" s="1502">
        <v>0</v>
      </c>
      <c r="GA20" s="1502">
        <v>0</v>
      </c>
      <c r="GB20" s="1507" t="s">
        <v>630</v>
      </c>
      <c r="GC20" s="1189">
        <v>0</v>
      </c>
      <c r="GD20" s="1189">
        <v>0</v>
      </c>
      <c r="GE20" s="1189">
        <v>0</v>
      </c>
      <c r="GF20" s="1504" t="s">
        <v>630</v>
      </c>
      <c r="GG20" s="1505">
        <v>1330000</v>
      </c>
      <c r="GH20" s="1505">
        <v>575468</v>
      </c>
      <c r="GI20" s="1505">
        <v>754532</v>
      </c>
      <c r="GJ20" s="1506">
        <v>0.56731729323308266</v>
      </c>
      <c r="GK20" s="1502">
        <v>0</v>
      </c>
      <c r="GL20" s="1502">
        <v>0</v>
      </c>
      <c r="GM20" s="1502">
        <v>0</v>
      </c>
      <c r="GN20" s="1507" t="s">
        <v>630</v>
      </c>
      <c r="GO20" s="1189">
        <v>0</v>
      </c>
      <c r="GP20" s="1189">
        <v>0</v>
      </c>
      <c r="GQ20" s="1189">
        <v>0</v>
      </c>
      <c r="GR20" s="1504" t="s">
        <v>630</v>
      </c>
      <c r="GS20" s="1505">
        <v>1330000</v>
      </c>
      <c r="GT20" s="1505">
        <v>575468</v>
      </c>
      <c r="GU20" s="1505">
        <v>754532</v>
      </c>
      <c r="GV20" s="1506">
        <v>0.56731729323308266</v>
      </c>
      <c r="GW20" s="1502">
        <v>0</v>
      </c>
      <c r="GX20" s="1502">
        <v>0</v>
      </c>
      <c r="GY20" s="1502">
        <v>0</v>
      </c>
      <c r="GZ20" s="1507" t="s">
        <v>630</v>
      </c>
    </row>
    <row r="21" spans="1:208" s="611" customFormat="1" ht="15" customHeight="1">
      <c r="A21" s="865" t="s">
        <v>1082</v>
      </c>
      <c r="B21" s="599" t="s">
        <v>1248</v>
      </c>
      <c r="C21" s="1495" t="s">
        <v>1314</v>
      </c>
      <c r="D21" s="1495" t="s">
        <v>1246</v>
      </c>
      <c r="E21" s="1141" t="s">
        <v>1546</v>
      </c>
      <c r="F21" s="1496">
        <v>15000000</v>
      </c>
      <c r="G21" s="1496">
        <v>10227649</v>
      </c>
      <c r="H21" s="1497">
        <v>4772351</v>
      </c>
      <c r="I21" s="1498">
        <v>0.31815673333333333</v>
      </c>
      <c r="J21" s="1499">
        <v>15000000</v>
      </c>
      <c r="K21" s="1499">
        <v>10227650</v>
      </c>
      <c r="L21" s="1500">
        <v>4772350</v>
      </c>
      <c r="M21" s="1498">
        <v>0.31815666666666664</v>
      </c>
      <c r="N21" s="1499">
        <v>0</v>
      </c>
      <c r="O21" s="1499">
        <v>-1</v>
      </c>
      <c r="P21" s="1500">
        <v>1</v>
      </c>
      <c r="Q21" s="1493">
        <v>35360</v>
      </c>
      <c r="R21" s="1493">
        <v>24110</v>
      </c>
      <c r="S21" s="1493">
        <v>11250</v>
      </c>
      <c r="T21" s="1501">
        <v>0.31815610859728505</v>
      </c>
      <c r="U21" s="1502">
        <v>14964640</v>
      </c>
      <c r="V21" s="1502">
        <v>10203539</v>
      </c>
      <c r="W21" s="1502">
        <v>4761101</v>
      </c>
      <c r="X21" s="1493">
        <v>349409</v>
      </c>
      <c r="Y21" s="1493">
        <v>238242</v>
      </c>
      <c r="Z21" s="1493">
        <v>111167</v>
      </c>
      <c r="AA21" s="1493">
        <v>349409</v>
      </c>
      <c r="AB21" s="1493">
        <v>238242</v>
      </c>
      <c r="AC21" s="1493">
        <v>111167</v>
      </c>
      <c r="AD21" s="1493">
        <v>384769</v>
      </c>
      <c r="AE21" s="1493">
        <v>262352</v>
      </c>
      <c r="AF21" s="1493">
        <v>122417</v>
      </c>
      <c r="AG21" s="1503">
        <v>2.5651266666666665E-2</v>
      </c>
      <c r="AH21" s="1493">
        <v>349409</v>
      </c>
      <c r="AI21" s="1493">
        <v>238242</v>
      </c>
      <c r="AJ21" s="1493">
        <v>111167</v>
      </c>
      <c r="AK21" s="1493">
        <v>698818</v>
      </c>
      <c r="AL21" s="1493">
        <v>476484</v>
      </c>
      <c r="AM21" s="1493">
        <v>222334</v>
      </c>
      <c r="AN21" s="1493">
        <v>734178</v>
      </c>
      <c r="AO21" s="1493">
        <v>500594</v>
      </c>
      <c r="AP21" s="1493">
        <v>233584</v>
      </c>
      <c r="AQ21" s="1503">
        <v>4.8945200000000001E-2</v>
      </c>
      <c r="AR21" s="1493">
        <v>349408</v>
      </c>
      <c r="AS21" s="1493">
        <v>238242</v>
      </c>
      <c r="AT21" s="1493">
        <v>111166</v>
      </c>
      <c r="AU21" s="1493">
        <v>1048226</v>
      </c>
      <c r="AV21" s="1493">
        <v>714726</v>
      </c>
      <c r="AW21" s="1493">
        <v>333500</v>
      </c>
      <c r="AX21" s="1493">
        <v>1083586</v>
      </c>
      <c r="AY21" s="1493">
        <v>738836</v>
      </c>
      <c r="AZ21" s="1493">
        <v>344750</v>
      </c>
      <c r="BA21" s="1503">
        <v>7.2239066666666671E-2</v>
      </c>
      <c r="BB21" s="1493">
        <v>349409</v>
      </c>
      <c r="BC21" s="1493">
        <v>238242</v>
      </c>
      <c r="BD21" s="1493">
        <v>111167</v>
      </c>
      <c r="BE21" s="1493">
        <v>1397635</v>
      </c>
      <c r="BF21" s="1493">
        <v>952968</v>
      </c>
      <c r="BG21" s="1493">
        <v>444667</v>
      </c>
      <c r="BH21" s="1493">
        <v>1432995</v>
      </c>
      <c r="BI21" s="1493">
        <v>977078</v>
      </c>
      <c r="BJ21" s="1493">
        <v>455917</v>
      </c>
      <c r="BK21" s="1503">
        <v>9.5533000000000007E-2</v>
      </c>
      <c r="BL21" s="1493">
        <v>349409</v>
      </c>
      <c r="BM21" s="1493">
        <v>238242</v>
      </c>
      <c r="BN21" s="1493">
        <v>111167</v>
      </c>
      <c r="BO21" s="1493">
        <v>1747044</v>
      </c>
      <c r="BP21" s="1493">
        <v>1191210</v>
      </c>
      <c r="BQ21" s="1493">
        <v>555834</v>
      </c>
      <c r="BR21" s="1493">
        <v>1782404</v>
      </c>
      <c r="BS21" s="1493">
        <v>1215320</v>
      </c>
      <c r="BT21" s="1493">
        <v>567084</v>
      </c>
      <c r="BU21" s="1503">
        <v>0.11882693333333333</v>
      </c>
      <c r="BV21" s="1493">
        <v>349409</v>
      </c>
      <c r="BW21" s="1493">
        <v>238242</v>
      </c>
      <c r="BX21" s="1493">
        <v>111167</v>
      </c>
      <c r="BY21" s="1493">
        <v>2096453</v>
      </c>
      <c r="BZ21" s="1493">
        <v>1429452</v>
      </c>
      <c r="CA21" s="1493">
        <v>667001</v>
      </c>
      <c r="CB21" s="1493">
        <v>2131813</v>
      </c>
      <c r="CC21" s="1493">
        <v>1453562</v>
      </c>
      <c r="CD21" s="1493">
        <v>678251</v>
      </c>
      <c r="CE21" s="1503">
        <v>0.14212086666666668</v>
      </c>
      <c r="CF21" s="1493">
        <v>349408</v>
      </c>
      <c r="CG21" s="1493">
        <v>238242</v>
      </c>
      <c r="CH21" s="1493">
        <v>111166</v>
      </c>
      <c r="CI21" s="1493">
        <v>2445861</v>
      </c>
      <c r="CJ21" s="1493">
        <v>1667694</v>
      </c>
      <c r="CK21" s="1493">
        <v>778167</v>
      </c>
      <c r="CL21" s="1493">
        <v>2481221</v>
      </c>
      <c r="CM21" s="1493">
        <v>1691804</v>
      </c>
      <c r="CN21" s="1493">
        <v>789417</v>
      </c>
      <c r="CO21" s="1503">
        <v>0.16541473333333334</v>
      </c>
      <c r="CP21" s="1493">
        <v>349409</v>
      </c>
      <c r="CQ21" s="1493">
        <v>238242</v>
      </c>
      <c r="CR21" s="1493">
        <v>111167</v>
      </c>
      <c r="CS21" s="1493">
        <v>2795270</v>
      </c>
      <c r="CT21" s="1493">
        <v>1905936</v>
      </c>
      <c r="CU21" s="1493">
        <v>889334</v>
      </c>
      <c r="CV21" s="1493">
        <v>2830630</v>
      </c>
      <c r="CW21" s="1493">
        <v>1930046</v>
      </c>
      <c r="CX21" s="1493">
        <v>900584</v>
      </c>
      <c r="CY21" s="1503">
        <v>0.18870866666666666</v>
      </c>
      <c r="CZ21" s="1493">
        <v>349409</v>
      </c>
      <c r="DA21" s="1493">
        <v>238242</v>
      </c>
      <c r="DB21" s="1493">
        <v>111167</v>
      </c>
      <c r="DC21" s="1493">
        <v>3144679</v>
      </c>
      <c r="DD21" s="1493">
        <v>2144178</v>
      </c>
      <c r="DE21" s="1493">
        <v>1000501</v>
      </c>
      <c r="DF21" s="1493">
        <v>3180039</v>
      </c>
      <c r="DG21" s="1493">
        <v>2168288</v>
      </c>
      <c r="DH21" s="1493">
        <v>1011751</v>
      </c>
      <c r="DI21" s="1503">
        <v>0.21200260000000001</v>
      </c>
      <c r="DJ21" s="1493">
        <v>349408</v>
      </c>
      <c r="DK21" s="1493">
        <v>238242</v>
      </c>
      <c r="DL21" s="1493">
        <v>111166</v>
      </c>
      <c r="DM21" s="1493">
        <v>3494087</v>
      </c>
      <c r="DN21" s="1493">
        <v>2382420</v>
      </c>
      <c r="DO21" s="1493">
        <v>1111667</v>
      </c>
      <c r="DP21" s="1493">
        <v>3529447</v>
      </c>
      <c r="DQ21" s="1493">
        <v>2406530</v>
      </c>
      <c r="DR21" s="1493">
        <v>1122917</v>
      </c>
      <c r="DS21" s="1503">
        <v>0.23529646666666668</v>
      </c>
      <c r="DT21" s="1493">
        <v>349409</v>
      </c>
      <c r="DU21" s="1493">
        <v>238242</v>
      </c>
      <c r="DV21" s="1493">
        <v>111167</v>
      </c>
      <c r="DW21" s="1493">
        <v>3843496</v>
      </c>
      <c r="DX21" s="1493">
        <v>2620662</v>
      </c>
      <c r="DY21" s="1493">
        <v>1222834</v>
      </c>
      <c r="DZ21" s="1493">
        <v>3878856</v>
      </c>
      <c r="EA21" s="1493">
        <v>2644772</v>
      </c>
      <c r="EB21" s="1493">
        <v>1234084</v>
      </c>
      <c r="EC21" s="1503">
        <v>0.2585904</v>
      </c>
      <c r="ED21" s="1493">
        <v>393407</v>
      </c>
      <c r="EE21" s="1493">
        <v>268242</v>
      </c>
      <c r="EF21" s="1493">
        <v>125165</v>
      </c>
      <c r="EG21" s="1189">
        <v>4236903</v>
      </c>
      <c r="EH21" s="1189">
        <v>2888904</v>
      </c>
      <c r="EI21" s="1189">
        <v>1347999</v>
      </c>
      <c r="EJ21" s="1504">
        <v>0.31815668189713098</v>
      </c>
      <c r="EK21" s="1505">
        <v>4272263</v>
      </c>
      <c r="EL21" s="1505">
        <v>2913014</v>
      </c>
      <c r="EM21" s="1505">
        <v>1359249</v>
      </c>
      <c r="EN21" s="1506">
        <v>0.31815667715213225</v>
      </c>
      <c r="EO21" s="1502">
        <v>10727737</v>
      </c>
      <c r="EP21" s="1502">
        <v>7314635</v>
      </c>
      <c r="EQ21" s="1502">
        <v>3413102</v>
      </c>
      <c r="ER21" s="1507">
        <v>0.31815675570719154</v>
      </c>
      <c r="ES21" s="1189">
        <v>3711616</v>
      </c>
      <c r="ET21" s="1189">
        <v>2530740</v>
      </c>
      <c r="EU21" s="1189">
        <v>1180876</v>
      </c>
      <c r="EV21" s="1504">
        <v>0.31815683518984722</v>
      </c>
      <c r="EW21" s="1505">
        <v>7983879</v>
      </c>
      <c r="EX21" s="1505">
        <v>5443754</v>
      </c>
      <c r="EY21" s="1505">
        <v>2540125</v>
      </c>
      <c r="EZ21" s="1506">
        <v>0.31815675062209736</v>
      </c>
      <c r="FA21" s="1502">
        <v>7016121</v>
      </c>
      <c r="FB21" s="1502">
        <v>4783895</v>
      </c>
      <c r="FC21" s="1502">
        <v>2232226</v>
      </c>
      <c r="FD21" s="1507">
        <v>0.31815671365986992</v>
      </c>
      <c r="FE21" s="1189">
        <v>1200126</v>
      </c>
      <c r="FF21" s="1189">
        <v>818298</v>
      </c>
      <c r="FG21" s="1189">
        <v>381828</v>
      </c>
      <c r="FH21" s="1504">
        <v>0.31815659355767645</v>
      </c>
      <c r="FI21" s="1505">
        <v>9184005</v>
      </c>
      <c r="FJ21" s="1505">
        <v>6262052</v>
      </c>
      <c r="FK21" s="1505">
        <v>2921953</v>
      </c>
      <c r="FL21" s="1506">
        <v>0.31815673009759904</v>
      </c>
      <c r="FM21" s="1502">
        <v>5815995</v>
      </c>
      <c r="FN21" s="1502">
        <v>3965597</v>
      </c>
      <c r="FO21" s="1502">
        <v>1850398</v>
      </c>
      <c r="FP21" s="1507">
        <v>0.31815673844286319</v>
      </c>
      <c r="FQ21" s="1189">
        <v>1259111</v>
      </c>
      <c r="FR21" s="1189">
        <v>858516</v>
      </c>
      <c r="FS21" s="1189">
        <v>400595</v>
      </c>
      <c r="FT21" s="1504">
        <v>0.31815701713351724</v>
      </c>
      <c r="FU21" s="1505">
        <v>10443116</v>
      </c>
      <c r="FV21" s="1505">
        <v>7120568</v>
      </c>
      <c r="FW21" s="1505">
        <v>3322548</v>
      </c>
      <c r="FX21" s="1506">
        <v>0.31815676470509374</v>
      </c>
      <c r="FY21" s="1502">
        <v>4556884</v>
      </c>
      <c r="FZ21" s="1502">
        <v>3107081</v>
      </c>
      <c r="GA21" s="1502">
        <v>1449803</v>
      </c>
      <c r="GB21" s="1507">
        <v>0.31815666143794752</v>
      </c>
      <c r="GC21" s="1189">
        <v>3890467</v>
      </c>
      <c r="GD21" s="1189">
        <v>2652689</v>
      </c>
      <c r="GE21" s="1189">
        <v>1237778</v>
      </c>
      <c r="GF21" s="1504">
        <v>0.31815666345454158</v>
      </c>
      <c r="GG21" s="1505">
        <v>14333583</v>
      </c>
      <c r="GH21" s="1505">
        <v>9773257</v>
      </c>
      <c r="GI21" s="1505">
        <v>4560326</v>
      </c>
      <c r="GJ21" s="1506">
        <v>0.31815673722334464</v>
      </c>
      <c r="GK21" s="1502">
        <v>666417</v>
      </c>
      <c r="GL21" s="1502">
        <v>454392</v>
      </c>
      <c r="GM21" s="1502">
        <v>212025</v>
      </c>
      <c r="GN21" s="1507">
        <v>0.31815664966529966</v>
      </c>
      <c r="GO21" s="1189">
        <v>666417</v>
      </c>
      <c r="GP21" s="1189">
        <v>454392</v>
      </c>
      <c r="GQ21" s="1189">
        <v>212025</v>
      </c>
      <c r="GR21" s="1504">
        <v>0.31815664966529966</v>
      </c>
      <c r="GS21" s="1505">
        <v>15000000</v>
      </c>
      <c r="GT21" s="1505">
        <v>10227649</v>
      </c>
      <c r="GU21" s="1505">
        <v>4772351</v>
      </c>
      <c r="GV21" s="1506">
        <v>0.31815673333333333</v>
      </c>
      <c r="GW21" s="1502">
        <v>0</v>
      </c>
      <c r="GX21" s="1502">
        <v>0</v>
      </c>
      <c r="GY21" s="1502">
        <v>0</v>
      </c>
      <c r="GZ21" s="1507" t="s">
        <v>630</v>
      </c>
    </row>
    <row r="22" spans="1:208" s="640" customFormat="1" ht="15" customHeight="1">
      <c r="A22" s="866" t="s">
        <v>1249</v>
      </c>
      <c r="B22" s="867" t="s">
        <v>1085</v>
      </c>
      <c r="C22" s="1523" t="s">
        <v>1323</v>
      </c>
      <c r="D22" s="1523" t="s">
        <v>1246</v>
      </c>
      <c r="E22" s="1142" t="s">
        <v>1546</v>
      </c>
      <c r="F22" s="1524">
        <v>14840000</v>
      </c>
      <c r="G22" s="1524">
        <v>9953304</v>
      </c>
      <c r="H22" s="1525">
        <v>4886696</v>
      </c>
      <c r="I22" s="1526">
        <v>0.3292921832884097</v>
      </c>
      <c r="J22" s="1527">
        <v>14840000</v>
      </c>
      <c r="K22" s="1527">
        <v>9953304</v>
      </c>
      <c r="L22" s="1528">
        <v>4886696</v>
      </c>
      <c r="M22" s="1526">
        <v>0.3292921832884097</v>
      </c>
      <c r="N22" s="1499">
        <v>0</v>
      </c>
      <c r="O22" s="1499">
        <v>0</v>
      </c>
      <c r="P22" s="1500">
        <v>0</v>
      </c>
      <c r="Q22" s="752">
        <v>349009</v>
      </c>
      <c r="R22" s="752">
        <v>234083</v>
      </c>
      <c r="S22" s="1493">
        <v>114926</v>
      </c>
      <c r="T22" s="1501">
        <v>0.32929236781859494</v>
      </c>
      <c r="U22" s="1502">
        <v>14490991</v>
      </c>
      <c r="V22" s="1502">
        <v>9719221</v>
      </c>
      <c r="W22" s="1502">
        <v>4771770</v>
      </c>
      <c r="X22" s="752">
        <v>177605</v>
      </c>
      <c r="Y22" s="752">
        <v>119121</v>
      </c>
      <c r="Z22" s="1493">
        <v>58484</v>
      </c>
      <c r="AA22" s="1493">
        <v>177605</v>
      </c>
      <c r="AB22" s="1493">
        <v>119121</v>
      </c>
      <c r="AC22" s="1493">
        <v>58484</v>
      </c>
      <c r="AD22" s="1493">
        <v>526614</v>
      </c>
      <c r="AE22" s="1493">
        <v>353204</v>
      </c>
      <c r="AF22" s="1493">
        <v>173410</v>
      </c>
      <c r="AG22" s="1503">
        <v>3.548611859838275E-2</v>
      </c>
      <c r="AH22" s="752">
        <v>177605</v>
      </c>
      <c r="AI22" s="752">
        <v>119121</v>
      </c>
      <c r="AJ22" s="1493">
        <v>58484</v>
      </c>
      <c r="AK22" s="1493">
        <v>355210</v>
      </c>
      <c r="AL22" s="1493">
        <v>238242</v>
      </c>
      <c r="AM22" s="1493">
        <v>116968</v>
      </c>
      <c r="AN22" s="1493">
        <v>704219</v>
      </c>
      <c r="AO22" s="1493">
        <v>472325</v>
      </c>
      <c r="AP22" s="1493">
        <v>231894</v>
      </c>
      <c r="AQ22" s="1503">
        <v>4.7454110512129381E-2</v>
      </c>
      <c r="AR22" s="752">
        <v>355210</v>
      </c>
      <c r="AS22" s="752">
        <v>238242</v>
      </c>
      <c r="AT22" s="1493">
        <v>116968</v>
      </c>
      <c r="AU22" s="1493">
        <v>710420</v>
      </c>
      <c r="AV22" s="1493">
        <v>476484</v>
      </c>
      <c r="AW22" s="1493">
        <v>233936</v>
      </c>
      <c r="AX22" s="1493">
        <v>1059429</v>
      </c>
      <c r="AY22" s="1493">
        <v>710567</v>
      </c>
      <c r="AZ22" s="1493">
        <v>348862</v>
      </c>
      <c r="BA22" s="1503">
        <v>7.1390094339622637E-2</v>
      </c>
      <c r="BB22" s="752">
        <v>355209</v>
      </c>
      <c r="BC22" s="752">
        <v>238242</v>
      </c>
      <c r="BD22" s="1493">
        <v>116967</v>
      </c>
      <c r="BE22" s="1493">
        <v>1065629</v>
      </c>
      <c r="BF22" s="1493">
        <v>714726</v>
      </c>
      <c r="BG22" s="1493">
        <v>350903</v>
      </c>
      <c r="BH22" s="1493">
        <v>1414638</v>
      </c>
      <c r="BI22" s="1493">
        <v>948809</v>
      </c>
      <c r="BJ22" s="1493">
        <v>465829</v>
      </c>
      <c r="BK22" s="1503">
        <v>9.5326010781671161E-2</v>
      </c>
      <c r="BL22" s="752">
        <v>355210</v>
      </c>
      <c r="BM22" s="752">
        <v>238242</v>
      </c>
      <c r="BN22" s="1493">
        <v>116968</v>
      </c>
      <c r="BO22" s="1493">
        <v>1420839</v>
      </c>
      <c r="BP22" s="1493">
        <v>952968</v>
      </c>
      <c r="BQ22" s="1493">
        <v>467871</v>
      </c>
      <c r="BR22" s="1493">
        <v>1769848</v>
      </c>
      <c r="BS22" s="1493">
        <v>1187051</v>
      </c>
      <c r="BT22" s="1493">
        <v>582797</v>
      </c>
      <c r="BU22" s="1503">
        <v>0.11926199460916442</v>
      </c>
      <c r="BV22" s="752">
        <v>355210</v>
      </c>
      <c r="BW22" s="752">
        <v>238242</v>
      </c>
      <c r="BX22" s="1493">
        <v>116968</v>
      </c>
      <c r="BY22" s="1493">
        <v>1776049</v>
      </c>
      <c r="BZ22" s="1493">
        <v>1191210</v>
      </c>
      <c r="CA22" s="1493">
        <v>584839</v>
      </c>
      <c r="CB22" s="1493">
        <v>2125058</v>
      </c>
      <c r="CC22" s="1493">
        <v>1425293</v>
      </c>
      <c r="CD22" s="1493">
        <v>699765</v>
      </c>
      <c r="CE22" s="1503">
        <v>0.14319797843665769</v>
      </c>
      <c r="CF22" s="752">
        <v>355210</v>
      </c>
      <c r="CG22" s="752">
        <v>238242</v>
      </c>
      <c r="CH22" s="1493">
        <v>116968</v>
      </c>
      <c r="CI22" s="1493">
        <v>2131259</v>
      </c>
      <c r="CJ22" s="1493">
        <v>1429452</v>
      </c>
      <c r="CK22" s="1493">
        <v>701807</v>
      </c>
      <c r="CL22" s="1493">
        <v>2480268</v>
      </c>
      <c r="CM22" s="1493">
        <v>1663535</v>
      </c>
      <c r="CN22" s="1493">
        <v>816733</v>
      </c>
      <c r="CO22" s="1503">
        <v>0.16713396226415095</v>
      </c>
      <c r="CP22" s="752">
        <v>355210</v>
      </c>
      <c r="CQ22" s="752">
        <v>238242</v>
      </c>
      <c r="CR22" s="1493">
        <v>116968</v>
      </c>
      <c r="CS22" s="1493">
        <v>2486469</v>
      </c>
      <c r="CT22" s="1493">
        <v>1667694</v>
      </c>
      <c r="CU22" s="1493">
        <v>818775</v>
      </c>
      <c r="CV22" s="1493">
        <v>2835478</v>
      </c>
      <c r="CW22" s="1493">
        <v>1901777</v>
      </c>
      <c r="CX22" s="1493">
        <v>933701</v>
      </c>
      <c r="CY22" s="1503">
        <v>0.19106994609164421</v>
      </c>
      <c r="CZ22" s="752">
        <v>355209</v>
      </c>
      <c r="DA22" s="752">
        <v>238242</v>
      </c>
      <c r="DB22" s="1493">
        <v>116967</v>
      </c>
      <c r="DC22" s="1493">
        <v>2841678</v>
      </c>
      <c r="DD22" s="1493">
        <v>1905936</v>
      </c>
      <c r="DE22" s="1493">
        <v>935742</v>
      </c>
      <c r="DF22" s="1493">
        <v>3190687</v>
      </c>
      <c r="DG22" s="1493">
        <v>2140019</v>
      </c>
      <c r="DH22" s="1493">
        <v>1050668</v>
      </c>
      <c r="DI22" s="1503">
        <v>0.21500586253369272</v>
      </c>
      <c r="DJ22" s="752">
        <v>355210</v>
      </c>
      <c r="DK22" s="752">
        <v>238242</v>
      </c>
      <c r="DL22" s="1493">
        <v>116968</v>
      </c>
      <c r="DM22" s="1493">
        <v>3196888</v>
      </c>
      <c r="DN22" s="1493">
        <v>2144178</v>
      </c>
      <c r="DO22" s="1493">
        <v>1052710</v>
      </c>
      <c r="DP22" s="1493">
        <v>3545897</v>
      </c>
      <c r="DQ22" s="1493">
        <v>2378261</v>
      </c>
      <c r="DR22" s="1493">
        <v>1167636</v>
      </c>
      <c r="DS22" s="1503">
        <v>0.23894184636118598</v>
      </c>
      <c r="DT22" s="752">
        <v>355210</v>
      </c>
      <c r="DU22" s="752">
        <v>238242</v>
      </c>
      <c r="DV22" s="1493">
        <v>116968</v>
      </c>
      <c r="DW22" s="1493">
        <v>3552098</v>
      </c>
      <c r="DX22" s="1493">
        <v>2382420</v>
      </c>
      <c r="DY22" s="1493">
        <v>1169678</v>
      </c>
      <c r="DZ22" s="1493">
        <v>3901107</v>
      </c>
      <c r="EA22" s="1493">
        <v>2616503</v>
      </c>
      <c r="EB22" s="1493">
        <v>1284604</v>
      </c>
      <c r="EC22" s="1503">
        <v>0.26287783018867922</v>
      </c>
      <c r="ED22" s="752">
        <v>222334</v>
      </c>
      <c r="EE22" s="752">
        <v>149121</v>
      </c>
      <c r="EF22" s="1493">
        <v>73213</v>
      </c>
      <c r="EG22" s="1189">
        <v>3774432</v>
      </c>
      <c r="EH22" s="1189">
        <v>2531541</v>
      </c>
      <c r="EI22" s="1189">
        <v>1242891</v>
      </c>
      <c r="EJ22" s="1504">
        <v>0.32929219548795685</v>
      </c>
      <c r="EK22" s="1505">
        <v>4123441</v>
      </c>
      <c r="EL22" s="1505">
        <v>2765624</v>
      </c>
      <c r="EM22" s="1505">
        <v>1357817</v>
      </c>
      <c r="EN22" s="1506">
        <v>0.32929221007406195</v>
      </c>
      <c r="EO22" s="1502">
        <v>10716559</v>
      </c>
      <c r="EP22" s="1502">
        <v>7187680</v>
      </c>
      <c r="EQ22" s="1502">
        <v>3528879</v>
      </c>
      <c r="ER22" s="1507">
        <v>0.32929217298201785</v>
      </c>
      <c r="ES22" s="1179">
        <v>3400387</v>
      </c>
      <c r="ET22" s="1179">
        <v>2280666</v>
      </c>
      <c r="EU22" s="1189">
        <v>1119721</v>
      </c>
      <c r="EV22" s="1504">
        <v>0.32929222467913211</v>
      </c>
      <c r="EW22" s="1505">
        <v>7523828</v>
      </c>
      <c r="EX22" s="1505">
        <v>5046290</v>
      </c>
      <c r="EY22" s="1505">
        <v>2477538</v>
      </c>
      <c r="EZ22" s="1506">
        <v>0.32929221667480968</v>
      </c>
      <c r="FA22" s="1502">
        <v>7316172</v>
      </c>
      <c r="FB22" s="1502">
        <v>4907014</v>
      </c>
      <c r="FC22" s="1502">
        <v>2409158</v>
      </c>
      <c r="FD22" s="1507">
        <v>0.32929214895439857</v>
      </c>
      <c r="FE22" s="1179">
        <v>2395374</v>
      </c>
      <c r="FF22" s="1179">
        <v>1606596</v>
      </c>
      <c r="FG22" s="1189">
        <v>788778</v>
      </c>
      <c r="FH22" s="1504">
        <v>0.32929221073619402</v>
      </c>
      <c r="FI22" s="1505">
        <v>9919202</v>
      </c>
      <c r="FJ22" s="1505">
        <v>6652886</v>
      </c>
      <c r="FK22" s="1505">
        <v>3266316</v>
      </c>
      <c r="FL22" s="1506">
        <v>0.32929221524070185</v>
      </c>
      <c r="FM22" s="1502">
        <v>4920798</v>
      </c>
      <c r="FN22" s="1502">
        <v>3300418</v>
      </c>
      <c r="FO22" s="1502">
        <v>1620380</v>
      </c>
      <c r="FP22" s="1507">
        <v>0.32929211887990523</v>
      </c>
      <c r="FQ22" s="1179">
        <v>2424714</v>
      </c>
      <c r="FR22" s="1179">
        <v>1626275</v>
      </c>
      <c r="FS22" s="1189">
        <v>798439</v>
      </c>
      <c r="FT22" s="1504">
        <v>0.32929203196748152</v>
      </c>
      <c r="FU22" s="1505">
        <v>12343916</v>
      </c>
      <c r="FV22" s="1505">
        <v>8279161</v>
      </c>
      <c r="FW22" s="1505">
        <v>4064755</v>
      </c>
      <c r="FX22" s="1506">
        <v>0.32929217924036425</v>
      </c>
      <c r="FY22" s="1502">
        <v>2496084</v>
      </c>
      <c r="FZ22" s="1502">
        <v>1674143</v>
      </c>
      <c r="GA22" s="1502">
        <v>821941</v>
      </c>
      <c r="GB22" s="1507">
        <v>0.3292922033072605</v>
      </c>
      <c r="GC22" s="1179">
        <v>2451355</v>
      </c>
      <c r="GD22" s="1179">
        <v>1644143</v>
      </c>
      <c r="GE22" s="1189">
        <v>807212</v>
      </c>
      <c r="GF22" s="1504">
        <v>0.32929216698519798</v>
      </c>
      <c r="GG22" s="1505">
        <v>14795271</v>
      </c>
      <c r="GH22" s="1505">
        <v>9923304</v>
      </c>
      <c r="GI22" s="1505">
        <v>4871967</v>
      </c>
      <c r="GJ22" s="1506">
        <v>0.32929217720986659</v>
      </c>
      <c r="GK22" s="1502">
        <v>44729</v>
      </c>
      <c r="GL22" s="1502">
        <v>30000</v>
      </c>
      <c r="GM22" s="1502">
        <v>14729</v>
      </c>
      <c r="GN22" s="1507">
        <v>0.32929419392340542</v>
      </c>
      <c r="GO22" s="1179">
        <v>44729</v>
      </c>
      <c r="GP22" s="1179">
        <v>30000</v>
      </c>
      <c r="GQ22" s="1179">
        <v>14729</v>
      </c>
      <c r="GR22" s="1504">
        <v>0.32929419392340542</v>
      </c>
      <c r="GS22" s="1505">
        <v>14840000</v>
      </c>
      <c r="GT22" s="1505">
        <v>9953304</v>
      </c>
      <c r="GU22" s="1505">
        <v>4886696</v>
      </c>
      <c r="GV22" s="1506">
        <v>0.3292921832884097</v>
      </c>
      <c r="GW22" s="1502">
        <v>0</v>
      </c>
      <c r="GX22" s="1502">
        <v>0</v>
      </c>
      <c r="GY22" s="1502">
        <v>0</v>
      </c>
      <c r="GZ22" s="1507" t="s">
        <v>630</v>
      </c>
    </row>
    <row r="23" spans="1:208" s="690" customFormat="1" ht="15" customHeight="1">
      <c r="A23" s="1514" t="s">
        <v>647</v>
      </c>
      <c r="B23" s="1598" t="s">
        <v>2499</v>
      </c>
      <c r="C23" s="1308" t="s">
        <v>1318</v>
      </c>
      <c r="D23" s="1308" t="s">
        <v>1547</v>
      </c>
      <c r="E23" s="1508"/>
      <c r="F23" s="1509"/>
      <c r="G23" s="1509"/>
      <c r="H23" s="1510"/>
      <c r="I23" s="1511">
        <v>0</v>
      </c>
      <c r="J23" s="1512"/>
      <c r="K23" s="1512"/>
      <c r="L23" s="1513"/>
      <c r="M23" s="1511"/>
      <c r="N23" s="1512"/>
      <c r="O23" s="1512"/>
      <c r="P23" s="1513"/>
      <c r="Q23" s="1514">
        <v>787500</v>
      </c>
      <c r="R23" s="1514">
        <v>845522</v>
      </c>
      <c r="S23" s="1514">
        <v>-58022</v>
      </c>
      <c r="T23" s="1515">
        <v>-7.3678730158730152E-2</v>
      </c>
      <c r="U23" s="1516">
        <v>0</v>
      </c>
      <c r="V23" s="1516">
        <v>0</v>
      </c>
      <c r="W23" s="1516">
        <v>0</v>
      </c>
      <c r="X23" s="1514">
        <v>29500</v>
      </c>
      <c r="Y23" s="1514">
        <v>23824</v>
      </c>
      <c r="Z23" s="1514">
        <v>5676</v>
      </c>
      <c r="AA23" s="1514">
        <v>29500</v>
      </c>
      <c r="AB23" s="1514">
        <v>23824</v>
      </c>
      <c r="AC23" s="1514">
        <v>5676</v>
      </c>
      <c r="AD23" s="1514">
        <v>817000</v>
      </c>
      <c r="AE23" s="1514">
        <v>869346</v>
      </c>
      <c r="AF23" s="1514">
        <v>-52346</v>
      </c>
      <c r="AG23" s="1517">
        <v>0</v>
      </c>
      <c r="AH23" s="1514">
        <v>29500</v>
      </c>
      <c r="AI23" s="1514">
        <v>23824</v>
      </c>
      <c r="AJ23" s="1514">
        <v>5676</v>
      </c>
      <c r="AK23" s="1514">
        <v>59000</v>
      </c>
      <c r="AL23" s="1514">
        <v>47648</v>
      </c>
      <c r="AM23" s="1514">
        <v>11352</v>
      </c>
      <c r="AN23" s="1514">
        <v>846500</v>
      </c>
      <c r="AO23" s="1514">
        <v>893170</v>
      </c>
      <c r="AP23" s="1514">
        <v>-46670</v>
      </c>
      <c r="AQ23" s="1517">
        <v>0</v>
      </c>
      <c r="AR23" s="1514">
        <v>29500</v>
      </c>
      <c r="AS23" s="1514">
        <v>23824</v>
      </c>
      <c r="AT23" s="1514">
        <v>5676</v>
      </c>
      <c r="AU23" s="1514">
        <v>88500</v>
      </c>
      <c r="AV23" s="1514">
        <v>71472</v>
      </c>
      <c r="AW23" s="1514">
        <v>17028</v>
      </c>
      <c r="AX23" s="1514">
        <v>876000</v>
      </c>
      <c r="AY23" s="1514">
        <v>916994</v>
      </c>
      <c r="AZ23" s="1514">
        <v>-40994</v>
      </c>
      <c r="BA23" s="1517">
        <v>0</v>
      </c>
      <c r="BB23" s="1514">
        <v>29500</v>
      </c>
      <c r="BC23" s="1514">
        <v>23824</v>
      </c>
      <c r="BD23" s="1514">
        <v>5676</v>
      </c>
      <c r="BE23" s="1514">
        <v>118000</v>
      </c>
      <c r="BF23" s="1514">
        <v>95296</v>
      </c>
      <c r="BG23" s="1514">
        <v>22704</v>
      </c>
      <c r="BH23" s="1514">
        <v>905500</v>
      </c>
      <c r="BI23" s="1514">
        <v>940818</v>
      </c>
      <c r="BJ23" s="1514">
        <v>-35318</v>
      </c>
      <c r="BK23" s="1517">
        <v>0</v>
      </c>
      <c r="BL23" s="1514">
        <v>29500</v>
      </c>
      <c r="BM23" s="1514">
        <v>23824</v>
      </c>
      <c r="BN23" s="1514">
        <v>5676</v>
      </c>
      <c r="BO23" s="1514">
        <v>147500</v>
      </c>
      <c r="BP23" s="1514">
        <v>119120</v>
      </c>
      <c r="BQ23" s="1514">
        <v>28380</v>
      </c>
      <c r="BR23" s="1514">
        <v>935000</v>
      </c>
      <c r="BS23" s="1514">
        <v>964642</v>
      </c>
      <c r="BT23" s="1514">
        <v>-29642</v>
      </c>
      <c r="BU23" s="1517">
        <v>0</v>
      </c>
      <c r="BV23" s="1514">
        <v>29500</v>
      </c>
      <c r="BW23" s="1514">
        <v>23824</v>
      </c>
      <c r="BX23" s="1514">
        <v>5676</v>
      </c>
      <c r="BY23" s="1514">
        <v>177000</v>
      </c>
      <c r="BZ23" s="1514">
        <v>142944</v>
      </c>
      <c r="CA23" s="1514">
        <v>34056</v>
      </c>
      <c r="CB23" s="1514">
        <v>964500</v>
      </c>
      <c r="CC23" s="1514">
        <v>988466</v>
      </c>
      <c r="CD23" s="1514">
        <v>-23966</v>
      </c>
      <c r="CE23" s="1517">
        <v>0</v>
      </c>
      <c r="CF23" s="1514">
        <v>29500</v>
      </c>
      <c r="CG23" s="1514">
        <v>23824</v>
      </c>
      <c r="CH23" s="1514">
        <v>5676</v>
      </c>
      <c r="CI23" s="1514">
        <v>206500</v>
      </c>
      <c r="CJ23" s="1514">
        <v>166768</v>
      </c>
      <c r="CK23" s="1514">
        <v>39732</v>
      </c>
      <c r="CL23" s="1514">
        <v>994000</v>
      </c>
      <c r="CM23" s="1514">
        <v>1012290</v>
      </c>
      <c r="CN23" s="1514">
        <v>-18290</v>
      </c>
      <c r="CO23" s="1517">
        <v>0</v>
      </c>
      <c r="CP23" s="1514">
        <v>29500</v>
      </c>
      <c r="CQ23" s="1514">
        <v>23824</v>
      </c>
      <c r="CR23" s="1514">
        <v>5676</v>
      </c>
      <c r="CS23" s="1514">
        <v>236000</v>
      </c>
      <c r="CT23" s="1514">
        <v>190592</v>
      </c>
      <c r="CU23" s="1514">
        <v>45408</v>
      </c>
      <c r="CV23" s="1514">
        <v>1023500</v>
      </c>
      <c r="CW23" s="1514">
        <v>1036114</v>
      </c>
      <c r="CX23" s="1514">
        <v>-12614</v>
      </c>
      <c r="CY23" s="1517">
        <v>0</v>
      </c>
      <c r="CZ23" s="1514">
        <v>29500</v>
      </c>
      <c r="DA23" s="1514">
        <v>23824</v>
      </c>
      <c r="DB23" s="1514">
        <v>5676</v>
      </c>
      <c r="DC23" s="1514">
        <v>265500</v>
      </c>
      <c r="DD23" s="1514">
        <v>214416</v>
      </c>
      <c r="DE23" s="1514">
        <v>51084</v>
      </c>
      <c r="DF23" s="1514">
        <v>1053000</v>
      </c>
      <c r="DG23" s="1514">
        <v>1059938</v>
      </c>
      <c r="DH23" s="1514">
        <v>-6938</v>
      </c>
      <c r="DI23" s="1517">
        <v>0</v>
      </c>
      <c r="DJ23" s="1514">
        <v>29500</v>
      </c>
      <c r="DK23" s="1514">
        <v>23824</v>
      </c>
      <c r="DL23" s="1514">
        <v>5676</v>
      </c>
      <c r="DM23" s="1514">
        <v>295000</v>
      </c>
      <c r="DN23" s="1514">
        <v>238240</v>
      </c>
      <c r="DO23" s="1514">
        <v>56760</v>
      </c>
      <c r="DP23" s="1514">
        <v>1082500</v>
      </c>
      <c r="DQ23" s="1514">
        <v>1083762</v>
      </c>
      <c r="DR23" s="1514">
        <v>-1262</v>
      </c>
      <c r="DS23" s="1517">
        <v>0</v>
      </c>
      <c r="DT23" s="1514">
        <v>29500</v>
      </c>
      <c r="DU23" s="1514">
        <v>23824</v>
      </c>
      <c r="DV23" s="1514">
        <v>5676</v>
      </c>
      <c r="DW23" s="1514">
        <v>324500</v>
      </c>
      <c r="DX23" s="1514">
        <v>262064</v>
      </c>
      <c r="DY23" s="1514">
        <v>62436</v>
      </c>
      <c r="DZ23" s="1514">
        <v>1112000</v>
      </c>
      <c r="EA23" s="1514">
        <v>1107586</v>
      </c>
      <c r="EB23" s="1514">
        <v>4414</v>
      </c>
      <c r="EC23" s="1517">
        <v>0</v>
      </c>
      <c r="ED23" s="1514">
        <v>29500</v>
      </c>
      <c r="EE23" s="1514">
        <v>23824</v>
      </c>
      <c r="EF23" s="1514">
        <v>5676</v>
      </c>
      <c r="EG23" s="1518">
        <v>354000</v>
      </c>
      <c r="EH23" s="1518">
        <v>285888</v>
      </c>
      <c r="EI23" s="1518">
        <v>68112</v>
      </c>
      <c r="EJ23" s="2433">
        <v>0.19240677966101694</v>
      </c>
      <c r="EK23" s="1520">
        <v>1141500</v>
      </c>
      <c r="EL23" s="1520">
        <v>1131410</v>
      </c>
      <c r="EM23" s="1520">
        <v>10090</v>
      </c>
      <c r="EN23" s="1521">
        <v>8.8392466053438465E-3</v>
      </c>
      <c r="EO23" s="2434" t="s">
        <v>866</v>
      </c>
      <c r="EP23" s="2434" t="s">
        <v>866</v>
      </c>
      <c r="EQ23" s="2434" t="s">
        <v>1548</v>
      </c>
      <c r="ER23" s="2435"/>
      <c r="ES23" s="1518">
        <v>1050000</v>
      </c>
      <c r="ET23" s="1518">
        <v>810222</v>
      </c>
      <c r="EU23" s="1518">
        <v>239778</v>
      </c>
      <c r="EV23" s="1519">
        <v>0.22836000000000001</v>
      </c>
      <c r="EW23" s="1520">
        <v>2191500</v>
      </c>
      <c r="EX23" s="1520">
        <v>1941632</v>
      </c>
      <c r="EY23" s="1520">
        <v>249868</v>
      </c>
      <c r="EZ23" s="1521">
        <v>0.11401688341318732</v>
      </c>
      <c r="FA23" s="2436" t="s">
        <v>866</v>
      </c>
      <c r="FB23" s="2436" t="s">
        <v>866</v>
      </c>
      <c r="FC23" s="2436" t="s">
        <v>1548</v>
      </c>
      <c r="FD23" s="2435"/>
      <c r="FE23" s="1518">
        <v>1110000</v>
      </c>
      <c r="FF23" s="1518">
        <v>848298</v>
      </c>
      <c r="FG23" s="1518">
        <v>261702</v>
      </c>
      <c r="FH23" s="1519">
        <v>0.23576756756756756</v>
      </c>
      <c r="FI23" s="1520">
        <v>3301500</v>
      </c>
      <c r="FJ23" s="1520">
        <v>2789930</v>
      </c>
      <c r="FK23" s="1520">
        <v>511570</v>
      </c>
      <c r="FL23" s="1521">
        <v>0.15495077994850825</v>
      </c>
      <c r="FM23" s="2436" t="s">
        <v>866</v>
      </c>
      <c r="FN23" s="2436" t="s">
        <v>866</v>
      </c>
      <c r="FO23" s="2436" t="s">
        <v>1548</v>
      </c>
      <c r="FP23" s="2435"/>
      <c r="FQ23" s="1518">
        <v>1597500</v>
      </c>
      <c r="FR23" s="1518">
        <v>316840</v>
      </c>
      <c r="FS23" s="1518">
        <v>1280660</v>
      </c>
      <c r="FT23" s="1519">
        <v>0.80166510172143979</v>
      </c>
      <c r="FU23" s="1520">
        <v>4899000</v>
      </c>
      <c r="FV23" s="1520">
        <v>3106770</v>
      </c>
      <c r="FW23" s="1520">
        <v>1792230</v>
      </c>
      <c r="FX23" s="1521">
        <v>0.36583588487446417</v>
      </c>
      <c r="FY23" s="2436" t="s">
        <v>866</v>
      </c>
      <c r="FZ23" s="2436" t="s">
        <v>866</v>
      </c>
      <c r="GA23" s="2436" t="s">
        <v>866</v>
      </c>
      <c r="GB23" s="1521" t="s">
        <v>630</v>
      </c>
      <c r="GC23" s="1518">
        <v>0</v>
      </c>
      <c r="GD23" s="1518">
        <v>60000</v>
      </c>
      <c r="GE23" s="1518">
        <v>-60000</v>
      </c>
      <c r="GF23" s="1519" t="s">
        <v>630</v>
      </c>
      <c r="GG23" s="1520">
        <v>4899000</v>
      </c>
      <c r="GH23" s="1520">
        <v>3166770</v>
      </c>
      <c r="GI23" s="1520">
        <v>1732230</v>
      </c>
      <c r="GJ23" s="1521">
        <v>0.35358848744641763</v>
      </c>
      <c r="GK23" s="2436" t="s">
        <v>866</v>
      </c>
      <c r="GL23" s="2436" t="s">
        <v>866</v>
      </c>
      <c r="GM23" s="2436" t="s">
        <v>1548</v>
      </c>
      <c r="GN23" s="1521" t="s">
        <v>630</v>
      </c>
      <c r="GO23" s="1518">
        <v>0</v>
      </c>
      <c r="GP23" s="1518">
        <v>60000</v>
      </c>
      <c r="GQ23" s="1518">
        <v>-60000</v>
      </c>
      <c r="GR23" s="1519"/>
      <c r="GS23" s="1520">
        <v>4899000</v>
      </c>
      <c r="GT23" s="1520">
        <v>3226770</v>
      </c>
      <c r="GU23" s="1520">
        <v>1672230</v>
      </c>
      <c r="GV23" s="1521">
        <v>0.3413410900183711</v>
      </c>
      <c r="GW23" s="2436" t="s">
        <v>866</v>
      </c>
      <c r="GX23" s="2436" t="s">
        <v>866</v>
      </c>
      <c r="GY23" s="2436" t="s">
        <v>1548</v>
      </c>
      <c r="GZ23" s="1521" t="s">
        <v>630</v>
      </c>
    </row>
    <row r="24" spans="1:208" s="611" customFormat="1">
      <c r="A24" s="599" t="s">
        <v>1092</v>
      </c>
      <c r="B24" s="599" t="s">
        <v>1274</v>
      </c>
      <c r="C24" s="1495" t="s">
        <v>1314</v>
      </c>
      <c r="D24" s="1495" t="s">
        <v>1246</v>
      </c>
      <c r="E24" s="1495"/>
      <c r="F24" s="1496"/>
      <c r="G24" s="1496"/>
      <c r="H24" s="1497"/>
      <c r="I24" s="1498">
        <v>0</v>
      </c>
      <c r="J24" s="1499">
        <v>0</v>
      </c>
      <c r="K24" s="1499">
        <v>0</v>
      </c>
      <c r="L24" s="1500">
        <v>0</v>
      </c>
      <c r="M24" s="1498">
        <v>0</v>
      </c>
      <c r="N24" s="1499"/>
      <c r="O24" s="1499"/>
      <c r="P24" s="1500"/>
      <c r="Q24" s="1493">
        <v>52500</v>
      </c>
      <c r="R24" s="1493">
        <v>39200</v>
      </c>
      <c r="S24" s="1493">
        <v>13300</v>
      </c>
      <c r="T24" s="1501">
        <v>0.25333333333333335</v>
      </c>
      <c r="U24" s="1502">
        <v>0</v>
      </c>
      <c r="V24" s="1502">
        <v>0</v>
      </c>
      <c r="W24" s="1502">
        <v>0</v>
      </c>
      <c r="X24" s="1493">
        <v>0</v>
      </c>
      <c r="Y24" s="1493">
        <v>0</v>
      </c>
      <c r="Z24" s="1493">
        <v>0</v>
      </c>
      <c r="AA24" s="1493">
        <v>0</v>
      </c>
      <c r="AB24" s="1493">
        <v>0</v>
      </c>
      <c r="AC24" s="1493">
        <v>0</v>
      </c>
      <c r="AD24" s="1493">
        <v>52500</v>
      </c>
      <c r="AE24" s="1493">
        <v>39200</v>
      </c>
      <c r="AF24" s="1493">
        <v>13300</v>
      </c>
      <c r="AG24" s="1503">
        <v>0</v>
      </c>
      <c r="AH24" s="1493">
        <v>0</v>
      </c>
      <c r="AI24" s="1493">
        <v>0</v>
      </c>
      <c r="AJ24" s="1493">
        <v>0</v>
      </c>
      <c r="AK24" s="1493">
        <v>0</v>
      </c>
      <c r="AL24" s="1493">
        <v>0</v>
      </c>
      <c r="AM24" s="1493">
        <v>0</v>
      </c>
      <c r="AN24" s="1493">
        <v>52500</v>
      </c>
      <c r="AO24" s="1493">
        <v>39200</v>
      </c>
      <c r="AP24" s="1493">
        <v>13300</v>
      </c>
      <c r="AQ24" s="1503">
        <v>0</v>
      </c>
      <c r="AR24" s="1493">
        <v>0</v>
      </c>
      <c r="AS24" s="1493">
        <v>0</v>
      </c>
      <c r="AT24" s="1493">
        <v>0</v>
      </c>
      <c r="AU24" s="1493">
        <v>0</v>
      </c>
      <c r="AV24" s="1493">
        <v>0</v>
      </c>
      <c r="AW24" s="1493">
        <v>0</v>
      </c>
      <c r="AX24" s="1493">
        <v>52500</v>
      </c>
      <c r="AY24" s="1493">
        <v>39200</v>
      </c>
      <c r="AZ24" s="1493">
        <v>13300</v>
      </c>
      <c r="BA24" s="1503">
        <v>0</v>
      </c>
      <c r="BB24" s="1493">
        <v>0</v>
      </c>
      <c r="BC24" s="1493">
        <v>0</v>
      </c>
      <c r="BD24" s="1493">
        <v>0</v>
      </c>
      <c r="BE24" s="1493">
        <v>0</v>
      </c>
      <c r="BF24" s="1493">
        <v>0</v>
      </c>
      <c r="BG24" s="1493">
        <v>0</v>
      </c>
      <c r="BH24" s="1493">
        <v>52500</v>
      </c>
      <c r="BI24" s="1493">
        <v>39200</v>
      </c>
      <c r="BJ24" s="1493">
        <v>13300</v>
      </c>
      <c r="BK24" s="1503">
        <v>0</v>
      </c>
      <c r="BL24" s="1493">
        <v>0</v>
      </c>
      <c r="BM24" s="1493">
        <v>0</v>
      </c>
      <c r="BN24" s="1493">
        <v>0</v>
      </c>
      <c r="BO24" s="1493">
        <v>0</v>
      </c>
      <c r="BP24" s="1493">
        <v>0</v>
      </c>
      <c r="BQ24" s="1493">
        <v>0</v>
      </c>
      <c r="BR24" s="1493">
        <v>52500</v>
      </c>
      <c r="BS24" s="1493">
        <v>39200</v>
      </c>
      <c r="BT24" s="1493">
        <v>13300</v>
      </c>
      <c r="BU24" s="1503">
        <v>0</v>
      </c>
      <c r="BV24" s="1493">
        <v>0</v>
      </c>
      <c r="BW24" s="1493">
        <v>0</v>
      </c>
      <c r="BX24" s="1493">
        <v>0</v>
      </c>
      <c r="BY24" s="1493">
        <v>0</v>
      </c>
      <c r="BZ24" s="1493">
        <v>0</v>
      </c>
      <c r="CA24" s="1493">
        <v>0</v>
      </c>
      <c r="CB24" s="1493">
        <v>52500</v>
      </c>
      <c r="CC24" s="1493">
        <v>39200</v>
      </c>
      <c r="CD24" s="1493">
        <v>13300</v>
      </c>
      <c r="CE24" s="1503">
        <v>0</v>
      </c>
      <c r="CF24" s="1493">
        <v>0</v>
      </c>
      <c r="CG24" s="1493">
        <v>0</v>
      </c>
      <c r="CH24" s="1493">
        <v>0</v>
      </c>
      <c r="CI24" s="1493">
        <v>0</v>
      </c>
      <c r="CJ24" s="1493">
        <v>0</v>
      </c>
      <c r="CK24" s="1493">
        <v>0</v>
      </c>
      <c r="CL24" s="1493">
        <v>52500</v>
      </c>
      <c r="CM24" s="1493">
        <v>39200</v>
      </c>
      <c r="CN24" s="1493">
        <v>13300</v>
      </c>
      <c r="CO24" s="1503">
        <v>0</v>
      </c>
      <c r="CP24" s="1493">
        <v>0</v>
      </c>
      <c r="CQ24" s="1493">
        <v>0</v>
      </c>
      <c r="CR24" s="1493">
        <v>0</v>
      </c>
      <c r="CS24" s="1493">
        <v>0</v>
      </c>
      <c r="CT24" s="1493">
        <v>0</v>
      </c>
      <c r="CU24" s="1493">
        <v>0</v>
      </c>
      <c r="CV24" s="1493">
        <v>52500</v>
      </c>
      <c r="CW24" s="1493">
        <v>39200</v>
      </c>
      <c r="CX24" s="1493">
        <v>13300</v>
      </c>
      <c r="CY24" s="1503">
        <v>0</v>
      </c>
      <c r="CZ24" s="1493">
        <v>0</v>
      </c>
      <c r="DA24" s="1493">
        <v>0</v>
      </c>
      <c r="DB24" s="1493">
        <v>0</v>
      </c>
      <c r="DC24" s="1493">
        <v>0</v>
      </c>
      <c r="DD24" s="1493">
        <v>0</v>
      </c>
      <c r="DE24" s="1493">
        <v>0</v>
      </c>
      <c r="DF24" s="1493">
        <v>52500</v>
      </c>
      <c r="DG24" s="1493">
        <v>39200</v>
      </c>
      <c r="DH24" s="1493">
        <v>13300</v>
      </c>
      <c r="DI24" s="1503">
        <v>0</v>
      </c>
      <c r="DJ24" s="1493">
        <v>0</v>
      </c>
      <c r="DK24" s="1493">
        <v>0</v>
      </c>
      <c r="DL24" s="1493">
        <v>0</v>
      </c>
      <c r="DM24" s="1493">
        <v>0</v>
      </c>
      <c r="DN24" s="1493">
        <v>0</v>
      </c>
      <c r="DO24" s="1493">
        <v>0</v>
      </c>
      <c r="DP24" s="1493">
        <v>52500</v>
      </c>
      <c r="DQ24" s="1493">
        <v>39200</v>
      </c>
      <c r="DR24" s="1493">
        <v>13300</v>
      </c>
      <c r="DS24" s="1503">
        <v>0</v>
      </c>
      <c r="DT24" s="1493">
        <v>0</v>
      </c>
      <c r="DU24" s="1493">
        <v>0</v>
      </c>
      <c r="DV24" s="1493">
        <v>0</v>
      </c>
      <c r="DW24" s="1493">
        <v>0</v>
      </c>
      <c r="DX24" s="1493">
        <v>0</v>
      </c>
      <c r="DY24" s="1493">
        <v>0</v>
      </c>
      <c r="DZ24" s="1493">
        <v>52500</v>
      </c>
      <c r="EA24" s="1493">
        <v>39200</v>
      </c>
      <c r="EB24" s="1493">
        <v>13300</v>
      </c>
      <c r="EC24" s="1503">
        <v>0</v>
      </c>
      <c r="ED24" s="1493">
        <v>0</v>
      </c>
      <c r="EE24" s="1493">
        <v>0</v>
      </c>
      <c r="EF24" s="1493">
        <v>0</v>
      </c>
      <c r="EG24" s="1189">
        <v>0</v>
      </c>
      <c r="EH24" s="1189">
        <v>0</v>
      </c>
      <c r="EI24" s="1189">
        <v>0</v>
      </c>
      <c r="EJ24" s="1532" t="s">
        <v>630</v>
      </c>
      <c r="EK24" s="1505">
        <v>52500</v>
      </c>
      <c r="EL24" s="1505">
        <v>39200</v>
      </c>
      <c r="EM24" s="1505">
        <v>13300</v>
      </c>
      <c r="EN24" s="1506">
        <v>0.25333333333333335</v>
      </c>
      <c r="EO24" s="1533" t="s">
        <v>866</v>
      </c>
      <c r="EP24" s="1533" t="s">
        <v>866</v>
      </c>
      <c r="EQ24" s="1533" t="s">
        <v>1548</v>
      </c>
      <c r="ER24" s="1534"/>
      <c r="ES24" s="1189">
        <v>0</v>
      </c>
      <c r="ET24" s="1189">
        <v>0</v>
      </c>
      <c r="EU24" s="1189">
        <v>0</v>
      </c>
      <c r="EV24" s="1504" t="s">
        <v>630</v>
      </c>
      <c r="EW24" s="1505">
        <v>52500</v>
      </c>
      <c r="EX24" s="1505">
        <v>39200</v>
      </c>
      <c r="EY24" s="1505">
        <v>13300</v>
      </c>
      <c r="EZ24" s="1506">
        <v>0.25333333333333335</v>
      </c>
      <c r="FA24" s="1535" t="s">
        <v>866</v>
      </c>
      <c r="FB24" s="1535" t="s">
        <v>866</v>
      </c>
      <c r="FC24" s="1535" t="s">
        <v>1548</v>
      </c>
      <c r="FD24" s="1534"/>
      <c r="FE24" s="1189">
        <v>0</v>
      </c>
      <c r="FF24" s="1189">
        <v>0</v>
      </c>
      <c r="FG24" s="1189">
        <v>0</v>
      </c>
      <c r="FH24" s="1504" t="s">
        <v>630</v>
      </c>
      <c r="FI24" s="1505">
        <v>52500</v>
      </c>
      <c r="FJ24" s="1505">
        <v>39200</v>
      </c>
      <c r="FK24" s="1505">
        <v>13300</v>
      </c>
      <c r="FL24" s="1506">
        <v>0.25333333333333335</v>
      </c>
      <c r="FM24" s="1535" t="s">
        <v>866</v>
      </c>
      <c r="FN24" s="1535" t="s">
        <v>866</v>
      </c>
      <c r="FO24" s="1535" t="s">
        <v>1548</v>
      </c>
      <c r="FP24" s="1534"/>
      <c r="FQ24" s="1189">
        <v>0</v>
      </c>
      <c r="FR24" s="1189">
        <v>0</v>
      </c>
      <c r="FS24" s="1189">
        <v>0</v>
      </c>
      <c r="FT24" s="1504" t="s">
        <v>630</v>
      </c>
      <c r="FU24" s="1505">
        <v>52500</v>
      </c>
      <c r="FV24" s="1505">
        <v>39200</v>
      </c>
      <c r="FW24" s="1505">
        <v>13300</v>
      </c>
      <c r="FX24" s="1506">
        <v>0.25333333333333335</v>
      </c>
      <c r="FY24" s="1535" t="s">
        <v>866</v>
      </c>
      <c r="FZ24" s="1535" t="s">
        <v>866</v>
      </c>
      <c r="GA24" s="1535"/>
      <c r="GB24" s="1506" t="s">
        <v>630</v>
      </c>
      <c r="GC24" s="1189">
        <v>0</v>
      </c>
      <c r="GD24" s="1189">
        <v>0</v>
      </c>
      <c r="GE24" s="1189">
        <v>0</v>
      </c>
      <c r="GF24" s="1504" t="s">
        <v>630</v>
      </c>
      <c r="GG24" s="1505">
        <v>52500</v>
      </c>
      <c r="GH24" s="1505">
        <v>39200</v>
      </c>
      <c r="GI24" s="1505">
        <v>13300</v>
      </c>
      <c r="GJ24" s="1506">
        <v>0.25333333333333335</v>
      </c>
      <c r="GK24" s="1535" t="s">
        <v>866</v>
      </c>
      <c r="GL24" s="1535" t="s">
        <v>866</v>
      </c>
      <c r="GM24" s="1535" t="s">
        <v>1548</v>
      </c>
      <c r="GN24" s="1506" t="s">
        <v>630</v>
      </c>
      <c r="GO24" s="1189">
        <v>0</v>
      </c>
      <c r="GP24" s="1189">
        <v>0</v>
      </c>
      <c r="GQ24" s="1189">
        <v>0</v>
      </c>
      <c r="GR24" s="1506" t="s">
        <v>630</v>
      </c>
      <c r="GS24" s="1505">
        <v>52500</v>
      </c>
      <c r="GT24" s="1505">
        <v>39200</v>
      </c>
      <c r="GU24" s="1505">
        <v>13300</v>
      </c>
      <c r="GV24" s="1506">
        <v>0.25333333333333335</v>
      </c>
      <c r="GW24" s="1535" t="s">
        <v>866</v>
      </c>
      <c r="GX24" s="1535" t="s">
        <v>866</v>
      </c>
      <c r="GY24" s="1535" t="s">
        <v>1548</v>
      </c>
      <c r="GZ24" s="1506" t="s">
        <v>630</v>
      </c>
    </row>
    <row r="25" spans="1:208" s="1552" customFormat="1" ht="16.5" customHeight="1">
      <c r="A25" s="1158" t="s">
        <v>651</v>
      </c>
      <c r="B25" s="1159" t="s">
        <v>1766</v>
      </c>
      <c r="C25" s="1536" t="s">
        <v>2083</v>
      </c>
      <c r="D25" s="1536" t="s">
        <v>1547</v>
      </c>
      <c r="E25" s="1536" t="s">
        <v>2084</v>
      </c>
      <c r="F25" s="1537"/>
      <c r="G25" s="1537"/>
      <c r="H25" s="1538"/>
      <c r="I25" s="1539">
        <v>0</v>
      </c>
      <c r="J25" s="1540">
        <v>0</v>
      </c>
      <c r="K25" s="1540">
        <v>0</v>
      </c>
      <c r="L25" s="1541">
        <v>0</v>
      </c>
      <c r="M25" s="1539">
        <v>0</v>
      </c>
      <c r="N25" s="1540"/>
      <c r="O25" s="1540"/>
      <c r="P25" s="1541"/>
      <c r="Q25" s="1158">
        <v>1200000</v>
      </c>
      <c r="R25" s="1158">
        <v>479490</v>
      </c>
      <c r="S25" s="1158">
        <v>720510</v>
      </c>
      <c r="T25" s="1542">
        <v>0.60042499999999999</v>
      </c>
      <c r="U25" s="1543">
        <v>0</v>
      </c>
      <c r="V25" s="1543">
        <v>0</v>
      </c>
      <c r="W25" s="1543">
        <v>0</v>
      </c>
      <c r="X25" s="1158">
        <v>0</v>
      </c>
      <c r="Y25" s="1158">
        <v>59561</v>
      </c>
      <c r="Z25" s="1158">
        <v>-59561</v>
      </c>
      <c r="AA25" s="1158">
        <v>0</v>
      </c>
      <c r="AB25" s="1158">
        <v>59561</v>
      </c>
      <c r="AC25" s="1158">
        <v>-59561</v>
      </c>
      <c r="AD25" s="1158">
        <v>1200000</v>
      </c>
      <c r="AE25" s="1158">
        <v>539051</v>
      </c>
      <c r="AF25" s="1158">
        <v>660949</v>
      </c>
      <c r="AG25" s="1544">
        <v>0</v>
      </c>
      <c r="AH25" s="1158">
        <v>0</v>
      </c>
      <c r="AI25" s="1158">
        <v>59561</v>
      </c>
      <c r="AJ25" s="1158">
        <v>-59561</v>
      </c>
      <c r="AK25" s="1158">
        <v>0</v>
      </c>
      <c r="AL25" s="1158">
        <v>119122</v>
      </c>
      <c r="AM25" s="1158">
        <v>-119122</v>
      </c>
      <c r="AN25" s="1158">
        <v>1200000</v>
      </c>
      <c r="AO25" s="1158">
        <v>598612</v>
      </c>
      <c r="AP25" s="1158">
        <v>601388</v>
      </c>
      <c r="AQ25" s="1544">
        <v>0</v>
      </c>
      <c r="AR25" s="1158">
        <v>0</v>
      </c>
      <c r="AS25" s="1158">
        <v>59561</v>
      </c>
      <c r="AT25" s="1158">
        <v>-59561</v>
      </c>
      <c r="AU25" s="1158">
        <v>0</v>
      </c>
      <c r="AV25" s="1158">
        <v>178683</v>
      </c>
      <c r="AW25" s="1158">
        <v>-178683</v>
      </c>
      <c r="AX25" s="1158">
        <v>1200000</v>
      </c>
      <c r="AY25" s="1158">
        <v>658173</v>
      </c>
      <c r="AZ25" s="1158">
        <v>541827</v>
      </c>
      <c r="BA25" s="1544">
        <v>0</v>
      </c>
      <c r="BB25" s="1158">
        <v>0</v>
      </c>
      <c r="BC25" s="1158">
        <v>59561</v>
      </c>
      <c r="BD25" s="1158">
        <v>-59561</v>
      </c>
      <c r="BE25" s="1158">
        <v>0</v>
      </c>
      <c r="BF25" s="1158">
        <v>238244</v>
      </c>
      <c r="BG25" s="1158">
        <v>-238244</v>
      </c>
      <c r="BH25" s="1158">
        <v>1200000</v>
      </c>
      <c r="BI25" s="1158">
        <v>717734</v>
      </c>
      <c r="BJ25" s="1158">
        <v>482266</v>
      </c>
      <c r="BK25" s="1544">
        <v>0</v>
      </c>
      <c r="BL25" s="1158">
        <v>0</v>
      </c>
      <c r="BM25" s="1158">
        <v>59561</v>
      </c>
      <c r="BN25" s="1158">
        <v>-59561</v>
      </c>
      <c r="BO25" s="1158">
        <v>0</v>
      </c>
      <c r="BP25" s="1158">
        <v>297805</v>
      </c>
      <c r="BQ25" s="1158">
        <v>-297805</v>
      </c>
      <c r="BR25" s="1158">
        <v>1200000</v>
      </c>
      <c r="BS25" s="1158">
        <v>777295</v>
      </c>
      <c r="BT25" s="1158">
        <v>422705</v>
      </c>
      <c r="BU25" s="1544">
        <v>0</v>
      </c>
      <c r="BV25" s="1158">
        <v>0</v>
      </c>
      <c r="BW25" s="1158">
        <v>59561</v>
      </c>
      <c r="BX25" s="1158">
        <v>-59561</v>
      </c>
      <c r="BY25" s="1158">
        <v>0</v>
      </c>
      <c r="BZ25" s="1158">
        <v>357366</v>
      </c>
      <c r="CA25" s="1158">
        <v>-357366</v>
      </c>
      <c r="CB25" s="1158">
        <v>1200000</v>
      </c>
      <c r="CC25" s="1158">
        <v>836856</v>
      </c>
      <c r="CD25" s="1158">
        <v>363144</v>
      </c>
      <c r="CE25" s="1544">
        <v>0</v>
      </c>
      <c r="CF25" s="1158">
        <v>0</v>
      </c>
      <c r="CG25" s="1158">
        <v>59561</v>
      </c>
      <c r="CH25" s="1158">
        <v>-59561</v>
      </c>
      <c r="CI25" s="1158">
        <v>0</v>
      </c>
      <c r="CJ25" s="1158">
        <v>416927</v>
      </c>
      <c r="CK25" s="1158">
        <v>-416927</v>
      </c>
      <c r="CL25" s="1158">
        <v>1200000</v>
      </c>
      <c r="CM25" s="1158">
        <v>896417</v>
      </c>
      <c r="CN25" s="1158">
        <v>303583</v>
      </c>
      <c r="CO25" s="1544">
        <v>0</v>
      </c>
      <c r="CP25" s="1158">
        <v>0</v>
      </c>
      <c r="CQ25" s="1158">
        <v>59561</v>
      </c>
      <c r="CR25" s="1158">
        <v>-59561</v>
      </c>
      <c r="CS25" s="1158">
        <v>0</v>
      </c>
      <c r="CT25" s="1158">
        <v>476488</v>
      </c>
      <c r="CU25" s="1158">
        <v>-476488</v>
      </c>
      <c r="CV25" s="1158">
        <v>1200000</v>
      </c>
      <c r="CW25" s="1158">
        <v>955978</v>
      </c>
      <c r="CX25" s="1158">
        <v>244022</v>
      </c>
      <c r="CY25" s="1544">
        <v>0</v>
      </c>
      <c r="CZ25" s="1158">
        <v>0</v>
      </c>
      <c r="DA25" s="1158">
        <v>59561</v>
      </c>
      <c r="DB25" s="1158">
        <v>-59561</v>
      </c>
      <c r="DC25" s="1158">
        <v>0</v>
      </c>
      <c r="DD25" s="1158">
        <v>536049</v>
      </c>
      <c r="DE25" s="1158">
        <v>-536049</v>
      </c>
      <c r="DF25" s="1158">
        <v>1200000</v>
      </c>
      <c r="DG25" s="1158">
        <v>1015539</v>
      </c>
      <c r="DH25" s="1158">
        <v>184461</v>
      </c>
      <c r="DI25" s="1544">
        <v>0</v>
      </c>
      <c r="DJ25" s="1158">
        <v>0</v>
      </c>
      <c r="DK25" s="1158">
        <v>59561</v>
      </c>
      <c r="DL25" s="1158">
        <v>-59561</v>
      </c>
      <c r="DM25" s="1158">
        <v>0</v>
      </c>
      <c r="DN25" s="1158">
        <v>595610</v>
      </c>
      <c r="DO25" s="1158">
        <v>-595610</v>
      </c>
      <c r="DP25" s="1158">
        <v>1200000</v>
      </c>
      <c r="DQ25" s="1158">
        <v>1075100</v>
      </c>
      <c r="DR25" s="1158">
        <v>124900</v>
      </c>
      <c r="DS25" s="1544">
        <v>0</v>
      </c>
      <c r="DT25" s="1158">
        <v>0</v>
      </c>
      <c r="DU25" s="1158">
        <v>59561</v>
      </c>
      <c r="DV25" s="1158">
        <v>-59561</v>
      </c>
      <c r="DW25" s="1158">
        <v>0</v>
      </c>
      <c r="DX25" s="1158">
        <v>655171</v>
      </c>
      <c r="DY25" s="1158">
        <v>-655171</v>
      </c>
      <c r="DZ25" s="1158">
        <v>1200000</v>
      </c>
      <c r="EA25" s="1158">
        <v>1134661</v>
      </c>
      <c r="EB25" s="1158">
        <v>65339</v>
      </c>
      <c r="EC25" s="1544">
        <v>0</v>
      </c>
      <c r="ED25" s="1158">
        <v>1200000</v>
      </c>
      <c r="EE25" s="1158">
        <v>59561</v>
      </c>
      <c r="EF25" s="1158">
        <v>1140439</v>
      </c>
      <c r="EG25" s="1545">
        <v>1200000</v>
      </c>
      <c r="EH25" s="1545">
        <v>714732</v>
      </c>
      <c r="EI25" s="1545">
        <v>485268</v>
      </c>
      <c r="EJ25" s="1546">
        <v>0.40439000000000003</v>
      </c>
      <c r="EK25" s="1547">
        <v>2400000</v>
      </c>
      <c r="EL25" s="1547">
        <v>1194222</v>
      </c>
      <c r="EM25" s="1547">
        <v>1205778</v>
      </c>
      <c r="EN25" s="1548">
        <v>0.50240750000000001</v>
      </c>
      <c r="EO25" s="1549" t="s">
        <v>866</v>
      </c>
      <c r="EP25" s="1549" t="s">
        <v>866</v>
      </c>
      <c r="EQ25" s="1549" t="s">
        <v>1548</v>
      </c>
      <c r="ER25" s="1550"/>
      <c r="ES25" s="1545">
        <v>420000</v>
      </c>
      <c r="ET25" s="1545">
        <v>300088</v>
      </c>
      <c r="EU25" s="1545">
        <v>119912</v>
      </c>
      <c r="EV25" s="1546">
        <v>0.28550476190476193</v>
      </c>
      <c r="EW25" s="1547">
        <v>2820000</v>
      </c>
      <c r="EX25" s="1547">
        <v>1494310</v>
      </c>
      <c r="EY25" s="1547">
        <v>1325690</v>
      </c>
      <c r="EZ25" s="1548">
        <v>0.47010283687943261</v>
      </c>
      <c r="FA25" s="1551" t="s">
        <v>866</v>
      </c>
      <c r="FB25" s="1551" t="s">
        <v>866</v>
      </c>
      <c r="FC25" s="1551" t="s">
        <v>1548</v>
      </c>
      <c r="FD25" s="1550"/>
      <c r="FE25" s="1545">
        <v>821500</v>
      </c>
      <c r="FF25" s="1545">
        <v>240431</v>
      </c>
      <c r="FG25" s="1545">
        <v>581069</v>
      </c>
      <c r="FH25" s="1546">
        <v>0.70732684114424837</v>
      </c>
      <c r="FI25" s="1547">
        <v>3641500</v>
      </c>
      <c r="FJ25" s="1547">
        <v>1734741</v>
      </c>
      <c r="FK25" s="1547">
        <v>1906759</v>
      </c>
      <c r="FL25" s="1548">
        <v>0.52361911300288344</v>
      </c>
      <c r="FM25" s="1551" t="s">
        <v>866</v>
      </c>
      <c r="FN25" s="1551" t="s">
        <v>866</v>
      </c>
      <c r="FO25" s="1551" t="s">
        <v>1548</v>
      </c>
      <c r="FP25" s="1550"/>
      <c r="FQ25" s="1545">
        <v>0</v>
      </c>
      <c r="FR25" s="1545">
        <v>0</v>
      </c>
      <c r="FS25" s="1545">
        <v>0</v>
      </c>
      <c r="FT25" s="1546" t="s">
        <v>630</v>
      </c>
      <c r="FU25" s="1547">
        <v>3641500</v>
      </c>
      <c r="FV25" s="1547">
        <v>1734741</v>
      </c>
      <c r="FW25" s="1547">
        <v>1906759</v>
      </c>
      <c r="FX25" s="1548">
        <v>0.52361911300288344</v>
      </c>
      <c r="FY25" s="1551" t="s">
        <v>866</v>
      </c>
      <c r="FZ25" s="1551" t="s">
        <v>866</v>
      </c>
      <c r="GA25" s="1551" t="s">
        <v>866</v>
      </c>
      <c r="GB25" s="1548" t="s">
        <v>630</v>
      </c>
      <c r="GC25" s="1545">
        <v>0</v>
      </c>
      <c r="GD25" s="1545">
        <v>0</v>
      </c>
      <c r="GE25" s="1545">
        <v>0</v>
      </c>
      <c r="GF25" s="1546" t="s">
        <v>630</v>
      </c>
      <c r="GG25" s="1547">
        <v>3641500</v>
      </c>
      <c r="GH25" s="1547">
        <v>1734741</v>
      </c>
      <c r="GI25" s="1547">
        <v>1906759</v>
      </c>
      <c r="GJ25" s="1548">
        <v>0.52361911300288344</v>
      </c>
      <c r="GK25" s="1551" t="s">
        <v>866</v>
      </c>
      <c r="GL25" s="1551" t="s">
        <v>866</v>
      </c>
      <c r="GM25" s="1551" t="s">
        <v>1548</v>
      </c>
      <c r="GN25" s="1548" t="s">
        <v>630</v>
      </c>
      <c r="GO25" s="1545">
        <v>0</v>
      </c>
      <c r="GP25" s="1545">
        <v>0</v>
      </c>
      <c r="GQ25" s="1545">
        <v>0</v>
      </c>
      <c r="GR25" s="1548" t="s">
        <v>630</v>
      </c>
      <c r="GS25" s="1547">
        <v>3641500</v>
      </c>
      <c r="GT25" s="1547">
        <v>1734741</v>
      </c>
      <c r="GU25" s="1547">
        <v>1906759</v>
      </c>
      <c r="GV25" s="1548">
        <v>0.52361911300288344</v>
      </c>
      <c r="GW25" s="1551" t="s">
        <v>866</v>
      </c>
      <c r="GX25" s="1551" t="s">
        <v>866</v>
      </c>
      <c r="GY25" s="1551" t="s">
        <v>1548</v>
      </c>
      <c r="GZ25" s="1548" t="s">
        <v>630</v>
      </c>
    </row>
    <row r="26" spans="1:208" ht="15.75" customHeight="1">
      <c r="A26" s="752" t="s">
        <v>1549</v>
      </c>
      <c r="B26" s="1478" t="s">
        <v>2085</v>
      </c>
      <c r="C26" s="753" t="s">
        <v>1308</v>
      </c>
      <c r="D26" s="753" t="s">
        <v>1550</v>
      </c>
      <c r="E26" s="753"/>
      <c r="F26" s="1491">
        <v>0</v>
      </c>
      <c r="G26" s="1491">
        <v>0</v>
      </c>
      <c r="H26" s="1492">
        <v>0</v>
      </c>
      <c r="I26" s="1481">
        <v>0</v>
      </c>
      <c r="J26" s="1482">
        <v>0</v>
      </c>
      <c r="K26" s="1482">
        <v>0</v>
      </c>
      <c r="L26" s="1483">
        <v>0</v>
      </c>
      <c r="M26" s="1481">
        <v>0</v>
      </c>
      <c r="N26" s="1482">
        <v>0</v>
      </c>
      <c r="O26" s="1482">
        <v>0</v>
      </c>
      <c r="P26" s="1500">
        <v>0</v>
      </c>
      <c r="Q26" s="752">
        <v>0</v>
      </c>
      <c r="R26" s="752">
        <v>0</v>
      </c>
      <c r="S26" s="1553">
        <v>0</v>
      </c>
      <c r="T26" s="1484" t="s">
        <v>630</v>
      </c>
      <c r="U26" s="1502">
        <v>0</v>
      </c>
      <c r="V26" s="1502">
        <v>0</v>
      </c>
      <c r="W26" s="1502">
        <v>0</v>
      </c>
      <c r="X26" s="752">
        <v>0</v>
      </c>
      <c r="Y26" s="752">
        <v>0</v>
      </c>
      <c r="Z26" s="752">
        <v>0</v>
      </c>
      <c r="AA26" s="752">
        <v>0</v>
      </c>
      <c r="AB26" s="752">
        <v>0</v>
      </c>
      <c r="AC26" s="752">
        <v>0</v>
      </c>
      <c r="AD26" s="752">
        <v>0</v>
      </c>
      <c r="AE26" s="752">
        <v>0</v>
      </c>
      <c r="AF26" s="752">
        <v>0</v>
      </c>
      <c r="AG26" s="1486">
        <v>0</v>
      </c>
      <c r="AH26" s="752">
        <v>0</v>
      </c>
      <c r="AI26" s="752">
        <v>0</v>
      </c>
      <c r="AJ26" s="752">
        <v>0</v>
      </c>
      <c r="AK26" s="752">
        <v>0</v>
      </c>
      <c r="AL26" s="752">
        <v>0</v>
      </c>
      <c r="AM26" s="752">
        <v>0</v>
      </c>
      <c r="AN26" s="752">
        <v>0</v>
      </c>
      <c r="AO26" s="752">
        <v>0</v>
      </c>
      <c r="AP26" s="752">
        <v>0</v>
      </c>
      <c r="AQ26" s="1486">
        <v>0</v>
      </c>
      <c r="AR26" s="752">
        <v>0</v>
      </c>
      <c r="AS26" s="752">
        <v>0</v>
      </c>
      <c r="AT26" s="752">
        <v>0</v>
      </c>
      <c r="AU26" s="752">
        <v>0</v>
      </c>
      <c r="AV26" s="752">
        <v>0</v>
      </c>
      <c r="AW26" s="752">
        <v>0</v>
      </c>
      <c r="AX26" s="752">
        <v>0</v>
      </c>
      <c r="AY26" s="752">
        <v>0</v>
      </c>
      <c r="AZ26" s="752">
        <v>0</v>
      </c>
      <c r="BA26" s="1486">
        <v>0</v>
      </c>
      <c r="BB26" s="752">
        <v>0</v>
      </c>
      <c r="BC26" s="752">
        <v>0</v>
      </c>
      <c r="BD26" s="752">
        <v>0</v>
      </c>
      <c r="BE26" s="752">
        <v>0</v>
      </c>
      <c r="BF26" s="752">
        <v>0</v>
      </c>
      <c r="BG26" s="752">
        <v>0</v>
      </c>
      <c r="BH26" s="752">
        <v>0</v>
      </c>
      <c r="BI26" s="752">
        <v>0</v>
      </c>
      <c r="BJ26" s="752">
        <v>0</v>
      </c>
      <c r="BK26" s="1486">
        <v>0</v>
      </c>
      <c r="BL26" s="752">
        <v>0</v>
      </c>
      <c r="BM26" s="752">
        <v>0</v>
      </c>
      <c r="BN26" s="752">
        <v>0</v>
      </c>
      <c r="BO26" s="752">
        <v>0</v>
      </c>
      <c r="BP26" s="752">
        <v>0</v>
      </c>
      <c r="BQ26" s="752">
        <v>0</v>
      </c>
      <c r="BR26" s="752">
        <v>0</v>
      </c>
      <c r="BS26" s="752">
        <v>0</v>
      </c>
      <c r="BT26" s="752">
        <v>0</v>
      </c>
      <c r="BU26" s="1486">
        <v>0</v>
      </c>
      <c r="BV26" s="752">
        <v>0</v>
      </c>
      <c r="BW26" s="752">
        <v>0</v>
      </c>
      <c r="BX26" s="752">
        <v>0</v>
      </c>
      <c r="BY26" s="752">
        <v>0</v>
      </c>
      <c r="BZ26" s="752">
        <v>0</v>
      </c>
      <c r="CA26" s="752">
        <v>0</v>
      </c>
      <c r="CB26" s="752">
        <v>0</v>
      </c>
      <c r="CC26" s="752">
        <v>0</v>
      </c>
      <c r="CD26" s="752">
        <v>0</v>
      </c>
      <c r="CE26" s="1486">
        <v>0</v>
      </c>
      <c r="CF26" s="752">
        <v>0</v>
      </c>
      <c r="CG26" s="752">
        <v>0</v>
      </c>
      <c r="CH26" s="752">
        <v>0</v>
      </c>
      <c r="CI26" s="752">
        <v>0</v>
      </c>
      <c r="CJ26" s="752">
        <v>0</v>
      </c>
      <c r="CK26" s="752">
        <v>0</v>
      </c>
      <c r="CL26" s="752">
        <v>0</v>
      </c>
      <c r="CM26" s="752">
        <v>0</v>
      </c>
      <c r="CN26" s="752">
        <v>0</v>
      </c>
      <c r="CO26" s="1486">
        <v>0</v>
      </c>
      <c r="CP26" s="752">
        <v>0</v>
      </c>
      <c r="CQ26" s="752">
        <v>0</v>
      </c>
      <c r="CR26" s="752">
        <v>0</v>
      </c>
      <c r="CS26" s="752">
        <v>0</v>
      </c>
      <c r="CT26" s="752">
        <v>0</v>
      </c>
      <c r="CU26" s="752">
        <v>0</v>
      </c>
      <c r="CV26" s="752">
        <v>0</v>
      </c>
      <c r="CW26" s="752">
        <v>0</v>
      </c>
      <c r="CX26" s="752">
        <v>0</v>
      </c>
      <c r="CY26" s="1486">
        <v>0</v>
      </c>
      <c r="CZ26" s="752">
        <v>0</v>
      </c>
      <c r="DA26" s="752">
        <v>0</v>
      </c>
      <c r="DB26" s="752">
        <v>0</v>
      </c>
      <c r="DC26" s="752">
        <v>0</v>
      </c>
      <c r="DD26" s="752">
        <v>0</v>
      </c>
      <c r="DE26" s="752">
        <v>0</v>
      </c>
      <c r="DF26" s="752">
        <v>0</v>
      </c>
      <c r="DG26" s="752">
        <v>0</v>
      </c>
      <c r="DH26" s="752">
        <v>0</v>
      </c>
      <c r="DI26" s="1486">
        <v>0</v>
      </c>
      <c r="DJ26" s="752">
        <v>0</v>
      </c>
      <c r="DK26" s="752">
        <v>0</v>
      </c>
      <c r="DL26" s="752">
        <v>0</v>
      </c>
      <c r="DM26" s="752">
        <v>0</v>
      </c>
      <c r="DN26" s="752">
        <v>0</v>
      </c>
      <c r="DO26" s="752">
        <v>0</v>
      </c>
      <c r="DP26" s="752">
        <v>0</v>
      </c>
      <c r="DQ26" s="752">
        <v>0</v>
      </c>
      <c r="DR26" s="752">
        <v>0</v>
      </c>
      <c r="DS26" s="1486">
        <v>0</v>
      </c>
      <c r="DT26" s="752">
        <v>0</v>
      </c>
      <c r="DU26" s="752">
        <v>0</v>
      </c>
      <c r="DV26" s="752">
        <v>0</v>
      </c>
      <c r="DW26" s="752">
        <v>0</v>
      </c>
      <c r="DX26" s="752">
        <v>0</v>
      </c>
      <c r="DY26" s="752">
        <v>0</v>
      </c>
      <c r="DZ26" s="752">
        <v>0</v>
      </c>
      <c r="EA26" s="752">
        <v>0</v>
      </c>
      <c r="EB26" s="752">
        <v>0</v>
      </c>
      <c r="EC26" s="1486">
        <v>0</v>
      </c>
      <c r="ED26" s="752">
        <v>0</v>
      </c>
      <c r="EE26" s="752">
        <v>0</v>
      </c>
      <c r="EF26" s="752">
        <v>0</v>
      </c>
      <c r="EG26" s="1179">
        <v>0</v>
      </c>
      <c r="EH26" s="1179">
        <v>0</v>
      </c>
      <c r="EI26" s="1179">
        <v>0</v>
      </c>
      <c r="EJ26" s="1487" t="s">
        <v>630</v>
      </c>
      <c r="EK26" s="1488">
        <v>0</v>
      </c>
      <c r="EL26" s="1488">
        <v>0</v>
      </c>
      <c r="EM26" s="1505">
        <v>0</v>
      </c>
      <c r="EN26" s="1506" t="e">
        <v>#DIV/0!</v>
      </c>
      <c r="EO26" s="1485">
        <v>0</v>
      </c>
      <c r="EP26" s="1485">
        <v>0</v>
      </c>
      <c r="EQ26" s="1485">
        <v>0</v>
      </c>
      <c r="ER26" s="1490" t="s">
        <v>630</v>
      </c>
      <c r="ES26" s="1179">
        <v>0</v>
      </c>
      <c r="ET26" s="1179">
        <v>0</v>
      </c>
      <c r="EU26" s="1179">
        <v>0</v>
      </c>
      <c r="EV26" s="1487" t="s">
        <v>630</v>
      </c>
      <c r="EW26" s="1488">
        <v>0</v>
      </c>
      <c r="EX26" s="1488">
        <v>0</v>
      </c>
      <c r="EY26" s="1488">
        <v>0</v>
      </c>
      <c r="EZ26" s="1489" t="s">
        <v>630</v>
      </c>
      <c r="FA26" s="1485">
        <v>0</v>
      </c>
      <c r="FB26" s="1485">
        <v>0</v>
      </c>
      <c r="FC26" s="1485">
        <v>0</v>
      </c>
      <c r="FD26" s="1490" t="s">
        <v>630</v>
      </c>
      <c r="FE26" s="1179">
        <v>0</v>
      </c>
      <c r="FF26" s="1179">
        <v>0</v>
      </c>
      <c r="FG26" s="1179">
        <v>0</v>
      </c>
      <c r="FH26" s="1487" t="s">
        <v>630</v>
      </c>
      <c r="FI26" s="1488">
        <v>0</v>
      </c>
      <c r="FJ26" s="1488">
        <v>0</v>
      </c>
      <c r="FK26" s="1488">
        <v>0</v>
      </c>
      <c r="FL26" s="1489" t="s">
        <v>630</v>
      </c>
      <c r="FM26" s="1485">
        <v>0</v>
      </c>
      <c r="FN26" s="1485">
        <v>0</v>
      </c>
      <c r="FO26" s="1485">
        <v>0</v>
      </c>
      <c r="FP26" s="1490" t="s">
        <v>630</v>
      </c>
      <c r="FQ26" s="1179">
        <v>0</v>
      </c>
      <c r="FR26" s="1179">
        <v>0</v>
      </c>
      <c r="FS26" s="1179">
        <v>0</v>
      </c>
      <c r="FT26" s="1487" t="s">
        <v>630</v>
      </c>
      <c r="FU26" s="1488">
        <v>0</v>
      </c>
      <c r="FV26" s="1488">
        <v>0</v>
      </c>
      <c r="FW26" s="1488">
        <v>0</v>
      </c>
      <c r="FX26" s="1489" t="s">
        <v>630</v>
      </c>
      <c r="FY26" s="1485">
        <v>0</v>
      </c>
      <c r="FZ26" s="1485">
        <v>0</v>
      </c>
      <c r="GA26" s="1485">
        <v>0</v>
      </c>
      <c r="GB26" s="1490" t="s">
        <v>630</v>
      </c>
      <c r="GC26" s="1179">
        <v>0</v>
      </c>
      <c r="GD26" s="1179">
        <v>0</v>
      </c>
      <c r="GE26" s="1179">
        <v>0</v>
      </c>
      <c r="GF26" s="1487" t="s">
        <v>630</v>
      </c>
      <c r="GG26" s="1488">
        <v>0</v>
      </c>
      <c r="GH26" s="1488">
        <v>0</v>
      </c>
      <c r="GI26" s="1488">
        <v>0</v>
      </c>
      <c r="GJ26" s="1489" t="s">
        <v>630</v>
      </c>
      <c r="GK26" s="1485">
        <v>0</v>
      </c>
      <c r="GL26" s="1485">
        <v>0</v>
      </c>
      <c r="GM26" s="1485">
        <v>0</v>
      </c>
      <c r="GN26" s="1490" t="s">
        <v>630</v>
      </c>
      <c r="GO26" s="1179">
        <v>0</v>
      </c>
      <c r="GP26" s="1179">
        <v>0</v>
      </c>
      <c r="GQ26" s="1179">
        <v>0</v>
      </c>
      <c r="GR26" s="1487" t="s">
        <v>630</v>
      </c>
      <c r="GS26" s="1488">
        <v>0</v>
      </c>
      <c r="GT26" s="1488">
        <v>0</v>
      </c>
      <c r="GU26" s="1488">
        <v>0</v>
      </c>
      <c r="GV26" s="1489" t="s">
        <v>630</v>
      </c>
      <c r="GW26" s="1485">
        <v>0</v>
      </c>
      <c r="GX26" s="1485">
        <v>0</v>
      </c>
      <c r="GY26" s="1485">
        <v>0</v>
      </c>
      <c r="GZ26" s="1490" t="s">
        <v>630</v>
      </c>
    </row>
    <row r="27" spans="1:208" ht="15.75" customHeight="1">
      <c r="A27" s="1554" t="s">
        <v>1251</v>
      </c>
      <c r="B27" s="751" t="s">
        <v>1327</v>
      </c>
      <c r="C27" s="753" t="s">
        <v>1308</v>
      </c>
      <c r="D27" s="753" t="s">
        <v>1246</v>
      </c>
      <c r="E27" s="1142" t="s">
        <v>1546</v>
      </c>
      <c r="F27" s="1491">
        <v>0</v>
      </c>
      <c r="G27" s="1491">
        <v>0</v>
      </c>
      <c r="H27" s="1492">
        <v>0</v>
      </c>
      <c r="I27" s="1481">
        <v>0</v>
      </c>
      <c r="J27" s="1482"/>
      <c r="K27" s="1482"/>
      <c r="L27" s="1483">
        <v>0</v>
      </c>
      <c r="M27" s="1481">
        <v>0</v>
      </c>
      <c r="N27" s="1482">
        <v>0</v>
      </c>
      <c r="O27" s="1482">
        <v>0</v>
      </c>
      <c r="P27" s="1483">
        <v>0</v>
      </c>
      <c r="Q27" s="752">
        <v>0</v>
      </c>
      <c r="R27" s="752">
        <v>0</v>
      </c>
      <c r="S27" s="752">
        <v>0</v>
      </c>
      <c r="T27" s="1484" t="s">
        <v>630</v>
      </c>
      <c r="U27" s="1555">
        <v>0</v>
      </c>
      <c r="V27" s="1555">
        <v>0</v>
      </c>
      <c r="W27" s="1555">
        <v>0</v>
      </c>
      <c r="X27" s="752">
        <v>0</v>
      </c>
      <c r="Y27" s="752">
        <v>0</v>
      </c>
      <c r="Z27" s="752">
        <v>0</v>
      </c>
      <c r="AA27" s="752">
        <v>0</v>
      </c>
      <c r="AB27" s="752">
        <v>0</v>
      </c>
      <c r="AC27" s="752">
        <v>0</v>
      </c>
      <c r="AD27" s="752">
        <v>0</v>
      </c>
      <c r="AE27" s="752">
        <v>0</v>
      </c>
      <c r="AF27" s="752">
        <v>0</v>
      </c>
      <c r="AG27" s="1486">
        <v>0</v>
      </c>
      <c r="AH27" s="752">
        <v>0</v>
      </c>
      <c r="AI27" s="752">
        <v>0</v>
      </c>
      <c r="AJ27" s="752">
        <v>0</v>
      </c>
      <c r="AK27" s="752">
        <v>0</v>
      </c>
      <c r="AL27" s="752">
        <v>0</v>
      </c>
      <c r="AM27" s="752">
        <v>0</v>
      </c>
      <c r="AN27" s="752">
        <v>0</v>
      </c>
      <c r="AO27" s="752">
        <v>0</v>
      </c>
      <c r="AP27" s="752">
        <v>0</v>
      </c>
      <c r="AQ27" s="1486">
        <v>0</v>
      </c>
      <c r="AR27" s="752">
        <v>0</v>
      </c>
      <c r="AS27" s="752">
        <v>0</v>
      </c>
      <c r="AT27" s="752">
        <v>0</v>
      </c>
      <c r="AU27" s="752">
        <v>0</v>
      </c>
      <c r="AV27" s="752">
        <v>0</v>
      </c>
      <c r="AW27" s="752">
        <v>0</v>
      </c>
      <c r="AX27" s="752">
        <v>0</v>
      </c>
      <c r="AY27" s="752">
        <v>0</v>
      </c>
      <c r="AZ27" s="752">
        <v>0</v>
      </c>
      <c r="BA27" s="1486">
        <v>0</v>
      </c>
      <c r="BB27" s="752">
        <v>0</v>
      </c>
      <c r="BC27" s="752">
        <v>0</v>
      </c>
      <c r="BD27" s="752">
        <v>0</v>
      </c>
      <c r="BE27" s="752">
        <v>0</v>
      </c>
      <c r="BF27" s="752">
        <v>0</v>
      </c>
      <c r="BG27" s="752">
        <v>0</v>
      </c>
      <c r="BH27" s="752">
        <v>0</v>
      </c>
      <c r="BI27" s="752">
        <v>0</v>
      </c>
      <c r="BJ27" s="752">
        <v>0</v>
      </c>
      <c r="BK27" s="1486">
        <v>0</v>
      </c>
      <c r="BL27" s="752">
        <v>0</v>
      </c>
      <c r="BM27" s="752">
        <v>0</v>
      </c>
      <c r="BN27" s="752">
        <v>0</v>
      </c>
      <c r="BO27" s="752">
        <v>0</v>
      </c>
      <c r="BP27" s="752">
        <v>0</v>
      </c>
      <c r="BQ27" s="752">
        <v>0</v>
      </c>
      <c r="BR27" s="752">
        <v>0</v>
      </c>
      <c r="BS27" s="752">
        <v>0</v>
      </c>
      <c r="BT27" s="752">
        <v>0</v>
      </c>
      <c r="BU27" s="1486">
        <v>0</v>
      </c>
      <c r="BV27" s="752">
        <v>0</v>
      </c>
      <c r="BW27" s="752">
        <v>0</v>
      </c>
      <c r="BX27" s="752">
        <v>0</v>
      </c>
      <c r="BY27" s="752">
        <v>0</v>
      </c>
      <c r="BZ27" s="752">
        <v>0</v>
      </c>
      <c r="CA27" s="752">
        <v>0</v>
      </c>
      <c r="CB27" s="752">
        <v>0</v>
      </c>
      <c r="CC27" s="752">
        <v>0</v>
      </c>
      <c r="CD27" s="752">
        <v>0</v>
      </c>
      <c r="CE27" s="1486">
        <v>0</v>
      </c>
      <c r="CF27" s="752">
        <v>0</v>
      </c>
      <c r="CG27" s="752">
        <v>0</v>
      </c>
      <c r="CH27" s="752">
        <v>0</v>
      </c>
      <c r="CI27" s="752">
        <v>0</v>
      </c>
      <c r="CJ27" s="752">
        <v>0</v>
      </c>
      <c r="CK27" s="752">
        <v>0</v>
      </c>
      <c r="CL27" s="752">
        <v>0</v>
      </c>
      <c r="CM27" s="752">
        <v>0</v>
      </c>
      <c r="CN27" s="752">
        <v>0</v>
      </c>
      <c r="CO27" s="1486">
        <v>0</v>
      </c>
      <c r="CP27" s="752">
        <v>0</v>
      </c>
      <c r="CQ27" s="752">
        <v>0</v>
      </c>
      <c r="CR27" s="752">
        <v>0</v>
      </c>
      <c r="CS27" s="752">
        <v>0</v>
      </c>
      <c r="CT27" s="752">
        <v>0</v>
      </c>
      <c r="CU27" s="752">
        <v>0</v>
      </c>
      <c r="CV27" s="752">
        <v>0</v>
      </c>
      <c r="CW27" s="752">
        <v>0</v>
      </c>
      <c r="CX27" s="752">
        <v>0</v>
      </c>
      <c r="CY27" s="1486">
        <v>0</v>
      </c>
      <c r="CZ27" s="752">
        <v>0</v>
      </c>
      <c r="DA27" s="752">
        <v>0</v>
      </c>
      <c r="DB27" s="752">
        <v>0</v>
      </c>
      <c r="DC27" s="752">
        <v>0</v>
      </c>
      <c r="DD27" s="752">
        <v>0</v>
      </c>
      <c r="DE27" s="752">
        <v>0</v>
      </c>
      <c r="DF27" s="752">
        <v>0</v>
      </c>
      <c r="DG27" s="752">
        <v>0</v>
      </c>
      <c r="DH27" s="752">
        <v>0</v>
      </c>
      <c r="DI27" s="1486">
        <v>0</v>
      </c>
      <c r="DJ27" s="752">
        <v>0</v>
      </c>
      <c r="DK27" s="752">
        <v>0</v>
      </c>
      <c r="DL27" s="752">
        <v>0</v>
      </c>
      <c r="DM27" s="752">
        <v>0</v>
      </c>
      <c r="DN27" s="752">
        <v>0</v>
      </c>
      <c r="DO27" s="752">
        <v>0</v>
      </c>
      <c r="DP27" s="752">
        <v>0</v>
      </c>
      <c r="DQ27" s="752">
        <v>0</v>
      </c>
      <c r="DR27" s="752">
        <v>0</v>
      </c>
      <c r="DS27" s="1486">
        <v>0</v>
      </c>
      <c r="DT27" s="752">
        <v>0</v>
      </c>
      <c r="DU27" s="752">
        <v>0</v>
      </c>
      <c r="DV27" s="752">
        <v>0</v>
      </c>
      <c r="DW27" s="752">
        <v>0</v>
      </c>
      <c r="DX27" s="752">
        <v>0</v>
      </c>
      <c r="DY27" s="752">
        <v>0</v>
      </c>
      <c r="DZ27" s="752">
        <v>0</v>
      </c>
      <c r="EA27" s="752">
        <v>0</v>
      </c>
      <c r="EB27" s="752">
        <v>0</v>
      </c>
      <c r="EC27" s="1486">
        <v>0</v>
      </c>
      <c r="ED27" s="752">
        <v>0</v>
      </c>
      <c r="EE27" s="752">
        <v>0</v>
      </c>
      <c r="EF27" s="752">
        <v>0</v>
      </c>
      <c r="EG27" s="1179">
        <v>0</v>
      </c>
      <c r="EH27" s="1179">
        <v>0</v>
      </c>
      <c r="EI27" s="1179">
        <v>0</v>
      </c>
      <c r="EJ27" s="1487" t="s">
        <v>630</v>
      </c>
      <c r="EK27" s="1488">
        <v>0</v>
      </c>
      <c r="EL27" s="1488">
        <v>0</v>
      </c>
      <c r="EM27" s="1488">
        <v>0</v>
      </c>
      <c r="EN27" s="1489" t="e">
        <v>#DIV/0!</v>
      </c>
      <c r="EO27" s="1485">
        <v>0</v>
      </c>
      <c r="EP27" s="1485">
        <v>0</v>
      </c>
      <c r="EQ27" s="1485">
        <v>0</v>
      </c>
      <c r="ER27" s="1490" t="s">
        <v>630</v>
      </c>
      <c r="ES27" s="1179">
        <v>0</v>
      </c>
      <c r="ET27" s="1179">
        <v>0</v>
      </c>
      <c r="EU27" s="1179">
        <v>0</v>
      </c>
      <c r="EV27" s="1487" t="s">
        <v>630</v>
      </c>
      <c r="EW27" s="1488">
        <v>0</v>
      </c>
      <c r="EX27" s="1488">
        <v>0</v>
      </c>
      <c r="EY27" s="1488">
        <v>0</v>
      </c>
      <c r="EZ27" s="1489" t="s">
        <v>630</v>
      </c>
      <c r="FA27" s="1485">
        <v>0</v>
      </c>
      <c r="FB27" s="1485">
        <v>0</v>
      </c>
      <c r="FC27" s="1485">
        <v>0</v>
      </c>
      <c r="FD27" s="1490" t="s">
        <v>630</v>
      </c>
      <c r="FE27" s="1179">
        <v>0</v>
      </c>
      <c r="FF27" s="1179">
        <v>0</v>
      </c>
      <c r="FG27" s="1179">
        <v>0</v>
      </c>
      <c r="FH27" s="1487" t="s">
        <v>630</v>
      </c>
      <c r="FI27" s="1488">
        <v>0</v>
      </c>
      <c r="FJ27" s="1488">
        <v>0</v>
      </c>
      <c r="FK27" s="1488">
        <v>0</v>
      </c>
      <c r="FL27" s="1489" t="s">
        <v>630</v>
      </c>
      <c r="FM27" s="1485">
        <v>0</v>
      </c>
      <c r="FN27" s="1485">
        <v>0</v>
      </c>
      <c r="FO27" s="1485">
        <v>0</v>
      </c>
      <c r="FP27" s="1490" t="s">
        <v>630</v>
      </c>
      <c r="FQ27" s="1179">
        <v>0</v>
      </c>
      <c r="FR27" s="1179">
        <v>0</v>
      </c>
      <c r="FS27" s="1179">
        <v>0</v>
      </c>
      <c r="FT27" s="1487" t="s">
        <v>630</v>
      </c>
      <c r="FU27" s="1488">
        <v>0</v>
      </c>
      <c r="FV27" s="1488">
        <v>0</v>
      </c>
      <c r="FW27" s="1488">
        <v>0</v>
      </c>
      <c r="FX27" s="1489" t="s">
        <v>630</v>
      </c>
      <c r="FY27" s="1485">
        <v>0</v>
      </c>
      <c r="FZ27" s="1485">
        <v>0</v>
      </c>
      <c r="GA27" s="1485">
        <v>0</v>
      </c>
      <c r="GB27" s="1490" t="s">
        <v>630</v>
      </c>
      <c r="GC27" s="1179">
        <v>0</v>
      </c>
      <c r="GD27" s="1179">
        <v>0</v>
      </c>
      <c r="GE27" s="1179">
        <v>0</v>
      </c>
      <c r="GF27" s="1487" t="s">
        <v>630</v>
      </c>
      <c r="GG27" s="1488">
        <v>0</v>
      </c>
      <c r="GH27" s="1488">
        <v>0</v>
      </c>
      <c r="GI27" s="1488">
        <v>0</v>
      </c>
      <c r="GJ27" s="1489" t="s">
        <v>630</v>
      </c>
      <c r="GK27" s="1485">
        <v>0</v>
      </c>
      <c r="GL27" s="1485">
        <v>0</v>
      </c>
      <c r="GM27" s="1485">
        <v>0</v>
      </c>
      <c r="GN27" s="1490" t="s">
        <v>630</v>
      </c>
      <c r="GO27" s="1179">
        <v>0</v>
      </c>
      <c r="GP27" s="1179">
        <v>0</v>
      </c>
      <c r="GQ27" s="1179">
        <v>0</v>
      </c>
      <c r="GR27" s="1487" t="s">
        <v>630</v>
      </c>
      <c r="GS27" s="1488">
        <v>0</v>
      </c>
      <c r="GT27" s="1488">
        <v>0</v>
      </c>
      <c r="GU27" s="1488">
        <v>0</v>
      </c>
      <c r="GV27" s="1489" t="s">
        <v>630</v>
      </c>
      <c r="GW27" s="1485">
        <v>0</v>
      </c>
      <c r="GX27" s="1485">
        <v>0</v>
      </c>
      <c r="GY27" s="1485">
        <v>0</v>
      </c>
      <c r="GZ27" s="1490" t="s">
        <v>630</v>
      </c>
    </row>
    <row r="28" spans="1:208" ht="15.75" customHeight="1">
      <c r="A28" s="1554" t="s">
        <v>656</v>
      </c>
      <c r="B28" s="751" t="s">
        <v>1328</v>
      </c>
      <c r="C28" s="753" t="s">
        <v>1308</v>
      </c>
      <c r="D28" s="753" t="s">
        <v>1246</v>
      </c>
      <c r="E28" s="1142" t="s">
        <v>1546</v>
      </c>
      <c r="F28" s="1491">
        <v>0</v>
      </c>
      <c r="G28" s="1491">
        <v>0</v>
      </c>
      <c r="H28" s="1492">
        <v>0</v>
      </c>
      <c r="I28" s="1481">
        <v>0</v>
      </c>
      <c r="J28" s="1482"/>
      <c r="K28" s="1482"/>
      <c r="L28" s="1483">
        <v>0</v>
      </c>
      <c r="M28" s="1481">
        <v>0</v>
      </c>
      <c r="N28" s="1482">
        <v>0</v>
      </c>
      <c r="O28" s="1482">
        <v>0</v>
      </c>
      <c r="P28" s="1483">
        <v>0</v>
      </c>
      <c r="Q28" s="752">
        <v>0</v>
      </c>
      <c r="R28" s="752">
        <v>0</v>
      </c>
      <c r="S28" s="752">
        <v>0</v>
      </c>
      <c r="T28" s="1484" t="s">
        <v>630</v>
      </c>
      <c r="U28" s="1555">
        <v>0</v>
      </c>
      <c r="V28" s="1555">
        <v>0</v>
      </c>
      <c r="W28" s="1555">
        <v>0</v>
      </c>
      <c r="X28" s="752">
        <v>0</v>
      </c>
      <c r="Y28" s="752">
        <v>0</v>
      </c>
      <c r="Z28" s="752">
        <v>0</v>
      </c>
      <c r="AA28" s="752">
        <v>0</v>
      </c>
      <c r="AB28" s="752">
        <v>0</v>
      </c>
      <c r="AC28" s="752">
        <v>0</v>
      </c>
      <c r="AD28" s="752">
        <v>0</v>
      </c>
      <c r="AE28" s="752">
        <v>0</v>
      </c>
      <c r="AF28" s="752">
        <v>0</v>
      </c>
      <c r="AG28" s="1486">
        <v>0</v>
      </c>
      <c r="AH28" s="752">
        <v>0</v>
      </c>
      <c r="AI28" s="752">
        <v>0</v>
      </c>
      <c r="AJ28" s="752">
        <v>0</v>
      </c>
      <c r="AK28" s="752">
        <v>0</v>
      </c>
      <c r="AL28" s="752">
        <v>0</v>
      </c>
      <c r="AM28" s="752">
        <v>0</v>
      </c>
      <c r="AN28" s="752">
        <v>0</v>
      </c>
      <c r="AO28" s="752">
        <v>0</v>
      </c>
      <c r="AP28" s="752">
        <v>0</v>
      </c>
      <c r="AQ28" s="1486">
        <v>0</v>
      </c>
      <c r="AR28" s="752">
        <v>0</v>
      </c>
      <c r="AS28" s="752">
        <v>0</v>
      </c>
      <c r="AT28" s="752">
        <v>0</v>
      </c>
      <c r="AU28" s="752">
        <v>0</v>
      </c>
      <c r="AV28" s="752">
        <v>0</v>
      </c>
      <c r="AW28" s="752">
        <v>0</v>
      </c>
      <c r="AX28" s="752">
        <v>0</v>
      </c>
      <c r="AY28" s="752">
        <v>0</v>
      </c>
      <c r="AZ28" s="752">
        <v>0</v>
      </c>
      <c r="BA28" s="1486">
        <v>0</v>
      </c>
      <c r="BB28" s="752">
        <v>0</v>
      </c>
      <c r="BC28" s="752">
        <v>0</v>
      </c>
      <c r="BD28" s="752">
        <v>0</v>
      </c>
      <c r="BE28" s="752">
        <v>0</v>
      </c>
      <c r="BF28" s="752">
        <v>0</v>
      </c>
      <c r="BG28" s="752">
        <v>0</v>
      </c>
      <c r="BH28" s="752">
        <v>0</v>
      </c>
      <c r="BI28" s="752">
        <v>0</v>
      </c>
      <c r="BJ28" s="752">
        <v>0</v>
      </c>
      <c r="BK28" s="1486">
        <v>0</v>
      </c>
      <c r="BL28" s="752">
        <v>0</v>
      </c>
      <c r="BM28" s="752">
        <v>0</v>
      </c>
      <c r="BN28" s="752">
        <v>0</v>
      </c>
      <c r="BO28" s="752">
        <v>0</v>
      </c>
      <c r="BP28" s="752">
        <v>0</v>
      </c>
      <c r="BQ28" s="752">
        <v>0</v>
      </c>
      <c r="BR28" s="752">
        <v>0</v>
      </c>
      <c r="BS28" s="752">
        <v>0</v>
      </c>
      <c r="BT28" s="752">
        <v>0</v>
      </c>
      <c r="BU28" s="1486">
        <v>0</v>
      </c>
      <c r="BV28" s="752">
        <v>0</v>
      </c>
      <c r="BW28" s="752">
        <v>0</v>
      </c>
      <c r="BX28" s="752">
        <v>0</v>
      </c>
      <c r="BY28" s="752">
        <v>0</v>
      </c>
      <c r="BZ28" s="752">
        <v>0</v>
      </c>
      <c r="CA28" s="752">
        <v>0</v>
      </c>
      <c r="CB28" s="752">
        <v>0</v>
      </c>
      <c r="CC28" s="752">
        <v>0</v>
      </c>
      <c r="CD28" s="752">
        <v>0</v>
      </c>
      <c r="CE28" s="1486">
        <v>0</v>
      </c>
      <c r="CF28" s="752">
        <v>0</v>
      </c>
      <c r="CG28" s="752">
        <v>0</v>
      </c>
      <c r="CH28" s="752">
        <v>0</v>
      </c>
      <c r="CI28" s="752">
        <v>0</v>
      </c>
      <c r="CJ28" s="752">
        <v>0</v>
      </c>
      <c r="CK28" s="752">
        <v>0</v>
      </c>
      <c r="CL28" s="752">
        <v>0</v>
      </c>
      <c r="CM28" s="752">
        <v>0</v>
      </c>
      <c r="CN28" s="752">
        <v>0</v>
      </c>
      <c r="CO28" s="1486">
        <v>0</v>
      </c>
      <c r="CP28" s="752">
        <v>0</v>
      </c>
      <c r="CQ28" s="752">
        <v>0</v>
      </c>
      <c r="CR28" s="752">
        <v>0</v>
      </c>
      <c r="CS28" s="752">
        <v>0</v>
      </c>
      <c r="CT28" s="752">
        <v>0</v>
      </c>
      <c r="CU28" s="752">
        <v>0</v>
      </c>
      <c r="CV28" s="752">
        <v>0</v>
      </c>
      <c r="CW28" s="752">
        <v>0</v>
      </c>
      <c r="CX28" s="752">
        <v>0</v>
      </c>
      <c r="CY28" s="1486">
        <v>0</v>
      </c>
      <c r="CZ28" s="752">
        <v>0</v>
      </c>
      <c r="DA28" s="752">
        <v>0</v>
      </c>
      <c r="DB28" s="752">
        <v>0</v>
      </c>
      <c r="DC28" s="752">
        <v>0</v>
      </c>
      <c r="DD28" s="752">
        <v>0</v>
      </c>
      <c r="DE28" s="752">
        <v>0</v>
      </c>
      <c r="DF28" s="752">
        <v>0</v>
      </c>
      <c r="DG28" s="752">
        <v>0</v>
      </c>
      <c r="DH28" s="752">
        <v>0</v>
      </c>
      <c r="DI28" s="1486">
        <v>0</v>
      </c>
      <c r="DJ28" s="752">
        <v>0</v>
      </c>
      <c r="DK28" s="752">
        <v>0</v>
      </c>
      <c r="DL28" s="752">
        <v>0</v>
      </c>
      <c r="DM28" s="752">
        <v>0</v>
      </c>
      <c r="DN28" s="752">
        <v>0</v>
      </c>
      <c r="DO28" s="752">
        <v>0</v>
      </c>
      <c r="DP28" s="752">
        <v>0</v>
      </c>
      <c r="DQ28" s="752">
        <v>0</v>
      </c>
      <c r="DR28" s="752">
        <v>0</v>
      </c>
      <c r="DS28" s="1486">
        <v>0</v>
      </c>
      <c r="DT28" s="752">
        <v>0</v>
      </c>
      <c r="DU28" s="752">
        <v>0</v>
      </c>
      <c r="DV28" s="752">
        <v>0</v>
      </c>
      <c r="DW28" s="752">
        <v>0</v>
      </c>
      <c r="DX28" s="752">
        <v>0</v>
      </c>
      <c r="DY28" s="752">
        <v>0</v>
      </c>
      <c r="DZ28" s="752">
        <v>0</v>
      </c>
      <c r="EA28" s="752">
        <v>0</v>
      </c>
      <c r="EB28" s="752">
        <v>0</v>
      </c>
      <c r="EC28" s="1486">
        <v>0</v>
      </c>
      <c r="ED28" s="752">
        <v>0</v>
      </c>
      <c r="EE28" s="752">
        <v>0</v>
      </c>
      <c r="EF28" s="752">
        <v>0</v>
      </c>
      <c r="EG28" s="1179">
        <v>0</v>
      </c>
      <c r="EH28" s="1179">
        <v>0</v>
      </c>
      <c r="EI28" s="1179">
        <v>0</v>
      </c>
      <c r="EJ28" s="1487" t="s">
        <v>630</v>
      </c>
      <c r="EK28" s="1488">
        <v>0</v>
      </c>
      <c r="EL28" s="1488">
        <v>0</v>
      </c>
      <c r="EM28" s="1488">
        <v>0</v>
      </c>
      <c r="EN28" s="1489" t="e">
        <v>#DIV/0!</v>
      </c>
      <c r="EO28" s="1485">
        <v>0</v>
      </c>
      <c r="EP28" s="1485">
        <v>0</v>
      </c>
      <c r="EQ28" s="1485">
        <v>0</v>
      </c>
      <c r="ER28" s="1490" t="s">
        <v>630</v>
      </c>
      <c r="ES28" s="1179">
        <v>0</v>
      </c>
      <c r="ET28" s="1179">
        <v>0</v>
      </c>
      <c r="EU28" s="1179">
        <v>0</v>
      </c>
      <c r="EV28" s="1487" t="s">
        <v>630</v>
      </c>
      <c r="EW28" s="1488">
        <v>0</v>
      </c>
      <c r="EX28" s="1488">
        <v>0</v>
      </c>
      <c r="EY28" s="1488">
        <v>0</v>
      </c>
      <c r="EZ28" s="1489" t="s">
        <v>630</v>
      </c>
      <c r="FA28" s="1485">
        <v>0</v>
      </c>
      <c r="FB28" s="1485">
        <v>0</v>
      </c>
      <c r="FC28" s="1485">
        <v>0</v>
      </c>
      <c r="FD28" s="1490" t="s">
        <v>630</v>
      </c>
      <c r="FE28" s="1179">
        <v>0</v>
      </c>
      <c r="FF28" s="1179">
        <v>0</v>
      </c>
      <c r="FG28" s="1179">
        <v>0</v>
      </c>
      <c r="FH28" s="1487" t="s">
        <v>630</v>
      </c>
      <c r="FI28" s="1488">
        <v>0</v>
      </c>
      <c r="FJ28" s="1488">
        <v>0</v>
      </c>
      <c r="FK28" s="1488">
        <v>0</v>
      </c>
      <c r="FL28" s="1489" t="s">
        <v>630</v>
      </c>
      <c r="FM28" s="1485">
        <v>0</v>
      </c>
      <c r="FN28" s="1485">
        <v>0</v>
      </c>
      <c r="FO28" s="1485">
        <v>0</v>
      </c>
      <c r="FP28" s="1490" t="s">
        <v>630</v>
      </c>
      <c r="FQ28" s="1179">
        <v>0</v>
      </c>
      <c r="FR28" s="1179">
        <v>0</v>
      </c>
      <c r="FS28" s="1179">
        <v>0</v>
      </c>
      <c r="FT28" s="1487" t="s">
        <v>630</v>
      </c>
      <c r="FU28" s="1488">
        <v>0</v>
      </c>
      <c r="FV28" s="1488">
        <v>0</v>
      </c>
      <c r="FW28" s="1488">
        <v>0</v>
      </c>
      <c r="FX28" s="1489" t="s">
        <v>630</v>
      </c>
      <c r="FY28" s="1485">
        <v>0</v>
      </c>
      <c r="FZ28" s="1485">
        <v>0</v>
      </c>
      <c r="GA28" s="1485">
        <v>0</v>
      </c>
      <c r="GB28" s="1490" t="s">
        <v>630</v>
      </c>
      <c r="GC28" s="1179">
        <v>0</v>
      </c>
      <c r="GD28" s="1179">
        <v>0</v>
      </c>
      <c r="GE28" s="1179">
        <v>0</v>
      </c>
      <c r="GF28" s="1487" t="s">
        <v>630</v>
      </c>
      <c r="GG28" s="1488">
        <v>0</v>
      </c>
      <c r="GH28" s="1488">
        <v>0</v>
      </c>
      <c r="GI28" s="1488">
        <v>0</v>
      </c>
      <c r="GJ28" s="1489" t="s">
        <v>630</v>
      </c>
      <c r="GK28" s="1485">
        <v>0</v>
      </c>
      <c r="GL28" s="1485">
        <v>0</v>
      </c>
      <c r="GM28" s="1485">
        <v>0</v>
      </c>
      <c r="GN28" s="1490" t="s">
        <v>630</v>
      </c>
      <c r="GO28" s="1179">
        <v>0</v>
      </c>
      <c r="GP28" s="1179">
        <v>0</v>
      </c>
      <c r="GQ28" s="1179">
        <v>0</v>
      </c>
      <c r="GR28" s="1487" t="s">
        <v>630</v>
      </c>
      <c r="GS28" s="1488">
        <v>0</v>
      </c>
      <c r="GT28" s="1488">
        <v>0</v>
      </c>
      <c r="GU28" s="1488">
        <v>0</v>
      </c>
      <c r="GV28" s="1489" t="s">
        <v>630</v>
      </c>
      <c r="GW28" s="1485">
        <v>0</v>
      </c>
      <c r="GX28" s="1485">
        <v>0</v>
      </c>
      <c r="GY28" s="1485">
        <v>0</v>
      </c>
      <c r="GZ28" s="1490" t="s">
        <v>630</v>
      </c>
    </row>
    <row r="29" spans="1:208" ht="15.75" customHeight="1">
      <c r="A29" s="1554" t="s">
        <v>657</v>
      </c>
      <c r="B29" s="751" t="s">
        <v>1329</v>
      </c>
      <c r="C29" s="753" t="s">
        <v>1308</v>
      </c>
      <c r="D29" s="753" t="s">
        <v>1246</v>
      </c>
      <c r="E29" s="1556"/>
      <c r="F29" s="1491">
        <v>109000000</v>
      </c>
      <c r="G29" s="1491">
        <v>72632285</v>
      </c>
      <c r="H29" s="1492">
        <v>36367715</v>
      </c>
      <c r="I29" s="1481">
        <v>0.33364876146788991</v>
      </c>
      <c r="J29" s="1482"/>
      <c r="K29" s="1482"/>
      <c r="L29" s="1483">
        <v>0</v>
      </c>
      <c r="M29" s="1481">
        <v>0</v>
      </c>
      <c r="N29" s="1482">
        <v>109000000</v>
      </c>
      <c r="O29" s="1482">
        <v>72632285</v>
      </c>
      <c r="P29" s="1483">
        <v>36367715</v>
      </c>
      <c r="Q29" s="752">
        <v>0</v>
      </c>
      <c r="R29" s="752">
        <v>0</v>
      </c>
      <c r="S29" s="752">
        <v>0</v>
      </c>
      <c r="T29" s="1484" t="s">
        <v>630</v>
      </c>
      <c r="U29" s="1557"/>
      <c r="V29" s="1557"/>
      <c r="W29" s="1557"/>
      <c r="X29" s="752">
        <v>0</v>
      </c>
      <c r="Y29" s="752">
        <v>0</v>
      </c>
      <c r="Z29" s="752">
        <v>0</v>
      </c>
      <c r="AA29" s="752">
        <v>0</v>
      </c>
      <c r="AB29" s="752">
        <v>0</v>
      </c>
      <c r="AC29" s="752">
        <v>0</v>
      </c>
      <c r="AD29" s="752">
        <v>0</v>
      </c>
      <c r="AE29" s="752">
        <v>0</v>
      </c>
      <c r="AF29" s="752">
        <v>0</v>
      </c>
      <c r="AG29" s="1486">
        <v>0</v>
      </c>
      <c r="AH29" s="752">
        <v>0</v>
      </c>
      <c r="AI29" s="752">
        <v>0</v>
      </c>
      <c r="AJ29" s="752">
        <v>0</v>
      </c>
      <c r="AK29" s="752">
        <v>0</v>
      </c>
      <c r="AL29" s="752">
        <v>0</v>
      </c>
      <c r="AM29" s="752">
        <v>0</v>
      </c>
      <c r="AN29" s="752">
        <v>0</v>
      </c>
      <c r="AO29" s="752">
        <v>0</v>
      </c>
      <c r="AP29" s="752">
        <v>0</v>
      </c>
      <c r="AQ29" s="1486">
        <v>0</v>
      </c>
      <c r="AR29" s="752">
        <v>0</v>
      </c>
      <c r="AS29" s="752">
        <v>0</v>
      </c>
      <c r="AT29" s="752">
        <v>0</v>
      </c>
      <c r="AU29" s="752">
        <v>0</v>
      </c>
      <c r="AV29" s="752">
        <v>0</v>
      </c>
      <c r="AW29" s="752">
        <v>0</v>
      </c>
      <c r="AX29" s="752">
        <v>0</v>
      </c>
      <c r="AY29" s="752">
        <v>0</v>
      </c>
      <c r="AZ29" s="752">
        <v>0</v>
      </c>
      <c r="BA29" s="1486">
        <v>0</v>
      </c>
      <c r="BB29" s="752">
        <v>178766</v>
      </c>
      <c r="BC29" s="752">
        <v>119121</v>
      </c>
      <c r="BD29" s="752">
        <v>59645</v>
      </c>
      <c r="BE29" s="752">
        <v>178766</v>
      </c>
      <c r="BF29" s="752">
        <v>119121</v>
      </c>
      <c r="BG29" s="752">
        <v>59645</v>
      </c>
      <c r="BH29" s="752">
        <v>178766</v>
      </c>
      <c r="BI29" s="752">
        <v>119121</v>
      </c>
      <c r="BJ29" s="752">
        <v>59645</v>
      </c>
      <c r="BK29" s="1486">
        <v>0</v>
      </c>
      <c r="BL29" s="752">
        <v>536298</v>
      </c>
      <c r="BM29" s="752">
        <v>357363</v>
      </c>
      <c r="BN29" s="752">
        <v>178935</v>
      </c>
      <c r="BO29" s="752">
        <v>715064</v>
      </c>
      <c r="BP29" s="752">
        <v>476484</v>
      </c>
      <c r="BQ29" s="752">
        <v>238580</v>
      </c>
      <c r="BR29" s="752">
        <v>715064</v>
      </c>
      <c r="BS29" s="752">
        <v>476484</v>
      </c>
      <c r="BT29" s="752">
        <v>238580</v>
      </c>
      <c r="BU29" s="1486">
        <v>0</v>
      </c>
      <c r="BV29" s="752">
        <v>536299</v>
      </c>
      <c r="BW29" s="752">
        <v>357363</v>
      </c>
      <c r="BX29" s="752">
        <v>178936</v>
      </c>
      <c r="BY29" s="752">
        <v>1251363</v>
      </c>
      <c r="BZ29" s="752">
        <v>833847</v>
      </c>
      <c r="CA29" s="752">
        <v>417516</v>
      </c>
      <c r="CB29" s="752">
        <v>1251363</v>
      </c>
      <c r="CC29" s="752">
        <v>833847</v>
      </c>
      <c r="CD29" s="752">
        <v>417516</v>
      </c>
      <c r="CE29" s="1486">
        <v>0</v>
      </c>
      <c r="CF29" s="752">
        <v>536298</v>
      </c>
      <c r="CG29" s="752">
        <v>357363</v>
      </c>
      <c r="CH29" s="752">
        <v>178935</v>
      </c>
      <c r="CI29" s="752">
        <v>1787661</v>
      </c>
      <c r="CJ29" s="752">
        <v>1191210</v>
      </c>
      <c r="CK29" s="752">
        <v>596451</v>
      </c>
      <c r="CL29" s="752">
        <v>1787661</v>
      </c>
      <c r="CM29" s="752">
        <v>1191210</v>
      </c>
      <c r="CN29" s="752">
        <v>596451</v>
      </c>
      <c r="CO29" s="1486">
        <v>0</v>
      </c>
      <c r="CP29" s="752">
        <v>0</v>
      </c>
      <c r="CQ29" s="752">
        <v>476484</v>
      </c>
      <c r="CR29" s="752">
        <v>-476484</v>
      </c>
      <c r="CS29" s="752">
        <v>1787661</v>
      </c>
      <c r="CT29" s="752">
        <v>1667694</v>
      </c>
      <c r="CU29" s="752">
        <v>119967</v>
      </c>
      <c r="CV29" s="752">
        <v>1787661</v>
      </c>
      <c r="CW29" s="752">
        <v>1667694</v>
      </c>
      <c r="CX29" s="752">
        <v>119967</v>
      </c>
      <c r="CY29" s="1486">
        <v>0</v>
      </c>
      <c r="CZ29" s="752">
        <v>0</v>
      </c>
      <c r="DA29" s="752">
        <v>595605</v>
      </c>
      <c r="DB29" s="752">
        <v>-595605</v>
      </c>
      <c r="DC29" s="752">
        <v>1787661</v>
      </c>
      <c r="DD29" s="752">
        <v>2263299</v>
      </c>
      <c r="DE29" s="752">
        <v>-475638</v>
      </c>
      <c r="DF29" s="752">
        <v>1787661</v>
      </c>
      <c r="DG29" s="752">
        <v>2263299</v>
      </c>
      <c r="DH29" s="752">
        <v>-475638</v>
      </c>
      <c r="DI29" s="1486">
        <v>0</v>
      </c>
      <c r="DJ29" s="752">
        <v>2502725</v>
      </c>
      <c r="DK29" s="752">
        <v>595605</v>
      </c>
      <c r="DL29" s="752">
        <v>1907120</v>
      </c>
      <c r="DM29" s="752">
        <v>4290386</v>
      </c>
      <c r="DN29" s="752">
        <v>2858904</v>
      </c>
      <c r="DO29" s="752">
        <v>1431482</v>
      </c>
      <c r="DP29" s="752">
        <v>4290386</v>
      </c>
      <c r="DQ29" s="752">
        <v>2858904</v>
      </c>
      <c r="DR29" s="752">
        <v>1431482</v>
      </c>
      <c r="DS29" s="1486">
        <v>0</v>
      </c>
      <c r="DT29" s="752">
        <v>1072596</v>
      </c>
      <c r="DU29" s="752">
        <v>714726</v>
      </c>
      <c r="DV29" s="752">
        <v>357870</v>
      </c>
      <c r="DW29" s="752">
        <v>5362982</v>
      </c>
      <c r="DX29" s="752">
        <v>3573630</v>
      </c>
      <c r="DY29" s="752">
        <v>1789352</v>
      </c>
      <c r="DZ29" s="752">
        <v>5362982</v>
      </c>
      <c r="EA29" s="752">
        <v>3573630</v>
      </c>
      <c r="EB29" s="752">
        <v>1789352</v>
      </c>
      <c r="EC29" s="1486">
        <v>0</v>
      </c>
      <c r="ED29" s="752">
        <v>1072597</v>
      </c>
      <c r="EE29" s="752">
        <v>714726</v>
      </c>
      <c r="EF29" s="752">
        <v>357871</v>
      </c>
      <c r="EG29" s="1179">
        <v>6435579</v>
      </c>
      <c r="EH29" s="1179">
        <v>4288356</v>
      </c>
      <c r="EI29" s="1179">
        <v>2147223</v>
      </c>
      <c r="EJ29" s="1487">
        <v>0.33364876726709436</v>
      </c>
      <c r="EK29" s="1488">
        <v>6435579</v>
      </c>
      <c r="EL29" s="1488">
        <v>4288356</v>
      </c>
      <c r="EM29" s="1488">
        <v>2147223</v>
      </c>
      <c r="EN29" s="1489">
        <v>0.33364876726709436</v>
      </c>
      <c r="EO29" s="1485">
        <v>102564421</v>
      </c>
      <c r="EP29" s="1485">
        <v>68343929</v>
      </c>
      <c r="EQ29" s="1485">
        <v>34220492</v>
      </c>
      <c r="ER29" s="1490">
        <v>0.33364876110400898</v>
      </c>
      <c r="ES29" s="1179">
        <v>9382214</v>
      </c>
      <c r="ET29" s="1179">
        <v>6251850</v>
      </c>
      <c r="EU29" s="1179">
        <v>3130364</v>
      </c>
      <c r="EV29" s="1487">
        <v>0.33364875284234619</v>
      </c>
      <c r="EW29" s="1488">
        <v>15817793</v>
      </c>
      <c r="EX29" s="1488">
        <v>10540206</v>
      </c>
      <c r="EY29" s="1488">
        <v>5277587</v>
      </c>
      <c r="EZ29" s="1489">
        <v>0.33364875871115524</v>
      </c>
      <c r="FA29" s="1485">
        <v>93182207</v>
      </c>
      <c r="FB29" s="1485">
        <v>62092079</v>
      </c>
      <c r="FC29" s="1485">
        <v>31090128</v>
      </c>
      <c r="FD29" s="1490">
        <v>0.33364876193584897</v>
      </c>
      <c r="FE29" s="1179">
        <v>9858389</v>
      </c>
      <c r="FF29" s="1179">
        <v>6569150</v>
      </c>
      <c r="FG29" s="1179">
        <v>3289239</v>
      </c>
      <c r="FH29" s="1487">
        <v>0.33364873307393328</v>
      </c>
      <c r="FI29" s="1488">
        <v>25676182</v>
      </c>
      <c r="FJ29" s="1488">
        <v>17109356</v>
      </c>
      <c r="FK29" s="1488">
        <v>8566826</v>
      </c>
      <c r="FL29" s="1489">
        <v>0.33364874886772494</v>
      </c>
      <c r="FM29" s="1485">
        <v>83323818</v>
      </c>
      <c r="FN29" s="1485">
        <v>55522929</v>
      </c>
      <c r="FO29" s="1485">
        <v>27800889</v>
      </c>
      <c r="FP29" s="1490">
        <v>0.33364876535062282</v>
      </c>
      <c r="FQ29" s="1179">
        <v>10361353</v>
      </c>
      <c r="FR29" s="1179">
        <v>6904300</v>
      </c>
      <c r="FS29" s="1179">
        <v>3457053</v>
      </c>
      <c r="FT29" s="1487">
        <v>0.33364880049931706</v>
      </c>
      <c r="FU29" s="1488">
        <v>36037535</v>
      </c>
      <c r="FV29" s="1488">
        <v>24013656</v>
      </c>
      <c r="FW29" s="1488">
        <v>12023879</v>
      </c>
      <c r="FX29" s="1489">
        <v>0.33364876371261243</v>
      </c>
      <c r="FY29" s="1485">
        <v>72962465</v>
      </c>
      <c r="FZ29" s="1485">
        <v>48618629</v>
      </c>
      <c r="GA29" s="1485">
        <v>24343836</v>
      </c>
      <c r="GB29" s="1490">
        <v>0.33364876035917918</v>
      </c>
      <c r="GC29" s="1179">
        <v>10892904</v>
      </c>
      <c r="GD29" s="1179">
        <v>7258500</v>
      </c>
      <c r="GE29" s="1179">
        <v>3634404</v>
      </c>
      <c r="GF29" s="1487">
        <v>0.33364876804202076</v>
      </c>
      <c r="GG29" s="1488">
        <v>46930439</v>
      </c>
      <c r="GH29" s="1488">
        <v>31272156</v>
      </c>
      <c r="GI29" s="1488">
        <v>15658283</v>
      </c>
      <c r="GJ29" s="1489">
        <v>0.33364876471750032</v>
      </c>
      <c r="GK29" s="1485">
        <v>62069561</v>
      </c>
      <c r="GL29" s="1485">
        <v>41360129</v>
      </c>
      <c r="GM29" s="1485">
        <v>20709432</v>
      </c>
      <c r="GN29" s="1490">
        <v>0.33364875901087815</v>
      </c>
      <c r="GO29" s="1179">
        <v>62069561</v>
      </c>
      <c r="GP29" s="1179">
        <v>41360129</v>
      </c>
      <c r="GQ29" s="1179">
        <v>20709432</v>
      </c>
      <c r="GR29" s="1487">
        <v>0.33364875901087815</v>
      </c>
      <c r="GS29" s="1488">
        <v>109000000</v>
      </c>
      <c r="GT29" s="1488">
        <v>72632285</v>
      </c>
      <c r="GU29" s="1488">
        <v>36367715</v>
      </c>
      <c r="GV29" s="1489">
        <v>0.33364876146788991</v>
      </c>
      <c r="GW29" s="1485">
        <v>0</v>
      </c>
      <c r="GX29" s="1485">
        <v>0</v>
      </c>
      <c r="GY29" s="1485">
        <v>0</v>
      </c>
      <c r="GZ29" s="1490" t="s">
        <v>630</v>
      </c>
    </row>
    <row r="30" spans="1:208" ht="15.75" customHeight="1">
      <c r="A30" s="1554" t="s">
        <v>659</v>
      </c>
      <c r="B30" s="751" t="s">
        <v>1330</v>
      </c>
      <c r="C30" s="753" t="s">
        <v>1308</v>
      </c>
      <c r="D30" s="753" t="s">
        <v>1246</v>
      </c>
      <c r="E30" s="1556"/>
      <c r="F30" s="1491">
        <v>76500000</v>
      </c>
      <c r="G30" s="1491">
        <v>51343045</v>
      </c>
      <c r="H30" s="1492">
        <v>25156955</v>
      </c>
      <c r="I30" s="1481">
        <v>0.32884908496732024</v>
      </c>
      <c r="J30" s="1482"/>
      <c r="K30" s="1482"/>
      <c r="L30" s="1483">
        <v>0</v>
      </c>
      <c r="M30" s="1481">
        <v>0</v>
      </c>
      <c r="N30" s="1482"/>
      <c r="O30" s="1482"/>
      <c r="P30" s="1483"/>
      <c r="Q30" s="752">
        <v>0</v>
      </c>
      <c r="R30" s="752">
        <v>0</v>
      </c>
      <c r="S30" s="752">
        <v>0</v>
      </c>
      <c r="T30" s="1484" t="s">
        <v>630</v>
      </c>
      <c r="U30" s="1557">
        <v>0</v>
      </c>
      <c r="V30" s="1557">
        <v>0</v>
      </c>
      <c r="W30" s="1557">
        <v>0</v>
      </c>
      <c r="X30" s="752">
        <v>0</v>
      </c>
      <c r="Y30" s="752">
        <v>0</v>
      </c>
      <c r="Z30" s="752">
        <v>0</v>
      </c>
      <c r="AA30" s="752">
        <v>0</v>
      </c>
      <c r="AB30" s="752">
        <v>0</v>
      </c>
      <c r="AC30" s="752">
        <v>0</v>
      </c>
      <c r="AD30" s="752">
        <v>0</v>
      </c>
      <c r="AE30" s="752">
        <v>0</v>
      </c>
      <c r="AF30" s="752">
        <v>0</v>
      </c>
      <c r="AG30" s="1486">
        <v>0</v>
      </c>
      <c r="AH30" s="752">
        <v>0</v>
      </c>
      <c r="AI30" s="752">
        <v>0</v>
      </c>
      <c r="AJ30" s="752">
        <v>0</v>
      </c>
      <c r="AK30" s="752">
        <v>0</v>
      </c>
      <c r="AL30" s="752">
        <v>0</v>
      </c>
      <c r="AM30" s="752">
        <v>0</v>
      </c>
      <c r="AN30" s="752">
        <v>0</v>
      </c>
      <c r="AO30" s="752">
        <v>0</v>
      </c>
      <c r="AP30" s="752">
        <v>0</v>
      </c>
      <c r="AQ30" s="1486">
        <v>0</v>
      </c>
      <c r="AR30" s="752">
        <v>0</v>
      </c>
      <c r="AS30" s="752">
        <v>0</v>
      </c>
      <c r="AT30" s="752">
        <v>0</v>
      </c>
      <c r="AU30" s="752">
        <v>0</v>
      </c>
      <c r="AV30" s="752">
        <v>0</v>
      </c>
      <c r="AW30" s="752">
        <v>0</v>
      </c>
      <c r="AX30" s="752">
        <v>0</v>
      </c>
      <c r="AY30" s="752">
        <v>0</v>
      </c>
      <c r="AZ30" s="752">
        <v>0</v>
      </c>
      <c r="BA30" s="1486">
        <v>0</v>
      </c>
      <c r="BB30" s="752">
        <v>0</v>
      </c>
      <c r="BC30" s="752">
        <v>0</v>
      </c>
      <c r="BD30" s="752">
        <v>0</v>
      </c>
      <c r="BE30" s="752">
        <v>0</v>
      </c>
      <c r="BF30" s="752">
        <v>0</v>
      </c>
      <c r="BG30" s="752">
        <v>0</v>
      </c>
      <c r="BH30" s="752">
        <v>0</v>
      </c>
      <c r="BI30" s="752">
        <v>0</v>
      </c>
      <c r="BJ30" s="752">
        <v>0</v>
      </c>
      <c r="BK30" s="1486">
        <v>0</v>
      </c>
      <c r="BL30" s="752">
        <v>0</v>
      </c>
      <c r="BM30" s="752">
        <v>0</v>
      </c>
      <c r="BN30" s="752">
        <v>0</v>
      </c>
      <c r="BO30" s="752">
        <v>0</v>
      </c>
      <c r="BP30" s="752">
        <v>0</v>
      </c>
      <c r="BQ30" s="752">
        <v>0</v>
      </c>
      <c r="BR30" s="752">
        <v>0</v>
      </c>
      <c r="BS30" s="752">
        <v>0</v>
      </c>
      <c r="BT30" s="752">
        <v>0</v>
      </c>
      <c r="BU30" s="1486">
        <v>0</v>
      </c>
      <c r="BV30" s="752">
        <v>0</v>
      </c>
      <c r="BW30" s="752">
        <v>0</v>
      </c>
      <c r="BX30" s="752">
        <v>0</v>
      </c>
      <c r="BY30" s="752">
        <v>0</v>
      </c>
      <c r="BZ30" s="752">
        <v>0</v>
      </c>
      <c r="CA30" s="752">
        <v>0</v>
      </c>
      <c r="CB30" s="752">
        <v>0</v>
      </c>
      <c r="CC30" s="752">
        <v>0</v>
      </c>
      <c r="CD30" s="752">
        <v>0</v>
      </c>
      <c r="CE30" s="1486">
        <v>0</v>
      </c>
      <c r="CF30" s="752">
        <v>0</v>
      </c>
      <c r="CG30" s="752">
        <v>0</v>
      </c>
      <c r="CH30" s="752">
        <v>0</v>
      </c>
      <c r="CI30" s="752">
        <v>0</v>
      </c>
      <c r="CJ30" s="752">
        <v>0</v>
      </c>
      <c r="CK30" s="752">
        <v>0</v>
      </c>
      <c r="CL30" s="752">
        <v>0</v>
      </c>
      <c r="CM30" s="752">
        <v>0</v>
      </c>
      <c r="CN30" s="752">
        <v>0</v>
      </c>
      <c r="CO30" s="1486">
        <v>0</v>
      </c>
      <c r="CP30" s="752">
        <v>0</v>
      </c>
      <c r="CQ30" s="752">
        <v>0</v>
      </c>
      <c r="CR30" s="752">
        <v>0</v>
      </c>
      <c r="CS30" s="752">
        <v>0</v>
      </c>
      <c r="CT30" s="752">
        <v>0</v>
      </c>
      <c r="CU30" s="752">
        <v>0</v>
      </c>
      <c r="CV30" s="752">
        <v>0</v>
      </c>
      <c r="CW30" s="752">
        <v>0</v>
      </c>
      <c r="CX30" s="752">
        <v>0</v>
      </c>
      <c r="CY30" s="1486">
        <v>0</v>
      </c>
      <c r="CZ30" s="752">
        <v>0</v>
      </c>
      <c r="DA30" s="752">
        <v>0</v>
      </c>
      <c r="DB30" s="752">
        <v>0</v>
      </c>
      <c r="DC30" s="752">
        <v>0</v>
      </c>
      <c r="DD30" s="752">
        <v>0</v>
      </c>
      <c r="DE30" s="752">
        <v>0</v>
      </c>
      <c r="DF30" s="752">
        <v>0</v>
      </c>
      <c r="DG30" s="752">
        <v>0</v>
      </c>
      <c r="DH30" s="752">
        <v>0</v>
      </c>
      <c r="DI30" s="1486">
        <v>0</v>
      </c>
      <c r="DJ30" s="752">
        <v>0</v>
      </c>
      <c r="DK30" s="752">
        <v>0</v>
      </c>
      <c r="DL30" s="752">
        <v>0</v>
      </c>
      <c r="DM30" s="752">
        <v>0</v>
      </c>
      <c r="DN30" s="752">
        <v>0</v>
      </c>
      <c r="DO30" s="752">
        <v>0</v>
      </c>
      <c r="DP30" s="752">
        <v>0</v>
      </c>
      <c r="DQ30" s="752">
        <v>0</v>
      </c>
      <c r="DR30" s="752">
        <v>0</v>
      </c>
      <c r="DS30" s="1486">
        <v>0</v>
      </c>
      <c r="DT30" s="752">
        <v>0</v>
      </c>
      <c r="DU30" s="752">
        <v>0</v>
      </c>
      <c r="DV30" s="752">
        <v>0</v>
      </c>
      <c r="DW30" s="752">
        <v>0</v>
      </c>
      <c r="DX30" s="752">
        <v>0</v>
      </c>
      <c r="DY30" s="752">
        <v>0</v>
      </c>
      <c r="DZ30" s="752">
        <v>0</v>
      </c>
      <c r="EA30" s="752">
        <v>0</v>
      </c>
      <c r="EB30" s="752">
        <v>0</v>
      </c>
      <c r="EC30" s="1486">
        <v>0</v>
      </c>
      <c r="ED30" s="752">
        <v>0</v>
      </c>
      <c r="EE30" s="752">
        <v>0</v>
      </c>
      <c r="EF30" s="752">
        <v>0</v>
      </c>
      <c r="EG30" s="1179">
        <v>0</v>
      </c>
      <c r="EH30" s="1179">
        <v>0</v>
      </c>
      <c r="EI30" s="1179">
        <v>0</v>
      </c>
      <c r="EJ30" s="1487" t="s">
        <v>630</v>
      </c>
      <c r="EK30" s="1488">
        <v>0</v>
      </c>
      <c r="EL30" s="1488">
        <v>0</v>
      </c>
      <c r="EM30" s="1488">
        <v>0</v>
      </c>
      <c r="EN30" s="1489" t="e">
        <v>#DIV/0!</v>
      </c>
      <c r="EO30" s="1558"/>
      <c r="EP30" s="1558"/>
      <c r="EQ30" s="1558"/>
      <c r="ER30" s="1559" t="s">
        <v>630</v>
      </c>
      <c r="ES30" s="1179">
        <v>4866156</v>
      </c>
      <c r="ET30" s="1179">
        <v>3265925</v>
      </c>
      <c r="EU30" s="1179">
        <v>1600231</v>
      </c>
      <c r="EV30" s="1487">
        <v>0.32884909567223081</v>
      </c>
      <c r="EW30" s="1488">
        <v>4866156</v>
      </c>
      <c r="EX30" s="1488">
        <v>3265925</v>
      </c>
      <c r="EY30" s="1488">
        <v>1600231</v>
      </c>
      <c r="EZ30" s="1489">
        <v>0.32884909567223081</v>
      </c>
      <c r="FA30" s="1485">
        <v>71633844</v>
      </c>
      <c r="FB30" s="1485">
        <v>48077120</v>
      </c>
      <c r="FC30" s="1485">
        <v>23556724</v>
      </c>
      <c r="FD30" s="1490">
        <v>0.32884908424012538</v>
      </c>
      <c r="FE30" s="1179">
        <v>5102541</v>
      </c>
      <c r="FF30" s="1179">
        <v>3424575</v>
      </c>
      <c r="FG30" s="1179">
        <v>1677966</v>
      </c>
      <c r="FH30" s="1487">
        <v>0.32884909694993142</v>
      </c>
      <c r="FI30" s="1488">
        <v>9968697</v>
      </c>
      <c r="FJ30" s="1488">
        <v>6690500</v>
      </c>
      <c r="FK30" s="1488">
        <v>3278197</v>
      </c>
      <c r="FL30" s="1489">
        <v>0.32884909632622999</v>
      </c>
      <c r="FM30" s="1485">
        <v>66531303</v>
      </c>
      <c r="FN30" s="1485">
        <v>44652545</v>
      </c>
      <c r="FO30" s="1485">
        <v>21878758</v>
      </c>
      <c r="FP30" s="1490">
        <v>0.32884908326536155</v>
      </c>
      <c r="FQ30" s="1179">
        <v>6351150</v>
      </c>
      <c r="FR30" s="1179">
        <v>4262580</v>
      </c>
      <c r="FS30" s="1179">
        <v>2088570</v>
      </c>
      <c r="FT30" s="1487">
        <v>0.32884910606740514</v>
      </c>
      <c r="FU30" s="1488">
        <v>16319847</v>
      </c>
      <c r="FV30" s="1488">
        <v>10953080</v>
      </c>
      <c r="FW30" s="1488">
        <v>5366767</v>
      </c>
      <c r="FX30" s="1489">
        <v>0.32884910011717633</v>
      </c>
      <c r="FY30" s="1485">
        <v>60180153</v>
      </c>
      <c r="FZ30" s="1485">
        <v>40389965</v>
      </c>
      <c r="GA30" s="1485">
        <v>19790188</v>
      </c>
      <c r="GB30" s="1490">
        <v>0.32884908085893366</v>
      </c>
      <c r="GC30" s="1179">
        <v>6608200</v>
      </c>
      <c r="GD30" s="1179">
        <v>4435100</v>
      </c>
      <c r="GE30" s="1179">
        <v>2173100</v>
      </c>
      <c r="GF30" s="1487">
        <v>0.3288490057806967</v>
      </c>
      <c r="GG30" s="1488">
        <v>22928047</v>
      </c>
      <c r="GH30" s="1488">
        <v>15388180</v>
      </c>
      <c r="GI30" s="1488">
        <v>7539867</v>
      </c>
      <c r="GJ30" s="1489">
        <v>0.32884907292801696</v>
      </c>
      <c r="GK30" s="1485">
        <v>53571953</v>
      </c>
      <c r="GL30" s="1485">
        <v>35954865</v>
      </c>
      <c r="GM30" s="1485">
        <v>17617088</v>
      </c>
      <c r="GN30" s="1490">
        <v>0.32884909011997376</v>
      </c>
      <c r="GO30" s="1179">
        <v>53571953</v>
      </c>
      <c r="GP30" s="1179">
        <v>35954865</v>
      </c>
      <c r="GQ30" s="1179">
        <v>17617088</v>
      </c>
      <c r="GR30" s="1487">
        <v>0.32884909011997376</v>
      </c>
      <c r="GS30" s="1488">
        <v>76500000</v>
      </c>
      <c r="GT30" s="1488">
        <v>51343045</v>
      </c>
      <c r="GU30" s="1488">
        <v>25156955</v>
      </c>
      <c r="GV30" s="1489">
        <v>0.32884908496732024</v>
      </c>
      <c r="GW30" s="1485">
        <v>0</v>
      </c>
      <c r="GX30" s="1485">
        <v>0</v>
      </c>
      <c r="GY30" s="1485">
        <v>0</v>
      </c>
      <c r="GZ30" s="1490" t="s">
        <v>630</v>
      </c>
    </row>
    <row r="31" spans="1:208" ht="15.75" customHeight="1">
      <c r="A31" s="1554" t="s">
        <v>661</v>
      </c>
      <c r="B31" s="751" t="s">
        <v>1331</v>
      </c>
      <c r="C31" s="753" t="s">
        <v>1308</v>
      </c>
      <c r="D31" s="753" t="s">
        <v>1246</v>
      </c>
      <c r="E31" s="1556"/>
      <c r="F31" s="1491">
        <v>77000000</v>
      </c>
      <c r="G31" s="1491">
        <v>51899975</v>
      </c>
      <c r="H31" s="1492">
        <v>25100025</v>
      </c>
      <c r="I31" s="1481">
        <v>0.32597435064935065</v>
      </c>
      <c r="J31" s="1482"/>
      <c r="K31" s="1482"/>
      <c r="L31" s="1483">
        <v>0</v>
      </c>
      <c r="M31" s="1481">
        <v>0</v>
      </c>
      <c r="N31" s="1482"/>
      <c r="O31" s="1482"/>
      <c r="P31" s="1483"/>
      <c r="Q31" s="752">
        <v>0</v>
      </c>
      <c r="R31" s="752">
        <v>0</v>
      </c>
      <c r="S31" s="752">
        <v>0</v>
      </c>
      <c r="T31" s="1484" t="s">
        <v>630</v>
      </c>
      <c r="U31" s="1558">
        <v>0</v>
      </c>
      <c r="V31" s="1558">
        <v>0</v>
      </c>
      <c r="W31" s="1558">
        <v>0</v>
      </c>
      <c r="X31" s="752">
        <v>0</v>
      </c>
      <c r="Y31" s="752">
        <v>0</v>
      </c>
      <c r="Z31" s="752">
        <v>0</v>
      </c>
      <c r="AA31" s="752">
        <v>0</v>
      </c>
      <c r="AB31" s="752">
        <v>0</v>
      </c>
      <c r="AC31" s="752">
        <v>0</v>
      </c>
      <c r="AD31" s="752">
        <v>0</v>
      </c>
      <c r="AE31" s="752">
        <v>0</v>
      </c>
      <c r="AF31" s="752">
        <v>0</v>
      </c>
      <c r="AG31" s="1486">
        <v>0</v>
      </c>
      <c r="AH31" s="752">
        <v>0</v>
      </c>
      <c r="AI31" s="752">
        <v>0</v>
      </c>
      <c r="AJ31" s="752">
        <v>0</v>
      </c>
      <c r="AK31" s="752">
        <v>0</v>
      </c>
      <c r="AL31" s="752">
        <v>0</v>
      </c>
      <c r="AM31" s="752">
        <v>0</v>
      </c>
      <c r="AN31" s="752">
        <v>0</v>
      </c>
      <c r="AO31" s="752">
        <v>0</v>
      </c>
      <c r="AP31" s="752">
        <v>0</v>
      </c>
      <c r="AQ31" s="1486">
        <v>0</v>
      </c>
      <c r="AR31" s="752">
        <v>0</v>
      </c>
      <c r="AS31" s="752">
        <v>0</v>
      </c>
      <c r="AT31" s="752">
        <v>0</v>
      </c>
      <c r="AU31" s="752">
        <v>0</v>
      </c>
      <c r="AV31" s="752">
        <v>0</v>
      </c>
      <c r="AW31" s="752">
        <v>0</v>
      </c>
      <c r="AX31" s="752">
        <v>0</v>
      </c>
      <c r="AY31" s="752">
        <v>0</v>
      </c>
      <c r="AZ31" s="752">
        <v>0</v>
      </c>
      <c r="BA31" s="1486">
        <v>0</v>
      </c>
      <c r="BB31" s="752">
        <v>0</v>
      </c>
      <c r="BC31" s="752">
        <v>0</v>
      </c>
      <c r="BD31" s="752">
        <v>0</v>
      </c>
      <c r="BE31" s="752">
        <v>0</v>
      </c>
      <c r="BF31" s="752">
        <v>0</v>
      </c>
      <c r="BG31" s="752">
        <v>0</v>
      </c>
      <c r="BH31" s="752">
        <v>0</v>
      </c>
      <c r="BI31" s="752">
        <v>0</v>
      </c>
      <c r="BJ31" s="752">
        <v>0</v>
      </c>
      <c r="BK31" s="1486">
        <v>0</v>
      </c>
      <c r="BL31" s="752">
        <v>0</v>
      </c>
      <c r="BM31" s="752">
        <v>0</v>
      </c>
      <c r="BN31" s="752">
        <v>0</v>
      </c>
      <c r="BO31" s="752">
        <v>0</v>
      </c>
      <c r="BP31" s="752">
        <v>0</v>
      </c>
      <c r="BQ31" s="752">
        <v>0</v>
      </c>
      <c r="BR31" s="752">
        <v>0</v>
      </c>
      <c r="BS31" s="752">
        <v>0</v>
      </c>
      <c r="BT31" s="752">
        <v>0</v>
      </c>
      <c r="BU31" s="1486">
        <v>0</v>
      </c>
      <c r="BV31" s="752">
        <v>0</v>
      </c>
      <c r="BW31" s="752">
        <v>0</v>
      </c>
      <c r="BX31" s="752">
        <v>0</v>
      </c>
      <c r="BY31" s="752">
        <v>0</v>
      </c>
      <c r="BZ31" s="752">
        <v>0</v>
      </c>
      <c r="CA31" s="752">
        <v>0</v>
      </c>
      <c r="CB31" s="752">
        <v>0</v>
      </c>
      <c r="CC31" s="752">
        <v>0</v>
      </c>
      <c r="CD31" s="752">
        <v>0</v>
      </c>
      <c r="CE31" s="1486">
        <v>0</v>
      </c>
      <c r="CF31" s="752">
        <v>0</v>
      </c>
      <c r="CG31" s="752">
        <v>0</v>
      </c>
      <c r="CH31" s="752">
        <v>0</v>
      </c>
      <c r="CI31" s="752">
        <v>0</v>
      </c>
      <c r="CJ31" s="752">
        <v>0</v>
      </c>
      <c r="CK31" s="752">
        <v>0</v>
      </c>
      <c r="CL31" s="752">
        <v>0</v>
      </c>
      <c r="CM31" s="752">
        <v>0</v>
      </c>
      <c r="CN31" s="752">
        <v>0</v>
      </c>
      <c r="CO31" s="1486">
        <v>0</v>
      </c>
      <c r="CP31" s="752">
        <v>0</v>
      </c>
      <c r="CQ31" s="752">
        <v>0</v>
      </c>
      <c r="CR31" s="752">
        <v>0</v>
      </c>
      <c r="CS31" s="752">
        <v>0</v>
      </c>
      <c r="CT31" s="752">
        <v>0</v>
      </c>
      <c r="CU31" s="752">
        <v>0</v>
      </c>
      <c r="CV31" s="752">
        <v>0</v>
      </c>
      <c r="CW31" s="752">
        <v>0</v>
      </c>
      <c r="CX31" s="752">
        <v>0</v>
      </c>
      <c r="CY31" s="1486">
        <v>0</v>
      </c>
      <c r="CZ31" s="752">
        <v>0</v>
      </c>
      <c r="DA31" s="752">
        <v>0</v>
      </c>
      <c r="DB31" s="752">
        <v>0</v>
      </c>
      <c r="DC31" s="752">
        <v>0</v>
      </c>
      <c r="DD31" s="752">
        <v>0</v>
      </c>
      <c r="DE31" s="752">
        <v>0</v>
      </c>
      <c r="DF31" s="752">
        <v>0</v>
      </c>
      <c r="DG31" s="752">
        <v>0</v>
      </c>
      <c r="DH31" s="752">
        <v>0</v>
      </c>
      <c r="DI31" s="1486">
        <v>0</v>
      </c>
      <c r="DJ31" s="752">
        <v>0</v>
      </c>
      <c r="DK31" s="752">
        <v>0</v>
      </c>
      <c r="DL31" s="752">
        <v>0</v>
      </c>
      <c r="DM31" s="752">
        <v>0</v>
      </c>
      <c r="DN31" s="752">
        <v>0</v>
      </c>
      <c r="DO31" s="752">
        <v>0</v>
      </c>
      <c r="DP31" s="752">
        <v>0</v>
      </c>
      <c r="DQ31" s="752">
        <v>0</v>
      </c>
      <c r="DR31" s="752">
        <v>0</v>
      </c>
      <c r="DS31" s="1486">
        <v>0</v>
      </c>
      <c r="DT31" s="752">
        <v>0</v>
      </c>
      <c r="DU31" s="752">
        <v>0</v>
      </c>
      <c r="DV31" s="752">
        <v>0</v>
      </c>
      <c r="DW31" s="752">
        <v>0</v>
      </c>
      <c r="DX31" s="752">
        <v>0</v>
      </c>
      <c r="DY31" s="752">
        <v>0</v>
      </c>
      <c r="DZ31" s="752">
        <v>0</v>
      </c>
      <c r="EA31" s="752">
        <v>0</v>
      </c>
      <c r="EB31" s="752">
        <v>0</v>
      </c>
      <c r="EC31" s="1486">
        <v>0</v>
      </c>
      <c r="ED31" s="752">
        <v>0</v>
      </c>
      <c r="EE31" s="752">
        <v>0</v>
      </c>
      <c r="EF31" s="752">
        <v>0</v>
      </c>
      <c r="EG31" s="1179">
        <v>0</v>
      </c>
      <c r="EH31" s="1179">
        <v>0</v>
      </c>
      <c r="EI31" s="1179">
        <v>0</v>
      </c>
      <c r="EJ31" s="1487" t="s">
        <v>630</v>
      </c>
      <c r="EK31" s="1488">
        <v>0</v>
      </c>
      <c r="EL31" s="1488">
        <v>0</v>
      </c>
      <c r="EM31" s="1488">
        <v>0</v>
      </c>
      <c r="EN31" s="1489" t="e">
        <v>#DIV/0!</v>
      </c>
      <c r="EO31" s="1558"/>
      <c r="EP31" s="1558"/>
      <c r="EQ31" s="1558"/>
      <c r="ER31" s="1559" t="s">
        <v>630</v>
      </c>
      <c r="ES31" s="1179">
        <v>0</v>
      </c>
      <c r="ET31" s="1179">
        <v>0</v>
      </c>
      <c r="EU31" s="1179">
        <v>0</v>
      </c>
      <c r="EV31" s="1487" t="s">
        <v>630</v>
      </c>
      <c r="EW31" s="1488">
        <v>0</v>
      </c>
      <c r="EX31" s="1488">
        <v>0</v>
      </c>
      <c r="EY31" s="1488">
        <v>0</v>
      </c>
      <c r="EZ31" s="1489" t="s">
        <v>630</v>
      </c>
      <c r="FA31" s="1558"/>
      <c r="FB31" s="1558"/>
      <c r="FC31" s="1558"/>
      <c r="FD31" s="1559"/>
      <c r="FE31" s="1179">
        <v>3957802</v>
      </c>
      <c r="FF31" s="1179">
        <v>2667660</v>
      </c>
      <c r="FG31" s="1179">
        <v>1290142</v>
      </c>
      <c r="FH31" s="1487">
        <v>0.32597436658023821</v>
      </c>
      <c r="FI31" s="1488">
        <v>3957802</v>
      </c>
      <c r="FJ31" s="1488">
        <v>2667660</v>
      </c>
      <c r="FK31" s="1488">
        <v>1290142</v>
      </c>
      <c r="FL31" s="1489">
        <v>0.32597436658023821</v>
      </c>
      <c r="FM31" s="1485">
        <v>73042198</v>
      </c>
      <c r="FN31" s="1485">
        <v>49232315</v>
      </c>
      <c r="FO31" s="1485">
        <v>23809883</v>
      </c>
      <c r="FP31" s="1490">
        <v>0.32597434978613321</v>
      </c>
      <c r="FQ31" s="1179">
        <v>6324062</v>
      </c>
      <c r="FR31" s="1179">
        <v>4262580</v>
      </c>
      <c r="FS31" s="1179">
        <v>2061482</v>
      </c>
      <c r="FT31" s="1487">
        <v>0.3259743500300914</v>
      </c>
      <c r="FU31" s="1488">
        <v>10281864</v>
      </c>
      <c r="FV31" s="1488">
        <v>6930240</v>
      </c>
      <c r="FW31" s="1488">
        <v>3351624</v>
      </c>
      <c r="FX31" s="1489">
        <v>0.32597435640074601</v>
      </c>
      <c r="FY31" s="1485">
        <v>66718136</v>
      </c>
      <c r="FZ31" s="1485">
        <v>44969735</v>
      </c>
      <c r="GA31" s="1485">
        <v>21748401</v>
      </c>
      <c r="GB31" s="1490">
        <v>0.32597434976300899</v>
      </c>
      <c r="GC31" s="1179">
        <v>6580017</v>
      </c>
      <c r="GD31" s="1179">
        <v>4435100</v>
      </c>
      <c r="GE31" s="1179">
        <v>2144917</v>
      </c>
      <c r="GF31" s="1487">
        <v>0.32597438578046228</v>
      </c>
      <c r="GG31" s="1488">
        <v>16861881</v>
      </c>
      <c r="GH31" s="1488">
        <v>11365340</v>
      </c>
      <c r="GI31" s="1488">
        <v>5496541</v>
      </c>
      <c r="GJ31" s="1489">
        <v>0.32597436786560169</v>
      </c>
      <c r="GK31" s="1485">
        <v>60138119</v>
      </c>
      <c r="GL31" s="1485">
        <v>40534635</v>
      </c>
      <c r="GM31" s="1485">
        <v>19603484</v>
      </c>
      <c r="GN31" s="1490">
        <v>0.32597434582215651</v>
      </c>
      <c r="GO31" s="1179">
        <v>60138119</v>
      </c>
      <c r="GP31" s="1179">
        <v>40534635</v>
      </c>
      <c r="GQ31" s="1179">
        <v>19603484</v>
      </c>
      <c r="GR31" s="1487">
        <v>0.32597434582215651</v>
      </c>
      <c r="GS31" s="1488">
        <v>77000000</v>
      </c>
      <c r="GT31" s="1488">
        <v>51899975</v>
      </c>
      <c r="GU31" s="1488">
        <v>25100025</v>
      </c>
      <c r="GV31" s="1489">
        <v>0.32597435064935065</v>
      </c>
      <c r="GW31" s="1485">
        <v>0</v>
      </c>
      <c r="GX31" s="1485">
        <v>0</v>
      </c>
      <c r="GY31" s="1485">
        <v>0</v>
      </c>
      <c r="GZ31" s="1490" t="s">
        <v>630</v>
      </c>
    </row>
    <row r="32" spans="1:208" ht="15.75" customHeight="1">
      <c r="A32" s="1554" t="s">
        <v>663</v>
      </c>
      <c r="B32" s="751" t="s">
        <v>1332</v>
      </c>
      <c r="C32" s="753" t="s">
        <v>1308</v>
      </c>
      <c r="D32" s="753" t="s">
        <v>1246</v>
      </c>
      <c r="E32" s="1556"/>
      <c r="F32" s="1491">
        <v>77500000</v>
      </c>
      <c r="G32" s="1491">
        <v>52205495</v>
      </c>
      <c r="H32" s="1492">
        <v>25294505</v>
      </c>
      <c r="I32" s="1481">
        <v>0.32638070967741933</v>
      </c>
      <c r="J32" s="1482"/>
      <c r="K32" s="1482"/>
      <c r="L32" s="1483">
        <v>0</v>
      </c>
      <c r="M32" s="1481">
        <v>0</v>
      </c>
      <c r="N32" s="1482"/>
      <c r="O32" s="1482"/>
      <c r="P32" s="1483"/>
      <c r="Q32" s="752">
        <v>0</v>
      </c>
      <c r="R32" s="752">
        <v>0</v>
      </c>
      <c r="S32" s="752">
        <v>0</v>
      </c>
      <c r="T32" s="1484" t="s">
        <v>630</v>
      </c>
      <c r="U32" s="1558">
        <v>0</v>
      </c>
      <c r="V32" s="1558">
        <v>0</v>
      </c>
      <c r="W32" s="1558">
        <v>0</v>
      </c>
      <c r="X32" s="752">
        <v>0</v>
      </c>
      <c r="Y32" s="752">
        <v>0</v>
      </c>
      <c r="Z32" s="752">
        <v>0</v>
      </c>
      <c r="AA32" s="752">
        <v>0</v>
      </c>
      <c r="AB32" s="752">
        <v>0</v>
      </c>
      <c r="AC32" s="752">
        <v>0</v>
      </c>
      <c r="AD32" s="752">
        <v>0</v>
      </c>
      <c r="AE32" s="752">
        <v>0</v>
      </c>
      <c r="AF32" s="752">
        <v>0</v>
      </c>
      <c r="AG32" s="1486">
        <v>0</v>
      </c>
      <c r="AH32" s="752">
        <v>0</v>
      </c>
      <c r="AI32" s="752">
        <v>0</v>
      </c>
      <c r="AJ32" s="752">
        <v>0</v>
      </c>
      <c r="AK32" s="752">
        <v>0</v>
      </c>
      <c r="AL32" s="752">
        <v>0</v>
      </c>
      <c r="AM32" s="752">
        <v>0</v>
      </c>
      <c r="AN32" s="752">
        <v>0</v>
      </c>
      <c r="AO32" s="752">
        <v>0</v>
      </c>
      <c r="AP32" s="752">
        <v>0</v>
      </c>
      <c r="AQ32" s="1486">
        <v>0</v>
      </c>
      <c r="AR32" s="752">
        <v>0</v>
      </c>
      <c r="AS32" s="752">
        <v>0</v>
      </c>
      <c r="AT32" s="752">
        <v>0</v>
      </c>
      <c r="AU32" s="752">
        <v>0</v>
      </c>
      <c r="AV32" s="752">
        <v>0</v>
      </c>
      <c r="AW32" s="752">
        <v>0</v>
      </c>
      <c r="AX32" s="752">
        <v>0</v>
      </c>
      <c r="AY32" s="752">
        <v>0</v>
      </c>
      <c r="AZ32" s="752">
        <v>0</v>
      </c>
      <c r="BA32" s="1486">
        <v>0</v>
      </c>
      <c r="BB32" s="752">
        <v>0</v>
      </c>
      <c r="BC32" s="752">
        <v>0</v>
      </c>
      <c r="BD32" s="752">
        <v>0</v>
      </c>
      <c r="BE32" s="752">
        <v>0</v>
      </c>
      <c r="BF32" s="752">
        <v>0</v>
      </c>
      <c r="BG32" s="752">
        <v>0</v>
      </c>
      <c r="BH32" s="752">
        <v>0</v>
      </c>
      <c r="BI32" s="752">
        <v>0</v>
      </c>
      <c r="BJ32" s="752">
        <v>0</v>
      </c>
      <c r="BK32" s="1486">
        <v>0</v>
      </c>
      <c r="BL32" s="752">
        <v>0</v>
      </c>
      <c r="BM32" s="752">
        <v>0</v>
      </c>
      <c r="BN32" s="752">
        <v>0</v>
      </c>
      <c r="BO32" s="752">
        <v>0</v>
      </c>
      <c r="BP32" s="752">
        <v>0</v>
      </c>
      <c r="BQ32" s="752">
        <v>0</v>
      </c>
      <c r="BR32" s="752">
        <v>0</v>
      </c>
      <c r="BS32" s="752">
        <v>0</v>
      </c>
      <c r="BT32" s="752">
        <v>0</v>
      </c>
      <c r="BU32" s="1486">
        <v>0</v>
      </c>
      <c r="BV32" s="752">
        <v>0</v>
      </c>
      <c r="BW32" s="752">
        <v>0</v>
      </c>
      <c r="BX32" s="752">
        <v>0</v>
      </c>
      <c r="BY32" s="752">
        <v>0</v>
      </c>
      <c r="BZ32" s="752">
        <v>0</v>
      </c>
      <c r="CA32" s="752">
        <v>0</v>
      </c>
      <c r="CB32" s="752">
        <v>0</v>
      </c>
      <c r="CC32" s="752">
        <v>0</v>
      </c>
      <c r="CD32" s="752">
        <v>0</v>
      </c>
      <c r="CE32" s="1486">
        <v>0</v>
      </c>
      <c r="CF32" s="752">
        <v>0</v>
      </c>
      <c r="CG32" s="752">
        <v>0</v>
      </c>
      <c r="CH32" s="752">
        <v>0</v>
      </c>
      <c r="CI32" s="752">
        <v>0</v>
      </c>
      <c r="CJ32" s="752">
        <v>0</v>
      </c>
      <c r="CK32" s="752">
        <v>0</v>
      </c>
      <c r="CL32" s="752">
        <v>0</v>
      </c>
      <c r="CM32" s="752">
        <v>0</v>
      </c>
      <c r="CN32" s="752">
        <v>0</v>
      </c>
      <c r="CO32" s="1486">
        <v>0</v>
      </c>
      <c r="CP32" s="752">
        <v>0</v>
      </c>
      <c r="CQ32" s="752">
        <v>0</v>
      </c>
      <c r="CR32" s="752">
        <v>0</v>
      </c>
      <c r="CS32" s="752">
        <v>0</v>
      </c>
      <c r="CT32" s="752">
        <v>0</v>
      </c>
      <c r="CU32" s="752">
        <v>0</v>
      </c>
      <c r="CV32" s="752">
        <v>0</v>
      </c>
      <c r="CW32" s="752">
        <v>0</v>
      </c>
      <c r="CX32" s="752">
        <v>0</v>
      </c>
      <c r="CY32" s="1486">
        <v>0</v>
      </c>
      <c r="CZ32" s="752">
        <v>0</v>
      </c>
      <c r="DA32" s="752">
        <v>0</v>
      </c>
      <c r="DB32" s="752">
        <v>0</v>
      </c>
      <c r="DC32" s="752">
        <v>0</v>
      </c>
      <c r="DD32" s="752">
        <v>0</v>
      </c>
      <c r="DE32" s="752">
        <v>0</v>
      </c>
      <c r="DF32" s="752">
        <v>0</v>
      </c>
      <c r="DG32" s="752">
        <v>0</v>
      </c>
      <c r="DH32" s="752">
        <v>0</v>
      </c>
      <c r="DI32" s="1486">
        <v>0</v>
      </c>
      <c r="DJ32" s="752">
        <v>0</v>
      </c>
      <c r="DK32" s="752">
        <v>0</v>
      </c>
      <c r="DL32" s="752">
        <v>0</v>
      </c>
      <c r="DM32" s="752">
        <v>0</v>
      </c>
      <c r="DN32" s="752">
        <v>0</v>
      </c>
      <c r="DO32" s="752">
        <v>0</v>
      </c>
      <c r="DP32" s="752">
        <v>0</v>
      </c>
      <c r="DQ32" s="752">
        <v>0</v>
      </c>
      <c r="DR32" s="752">
        <v>0</v>
      </c>
      <c r="DS32" s="1486">
        <v>0</v>
      </c>
      <c r="DT32" s="752">
        <v>0</v>
      </c>
      <c r="DU32" s="752">
        <v>0</v>
      </c>
      <c r="DV32" s="752">
        <v>0</v>
      </c>
      <c r="DW32" s="752">
        <v>0</v>
      </c>
      <c r="DX32" s="752">
        <v>0</v>
      </c>
      <c r="DY32" s="752">
        <v>0</v>
      </c>
      <c r="DZ32" s="752">
        <v>0</v>
      </c>
      <c r="EA32" s="752">
        <v>0</v>
      </c>
      <c r="EB32" s="752">
        <v>0</v>
      </c>
      <c r="EC32" s="1486">
        <v>0</v>
      </c>
      <c r="ED32" s="752">
        <v>0</v>
      </c>
      <c r="EE32" s="752">
        <v>0</v>
      </c>
      <c r="EF32" s="752">
        <v>0</v>
      </c>
      <c r="EG32" s="1179">
        <v>0</v>
      </c>
      <c r="EH32" s="1179">
        <v>0</v>
      </c>
      <c r="EI32" s="1179">
        <v>0</v>
      </c>
      <c r="EJ32" s="1487" t="s">
        <v>630</v>
      </c>
      <c r="EK32" s="1488">
        <v>0</v>
      </c>
      <c r="EL32" s="1488">
        <v>0</v>
      </c>
      <c r="EM32" s="1488">
        <v>0</v>
      </c>
      <c r="EN32" s="1489" t="e">
        <v>#DIV/0!</v>
      </c>
      <c r="EO32" s="1558"/>
      <c r="EP32" s="1558"/>
      <c r="EQ32" s="1558"/>
      <c r="ER32" s="1559" t="s">
        <v>630</v>
      </c>
      <c r="ES32" s="1179">
        <v>0</v>
      </c>
      <c r="ET32" s="1179">
        <v>0</v>
      </c>
      <c r="EU32" s="1179">
        <v>0</v>
      </c>
      <c r="EV32" s="1487" t="s">
        <v>630</v>
      </c>
      <c r="EW32" s="1488">
        <v>0</v>
      </c>
      <c r="EX32" s="1488">
        <v>0</v>
      </c>
      <c r="EY32" s="1488">
        <v>0</v>
      </c>
      <c r="EZ32" s="1489" t="s">
        <v>630</v>
      </c>
      <c r="FA32" s="1558"/>
      <c r="FB32" s="1558"/>
      <c r="FC32" s="1558"/>
      <c r="FD32" s="1559"/>
      <c r="FE32" s="1179">
        <v>0</v>
      </c>
      <c r="FF32" s="1179">
        <v>0</v>
      </c>
      <c r="FG32" s="1179">
        <v>0</v>
      </c>
      <c r="FH32" s="1487" t="s">
        <v>630</v>
      </c>
      <c r="FI32" s="1488">
        <v>0</v>
      </c>
      <c r="FJ32" s="1488">
        <v>0</v>
      </c>
      <c r="FK32" s="1488">
        <v>0</v>
      </c>
      <c r="FL32" s="1489" t="s">
        <v>630</v>
      </c>
      <c r="FM32" s="1558"/>
      <c r="FN32" s="1558"/>
      <c r="FO32" s="1558"/>
      <c r="FP32" s="1559"/>
      <c r="FQ32" s="1179">
        <v>6209116</v>
      </c>
      <c r="FR32" s="1179">
        <v>4182580</v>
      </c>
      <c r="FS32" s="1179">
        <v>2026536</v>
      </c>
      <c r="FT32" s="1487">
        <v>0.32638076015973932</v>
      </c>
      <c r="FU32" s="1488">
        <v>6209116</v>
      </c>
      <c r="FV32" s="1488">
        <v>4182580</v>
      </c>
      <c r="FW32" s="1488">
        <v>2026536</v>
      </c>
      <c r="FX32" s="1489">
        <v>0.32638076015973932</v>
      </c>
      <c r="FY32" s="1485">
        <v>71290884</v>
      </c>
      <c r="FZ32" s="1485">
        <v>48022915</v>
      </c>
      <c r="GA32" s="1485">
        <v>23267969</v>
      </c>
      <c r="GB32" s="1490">
        <v>0.3263807052806359</v>
      </c>
      <c r="GC32" s="1179">
        <v>6583986</v>
      </c>
      <c r="GD32" s="1179">
        <v>4435100</v>
      </c>
      <c r="GE32" s="1179">
        <v>2148886</v>
      </c>
      <c r="GF32" s="1487">
        <v>0.32638070615581505</v>
      </c>
      <c r="GG32" s="1488">
        <v>12793102</v>
      </c>
      <c r="GH32" s="1488">
        <v>8617680</v>
      </c>
      <c r="GI32" s="1488">
        <v>4175422</v>
      </c>
      <c r="GJ32" s="1489">
        <v>0.32638073236655191</v>
      </c>
      <c r="GK32" s="1485">
        <v>64706898</v>
      </c>
      <c r="GL32" s="1485">
        <v>43587815</v>
      </c>
      <c r="GM32" s="1485">
        <v>21119083</v>
      </c>
      <c r="GN32" s="1490">
        <v>0.32638070519158563</v>
      </c>
      <c r="GO32" s="1179">
        <v>64706898</v>
      </c>
      <c r="GP32" s="1179">
        <v>43587815</v>
      </c>
      <c r="GQ32" s="1179">
        <v>21119083</v>
      </c>
      <c r="GR32" s="1487">
        <v>0.32638070519158563</v>
      </c>
      <c r="GS32" s="1488">
        <v>77500000</v>
      </c>
      <c r="GT32" s="1488">
        <v>52205495</v>
      </c>
      <c r="GU32" s="1488">
        <v>25294505</v>
      </c>
      <c r="GV32" s="1489">
        <v>0.32638070967741933</v>
      </c>
      <c r="GW32" s="1485">
        <v>0</v>
      </c>
      <c r="GX32" s="1485">
        <v>0</v>
      </c>
      <c r="GY32" s="1485">
        <v>0</v>
      </c>
      <c r="GZ32" s="1490" t="s">
        <v>630</v>
      </c>
    </row>
    <row r="33" spans="1:210" ht="15.75" customHeight="1">
      <c r="A33" s="1554" t="s">
        <v>665</v>
      </c>
      <c r="B33" s="751" t="s">
        <v>1333</v>
      </c>
      <c r="C33" s="753" t="s">
        <v>1308</v>
      </c>
      <c r="D33" s="753" t="s">
        <v>1246</v>
      </c>
      <c r="E33" s="1556"/>
      <c r="F33" s="1491">
        <v>78000000</v>
      </c>
      <c r="G33" s="1491">
        <v>52560130</v>
      </c>
      <c r="H33" s="1492">
        <v>25439870</v>
      </c>
      <c r="I33" s="1481">
        <v>0.32615217948717951</v>
      </c>
      <c r="J33" s="1482"/>
      <c r="K33" s="1482"/>
      <c r="L33" s="1483">
        <v>0</v>
      </c>
      <c r="M33" s="1481">
        <v>0</v>
      </c>
      <c r="N33" s="1482"/>
      <c r="O33" s="1482"/>
      <c r="P33" s="1483"/>
      <c r="Q33" s="752">
        <v>0</v>
      </c>
      <c r="R33" s="752">
        <v>0</v>
      </c>
      <c r="S33" s="752">
        <v>0</v>
      </c>
      <c r="T33" s="1484" t="s">
        <v>630</v>
      </c>
      <c r="U33" s="1558">
        <v>0</v>
      </c>
      <c r="V33" s="1558">
        <v>0</v>
      </c>
      <c r="W33" s="1558">
        <v>0</v>
      </c>
      <c r="X33" s="752">
        <v>0</v>
      </c>
      <c r="Y33" s="752">
        <v>0</v>
      </c>
      <c r="Z33" s="752">
        <v>0</v>
      </c>
      <c r="AA33" s="752">
        <v>0</v>
      </c>
      <c r="AB33" s="752">
        <v>0</v>
      </c>
      <c r="AC33" s="752">
        <v>0</v>
      </c>
      <c r="AD33" s="752">
        <v>0</v>
      </c>
      <c r="AE33" s="752">
        <v>0</v>
      </c>
      <c r="AF33" s="752">
        <v>0</v>
      </c>
      <c r="AG33" s="1486">
        <v>0</v>
      </c>
      <c r="AH33" s="752">
        <v>0</v>
      </c>
      <c r="AI33" s="752">
        <v>0</v>
      </c>
      <c r="AJ33" s="752">
        <v>0</v>
      </c>
      <c r="AK33" s="752">
        <v>0</v>
      </c>
      <c r="AL33" s="752">
        <v>0</v>
      </c>
      <c r="AM33" s="752">
        <v>0</v>
      </c>
      <c r="AN33" s="752">
        <v>0</v>
      </c>
      <c r="AO33" s="752">
        <v>0</v>
      </c>
      <c r="AP33" s="752">
        <v>0</v>
      </c>
      <c r="AQ33" s="1486">
        <v>0</v>
      </c>
      <c r="AR33" s="752">
        <v>0</v>
      </c>
      <c r="AS33" s="752">
        <v>0</v>
      </c>
      <c r="AT33" s="752">
        <v>0</v>
      </c>
      <c r="AU33" s="752">
        <v>0</v>
      </c>
      <c r="AV33" s="752">
        <v>0</v>
      </c>
      <c r="AW33" s="752">
        <v>0</v>
      </c>
      <c r="AX33" s="752">
        <v>0</v>
      </c>
      <c r="AY33" s="752">
        <v>0</v>
      </c>
      <c r="AZ33" s="752">
        <v>0</v>
      </c>
      <c r="BA33" s="1486">
        <v>0</v>
      </c>
      <c r="BB33" s="752">
        <v>0</v>
      </c>
      <c r="BC33" s="752">
        <v>0</v>
      </c>
      <c r="BD33" s="752">
        <v>0</v>
      </c>
      <c r="BE33" s="752">
        <v>0</v>
      </c>
      <c r="BF33" s="752">
        <v>0</v>
      </c>
      <c r="BG33" s="752">
        <v>0</v>
      </c>
      <c r="BH33" s="752">
        <v>0</v>
      </c>
      <c r="BI33" s="752">
        <v>0</v>
      </c>
      <c r="BJ33" s="752">
        <v>0</v>
      </c>
      <c r="BK33" s="1486">
        <v>0</v>
      </c>
      <c r="BL33" s="752">
        <v>0</v>
      </c>
      <c r="BM33" s="752">
        <v>0</v>
      </c>
      <c r="BN33" s="752">
        <v>0</v>
      </c>
      <c r="BO33" s="752">
        <v>0</v>
      </c>
      <c r="BP33" s="752">
        <v>0</v>
      </c>
      <c r="BQ33" s="752">
        <v>0</v>
      </c>
      <c r="BR33" s="752">
        <v>0</v>
      </c>
      <c r="BS33" s="752">
        <v>0</v>
      </c>
      <c r="BT33" s="752">
        <v>0</v>
      </c>
      <c r="BU33" s="1486">
        <v>0</v>
      </c>
      <c r="BV33" s="752">
        <v>0</v>
      </c>
      <c r="BW33" s="752">
        <v>0</v>
      </c>
      <c r="BX33" s="752">
        <v>0</v>
      </c>
      <c r="BY33" s="752">
        <v>0</v>
      </c>
      <c r="BZ33" s="752">
        <v>0</v>
      </c>
      <c r="CA33" s="752">
        <v>0</v>
      </c>
      <c r="CB33" s="752">
        <v>0</v>
      </c>
      <c r="CC33" s="752">
        <v>0</v>
      </c>
      <c r="CD33" s="752">
        <v>0</v>
      </c>
      <c r="CE33" s="1486">
        <v>0</v>
      </c>
      <c r="CF33" s="752">
        <v>0</v>
      </c>
      <c r="CG33" s="752">
        <v>0</v>
      </c>
      <c r="CH33" s="752">
        <v>0</v>
      </c>
      <c r="CI33" s="752">
        <v>0</v>
      </c>
      <c r="CJ33" s="752">
        <v>0</v>
      </c>
      <c r="CK33" s="752">
        <v>0</v>
      </c>
      <c r="CL33" s="752">
        <v>0</v>
      </c>
      <c r="CM33" s="752">
        <v>0</v>
      </c>
      <c r="CN33" s="752">
        <v>0</v>
      </c>
      <c r="CO33" s="1486">
        <v>0</v>
      </c>
      <c r="CP33" s="752">
        <v>0</v>
      </c>
      <c r="CQ33" s="752">
        <v>0</v>
      </c>
      <c r="CR33" s="752">
        <v>0</v>
      </c>
      <c r="CS33" s="752">
        <v>0</v>
      </c>
      <c r="CT33" s="752">
        <v>0</v>
      </c>
      <c r="CU33" s="752">
        <v>0</v>
      </c>
      <c r="CV33" s="752">
        <v>0</v>
      </c>
      <c r="CW33" s="752">
        <v>0</v>
      </c>
      <c r="CX33" s="752">
        <v>0</v>
      </c>
      <c r="CY33" s="1486">
        <v>0</v>
      </c>
      <c r="CZ33" s="752">
        <v>0</v>
      </c>
      <c r="DA33" s="752">
        <v>0</v>
      </c>
      <c r="DB33" s="752">
        <v>0</v>
      </c>
      <c r="DC33" s="752">
        <v>0</v>
      </c>
      <c r="DD33" s="752">
        <v>0</v>
      </c>
      <c r="DE33" s="752">
        <v>0</v>
      </c>
      <c r="DF33" s="752">
        <v>0</v>
      </c>
      <c r="DG33" s="752">
        <v>0</v>
      </c>
      <c r="DH33" s="752">
        <v>0</v>
      </c>
      <c r="DI33" s="1486">
        <v>0</v>
      </c>
      <c r="DJ33" s="752">
        <v>0</v>
      </c>
      <c r="DK33" s="752">
        <v>0</v>
      </c>
      <c r="DL33" s="752">
        <v>0</v>
      </c>
      <c r="DM33" s="752">
        <v>0</v>
      </c>
      <c r="DN33" s="752">
        <v>0</v>
      </c>
      <c r="DO33" s="752">
        <v>0</v>
      </c>
      <c r="DP33" s="752">
        <v>0</v>
      </c>
      <c r="DQ33" s="752">
        <v>0</v>
      </c>
      <c r="DR33" s="752">
        <v>0</v>
      </c>
      <c r="DS33" s="1486">
        <v>0</v>
      </c>
      <c r="DT33" s="752">
        <v>0</v>
      </c>
      <c r="DU33" s="752">
        <v>0</v>
      </c>
      <c r="DV33" s="752">
        <v>0</v>
      </c>
      <c r="DW33" s="752">
        <v>0</v>
      </c>
      <c r="DX33" s="752">
        <v>0</v>
      </c>
      <c r="DY33" s="752">
        <v>0</v>
      </c>
      <c r="DZ33" s="752">
        <v>0</v>
      </c>
      <c r="EA33" s="752">
        <v>0</v>
      </c>
      <c r="EB33" s="752">
        <v>0</v>
      </c>
      <c r="EC33" s="1486">
        <v>0</v>
      </c>
      <c r="ED33" s="752">
        <v>0</v>
      </c>
      <c r="EE33" s="752">
        <v>0</v>
      </c>
      <c r="EF33" s="752">
        <v>0</v>
      </c>
      <c r="EG33" s="1179">
        <v>0</v>
      </c>
      <c r="EH33" s="1179">
        <v>0</v>
      </c>
      <c r="EI33" s="1179">
        <v>0</v>
      </c>
      <c r="EJ33" s="1487" t="s">
        <v>630</v>
      </c>
      <c r="EK33" s="1488">
        <v>0</v>
      </c>
      <c r="EL33" s="1488">
        <v>0</v>
      </c>
      <c r="EM33" s="1488">
        <v>0</v>
      </c>
      <c r="EN33" s="1489" t="e">
        <v>#DIV/0!</v>
      </c>
      <c r="EO33" s="1558"/>
      <c r="EP33" s="1558"/>
      <c r="EQ33" s="1558"/>
      <c r="ER33" s="1559" t="s">
        <v>630</v>
      </c>
      <c r="ES33" s="1179">
        <v>0</v>
      </c>
      <c r="ET33" s="1179">
        <v>0</v>
      </c>
      <c r="EU33" s="1179">
        <v>0</v>
      </c>
      <c r="EV33" s="1487" t="s">
        <v>630</v>
      </c>
      <c r="EW33" s="1488">
        <v>0</v>
      </c>
      <c r="EX33" s="1488">
        <v>0</v>
      </c>
      <c r="EY33" s="1488">
        <v>0</v>
      </c>
      <c r="EZ33" s="1489" t="s">
        <v>630</v>
      </c>
      <c r="FA33" s="1558"/>
      <c r="FB33" s="1558"/>
      <c r="FC33" s="1558"/>
      <c r="FD33" s="1559"/>
      <c r="FE33" s="1179">
        <v>0</v>
      </c>
      <c r="FF33" s="1179">
        <v>0</v>
      </c>
      <c r="FG33" s="1179">
        <v>0</v>
      </c>
      <c r="FH33" s="1487" t="s">
        <v>630</v>
      </c>
      <c r="FI33" s="1488">
        <v>0</v>
      </c>
      <c r="FJ33" s="1488">
        <v>0</v>
      </c>
      <c r="FK33" s="1488">
        <v>0</v>
      </c>
      <c r="FL33" s="1489" t="s">
        <v>630</v>
      </c>
      <c r="FM33" s="1558"/>
      <c r="FN33" s="1558"/>
      <c r="FO33" s="1558"/>
      <c r="FP33" s="1559"/>
      <c r="FQ33" s="1179">
        <v>0</v>
      </c>
      <c r="FR33" s="1179">
        <v>0</v>
      </c>
      <c r="FS33" s="1179">
        <v>0</v>
      </c>
      <c r="FT33" s="1487" t="s">
        <v>630</v>
      </c>
      <c r="FU33" s="1488">
        <v>0</v>
      </c>
      <c r="FV33" s="1488">
        <v>0</v>
      </c>
      <c r="FW33" s="1488">
        <v>0</v>
      </c>
      <c r="FX33" s="1489" t="s">
        <v>630</v>
      </c>
      <c r="FY33" s="1558"/>
      <c r="FZ33" s="1558"/>
      <c r="GA33" s="1558"/>
      <c r="GB33" s="1559" t="s">
        <v>630</v>
      </c>
      <c r="GC33" s="1179">
        <v>5445221</v>
      </c>
      <c r="GD33" s="1179">
        <v>3669250</v>
      </c>
      <c r="GE33" s="1179">
        <v>1775971</v>
      </c>
      <c r="GF33" s="1487">
        <v>0.32615223514344044</v>
      </c>
      <c r="GG33" s="1488">
        <v>5445221</v>
      </c>
      <c r="GH33" s="1488">
        <v>3669250</v>
      </c>
      <c r="GI33" s="1488">
        <v>1775971</v>
      </c>
      <c r="GJ33" s="1489">
        <v>0.32615223514344044</v>
      </c>
      <c r="GK33" s="1485">
        <v>72554779</v>
      </c>
      <c r="GL33" s="1485">
        <v>48890880</v>
      </c>
      <c r="GM33" s="1485">
        <v>23663899</v>
      </c>
      <c r="GN33" s="1490">
        <v>0.32615217531018875</v>
      </c>
      <c r="GO33" s="1179">
        <v>72554779</v>
      </c>
      <c r="GP33" s="1179">
        <v>48890880</v>
      </c>
      <c r="GQ33" s="1179">
        <v>23663899</v>
      </c>
      <c r="GR33" s="1487">
        <v>0.32615217531018875</v>
      </c>
      <c r="GS33" s="1488">
        <v>78000000</v>
      </c>
      <c r="GT33" s="1488">
        <v>52560130</v>
      </c>
      <c r="GU33" s="1488">
        <v>25439870</v>
      </c>
      <c r="GV33" s="1489">
        <v>0.32615217948717951</v>
      </c>
      <c r="GW33" s="1485">
        <v>0</v>
      </c>
      <c r="GX33" s="1485">
        <v>0</v>
      </c>
      <c r="GY33" s="1485">
        <v>0</v>
      </c>
      <c r="GZ33" s="1490" t="s">
        <v>630</v>
      </c>
    </row>
    <row r="34" spans="1:210" ht="15.75" customHeight="1" thickBot="1">
      <c r="A34" s="1560"/>
      <c r="B34" s="1561"/>
      <c r="C34" s="1562"/>
      <c r="D34" s="1562"/>
      <c r="E34" s="1562"/>
      <c r="F34" s="1563"/>
      <c r="G34" s="1563"/>
      <c r="H34" s="1564"/>
      <c r="I34" s="1565"/>
      <c r="J34" s="1566"/>
      <c r="K34" s="1566"/>
      <c r="L34" s="1567"/>
      <c r="M34" s="1565"/>
      <c r="N34" s="1563"/>
      <c r="O34" s="1563"/>
      <c r="P34" s="1564"/>
      <c r="Q34" s="752">
        <v>0</v>
      </c>
      <c r="R34" s="1477"/>
      <c r="S34" s="1477"/>
      <c r="T34" s="1568"/>
      <c r="U34" s="1485">
        <v>0</v>
      </c>
      <c r="V34" s="1485">
        <v>0</v>
      </c>
      <c r="W34" s="1569">
        <v>0</v>
      </c>
      <c r="X34" s="752">
        <v>0</v>
      </c>
      <c r="Y34" s="752">
        <v>0</v>
      </c>
      <c r="Z34" s="1477">
        <v>0</v>
      </c>
      <c r="AA34" s="1477"/>
      <c r="AB34" s="1477"/>
      <c r="AC34" s="1477"/>
      <c r="AD34" s="1477"/>
      <c r="AE34" s="1477"/>
      <c r="AF34" s="1477"/>
      <c r="AG34" s="1570"/>
      <c r="AH34" s="752">
        <v>0</v>
      </c>
      <c r="AI34" s="752">
        <v>0</v>
      </c>
      <c r="AJ34" s="1477">
        <v>0</v>
      </c>
      <c r="AK34" s="1477"/>
      <c r="AL34" s="1477"/>
      <c r="AM34" s="1477"/>
      <c r="AN34" s="1477"/>
      <c r="AO34" s="1477"/>
      <c r="AP34" s="1477"/>
      <c r="AQ34" s="1570"/>
      <c r="AR34" s="752">
        <v>0</v>
      </c>
      <c r="AS34" s="752">
        <v>0</v>
      </c>
      <c r="AT34" s="1477">
        <v>0</v>
      </c>
      <c r="AU34" s="1477"/>
      <c r="AV34" s="1477"/>
      <c r="AW34" s="1477"/>
      <c r="AX34" s="1477"/>
      <c r="AY34" s="1477"/>
      <c r="AZ34" s="1477"/>
      <c r="BA34" s="1570"/>
      <c r="BB34" s="752">
        <v>0</v>
      </c>
      <c r="BC34" s="752">
        <v>0</v>
      </c>
      <c r="BD34" s="1477">
        <v>0</v>
      </c>
      <c r="BE34" s="1477"/>
      <c r="BF34" s="1477"/>
      <c r="BG34" s="1477"/>
      <c r="BH34" s="1477"/>
      <c r="BI34" s="1477"/>
      <c r="BJ34" s="1477"/>
      <c r="BK34" s="1570"/>
      <c r="BL34" s="752">
        <v>0</v>
      </c>
      <c r="BM34" s="752">
        <v>0</v>
      </c>
      <c r="BN34" s="1477"/>
      <c r="BO34" s="1477"/>
      <c r="BP34" s="1477"/>
      <c r="BQ34" s="1477"/>
      <c r="BR34" s="1477"/>
      <c r="BS34" s="1477"/>
      <c r="BT34" s="1477"/>
      <c r="BU34" s="1570"/>
      <c r="BV34" s="752">
        <v>0</v>
      </c>
      <c r="BW34" s="752">
        <v>0</v>
      </c>
      <c r="BX34" s="1477"/>
      <c r="BY34" s="1477"/>
      <c r="BZ34" s="1477"/>
      <c r="CA34" s="1477"/>
      <c r="CB34" s="1477"/>
      <c r="CC34" s="1477"/>
      <c r="CD34" s="1477"/>
      <c r="CE34" s="1570"/>
      <c r="CF34" s="752">
        <v>0</v>
      </c>
      <c r="CG34" s="752">
        <v>0</v>
      </c>
      <c r="CH34" s="1477"/>
      <c r="CI34" s="1477"/>
      <c r="CJ34" s="1477"/>
      <c r="CK34" s="1477"/>
      <c r="CL34" s="1477"/>
      <c r="CM34" s="1477"/>
      <c r="CN34" s="1477"/>
      <c r="CO34" s="1570"/>
      <c r="CP34" s="752">
        <v>0</v>
      </c>
      <c r="CQ34" s="752">
        <v>0</v>
      </c>
      <c r="CR34" s="1477"/>
      <c r="CS34" s="1477"/>
      <c r="CT34" s="1477"/>
      <c r="CU34" s="1477"/>
      <c r="CV34" s="1477"/>
      <c r="CW34" s="1477"/>
      <c r="CX34" s="1477"/>
      <c r="CY34" s="1570"/>
      <c r="CZ34" s="752">
        <v>0</v>
      </c>
      <c r="DA34" s="752">
        <v>0</v>
      </c>
      <c r="DB34" s="1477"/>
      <c r="DC34" s="1477"/>
      <c r="DD34" s="1477"/>
      <c r="DE34" s="1477"/>
      <c r="DF34" s="1477"/>
      <c r="DG34" s="1477"/>
      <c r="DH34" s="1477"/>
      <c r="DI34" s="1570"/>
      <c r="DJ34" s="752">
        <v>0</v>
      </c>
      <c r="DK34" s="752">
        <v>0</v>
      </c>
      <c r="DL34" s="1477"/>
      <c r="DM34" s="1477"/>
      <c r="DN34" s="1477"/>
      <c r="DO34" s="1477"/>
      <c r="DP34" s="1477"/>
      <c r="DQ34" s="1477"/>
      <c r="DR34" s="1477"/>
      <c r="DS34" s="1570"/>
      <c r="DT34" s="752">
        <v>0</v>
      </c>
      <c r="DU34" s="752">
        <v>0</v>
      </c>
      <c r="DV34" s="1477"/>
      <c r="DW34" s="1477"/>
      <c r="DX34" s="1477"/>
      <c r="DY34" s="1477"/>
      <c r="DZ34" s="1477"/>
      <c r="EA34" s="1477"/>
      <c r="EB34" s="1477"/>
      <c r="EC34" s="1570"/>
      <c r="ED34" s="752">
        <v>0</v>
      </c>
      <c r="EE34" s="752">
        <v>0</v>
      </c>
      <c r="EF34" s="1477"/>
      <c r="EG34" s="1571"/>
      <c r="EH34" s="1571"/>
      <c r="EI34" s="1571"/>
      <c r="EJ34" s="1572"/>
      <c r="EK34" s="1573"/>
      <c r="EL34" s="1573"/>
      <c r="EM34" s="1573"/>
      <c r="EN34" s="1574"/>
      <c r="EO34" s="1569"/>
      <c r="EP34" s="1569"/>
      <c r="EQ34" s="1569"/>
      <c r="ER34" s="1575"/>
      <c r="ES34" s="1179">
        <v>0</v>
      </c>
      <c r="ET34" s="1179">
        <v>0</v>
      </c>
      <c r="EU34" s="1571">
        <v>0</v>
      </c>
      <c r="EV34" s="1572"/>
      <c r="EW34" s="1573"/>
      <c r="EX34" s="1573"/>
      <c r="EY34" s="1573"/>
      <c r="EZ34" s="1574"/>
      <c r="FA34" s="1558">
        <v>0</v>
      </c>
      <c r="FB34" s="1558">
        <v>0</v>
      </c>
      <c r="FC34" s="1576">
        <v>0</v>
      </c>
      <c r="FD34" s="1577"/>
      <c r="FE34" s="1179">
        <v>0</v>
      </c>
      <c r="FF34" s="1179">
        <v>0</v>
      </c>
      <c r="FG34" s="1179">
        <v>0</v>
      </c>
      <c r="FH34" s="1572"/>
      <c r="FI34" s="1573"/>
      <c r="FJ34" s="1573"/>
      <c r="FK34" s="1573"/>
      <c r="FL34" s="1574"/>
      <c r="FM34" s="1558"/>
      <c r="FN34" s="1558"/>
      <c r="FO34" s="1558"/>
      <c r="FP34" s="1559"/>
      <c r="FQ34" s="1179">
        <v>0</v>
      </c>
      <c r="FR34" s="1179">
        <v>0</v>
      </c>
      <c r="FS34" s="1571"/>
      <c r="FT34" s="1572"/>
      <c r="FU34" s="1573"/>
      <c r="FV34" s="1573"/>
      <c r="FW34" s="1573"/>
      <c r="FX34" s="1574"/>
      <c r="FY34" s="1558"/>
      <c r="FZ34" s="1558"/>
      <c r="GA34" s="1558"/>
      <c r="GB34" s="1559" t="s">
        <v>630</v>
      </c>
      <c r="GC34" s="1179">
        <v>0</v>
      </c>
      <c r="GD34" s="1179">
        <v>0</v>
      </c>
      <c r="GE34" s="1571"/>
      <c r="GF34" s="1572"/>
      <c r="GG34" s="1573"/>
      <c r="GH34" s="1573"/>
      <c r="GI34" s="1573"/>
      <c r="GJ34" s="1574"/>
      <c r="GK34" s="1558"/>
      <c r="GL34" s="1558"/>
      <c r="GM34" s="1558"/>
      <c r="GN34" s="1559" t="s">
        <v>630</v>
      </c>
      <c r="GO34" s="1179">
        <v>0</v>
      </c>
      <c r="GP34" s="1179">
        <v>0</v>
      </c>
      <c r="GQ34" s="1571"/>
      <c r="GR34" s="1572"/>
      <c r="GS34" s="1573"/>
      <c r="GT34" s="1573"/>
      <c r="GU34" s="1573"/>
      <c r="GV34" s="1574"/>
      <c r="GW34" s="1485">
        <v>0</v>
      </c>
      <c r="GX34" s="1485">
        <v>0</v>
      </c>
      <c r="GY34" s="1485">
        <v>0</v>
      </c>
      <c r="GZ34" s="1490" t="s">
        <v>630</v>
      </c>
    </row>
    <row r="35" spans="1:210" ht="16.2" thickBot="1">
      <c r="A35" s="1578" t="s">
        <v>2086</v>
      </c>
      <c r="B35" s="1579"/>
      <c r="C35" s="1579"/>
      <c r="D35" s="1579"/>
      <c r="E35" s="1579"/>
      <c r="F35" s="1580">
        <v>328909093</v>
      </c>
      <c r="G35" s="1580">
        <v>230016922</v>
      </c>
      <c r="H35" s="1580">
        <v>98892171</v>
      </c>
      <c r="I35" s="1581">
        <v>0.30066718465579179</v>
      </c>
      <c r="J35" s="1582">
        <v>219909093</v>
      </c>
      <c r="K35" s="1582">
        <v>150230833</v>
      </c>
      <c r="L35" s="1582">
        <v>69678260</v>
      </c>
      <c r="M35" s="1583">
        <v>0.3168502904970828</v>
      </c>
      <c r="N35" s="1580">
        <v>109000000</v>
      </c>
      <c r="O35" s="1580">
        <v>79786089</v>
      </c>
      <c r="P35" s="1580">
        <v>29213911</v>
      </c>
      <c r="Q35" s="1580">
        <v>67494834</v>
      </c>
      <c r="R35" s="1580">
        <v>50674827</v>
      </c>
      <c r="S35" s="1580">
        <v>16820007</v>
      </c>
      <c r="T35" s="1583">
        <v>0.24920436132934262</v>
      </c>
      <c r="U35" s="1580">
        <v>154454259</v>
      </c>
      <c r="V35" s="1580">
        <v>108074022</v>
      </c>
      <c r="W35" s="1580">
        <v>46380237</v>
      </c>
      <c r="X35" s="1580">
        <v>4022224</v>
      </c>
      <c r="Y35" s="1580">
        <v>2976546</v>
      </c>
      <c r="Z35" s="1580">
        <v>1045678</v>
      </c>
      <c r="AA35" s="1580">
        <v>4022224</v>
      </c>
      <c r="AB35" s="1580">
        <v>2976546</v>
      </c>
      <c r="AC35" s="1580">
        <v>1045678</v>
      </c>
      <c r="AD35" s="1580">
        <v>71517058</v>
      </c>
      <c r="AE35" s="1580">
        <v>53651373</v>
      </c>
      <c r="AF35" s="1580">
        <v>17865685</v>
      </c>
      <c r="AG35" s="1580">
        <v>7.7326465929304842</v>
      </c>
      <c r="AH35" s="1580">
        <v>2542629</v>
      </c>
      <c r="AI35" s="1580">
        <v>1865122</v>
      </c>
      <c r="AJ35" s="1580">
        <v>677507</v>
      </c>
      <c r="AK35" s="1580">
        <v>6564853</v>
      </c>
      <c r="AL35" s="1580">
        <v>4841668</v>
      </c>
      <c r="AM35" s="1580">
        <v>1723185</v>
      </c>
      <c r="AN35" s="1580">
        <v>74059687</v>
      </c>
      <c r="AO35" s="1580">
        <v>55516495</v>
      </c>
      <c r="AP35" s="1580">
        <v>18543192</v>
      </c>
      <c r="AQ35" s="1580">
        <v>7.8825644235398462</v>
      </c>
      <c r="AR35" s="1580">
        <v>3397181</v>
      </c>
      <c r="AS35" s="1580">
        <v>2471447</v>
      </c>
      <c r="AT35" s="1580">
        <v>925734</v>
      </c>
      <c r="AU35" s="1580">
        <v>9962034</v>
      </c>
      <c r="AV35" s="1580">
        <v>7313115</v>
      </c>
      <c r="AW35" s="1580">
        <v>2648919</v>
      </c>
      <c r="AX35" s="1580">
        <v>77456868</v>
      </c>
      <c r="AY35" s="1580">
        <v>57987942</v>
      </c>
      <c r="AZ35" s="1580">
        <v>19468926</v>
      </c>
      <c r="BA35" s="1580">
        <v>8.1229532668156015</v>
      </c>
      <c r="BB35" s="1580">
        <v>2529715</v>
      </c>
      <c r="BC35" s="1580">
        <v>1865205</v>
      </c>
      <c r="BD35" s="1580">
        <v>664510</v>
      </c>
      <c r="BE35" s="1580">
        <v>12491749</v>
      </c>
      <c r="BF35" s="1580">
        <v>9178320</v>
      </c>
      <c r="BG35" s="1580">
        <v>3313429</v>
      </c>
      <c r="BH35" s="1580">
        <v>79986583</v>
      </c>
      <c r="BI35" s="1580">
        <v>59853147</v>
      </c>
      <c r="BJ35" s="1580">
        <v>20133436</v>
      </c>
      <c r="BK35" s="1580">
        <v>8.3306059442932945</v>
      </c>
      <c r="BL35" s="1580">
        <v>2553753</v>
      </c>
      <c r="BM35" s="1580">
        <v>1894988</v>
      </c>
      <c r="BN35" s="1580">
        <v>658765</v>
      </c>
      <c r="BO35" s="1580">
        <v>15045502</v>
      </c>
      <c r="BP35" s="1580">
        <v>11073308</v>
      </c>
      <c r="BQ35" s="1580">
        <v>3972194</v>
      </c>
      <c r="BR35" s="1580">
        <v>82540336</v>
      </c>
      <c r="BS35" s="1580">
        <v>61748135</v>
      </c>
      <c r="BT35" s="1580">
        <v>20792201</v>
      </c>
      <c r="BU35" s="1580">
        <v>8.5322409431002981</v>
      </c>
      <c r="BV35" s="1580">
        <v>2990381</v>
      </c>
      <c r="BW35" s="1580">
        <v>2204518</v>
      </c>
      <c r="BX35" s="1580">
        <v>785863</v>
      </c>
      <c r="BY35" s="1580">
        <v>18035883</v>
      </c>
      <c r="BZ35" s="1580">
        <v>13277826</v>
      </c>
      <c r="CA35" s="1580">
        <v>4758057</v>
      </c>
      <c r="CB35" s="1580">
        <v>85530717</v>
      </c>
      <c r="CC35" s="1580">
        <v>63952653</v>
      </c>
      <c r="CD35" s="1580">
        <v>21578064</v>
      </c>
      <c r="CE35" s="1580">
        <v>8.7480473266665832</v>
      </c>
      <c r="CF35" s="1580">
        <v>2532651</v>
      </c>
      <c r="CG35" s="1580">
        <v>1858818</v>
      </c>
      <c r="CH35" s="1580">
        <v>673833</v>
      </c>
      <c r="CI35" s="1580">
        <v>20568534</v>
      </c>
      <c r="CJ35" s="1580">
        <v>15136644</v>
      </c>
      <c r="CK35" s="1580">
        <v>5431890</v>
      </c>
      <c r="CL35" s="1580">
        <v>88063368</v>
      </c>
      <c r="CM35" s="1580">
        <v>65811471</v>
      </c>
      <c r="CN35" s="1580">
        <v>22251897</v>
      </c>
      <c r="CO35" s="1580">
        <v>8.9742706729144395</v>
      </c>
      <c r="CP35" s="1580">
        <v>1769890</v>
      </c>
      <c r="CQ35" s="1580">
        <v>1803585</v>
      </c>
      <c r="CR35" s="1580">
        <v>-33695</v>
      </c>
      <c r="CS35" s="1580">
        <v>22338424</v>
      </c>
      <c r="CT35" s="1580">
        <v>16940229</v>
      </c>
      <c r="CU35" s="1580">
        <v>5398195</v>
      </c>
      <c r="CV35" s="1580">
        <v>89833258</v>
      </c>
      <c r="CW35" s="1580">
        <v>67615056</v>
      </c>
      <c r="CX35" s="1580">
        <v>22218202</v>
      </c>
      <c r="CY35" s="1580">
        <v>9.1941053808157172</v>
      </c>
      <c r="CZ35" s="1580">
        <v>1684613</v>
      </c>
      <c r="DA35" s="1580">
        <v>1866721</v>
      </c>
      <c r="DB35" s="1580">
        <v>-182108</v>
      </c>
      <c r="DC35" s="1580">
        <v>24023037</v>
      </c>
      <c r="DD35" s="1580">
        <v>18806950</v>
      </c>
      <c r="DE35" s="1580">
        <v>5216087</v>
      </c>
      <c r="DF35" s="1580">
        <v>91517871</v>
      </c>
      <c r="DG35" s="1580">
        <v>69481777</v>
      </c>
      <c r="DH35" s="1580">
        <v>22036094</v>
      </c>
      <c r="DI35" s="1580">
        <v>9.415236157320674</v>
      </c>
      <c r="DJ35" s="1580">
        <v>4120785</v>
      </c>
      <c r="DK35" s="1580">
        <v>1819070</v>
      </c>
      <c r="DL35" s="1580">
        <v>2301715</v>
      </c>
      <c r="DM35" s="1580">
        <v>28143822</v>
      </c>
      <c r="DN35" s="1580">
        <v>20626020</v>
      </c>
      <c r="DO35" s="1580">
        <v>7517802</v>
      </c>
      <c r="DP35" s="1580">
        <v>95638656</v>
      </c>
      <c r="DQ35" s="1580">
        <v>71300847</v>
      </c>
      <c r="DR35" s="1580">
        <v>24337809</v>
      </c>
      <c r="DS35" s="1580">
        <v>9.6318622424315183</v>
      </c>
      <c r="DT35" s="1580">
        <v>2613480</v>
      </c>
      <c r="DU35" s="1580">
        <v>1878037</v>
      </c>
      <c r="DV35" s="1580">
        <v>735443</v>
      </c>
      <c r="DW35" s="1580">
        <v>30757302</v>
      </c>
      <c r="DX35" s="1580">
        <v>22504057</v>
      </c>
      <c r="DY35" s="1580">
        <v>8253245</v>
      </c>
      <c r="DZ35" s="1580">
        <v>98252136</v>
      </c>
      <c r="EA35" s="1580">
        <v>73178884</v>
      </c>
      <c r="EB35" s="1580">
        <v>25073252</v>
      </c>
      <c r="EC35" s="1583">
        <v>0.25519294562715666</v>
      </c>
      <c r="ED35" s="1580">
        <v>10196864</v>
      </c>
      <c r="EE35" s="1580">
        <v>6367542</v>
      </c>
      <c r="EF35" s="1580">
        <v>3829322</v>
      </c>
      <c r="EG35" s="1580">
        <v>40954166</v>
      </c>
      <c r="EH35" s="1580">
        <v>28871599</v>
      </c>
      <c r="EI35" s="1580">
        <v>12082567</v>
      </c>
      <c r="EJ35" s="1583">
        <v>0.29502656701640562</v>
      </c>
      <c r="EK35" s="1580">
        <v>108449000</v>
      </c>
      <c r="EL35" s="1580">
        <v>79546426</v>
      </c>
      <c r="EM35" s="1580">
        <v>28902574</v>
      </c>
      <c r="EN35" s="1583">
        <v>0.26650844175603278</v>
      </c>
      <c r="EO35" s="1580">
        <v>224054093</v>
      </c>
      <c r="EP35" s="1580">
        <v>152835328</v>
      </c>
      <c r="EQ35" s="1580">
        <v>71218765</v>
      </c>
      <c r="ER35" s="1583">
        <v>0.31786415524218964</v>
      </c>
      <c r="ES35" s="1580">
        <v>37661522</v>
      </c>
      <c r="ET35" s="1580">
        <v>25885855</v>
      </c>
      <c r="EU35" s="1580">
        <v>11775667</v>
      </c>
      <c r="EV35" s="1583">
        <v>0.31267103331617879</v>
      </c>
      <c r="EW35" s="1580">
        <v>146110522</v>
      </c>
      <c r="EX35" s="1580">
        <v>105432281</v>
      </c>
      <c r="EY35" s="1580">
        <v>40678241</v>
      </c>
      <c r="EZ35" s="1583">
        <v>0.27840733468873652</v>
      </c>
      <c r="FA35" s="1580">
        <v>264362571</v>
      </c>
      <c r="FB35" s="1580">
        <v>179402828</v>
      </c>
      <c r="FC35" s="1580">
        <v>84959743</v>
      </c>
      <c r="FD35" s="1583">
        <v>0.32137583879073411</v>
      </c>
      <c r="FE35" s="1580">
        <v>43293856</v>
      </c>
      <c r="FF35" s="1580">
        <v>29209640</v>
      </c>
      <c r="FG35" s="1580">
        <v>14084216</v>
      </c>
      <c r="FH35" s="1583">
        <v>0.32531673778376313</v>
      </c>
      <c r="FI35" s="1580">
        <v>189404378</v>
      </c>
      <c r="FJ35" s="1580">
        <v>134641921</v>
      </c>
      <c r="FK35" s="1580">
        <v>54762457</v>
      </c>
      <c r="FL35" s="1583">
        <v>0.28912983732614672</v>
      </c>
      <c r="FM35" s="1580">
        <v>300000215</v>
      </c>
      <c r="FN35" s="1580">
        <v>203181892</v>
      </c>
      <c r="FO35" s="1580">
        <v>96818323</v>
      </c>
      <c r="FP35" s="1583">
        <v>0.32272751204528305</v>
      </c>
      <c r="FQ35" s="1580">
        <v>41584108</v>
      </c>
      <c r="FR35" s="1580">
        <v>27366322</v>
      </c>
      <c r="FS35" s="1580">
        <v>14217786</v>
      </c>
      <c r="FT35" s="1583">
        <v>0.34190431594685161</v>
      </c>
      <c r="FU35" s="1580">
        <v>230988486</v>
      </c>
      <c r="FV35" s="1580">
        <v>162008243</v>
      </c>
      <c r="FW35" s="1580">
        <v>68980243</v>
      </c>
      <c r="FX35" s="1583">
        <v>0.29863065555570595</v>
      </c>
      <c r="FY35" s="1580">
        <v>337513607</v>
      </c>
      <c r="FZ35" s="1580">
        <v>228337905</v>
      </c>
      <c r="GA35" s="1580">
        <v>109175702</v>
      </c>
      <c r="GB35" s="1583">
        <v>0.32347052010854188</v>
      </c>
      <c r="GC35" s="1580">
        <v>48400307</v>
      </c>
      <c r="GD35" s="1580">
        <v>32810109</v>
      </c>
      <c r="GE35" s="1580">
        <v>15590198</v>
      </c>
      <c r="GF35" s="1583">
        <v>0.32210948579313764</v>
      </c>
      <c r="GG35" s="1580">
        <v>279388793</v>
      </c>
      <c r="GH35" s="1580">
        <v>194818352</v>
      </c>
      <c r="GI35" s="1580">
        <v>84570441</v>
      </c>
      <c r="GJ35" s="1583">
        <v>0.30269804343941598</v>
      </c>
      <c r="GK35" s="1580">
        <v>367113300</v>
      </c>
      <c r="GL35" s="1580">
        <v>248147926</v>
      </c>
      <c r="GM35" s="1580">
        <v>118965374</v>
      </c>
      <c r="GN35" s="1583">
        <v>0.32405628997914265</v>
      </c>
      <c r="GO35" s="1580">
        <v>367113300</v>
      </c>
      <c r="GP35" s="1580">
        <v>248207926</v>
      </c>
      <c r="GQ35" s="1580">
        <v>118905374</v>
      </c>
      <c r="GR35" s="1583">
        <v>0.32389285269697393</v>
      </c>
      <c r="GS35" s="1580">
        <v>646502093</v>
      </c>
      <c r="GT35" s="1580">
        <v>443026278</v>
      </c>
      <c r="GU35" s="1580">
        <v>203475815</v>
      </c>
      <c r="GV35" s="1583">
        <v>0.31473342036032664</v>
      </c>
      <c r="GW35" s="1580">
        <v>0</v>
      </c>
      <c r="GX35" s="1580">
        <v>0</v>
      </c>
      <c r="GY35" s="1580">
        <v>0</v>
      </c>
      <c r="GZ35" s="1583" t="e">
        <v>#DIV/0!</v>
      </c>
    </row>
    <row r="36" spans="1:210">
      <c r="A36" s="1584" t="s">
        <v>1551</v>
      </c>
      <c r="B36" s="1585" t="s">
        <v>2087</v>
      </c>
      <c r="C36" s="1586" t="s">
        <v>1308</v>
      </c>
      <c r="D36" s="1586" t="s">
        <v>1246</v>
      </c>
      <c r="E36" s="1586"/>
      <c r="F36" s="1587">
        <v>0</v>
      </c>
      <c r="G36" s="1587">
        <v>0</v>
      </c>
      <c r="H36" s="1588">
        <v>0</v>
      </c>
      <c r="I36" s="1589">
        <v>0</v>
      </c>
      <c r="J36" s="1587">
        <v>0</v>
      </c>
      <c r="K36" s="1587">
        <v>0</v>
      </c>
      <c r="L36" s="1588">
        <v>0</v>
      </c>
      <c r="M36" s="1589">
        <v>0</v>
      </c>
      <c r="N36" s="1482">
        <v>0</v>
      </c>
      <c r="O36" s="1482">
        <v>0</v>
      </c>
      <c r="P36" s="1588">
        <v>0</v>
      </c>
      <c r="Q36" s="752">
        <v>0</v>
      </c>
      <c r="R36" s="752">
        <v>0</v>
      </c>
      <c r="S36" s="1584">
        <v>0</v>
      </c>
      <c r="T36" s="1484" t="s">
        <v>630</v>
      </c>
      <c r="U36" s="1485">
        <v>0</v>
      </c>
      <c r="V36" s="1485">
        <v>0</v>
      </c>
      <c r="W36" s="1590">
        <v>0</v>
      </c>
      <c r="X36" s="752">
        <v>0</v>
      </c>
      <c r="Y36" s="752">
        <v>0</v>
      </c>
      <c r="Z36" s="1584">
        <v>0</v>
      </c>
      <c r="AA36" s="1584">
        <v>0</v>
      </c>
      <c r="AB36" s="1584">
        <v>0</v>
      </c>
      <c r="AC36" s="1584">
        <v>0</v>
      </c>
      <c r="AD36" s="752">
        <v>0</v>
      </c>
      <c r="AE36" s="1584">
        <v>0</v>
      </c>
      <c r="AF36" s="1584">
        <v>0</v>
      </c>
      <c r="AG36" s="1484">
        <v>0</v>
      </c>
      <c r="AH36" s="752">
        <v>0</v>
      </c>
      <c r="AI36" s="752">
        <v>0</v>
      </c>
      <c r="AJ36" s="1584">
        <v>0</v>
      </c>
      <c r="AK36" s="1584">
        <v>0</v>
      </c>
      <c r="AL36" s="1584">
        <v>0</v>
      </c>
      <c r="AM36" s="1584">
        <v>0</v>
      </c>
      <c r="AN36" s="1584">
        <v>0</v>
      </c>
      <c r="AO36" s="1584">
        <v>0</v>
      </c>
      <c r="AP36" s="1584">
        <v>0</v>
      </c>
      <c r="AQ36" s="1484">
        <v>0</v>
      </c>
      <c r="AR36" s="752">
        <v>0</v>
      </c>
      <c r="AS36" s="752">
        <v>0</v>
      </c>
      <c r="AT36" s="1584">
        <v>0</v>
      </c>
      <c r="AU36" s="1584">
        <v>0</v>
      </c>
      <c r="AV36" s="1584">
        <v>0</v>
      </c>
      <c r="AW36" s="1584">
        <v>0</v>
      </c>
      <c r="AX36" s="1584">
        <v>0</v>
      </c>
      <c r="AY36" s="1584">
        <v>0</v>
      </c>
      <c r="AZ36" s="1584">
        <v>0</v>
      </c>
      <c r="BA36" s="1484">
        <v>0</v>
      </c>
      <c r="BB36" s="752">
        <v>0</v>
      </c>
      <c r="BC36" s="752">
        <v>0</v>
      </c>
      <c r="BD36" s="1584">
        <v>0</v>
      </c>
      <c r="BE36" s="1584">
        <v>0</v>
      </c>
      <c r="BF36" s="1584">
        <v>0</v>
      </c>
      <c r="BG36" s="1584">
        <v>0</v>
      </c>
      <c r="BH36" s="1584">
        <v>0</v>
      </c>
      <c r="BI36" s="1584">
        <v>0</v>
      </c>
      <c r="BJ36" s="1584">
        <v>0</v>
      </c>
      <c r="BK36" s="1484">
        <v>0</v>
      </c>
      <c r="BL36" s="752">
        <v>0</v>
      </c>
      <c r="BM36" s="752">
        <v>0</v>
      </c>
      <c r="BN36" s="1584">
        <v>0</v>
      </c>
      <c r="BO36" s="1584">
        <v>0</v>
      </c>
      <c r="BP36" s="1584">
        <v>0</v>
      </c>
      <c r="BQ36" s="1584">
        <v>0</v>
      </c>
      <c r="BR36" s="1584">
        <v>0</v>
      </c>
      <c r="BS36" s="1584">
        <v>0</v>
      </c>
      <c r="BT36" s="1584">
        <v>0</v>
      </c>
      <c r="BU36" s="1484">
        <v>0</v>
      </c>
      <c r="BV36" s="752">
        <v>0</v>
      </c>
      <c r="BW36" s="752">
        <v>0</v>
      </c>
      <c r="BX36" s="1584">
        <v>0</v>
      </c>
      <c r="BY36" s="1584">
        <v>0</v>
      </c>
      <c r="BZ36" s="1584">
        <v>0</v>
      </c>
      <c r="CA36" s="1584">
        <v>0</v>
      </c>
      <c r="CB36" s="1584">
        <v>0</v>
      </c>
      <c r="CC36" s="1584">
        <v>0</v>
      </c>
      <c r="CD36" s="1584">
        <v>0</v>
      </c>
      <c r="CE36" s="1484">
        <v>0</v>
      </c>
      <c r="CF36" s="752">
        <v>0</v>
      </c>
      <c r="CG36" s="752">
        <v>0</v>
      </c>
      <c r="CH36" s="1584">
        <v>0</v>
      </c>
      <c r="CI36" s="1584">
        <v>0</v>
      </c>
      <c r="CJ36" s="1584">
        <v>0</v>
      </c>
      <c r="CK36" s="1584">
        <v>0</v>
      </c>
      <c r="CL36" s="1584">
        <v>0</v>
      </c>
      <c r="CM36" s="1584">
        <v>0</v>
      </c>
      <c r="CN36" s="1584">
        <v>0</v>
      </c>
      <c r="CO36" s="1484">
        <v>0</v>
      </c>
      <c r="CP36" s="752">
        <v>0</v>
      </c>
      <c r="CQ36" s="752">
        <v>0</v>
      </c>
      <c r="CR36" s="1584">
        <v>0</v>
      </c>
      <c r="CS36" s="1584">
        <v>0</v>
      </c>
      <c r="CT36" s="1584">
        <v>0</v>
      </c>
      <c r="CU36" s="1584">
        <v>0</v>
      </c>
      <c r="CV36" s="1584">
        <v>0</v>
      </c>
      <c r="CW36" s="1584">
        <v>0</v>
      </c>
      <c r="CX36" s="1584">
        <v>0</v>
      </c>
      <c r="CY36" s="1484">
        <v>0</v>
      </c>
      <c r="CZ36" s="752">
        <v>0</v>
      </c>
      <c r="DA36" s="752">
        <v>0</v>
      </c>
      <c r="DB36" s="1584">
        <v>0</v>
      </c>
      <c r="DC36" s="1584">
        <v>0</v>
      </c>
      <c r="DD36" s="1584">
        <v>0</v>
      </c>
      <c r="DE36" s="1584">
        <v>0</v>
      </c>
      <c r="DF36" s="1584">
        <v>0</v>
      </c>
      <c r="DG36" s="1584">
        <v>0</v>
      </c>
      <c r="DH36" s="1584">
        <v>0</v>
      </c>
      <c r="DI36" s="1484">
        <v>0</v>
      </c>
      <c r="DJ36" s="752">
        <v>0</v>
      </c>
      <c r="DK36" s="752">
        <v>0</v>
      </c>
      <c r="DL36" s="1584">
        <v>0</v>
      </c>
      <c r="DM36" s="1584">
        <v>0</v>
      </c>
      <c r="DN36" s="1584">
        <v>0</v>
      </c>
      <c r="DO36" s="1584">
        <v>0</v>
      </c>
      <c r="DP36" s="1584">
        <v>0</v>
      </c>
      <c r="DQ36" s="1584">
        <v>0</v>
      </c>
      <c r="DR36" s="1584">
        <v>0</v>
      </c>
      <c r="DS36" s="1484">
        <v>0</v>
      </c>
      <c r="DT36" s="752">
        <v>0</v>
      </c>
      <c r="DU36" s="752">
        <v>0</v>
      </c>
      <c r="DV36" s="1584">
        <v>0</v>
      </c>
      <c r="DW36" s="1584">
        <v>0</v>
      </c>
      <c r="DX36" s="1584">
        <v>0</v>
      </c>
      <c r="DY36" s="1584">
        <v>0</v>
      </c>
      <c r="DZ36" s="1584">
        <v>0</v>
      </c>
      <c r="EA36" s="1584">
        <v>0</v>
      </c>
      <c r="EB36" s="1584">
        <v>0</v>
      </c>
      <c r="EC36" s="1484">
        <v>0</v>
      </c>
      <c r="ED36" s="752">
        <v>0</v>
      </c>
      <c r="EE36" s="752">
        <v>0</v>
      </c>
      <c r="EF36" s="1584">
        <v>0</v>
      </c>
      <c r="EG36" s="1591">
        <v>0</v>
      </c>
      <c r="EH36" s="1591">
        <v>0</v>
      </c>
      <c r="EI36" s="1591">
        <v>0</v>
      </c>
      <c r="EJ36" s="1592" t="s">
        <v>630</v>
      </c>
      <c r="EK36" s="1593">
        <v>0</v>
      </c>
      <c r="EL36" s="1593">
        <v>0</v>
      </c>
      <c r="EM36" s="1593">
        <v>0</v>
      </c>
      <c r="EN36" s="1594" t="e">
        <v>#DIV/0!</v>
      </c>
      <c r="EO36" s="1595">
        <v>0</v>
      </c>
      <c r="EP36" s="1595">
        <v>0</v>
      </c>
      <c r="EQ36" s="1595">
        <v>0</v>
      </c>
      <c r="ER36" s="1596" t="s">
        <v>630</v>
      </c>
      <c r="ES36" s="1179">
        <v>0</v>
      </c>
      <c r="ET36" s="1179">
        <v>0</v>
      </c>
      <c r="EU36" s="1591">
        <v>0</v>
      </c>
      <c r="EV36" s="1592" t="s">
        <v>630</v>
      </c>
      <c r="EW36" s="1488">
        <v>0</v>
      </c>
      <c r="EX36" s="1488">
        <v>0</v>
      </c>
      <c r="EY36" s="1488">
        <v>0</v>
      </c>
      <c r="EZ36" s="1594" t="s">
        <v>630</v>
      </c>
      <c r="FA36" s="1485">
        <v>0</v>
      </c>
      <c r="FB36" s="1485">
        <v>0</v>
      </c>
      <c r="FC36" s="1485">
        <v>0</v>
      </c>
      <c r="FD36" s="1596" t="s">
        <v>630</v>
      </c>
      <c r="FE36" s="1179">
        <v>0</v>
      </c>
      <c r="FF36" s="1179">
        <v>0</v>
      </c>
      <c r="FG36" s="1591">
        <v>0</v>
      </c>
      <c r="FH36" s="1592" t="s">
        <v>630</v>
      </c>
      <c r="FI36" s="1593">
        <v>0</v>
      </c>
      <c r="FJ36" s="1593">
        <v>0</v>
      </c>
      <c r="FK36" s="1593">
        <v>0</v>
      </c>
      <c r="FL36" s="1594" t="s">
        <v>630</v>
      </c>
      <c r="FM36" s="1485">
        <v>0</v>
      </c>
      <c r="FN36" s="1485">
        <v>0</v>
      </c>
      <c r="FO36" s="1485">
        <v>0</v>
      </c>
      <c r="FP36" s="1596" t="s">
        <v>630</v>
      </c>
      <c r="FQ36" s="1179">
        <v>0</v>
      </c>
      <c r="FR36" s="1179">
        <v>0</v>
      </c>
      <c r="FS36" s="1179">
        <v>0</v>
      </c>
      <c r="FT36" s="1592" t="s">
        <v>630</v>
      </c>
      <c r="FU36" s="1593">
        <v>0</v>
      </c>
      <c r="FV36" s="1593">
        <v>0</v>
      </c>
      <c r="FW36" s="1593">
        <v>0</v>
      </c>
      <c r="FX36" s="1594" t="s">
        <v>630</v>
      </c>
      <c r="FY36" s="1485">
        <v>0</v>
      </c>
      <c r="FZ36" s="1485">
        <v>0</v>
      </c>
      <c r="GA36" s="1485">
        <v>0</v>
      </c>
      <c r="GB36" s="1596" t="s">
        <v>630</v>
      </c>
      <c r="GC36" s="1179">
        <v>0</v>
      </c>
      <c r="GD36" s="1179">
        <v>0</v>
      </c>
      <c r="GE36" s="1179">
        <v>0</v>
      </c>
      <c r="GF36" s="1592" t="s">
        <v>630</v>
      </c>
      <c r="GG36" s="1593">
        <v>0</v>
      </c>
      <c r="GH36" s="1593">
        <v>0</v>
      </c>
      <c r="GI36" s="1593">
        <v>0</v>
      </c>
      <c r="GJ36" s="1594" t="s">
        <v>630</v>
      </c>
      <c r="GK36" s="1485">
        <v>0</v>
      </c>
      <c r="GL36" s="1485">
        <v>0</v>
      </c>
      <c r="GM36" s="1485">
        <v>0</v>
      </c>
      <c r="GN36" s="1596" t="s">
        <v>630</v>
      </c>
      <c r="GO36" s="1179">
        <v>0</v>
      </c>
      <c r="GP36" s="1179">
        <v>0</v>
      </c>
      <c r="GQ36" s="1179">
        <v>0</v>
      </c>
      <c r="GR36" s="1592" t="s">
        <v>630</v>
      </c>
      <c r="GS36" s="1593">
        <v>0</v>
      </c>
      <c r="GT36" s="1593">
        <v>0</v>
      </c>
      <c r="GU36" s="1593">
        <v>0</v>
      </c>
      <c r="GV36" s="1594" t="s">
        <v>630</v>
      </c>
      <c r="GW36" s="1485">
        <v>0</v>
      </c>
      <c r="GX36" s="1485">
        <v>0</v>
      </c>
      <c r="GY36" s="1485">
        <v>0</v>
      </c>
      <c r="GZ36" s="1596" t="s">
        <v>630</v>
      </c>
    </row>
    <row r="37" spans="1:210" s="611" customFormat="1">
      <c r="A37" s="1493" t="s">
        <v>667</v>
      </c>
      <c r="B37" s="1494" t="s">
        <v>2088</v>
      </c>
      <c r="C37" s="1495" t="s">
        <v>1314</v>
      </c>
      <c r="D37" s="1495" t="s">
        <v>1246</v>
      </c>
      <c r="E37" s="1495"/>
      <c r="F37" s="1499">
        <v>11112000</v>
      </c>
      <c r="G37" s="1499">
        <v>7070420</v>
      </c>
      <c r="H37" s="1500">
        <v>4041580</v>
      </c>
      <c r="I37" s="1498">
        <v>0.36371310295176384</v>
      </c>
      <c r="J37" s="1499">
        <v>11112000</v>
      </c>
      <c r="K37" s="1499">
        <v>7200000</v>
      </c>
      <c r="L37" s="1500">
        <v>3912000</v>
      </c>
      <c r="M37" s="1498">
        <v>0.35205183585313177</v>
      </c>
      <c r="N37" s="1499">
        <v>0</v>
      </c>
      <c r="O37" s="1499">
        <v>-129580</v>
      </c>
      <c r="P37" s="1500">
        <v>129580</v>
      </c>
      <c r="Q37" s="752">
        <v>11112000</v>
      </c>
      <c r="R37" s="752">
        <v>7070420</v>
      </c>
      <c r="S37" s="1493">
        <v>4041580</v>
      </c>
      <c r="T37" s="1501">
        <v>0.36371310295176384</v>
      </c>
      <c r="U37" s="1502">
        <v>0</v>
      </c>
      <c r="V37" s="1502">
        <v>0</v>
      </c>
      <c r="W37" s="1502">
        <v>0</v>
      </c>
      <c r="X37" s="752">
        <v>0</v>
      </c>
      <c r="Y37" s="752">
        <v>0</v>
      </c>
      <c r="Z37" s="1493">
        <v>0</v>
      </c>
      <c r="AA37" s="1493">
        <v>0</v>
      </c>
      <c r="AB37" s="1493">
        <v>0</v>
      </c>
      <c r="AC37" s="1493">
        <v>0</v>
      </c>
      <c r="AD37" s="1493">
        <v>11112000</v>
      </c>
      <c r="AE37" s="1493">
        <v>7070420</v>
      </c>
      <c r="AF37" s="1493">
        <v>4041580</v>
      </c>
      <c r="AG37" s="1503">
        <v>1</v>
      </c>
      <c r="AH37" s="752">
        <v>0</v>
      </c>
      <c r="AI37" s="752">
        <v>0</v>
      </c>
      <c r="AJ37" s="1493">
        <v>0</v>
      </c>
      <c r="AK37" s="1493">
        <v>0</v>
      </c>
      <c r="AL37" s="1493">
        <v>0</v>
      </c>
      <c r="AM37" s="1493">
        <v>0</v>
      </c>
      <c r="AN37" s="1493">
        <v>11112000</v>
      </c>
      <c r="AO37" s="1493">
        <v>7070420</v>
      </c>
      <c r="AP37" s="1493">
        <v>4041580</v>
      </c>
      <c r="AQ37" s="1503">
        <v>1</v>
      </c>
      <c r="AR37" s="752">
        <v>0</v>
      </c>
      <c r="AS37" s="752">
        <v>0</v>
      </c>
      <c r="AT37" s="1493">
        <v>0</v>
      </c>
      <c r="AU37" s="1493">
        <v>0</v>
      </c>
      <c r="AV37" s="1493">
        <v>0</v>
      </c>
      <c r="AW37" s="1493">
        <v>0</v>
      </c>
      <c r="AX37" s="1493">
        <v>11112000</v>
      </c>
      <c r="AY37" s="1493">
        <v>7070420</v>
      </c>
      <c r="AZ37" s="1493">
        <v>4041580</v>
      </c>
      <c r="BA37" s="1503">
        <v>1</v>
      </c>
      <c r="BB37" s="752">
        <v>0</v>
      </c>
      <c r="BC37" s="752">
        <v>0</v>
      </c>
      <c r="BD37" s="1493">
        <v>0</v>
      </c>
      <c r="BE37" s="1493">
        <v>0</v>
      </c>
      <c r="BF37" s="1493">
        <v>0</v>
      </c>
      <c r="BG37" s="1493">
        <v>0</v>
      </c>
      <c r="BH37" s="1493">
        <v>11112000</v>
      </c>
      <c r="BI37" s="1493">
        <v>7070420</v>
      </c>
      <c r="BJ37" s="1493">
        <v>4041580</v>
      </c>
      <c r="BK37" s="1503">
        <v>1</v>
      </c>
      <c r="BL37" s="752">
        <v>0</v>
      </c>
      <c r="BM37" s="752">
        <v>0</v>
      </c>
      <c r="BN37" s="1493">
        <v>0</v>
      </c>
      <c r="BO37" s="1493">
        <v>0</v>
      </c>
      <c r="BP37" s="1493">
        <v>0</v>
      </c>
      <c r="BQ37" s="1493">
        <v>0</v>
      </c>
      <c r="BR37" s="1493">
        <v>11112000</v>
      </c>
      <c r="BS37" s="1493">
        <v>7070420</v>
      </c>
      <c r="BT37" s="1493">
        <v>4041580</v>
      </c>
      <c r="BU37" s="1503">
        <v>1</v>
      </c>
      <c r="BV37" s="752">
        <v>0</v>
      </c>
      <c r="BW37" s="752">
        <v>0</v>
      </c>
      <c r="BX37" s="1493">
        <v>0</v>
      </c>
      <c r="BY37" s="1493">
        <v>0</v>
      </c>
      <c r="BZ37" s="1493">
        <v>0</v>
      </c>
      <c r="CA37" s="1493">
        <v>0</v>
      </c>
      <c r="CB37" s="1493">
        <v>11112000</v>
      </c>
      <c r="CC37" s="1493">
        <v>7070420</v>
      </c>
      <c r="CD37" s="1493">
        <v>4041580</v>
      </c>
      <c r="CE37" s="1503">
        <v>1</v>
      </c>
      <c r="CF37" s="752">
        <v>0</v>
      </c>
      <c r="CG37" s="752">
        <v>0</v>
      </c>
      <c r="CH37" s="1493">
        <v>0</v>
      </c>
      <c r="CI37" s="1493">
        <v>0</v>
      </c>
      <c r="CJ37" s="1493">
        <v>0</v>
      </c>
      <c r="CK37" s="1493">
        <v>0</v>
      </c>
      <c r="CL37" s="1493">
        <v>11112000</v>
      </c>
      <c r="CM37" s="1493">
        <v>7070420</v>
      </c>
      <c r="CN37" s="1493">
        <v>4041580</v>
      </c>
      <c r="CO37" s="1503">
        <v>1</v>
      </c>
      <c r="CP37" s="752">
        <v>0</v>
      </c>
      <c r="CQ37" s="752">
        <v>0</v>
      </c>
      <c r="CR37" s="1493">
        <v>0</v>
      </c>
      <c r="CS37" s="1493">
        <v>0</v>
      </c>
      <c r="CT37" s="1493">
        <v>0</v>
      </c>
      <c r="CU37" s="1493">
        <v>0</v>
      </c>
      <c r="CV37" s="1493">
        <v>11112000</v>
      </c>
      <c r="CW37" s="1493">
        <v>7070420</v>
      </c>
      <c r="CX37" s="1493">
        <v>4041580</v>
      </c>
      <c r="CY37" s="1503">
        <v>1</v>
      </c>
      <c r="CZ37" s="752">
        <v>0</v>
      </c>
      <c r="DA37" s="752">
        <v>0</v>
      </c>
      <c r="DB37" s="1493">
        <v>0</v>
      </c>
      <c r="DC37" s="1493">
        <v>0</v>
      </c>
      <c r="DD37" s="1493">
        <v>0</v>
      </c>
      <c r="DE37" s="1493">
        <v>0</v>
      </c>
      <c r="DF37" s="1493">
        <v>11112000</v>
      </c>
      <c r="DG37" s="1493">
        <v>7070420</v>
      </c>
      <c r="DH37" s="1493">
        <v>4041580</v>
      </c>
      <c r="DI37" s="1503">
        <v>1</v>
      </c>
      <c r="DJ37" s="752">
        <v>0</v>
      </c>
      <c r="DK37" s="752">
        <v>0</v>
      </c>
      <c r="DL37" s="1493">
        <v>0</v>
      </c>
      <c r="DM37" s="1493">
        <v>0</v>
      </c>
      <c r="DN37" s="1493">
        <v>0</v>
      </c>
      <c r="DO37" s="1493">
        <v>0</v>
      </c>
      <c r="DP37" s="1493">
        <v>11112000</v>
      </c>
      <c r="DQ37" s="1493">
        <v>7070420</v>
      </c>
      <c r="DR37" s="1493">
        <v>4041580</v>
      </c>
      <c r="DS37" s="1503">
        <v>1</v>
      </c>
      <c r="DT37" s="752">
        <v>0</v>
      </c>
      <c r="DU37" s="752">
        <v>0</v>
      </c>
      <c r="DV37" s="1493">
        <v>0</v>
      </c>
      <c r="DW37" s="1493">
        <v>0</v>
      </c>
      <c r="DX37" s="1493">
        <v>0</v>
      </c>
      <c r="DY37" s="1493">
        <v>0</v>
      </c>
      <c r="DZ37" s="1493">
        <v>11112000</v>
      </c>
      <c r="EA37" s="1493">
        <v>7070420</v>
      </c>
      <c r="EB37" s="1493">
        <v>4041580</v>
      </c>
      <c r="EC37" s="1503">
        <v>1</v>
      </c>
      <c r="ED37" s="752">
        <v>0</v>
      </c>
      <c r="EE37" s="752">
        <v>0</v>
      </c>
      <c r="EF37" s="1493">
        <v>0</v>
      </c>
      <c r="EG37" s="1189">
        <v>0</v>
      </c>
      <c r="EH37" s="1189">
        <v>0</v>
      </c>
      <c r="EI37" s="1189">
        <v>0</v>
      </c>
      <c r="EJ37" s="1504" t="s">
        <v>630</v>
      </c>
      <c r="EK37" s="1597">
        <v>11112000</v>
      </c>
      <c r="EL37" s="1597">
        <v>7070420</v>
      </c>
      <c r="EM37" s="1505">
        <v>4041580</v>
      </c>
      <c r="EN37" s="1506">
        <v>0.36371310295176384</v>
      </c>
      <c r="EO37" s="1502">
        <v>0</v>
      </c>
      <c r="EP37" s="1502">
        <v>0</v>
      </c>
      <c r="EQ37" s="1502">
        <v>0</v>
      </c>
      <c r="ER37" s="1507" t="s">
        <v>630</v>
      </c>
      <c r="ES37" s="1179">
        <v>0</v>
      </c>
      <c r="ET37" s="1179">
        <v>0</v>
      </c>
      <c r="EU37" s="1189">
        <v>0</v>
      </c>
      <c r="EV37" s="1504" t="s">
        <v>630</v>
      </c>
      <c r="EW37" s="1505">
        <v>11112000</v>
      </c>
      <c r="EX37" s="1505">
        <v>7070420</v>
      </c>
      <c r="EY37" s="1505">
        <v>4041580</v>
      </c>
      <c r="EZ37" s="1506">
        <v>0.36371310295176384</v>
      </c>
      <c r="FA37" s="1502">
        <v>0</v>
      </c>
      <c r="FB37" s="1502">
        <v>0</v>
      </c>
      <c r="FC37" s="1502">
        <v>0</v>
      </c>
      <c r="FD37" s="1507" t="s">
        <v>630</v>
      </c>
      <c r="FE37" s="1179">
        <v>0</v>
      </c>
      <c r="FF37" s="1179">
        <v>0</v>
      </c>
      <c r="FG37" s="1189">
        <v>0</v>
      </c>
      <c r="FH37" s="1504" t="s">
        <v>630</v>
      </c>
      <c r="FI37" s="1505">
        <v>11112000</v>
      </c>
      <c r="FJ37" s="1505">
        <v>7070420</v>
      </c>
      <c r="FK37" s="1505">
        <v>4041580</v>
      </c>
      <c r="FL37" s="1506">
        <v>0.36371310295176384</v>
      </c>
      <c r="FM37" s="1502">
        <v>0</v>
      </c>
      <c r="FN37" s="1502">
        <v>0</v>
      </c>
      <c r="FO37" s="1502">
        <v>0</v>
      </c>
      <c r="FP37" s="1507" t="s">
        <v>630</v>
      </c>
      <c r="FQ37" s="1179">
        <v>0</v>
      </c>
      <c r="FR37" s="1179">
        <v>0</v>
      </c>
      <c r="FS37" s="1189">
        <v>0</v>
      </c>
      <c r="FT37" s="1504" t="s">
        <v>630</v>
      </c>
      <c r="FU37" s="1505">
        <v>11112000</v>
      </c>
      <c r="FV37" s="1505">
        <v>7070420</v>
      </c>
      <c r="FW37" s="1505">
        <v>4041580</v>
      </c>
      <c r="FX37" s="1506">
        <v>0.36371310295176384</v>
      </c>
      <c r="FY37" s="1502">
        <v>0</v>
      </c>
      <c r="FZ37" s="1502">
        <v>0</v>
      </c>
      <c r="GA37" s="1502">
        <v>0</v>
      </c>
      <c r="GB37" s="1507" t="s">
        <v>630</v>
      </c>
      <c r="GC37" s="1179">
        <v>0</v>
      </c>
      <c r="GD37" s="1179">
        <v>0</v>
      </c>
      <c r="GE37" s="1189">
        <v>0</v>
      </c>
      <c r="GF37" s="1504" t="s">
        <v>630</v>
      </c>
      <c r="GG37" s="1505">
        <v>11112000</v>
      </c>
      <c r="GH37" s="1505">
        <v>7070420</v>
      </c>
      <c r="GI37" s="1505">
        <v>4041580</v>
      </c>
      <c r="GJ37" s="1506">
        <v>0.36371310295176384</v>
      </c>
      <c r="GK37" s="1502">
        <v>0</v>
      </c>
      <c r="GL37" s="1485">
        <v>0</v>
      </c>
      <c r="GM37" s="1502">
        <v>0</v>
      </c>
      <c r="GN37" s="1507" t="s">
        <v>630</v>
      </c>
      <c r="GO37" s="1179">
        <v>0</v>
      </c>
      <c r="GP37" s="1179">
        <v>0</v>
      </c>
      <c r="GQ37" s="1179">
        <v>0</v>
      </c>
      <c r="GR37" s="1504" t="s">
        <v>630</v>
      </c>
      <c r="GS37" s="1505">
        <v>11112000</v>
      </c>
      <c r="GT37" s="1505">
        <v>7070420</v>
      </c>
      <c r="GU37" s="1505">
        <v>4041580</v>
      </c>
      <c r="GV37" s="1506">
        <v>0.36371310295176384</v>
      </c>
      <c r="GW37" s="1485">
        <v>0</v>
      </c>
      <c r="GX37" s="1485">
        <v>0</v>
      </c>
      <c r="GY37" s="1502">
        <v>0</v>
      </c>
      <c r="GZ37" s="1507" t="s">
        <v>630</v>
      </c>
    </row>
    <row r="38" spans="1:210">
      <c r="A38" s="752" t="s">
        <v>668</v>
      </c>
      <c r="B38" s="1478" t="s">
        <v>2089</v>
      </c>
      <c r="C38" s="753" t="s">
        <v>1308</v>
      </c>
      <c r="D38" s="753" t="s">
        <v>1246</v>
      </c>
      <c r="E38" s="753"/>
      <c r="F38" s="1482">
        <v>7820000</v>
      </c>
      <c r="G38" s="1482">
        <v>8635953</v>
      </c>
      <c r="H38" s="1483">
        <v>-815953</v>
      </c>
      <c r="I38" s="1481">
        <v>-0.10434181585677749</v>
      </c>
      <c r="J38" s="1482">
        <v>7820000</v>
      </c>
      <c r="K38" s="1482">
        <v>8635953</v>
      </c>
      <c r="L38" s="1483">
        <v>-815953</v>
      </c>
      <c r="M38" s="1481">
        <v>-0.10434181585677749</v>
      </c>
      <c r="N38" s="1482">
        <v>0</v>
      </c>
      <c r="O38" s="1482">
        <v>0</v>
      </c>
      <c r="P38" s="1483">
        <v>0</v>
      </c>
      <c r="Q38" s="752">
        <v>7468292</v>
      </c>
      <c r="R38" s="752">
        <v>8284245</v>
      </c>
      <c r="S38" s="752">
        <v>-815953</v>
      </c>
      <c r="T38" s="1484">
        <v>-0.10925563703186753</v>
      </c>
      <c r="U38" s="1485">
        <v>351708</v>
      </c>
      <c r="V38" s="1485">
        <v>351708</v>
      </c>
      <c r="W38" s="1590">
        <v>0</v>
      </c>
      <c r="X38" s="752">
        <v>98058</v>
      </c>
      <c r="Y38" s="752">
        <v>98058</v>
      </c>
      <c r="Z38" s="752">
        <v>0</v>
      </c>
      <c r="AA38" s="752">
        <v>98058</v>
      </c>
      <c r="AB38" s="752">
        <v>98058</v>
      </c>
      <c r="AC38" s="752">
        <v>0</v>
      </c>
      <c r="AD38" s="752">
        <v>7566350</v>
      </c>
      <c r="AE38" s="752">
        <v>8382303</v>
      </c>
      <c r="AF38" s="752">
        <v>-815953</v>
      </c>
      <c r="AG38" s="1486">
        <v>0.96756393861892587</v>
      </c>
      <c r="AH38" s="752">
        <v>21395</v>
      </c>
      <c r="AI38" s="752">
        <v>21395</v>
      </c>
      <c r="AJ38" s="752">
        <v>0</v>
      </c>
      <c r="AK38" s="752">
        <v>119453</v>
      </c>
      <c r="AL38" s="752">
        <v>119453</v>
      </c>
      <c r="AM38" s="752">
        <v>0</v>
      </c>
      <c r="AN38" s="752">
        <v>7587745</v>
      </c>
      <c r="AO38" s="752">
        <v>8403698</v>
      </c>
      <c r="AP38" s="752">
        <v>-815953</v>
      </c>
      <c r="AQ38" s="1486">
        <v>0.97029987212276214</v>
      </c>
      <c r="AR38" s="752">
        <v>30755</v>
      </c>
      <c r="AS38" s="752">
        <v>30755</v>
      </c>
      <c r="AT38" s="752">
        <v>0</v>
      </c>
      <c r="AU38" s="752">
        <v>150208</v>
      </c>
      <c r="AV38" s="752">
        <v>150208</v>
      </c>
      <c r="AW38" s="752">
        <v>0</v>
      </c>
      <c r="AX38" s="752">
        <v>7618500</v>
      </c>
      <c r="AY38" s="752">
        <v>8434453</v>
      </c>
      <c r="AZ38" s="752">
        <v>-815953</v>
      </c>
      <c r="BA38" s="1486">
        <v>0.97423273657289</v>
      </c>
      <c r="BB38" s="752">
        <v>0</v>
      </c>
      <c r="BC38" s="752">
        <v>0</v>
      </c>
      <c r="BD38" s="752">
        <v>0</v>
      </c>
      <c r="BE38" s="752">
        <v>150208</v>
      </c>
      <c r="BF38" s="752">
        <v>150208</v>
      </c>
      <c r="BG38" s="752">
        <v>0</v>
      </c>
      <c r="BH38" s="752">
        <v>7618500</v>
      </c>
      <c r="BI38" s="752">
        <v>8434453</v>
      </c>
      <c r="BJ38" s="752">
        <v>-815953</v>
      </c>
      <c r="BK38" s="1486">
        <v>0.97423273657289</v>
      </c>
      <c r="BL38" s="752">
        <v>0</v>
      </c>
      <c r="BM38" s="752">
        <v>0</v>
      </c>
      <c r="BN38" s="752">
        <v>0</v>
      </c>
      <c r="BO38" s="752">
        <v>150208</v>
      </c>
      <c r="BP38" s="752">
        <v>150208</v>
      </c>
      <c r="BQ38" s="752">
        <v>0</v>
      </c>
      <c r="BR38" s="752">
        <v>7618500</v>
      </c>
      <c r="BS38" s="752">
        <v>8434453</v>
      </c>
      <c r="BT38" s="752">
        <v>-815953</v>
      </c>
      <c r="BU38" s="1486">
        <v>0.97423273657289</v>
      </c>
      <c r="BV38" s="752">
        <v>0</v>
      </c>
      <c r="BW38" s="752">
        <v>0</v>
      </c>
      <c r="BX38" s="752">
        <v>0</v>
      </c>
      <c r="BY38" s="752">
        <v>150208</v>
      </c>
      <c r="BZ38" s="752">
        <v>150208</v>
      </c>
      <c r="CA38" s="752">
        <v>0</v>
      </c>
      <c r="CB38" s="752">
        <v>7618500</v>
      </c>
      <c r="CC38" s="752">
        <v>8434453</v>
      </c>
      <c r="CD38" s="752">
        <v>-815953</v>
      </c>
      <c r="CE38" s="1486">
        <v>0.97423273657289</v>
      </c>
      <c r="CF38" s="752">
        <v>0</v>
      </c>
      <c r="CG38" s="752">
        <v>0</v>
      </c>
      <c r="CH38" s="752">
        <v>0</v>
      </c>
      <c r="CI38" s="752">
        <v>150208</v>
      </c>
      <c r="CJ38" s="752">
        <v>150208</v>
      </c>
      <c r="CK38" s="752">
        <v>0</v>
      </c>
      <c r="CL38" s="752">
        <v>7618500</v>
      </c>
      <c r="CM38" s="752">
        <v>8434453</v>
      </c>
      <c r="CN38" s="752">
        <v>-815953</v>
      </c>
      <c r="CO38" s="1486">
        <v>0.97423273657289</v>
      </c>
      <c r="CP38" s="752">
        <v>0</v>
      </c>
      <c r="CQ38" s="752">
        <v>0</v>
      </c>
      <c r="CR38" s="752">
        <v>0</v>
      </c>
      <c r="CS38" s="752">
        <v>150208</v>
      </c>
      <c r="CT38" s="752">
        <v>150208</v>
      </c>
      <c r="CU38" s="752">
        <v>0</v>
      </c>
      <c r="CV38" s="752">
        <v>7618500</v>
      </c>
      <c r="CW38" s="752">
        <v>8434453</v>
      </c>
      <c r="CX38" s="752">
        <v>-815953</v>
      </c>
      <c r="CY38" s="1486">
        <v>0.97423273657289</v>
      </c>
      <c r="CZ38" s="752">
        <v>0</v>
      </c>
      <c r="DA38" s="752">
        <v>0</v>
      </c>
      <c r="DB38" s="752">
        <v>0</v>
      </c>
      <c r="DC38" s="752">
        <v>150208</v>
      </c>
      <c r="DD38" s="752">
        <v>150208</v>
      </c>
      <c r="DE38" s="752">
        <v>0</v>
      </c>
      <c r="DF38" s="752">
        <v>7618500</v>
      </c>
      <c r="DG38" s="752">
        <v>8434453</v>
      </c>
      <c r="DH38" s="752">
        <v>-815953</v>
      </c>
      <c r="DI38" s="1486">
        <v>0.97423273657289</v>
      </c>
      <c r="DJ38" s="752">
        <v>7147</v>
      </c>
      <c r="DK38" s="752">
        <v>7147</v>
      </c>
      <c r="DL38" s="752">
        <v>0</v>
      </c>
      <c r="DM38" s="752">
        <v>157355</v>
      </c>
      <c r="DN38" s="752">
        <v>157355</v>
      </c>
      <c r="DO38" s="752">
        <v>0</v>
      </c>
      <c r="DP38" s="752">
        <v>7625647</v>
      </c>
      <c r="DQ38" s="752">
        <v>8441600</v>
      </c>
      <c r="DR38" s="752">
        <v>-815953</v>
      </c>
      <c r="DS38" s="1486">
        <v>0.97514667519181586</v>
      </c>
      <c r="DT38" s="752">
        <v>0</v>
      </c>
      <c r="DU38" s="752">
        <v>0</v>
      </c>
      <c r="DV38" s="752">
        <v>0</v>
      </c>
      <c r="DW38" s="752">
        <v>157355</v>
      </c>
      <c r="DX38" s="752">
        <v>157355</v>
      </c>
      <c r="DY38" s="752">
        <v>0</v>
      </c>
      <c r="DZ38" s="752">
        <v>7625647</v>
      </c>
      <c r="EA38" s="752">
        <v>8441600</v>
      </c>
      <c r="EB38" s="752">
        <v>-815953</v>
      </c>
      <c r="EC38" s="1486">
        <v>0.97514667519181586</v>
      </c>
      <c r="ED38" s="752">
        <v>0</v>
      </c>
      <c r="EE38" s="752">
        <v>0</v>
      </c>
      <c r="EF38" s="752">
        <v>0</v>
      </c>
      <c r="EG38" s="1179">
        <v>157355</v>
      </c>
      <c r="EH38" s="1179">
        <v>157355</v>
      </c>
      <c r="EI38" s="1179">
        <v>0</v>
      </c>
      <c r="EJ38" s="1487">
        <v>0</v>
      </c>
      <c r="EK38" s="1593">
        <v>7625647</v>
      </c>
      <c r="EL38" s="1593">
        <v>8441600</v>
      </c>
      <c r="EM38" s="1488">
        <v>-815953</v>
      </c>
      <c r="EN38" s="1489">
        <v>-0.10700115019748488</v>
      </c>
      <c r="EO38" s="1485">
        <v>194353</v>
      </c>
      <c r="EP38" s="1485">
        <v>194353</v>
      </c>
      <c r="EQ38" s="1485">
        <v>0</v>
      </c>
      <c r="ER38" s="1490">
        <v>0</v>
      </c>
      <c r="ES38" s="1179">
        <v>0</v>
      </c>
      <c r="ET38" s="1179">
        <v>0</v>
      </c>
      <c r="EU38" s="1179">
        <v>0</v>
      </c>
      <c r="EV38" s="1487" t="s">
        <v>630</v>
      </c>
      <c r="EW38" s="1488">
        <v>7625647</v>
      </c>
      <c r="EX38" s="1488">
        <v>8441600</v>
      </c>
      <c r="EY38" s="1488">
        <v>-815953</v>
      </c>
      <c r="EZ38" s="1489">
        <v>-0.10700115019748488</v>
      </c>
      <c r="FA38" s="1485">
        <v>194353</v>
      </c>
      <c r="FB38" s="1485">
        <v>194353</v>
      </c>
      <c r="FC38" s="1590">
        <v>0</v>
      </c>
      <c r="FD38" s="1490">
        <v>0</v>
      </c>
      <c r="FE38" s="1179">
        <v>0</v>
      </c>
      <c r="FF38" s="1179">
        <v>0</v>
      </c>
      <c r="FG38" s="1179">
        <v>0</v>
      </c>
      <c r="FH38" s="1487" t="s">
        <v>630</v>
      </c>
      <c r="FI38" s="1488">
        <v>7625647</v>
      </c>
      <c r="FJ38" s="1488">
        <v>8441600</v>
      </c>
      <c r="FK38" s="1488">
        <v>-815953</v>
      </c>
      <c r="FL38" s="1489">
        <v>-0.10700115019748488</v>
      </c>
      <c r="FM38" s="1485">
        <v>194353</v>
      </c>
      <c r="FN38" s="1485">
        <v>194353</v>
      </c>
      <c r="FO38" s="1485">
        <v>0</v>
      </c>
      <c r="FP38" s="1490">
        <v>0</v>
      </c>
      <c r="FQ38" s="1179">
        <v>0</v>
      </c>
      <c r="FR38" s="1179">
        <v>0</v>
      </c>
      <c r="FS38" s="1179">
        <v>0</v>
      </c>
      <c r="FT38" s="1487" t="s">
        <v>630</v>
      </c>
      <c r="FU38" s="1488">
        <v>7625647</v>
      </c>
      <c r="FV38" s="1488">
        <v>8441600</v>
      </c>
      <c r="FW38" s="1488">
        <v>-815953</v>
      </c>
      <c r="FX38" s="1489">
        <v>-0.10700115019748488</v>
      </c>
      <c r="FY38" s="1485">
        <v>194353</v>
      </c>
      <c r="FZ38" s="1485">
        <v>194353</v>
      </c>
      <c r="GA38" s="1485">
        <v>0</v>
      </c>
      <c r="GB38" s="1490">
        <v>0</v>
      </c>
      <c r="GC38" s="1179">
        <v>0</v>
      </c>
      <c r="GD38" s="1179">
        <v>0</v>
      </c>
      <c r="GE38" s="1179">
        <v>0</v>
      </c>
      <c r="GF38" s="1487" t="s">
        <v>630</v>
      </c>
      <c r="GG38" s="1488">
        <v>7625647</v>
      </c>
      <c r="GH38" s="1488">
        <v>8441600</v>
      </c>
      <c r="GI38" s="1488">
        <v>-815953</v>
      </c>
      <c r="GJ38" s="1489">
        <v>-0.10700115019748488</v>
      </c>
      <c r="GK38" s="1485">
        <v>194353</v>
      </c>
      <c r="GL38" s="1485">
        <v>194353</v>
      </c>
      <c r="GM38" s="1485">
        <v>0</v>
      </c>
      <c r="GN38" s="1490">
        <v>0</v>
      </c>
      <c r="GO38" s="1179">
        <v>194353</v>
      </c>
      <c r="GP38" s="1179">
        <v>194353</v>
      </c>
      <c r="GQ38" s="1179">
        <v>0</v>
      </c>
      <c r="GR38" s="1487">
        <v>0</v>
      </c>
      <c r="GS38" s="1488">
        <v>7820000</v>
      </c>
      <c r="GT38" s="1488">
        <v>8635953</v>
      </c>
      <c r="GU38" s="1488">
        <v>-815953</v>
      </c>
      <c r="GV38" s="1489">
        <v>-0.10434181585677749</v>
      </c>
      <c r="GW38" s="1485">
        <v>0</v>
      </c>
      <c r="GX38" s="1485">
        <v>0</v>
      </c>
      <c r="GY38" s="1485">
        <v>0</v>
      </c>
      <c r="GZ38" s="1490" t="s">
        <v>630</v>
      </c>
    </row>
    <row r="39" spans="1:210">
      <c r="A39" s="752" t="s">
        <v>1552</v>
      </c>
      <c r="B39" s="1478" t="s">
        <v>2090</v>
      </c>
      <c r="C39" s="753" t="s">
        <v>1308</v>
      </c>
      <c r="D39" s="753" t="s">
        <v>1246</v>
      </c>
      <c r="E39" s="753"/>
      <c r="F39" s="1482">
        <v>0</v>
      </c>
      <c r="G39" s="1482">
        <v>0</v>
      </c>
      <c r="H39" s="1483">
        <v>0</v>
      </c>
      <c r="I39" s="1481">
        <v>0</v>
      </c>
      <c r="J39" s="1482">
        <v>0</v>
      </c>
      <c r="K39" s="1482">
        <v>0</v>
      </c>
      <c r="L39" s="1483">
        <v>0</v>
      </c>
      <c r="M39" s="1481">
        <v>0</v>
      </c>
      <c r="N39" s="1482">
        <v>0</v>
      </c>
      <c r="O39" s="1482">
        <v>0</v>
      </c>
      <c r="P39" s="1483">
        <v>0</v>
      </c>
      <c r="Q39" s="752">
        <v>0</v>
      </c>
      <c r="R39" s="752">
        <v>0</v>
      </c>
      <c r="S39" s="752">
        <v>0</v>
      </c>
      <c r="T39" s="1484" t="s">
        <v>630</v>
      </c>
      <c r="U39" s="1485">
        <v>0</v>
      </c>
      <c r="V39" s="1485">
        <v>0</v>
      </c>
      <c r="W39" s="1590">
        <v>0</v>
      </c>
      <c r="X39" s="752">
        <v>0</v>
      </c>
      <c r="Y39" s="752">
        <v>0</v>
      </c>
      <c r="Z39" s="752">
        <v>0</v>
      </c>
      <c r="AA39" s="752">
        <v>0</v>
      </c>
      <c r="AB39" s="752">
        <v>0</v>
      </c>
      <c r="AC39" s="752">
        <v>0</v>
      </c>
      <c r="AD39" s="752">
        <v>0</v>
      </c>
      <c r="AE39" s="752">
        <v>0</v>
      </c>
      <c r="AF39" s="752">
        <v>0</v>
      </c>
      <c r="AG39" s="1486">
        <v>0</v>
      </c>
      <c r="AH39" s="752">
        <v>0</v>
      </c>
      <c r="AI39" s="752">
        <v>0</v>
      </c>
      <c r="AJ39" s="752">
        <v>0</v>
      </c>
      <c r="AK39" s="752">
        <v>0</v>
      </c>
      <c r="AL39" s="752">
        <v>0</v>
      </c>
      <c r="AM39" s="752">
        <v>0</v>
      </c>
      <c r="AN39" s="752">
        <v>0</v>
      </c>
      <c r="AO39" s="752">
        <v>0</v>
      </c>
      <c r="AP39" s="752">
        <v>0</v>
      </c>
      <c r="AQ39" s="1486">
        <v>0</v>
      </c>
      <c r="AR39" s="752">
        <v>0</v>
      </c>
      <c r="AS39" s="752">
        <v>0</v>
      </c>
      <c r="AT39" s="752">
        <v>0</v>
      </c>
      <c r="AU39" s="752">
        <v>0</v>
      </c>
      <c r="AV39" s="752">
        <v>0</v>
      </c>
      <c r="AW39" s="752">
        <v>0</v>
      </c>
      <c r="AX39" s="752">
        <v>0</v>
      </c>
      <c r="AY39" s="752">
        <v>0</v>
      </c>
      <c r="AZ39" s="752">
        <v>0</v>
      </c>
      <c r="BA39" s="1486">
        <v>0</v>
      </c>
      <c r="BB39" s="752">
        <v>0</v>
      </c>
      <c r="BC39" s="752">
        <v>0</v>
      </c>
      <c r="BD39" s="752">
        <v>0</v>
      </c>
      <c r="BE39" s="752">
        <v>0</v>
      </c>
      <c r="BF39" s="752">
        <v>0</v>
      </c>
      <c r="BG39" s="752">
        <v>0</v>
      </c>
      <c r="BH39" s="752">
        <v>0</v>
      </c>
      <c r="BI39" s="752">
        <v>0</v>
      </c>
      <c r="BJ39" s="752">
        <v>0</v>
      </c>
      <c r="BK39" s="1486">
        <v>0</v>
      </c>
      <c r="BL39" s="752">
        <v>0</v>
      </c>
      <c r="BM39" s="752">
        <v>0</v>
      </c>
      <c r="BN39" s="752">
        <v>0</v>
      </c>
      <c r="BO39" s="752">
        <v>0</v>
      </c>
      <c r="BP39" s="752">
        <v>0</v>
      </c>
      <c r="BQ39" s="752">
        <v>0</v>
      </c>
      <c r="BR39" s="752">
        <v>0</v>
      </c>
      <c r="BS39" s="752">
        <v>0</v>
      </c>
      <c r="BT39" s="752">
        <v>0</v>
      </c>
      <c r="BU39" s="1486">
        <v>0</v>
      </c>
      <c r="BV39" s="752">
        <v>0</v>
      </c>
      <c r="BW39" s="752">
        <v>0</v>
      </c>
      <c r="BX39" s="752">
        <v>0</v>
      </c>
      <c r="BY39" s="752">
        <v>0</v>
      </c>
      <c r="BZ39" s="752">
        <v>0</v>
      </c>
      <c r="CA39" s="752">
        <v>0</v>
      </c>
      <c r="CB39" s="752">
        <v>0</v>
      </c>
      <c r="CC39" s="752">
        <v>0</v>
      </c>
      <c r="CD39" s="752">
        <v>0</v>
      </c>
      <c r="CE39" s="1486">
        <v>0</v>
      </c>
      <c r="CF39" s="752">
        <v>0</v>
      </c>
      <c r="CG39" s="752">
        <v>0</v>
      </c>
      <c r="CH39" s="752">
        <v>0</v>
      </c>
      <c r="CI39" s="752">
        <v>0</v>
      </c>
      <c r="CJ39" s="752">
        <v>0</v>
      </c>
      <c r="CK39" s="752">
        <v>0</v>
      </c>
      <c r="CL39" s="752">
        <v>0</v>
      </c>
      <c r="CM39" s="752">
        <v>0</v>
      </c>
      <c r="CN39" s="752">
        <v>0</v>
      </c>
      <c r="CO39" s="1486">
        <v>0</v>
      </c>
      <c r="CP39" s="752">
        <v>0</v>
      </c>
      <c r="CQ39" s="752">
        <v>0</v>
      </c>
      <c r="CR39" s="752">
        <v>0</v>
      </c>
      <c r="CS39" s="752">
        <v>0</v>
      </c>
      <c r="CT39" s="752">
        <v>0</v>
      </c>
      <c r="CU39" s="752">
        <v>0</v>
      </c>
      <c r="CV39" s="752">
        <v>0</v>
      </c>
      <c r="CW39" s="752">
        <v>0</v>
      </c>
      <c r="CX39" s="752">
        <v>0</v>
      </c>
      <c r="CY39" s="1486">
        <v>0</v>
      </c>
      <c r="CZ39" s="752">
        <v>0</v>
      </c>
      <c r="DA39" s="752">
        <v>0</v>
      </c>
      <c r="DB39" s="752">
        <v>0</v>
      </c>
      <c r="DC39" s="752">
        <v>0</v>
      </c>
      <c r="DD39" s="752">
        <v>0</v>
      </c>
      <c r="DE39" s="752">
        <v>0</v>
      </c>
      <c r="DF39" s="752">
        <v>0</v>
      </c>
      <c r="DG39" s="752">
        <v>0</v>
      </c>
      <c r="DH39" s="752">
        <v>0</v>
      </c>
      <c r="DI39" s="1486">
        <v>0</v>
      </c>
      <c r="DJ39" s="752">
        <v>0</v>
      </c>
      <c r="DK39" s="752">
        <v>0</v>
      </c>
      <c r="DL39" s="752">
        <v>0</v>
      </c>
      <c r="DM39" s="752">
        <v>0</v>
      </c>
      <c r="DN39" s="752">
        <v>0</v>
      </c>
      <c r="DO39" s="752">
        <v>0</v>
      </c>
      <c r="DP39" s="752">
        <v>0</v>
      </c>
      <c r="DQ39" s="752">
        <v>0</v>
      </c>
      <c r="DR39" s="752">
        <v>0</v>
      </c>
      <c r="DS39" s="1486">
        <v>0</v>
      </c>
      <c r="DT39" s="752">
        <v>0</v>
      </c>
      <c r="DU39" s="752">
        <v>0</v>
      </c>
      <c r="DV39" s="752">
        <v>0</v>
      </c>
      <c r="DW39" s="752">
        <v>0</v>
      </c>
      <c r="DX39" s="752">
        <v>0</v>
      </c>
      <c r="DY39" s="752">
        <v>0</v>
      </c>
      <c r="DZ39" s="752">
        <v>0</v>
      </c>
      <c r="EA39" s="752">
        <v>0</v>
      </c>
      <c r="EB39" s="752">
        <v>0</v>
      </c>
      <c r="EC39" s="1486">
        <v>0</v>
      </c>
      <c r="ED39" s="752">
        <v>0</v>
      </c>
      <c r="EE39" s="752">
        <v>0</v>
      </c>
      <c r="EF39" s="752">
        <v>0</v>
      </c>
      <c r="EG39" s="1179">
        <v>0</v>
      </c>
      <c r="EH39" s="1179">
        <v>0</v>
      </c>
      <c r="EI39" s="1179">
        <v>0</v>
      </c>
      <c r="EJ39" s="1487" t="s">
        <v>630</v>
      </c>
      <c r="EK39" s="1593">
        <v>0</v>
      </c>
      <c r="EL39" s="1593">
        <v>0</v>
      </c>
      <c r="EM39" s="1488">
        <v>0</v>
      </c>
      <c r="EN39" s="1489" t="e">
        <v>#DIV/0!</v>
      </c>
      <c r="EO39" s="1485">
        <v>0</v>
      </c>
      <c r="EP39" s="1485">
        <v>0</v>
      </c>
      <c r="EQ39" s="1485">
        <v>0</v>
      </c>
      <c r="ER39" s="1490" t="s">
        <v>630</v>
      </c>
      <c r="ES39" s="1179">
        <v>0</v>
      </c>
      <c r="ET39" s="1179">
        <v>0</v>
      </c>
      <c r="EU39" s="1179">
        <v>0</v>
      </c>
      <c r="EV39" s="1487" t="s">
        <v>630</v>
      </c>
      <c r="EW39" s="1488">
        <v>0</v>
      </c>
      <c r="EX39" s="1488">
        <v>0</v>
      </c>
      <c r="EY39" s="1488">
        <v>0</v>
      </c>
      <c r="EZ39" s="1489" t="s">
        <v>630</v>
      </c>
      <c r="FA39" s="1485">
        <v>0</v>
      </c>
      <c r="FB39" s="1485">
        <v>0</v>
      </c>
      <c r="FC39" s="1590">
        <v>0</v>
      </c>
      <c r="FD39" s="1490" t="s">
        <v>630</v>
      </c>
      <c r="FE39" s="1179">
        <v>0</v>
      </c>
      <c r="FF39" s="1179">
        <v>0</v>
      </c>
      <c r="FG39" s="1179">
        <v>0</v>
      </c>
      <c r="FH39" s="1487" t="s">
        <v>630</v>
      </c>
      <c r="FI39" s="1488">
        <v>0</v>
      </c>
      <c r="FJ39" s="1488">
        <v>0</v>
      </c>
      <c r="FK39" s="1488">
        <v>0</v>
      </c>
      <c r="FL39" s="1489" t="s">
        <v>630</v>
      </c>
      <c r="FM39" s="1485">
        <v>0</v>
      </c>
      <c r="FN39" s="1485">
        <v>0</v>
      </c>
      <c r="FO39" s="1485">
        <v>0</v>
      </c>
      <c r="FP39" s="1490" t="s">
        <v>630</v>
      </c>
      <c r="FQ39" s="1179">
        <v>0</v>
      </c>
      <c r="FR39" s="1179">
        <v>0</v>
      </c>
      <c r="FS39" s="1179">
        <v>0</v>
      </c>
      <c r="FT39" s="1487" t="s">
        <v>630</v>
      </c>
      <c r="FU39" s="1488">
        <v>0</v>
      </c>
      <c r="FV39" s="1488">
        <v>0</v>
      </c>
      <c r="FW39" s="1488">
        <v>0</v>
      </c>
      <c r="FX39" s="1489" t="s">
        <v>630</v>
      </c>
      <c r="FY39" s="1485">
        <v>0</v>
      </c>
      <c r="FZ39" s="1485">
        <v>0</v>
      </c>
      <c r="GA39" s="1485">
        <v>0</v>
      </c>
      <c r="GB39" s="1490" t="s">
        <v>630</v>
      </c>
      <c r="GC39" s="1179">
        <v>0</v>
      </c>
      <c r="GD39" s="1179">
        <v>0</v>
      </c>
      <c r="GE39" s="1179">
        <v>0</v>
      </c>
      <c r="GF39" s="1487" t="s">
        <v>630</v>
      </c>
      <c r="GG39" s="1488">
        <v>0</v>
      </c>
      <c r="GH39" s="1488">
        <v>0</v>
      </c>
      <c r="GI39" s="1488">
        <v>0</v>
      </c>
      <c r="GJ39" s="1489" t="s">
        <v>630</v>
      </c>
      <c r="GK39" s="1485">
        <v>0</v>
      </c>
      <c r="GL39" s="1485">
        <v>0</v>
      </c>
      <c r="GM39" s="1485">
        <v>0</v>
      </c>
      <c r="GN39" s="1490" t="s">
        <v>630</v>
      </c>
      <c r="GO39" s="1179">
        <v>0</v>
      </c>
      <c r="GP39" s="1179">
        <v>0</v>
      </c>
      <c r="GQ39" s="1179">
        <v>0</v>
      </c>
      <c r="GR39" s="1487" t="s">
        <v>630</v>
      </c>
      <c r="GS39" s="1488">
        <v>0</v>
      </c>
      <c r="GT39" s="1488">
        <v>0</v>
      </c>
      <c r="GU39" s="1488">
        <v>0</v>
      </c>
      <c r="GV39" s="1489" t="s">
        <v>630</v>
      </c>
      <c r="GW39" s="1485">
        <v>0</v>
      </c>
      <c r="GX39" s="1485">
        <v>0</v>
      </c>
      <c r="GY39" s="1485">
        <v>0</v>
      </c>
      <c r="GZ39" s="1490" t="s">
        <v>630</v>
      </c>
    </row>
    <row r="40" spans="1:210">
      <c r="A40" s="752" t="s">
        <v>670</v>
      </c>
      <c r="B40" s="1478" t="s">
        <v>2091</v>
      </c>
      <c r="C40" s="753" t="s">
        <v>1308</v>
      </c>
      <c r="D40" s="753" t="s">
        <v>1246</v>
      </c>
      <c r="E40" s="753"/>
      <c r="F40" s="1482">
        <v>4030000</v>
      </c>
      <c r="G40" s="1482">
        <v>2390732</v>
      </c>
      <c r="H40" s="1483">
        <v>1639268</v>
      </c>
      <c r="I40" s="1481">
        <v>0.40676625310173697</v>
      </c>
      <c r="J40" s="1482">
        <v>4030000</v>
      </c>
      <c r="K40" s="1482">
        <v>2800000</v>
      </c>
      <c r="L40" s="1483">
        <v>1230000</v>
      </c>
      <c r="M40" s="1481">
        <v>0.30521091811414391</v>
      </c>
      <c r="N40" s="1482">
        <v>0</v>
      </c>
      <c r="O40" s="1482">
        <v>-409268</v>
      </c>
      <c r="P40" s="1483">
        <v>409268</v>
      </c>
      <c r="Q40" s="752">
        <v>3788808</v>
      </c>
      <c r="R40" s="752">
        <v>2247649</v>
      </c>
      <c r="S40" s="752">
        <v>1541159</v>
      </c>
      <c r="T40" s="1484">
        <v>0.40676619137206216</v>
      </c>
      <c r="U40" s="1485">
        <v>241192</v>
      </c>
      <c r="V40" s="1485">
        <v>143083</v>
      </c>
      <c r="W40" s="1590">
        <v>98109</v>
      </c>
      <c r="X40" s="752">
        <v>51481</v>
      </c>
      <c r="Y40" s="752">
        <v>30540</v>
      </c>
      <c r="Z40" s="752">
        <v>20941</v>
      </c>
      <c r="AA40" s="752">
        <v>51481</v>
      </c>
      <c r="AB40" s="752">
        <v>30540</v>
      </c>
      <c r="AC40" s="752">
        <v>20941</v>
      </c>
      <c r="AD40" s="752">
        <v>3840289</v>
      </c>
      <c r="AE40" s="752">
        <v>2278189</v>
      </c>
      <c r="AF40" s="752">
        <v>1562100</v>
      </c>
      <c r="AG40" s="1486">
        <v>0.9529253101736973</v>
      </c>
      <c r="AH40" s="752">
        <v>28247</v>
      </c>
      <c r="AI40" s="752">
        <v>16757</v>
      </c>
      <c r="AJ40" s="752">
        <v>11490</v>
      </c>
      <c r="AK40" s="752">
        <v>79728</v>
      </c>
      <c r="AL40" s="752">
        <v>47297</v>
      </c>
      <c r="AM40" s="752">
        <v>32431</v>
      </c>
      <c r="AN40" s="752">
        <v>3868536</v>
      </c>
      <c r="AO40" s="752">
        <v>2294946</v>
      </c>
      <c r="AP40" s="752">
        <v>1573590</v>
      </c>
      <c r="AQ40" s="1486">
        <v>0.95993449131513653</v>
      </c>
      <c r="AR40" s="752">
        <v>57252</v>
      </c>
      <c r="AS40" s="752">
        <v>33964</v>
      </c>
      <c r="AT40" s="752">
        <v>23288</v>
      </c>
      <c r="AU40" s="752">
        <v>136980</v>
      </c>
      <c r="AV40" s="752">
        <v>81261</v>
      </c>
      <c r="AW40" s="752">
        <v>55719</v>
      </c>
      <c r="AX40" s="752">
        <v>3925788</v>
      </c>
      <c r="AY40" s="752">
        <v>2328910</v>
      </c>
      <c r="AZ40" s="752">
        <v>1596878</v>
      </c>
      <c r="BA40" s="1486">
        <v>0.97414094292803965</v>
      </c>
      <c r="BB40" s="752">
        <v>0</v>
      </c>
      <c r="BC40" s="752">
        <v>0</v>
      </c>
      <c r="BD40" s="752">
        <v>0</v>
      </c>
      <c r="BE40" s="752">
        <v>136980</v>
      </c>
      <c r="BF40" s="752">
        <v>81261</v>
      </c>
      <c r="BG40" s="752">
        <v>55719</v>
      </c>
      <c r="BH40" s="752">
        <v>3925788</v>
      </c>
      <c r="BI40" s="752">
        <v>2328910</v>
      </c>
      <c r="BJ40" s="752">
        <v>1596878</v>
      </c>
      <c r="BK40" s="1486">
        <v>0.97414094292803965</v>
      </c>
      <c r="BL40" s="752">
        <v>0</v>
      </c>
      <c r="BM40" s="752">
        <v>0</v>
      </c>
      <c r="BN40" s="752">
        <v>0</v>
      </c>
      <c r="BO40" s="752">
        <v>136980</v>
      </c>
      <c r="BP40" s="752">
        <v>81261</v>
      </c>
      <c r="BQ40" s="752">
        <v>55719</v>
      </c>
      <c r="BR40" s="752">
        <v>3925788</v>
      </c>
      <c r="BS40" s="752">
        <v>2328910</v>
      </c>
      <c r="BT40" s="752">
        <v>1596878</v>
      </c>
      <c r="BU40" s="1486">
        <v>0.97414094292803965</v>
      </c>
      <c r="BV40" s="752">
        <v>0</v>
      </c>
      <c r="BW40" s="752">
        <v>0</v>
      </c>
      <c r="BX40" s="752">
        <v>0</v>
      </c>
      <c r="BY40" s="752">
        <v>136980</v>
      </c>
      <c r="BZ40" s="752">
        <v>81261</v>
      </c>
      <c r="CA40" s="752">
        <v>55719</v>
      </c>
      <c r="CB40" s="752">
        <v>3925788</v>
      </c>
      <c r="CC40" s="752">
        <v>2328910</v>
      </c>
      <c r="CD40" s="752">
        <v>1596878</v>
      </c>
      <c r="CE40" s="1486">
        <v>0.97414094292803965</v>
      </c>
      <c r="CF40" s="752">
        <v>0</v>
      </c>
      <c r="CG40" s="752">
        <v>0</v>
      </c>
      <c r="CH40" s="752">
        <v>0</v>
      </c>
      <c r="CI40" s="752">
        <v>136980</v>
      </c>
      <c r="CJ40" s="752">
        <v>81261</v>
      </c>
      <c r="CK40" s="752">
        <v>55719</v>
      </c>
      <c r="CL40" s="752">
        <v>3925788</v>
      </c>
      <c r="CM40" s="752">
        <v>2328910</v>
      </c>
      <c r="CN40" s="752">
        <v>1596878</v>
      </c>
      <c r="CO40" s="1486">
        <v>0.97414094292803965</v>
      </c>
      <c r="CP40" s="752">
        <v>0</v>
      </c>
      <c r="CQ40" s="752">
        <v>0</v>
      </c>
      <c r="CR40" s="752">
        <v>0</v>
      </c>
      <c r="CS40" s="752">
        <v>136980</v>
      </c>
      <c r="CT40" s="752">
        <v>81261</v>
      </c>
      <c r="CU40" s="752">
        <v>55719</v>
      </c>
      <c r="CV40" s="752">
        <v>3925788</v>
      </c>
      <c r="CW40" s="752">
        <v>2328910</v>
      </c>
      <c r="CX40" s="752">
        <v>1596878</v>
      </c>
      <c r="CY40" s="1486">
        <v>0.97414094292803965</v>
      </c>
      <c r="CZ40" s="752">
        <v>0</v>
      </c>
      <c r="DA40" s="752">
        <v>0</v>
      </c>
      <c r="DB40" s="752">
        <v>0</v>
      </c>
      <c r="DC40" s="752">
        <v>136980</v>
      </c>
      <c r="DD40" s="752">
        <v>81261</v>
      </c>
      <c r="DE40" s="752">
        <v>55719</v>
      </c>
      <c r="DF40" s="752">
        <v>3925788</v>
      </c>
      <c r="DG40" s="752">
        <v>2328910</v>
      </c>
      <c r="DH40" s="752">
        <v>1596878</v>
      </c>
      <c r="DI40" s="1486">
        <v>0.97414094292803965</v>
      </c>
      <c r="DJ40" s="752">
        <v>0</v>
      </c>
      <c r="DK40" s="752">
        <v>0</v>
      </c>
      <c r="DL40" s="752">
        <v>0</v>
      </c>
      <c r="DM40" s="752">
        <v>136980</v>
      </c>
      <c r="DN40" s="752">
        <v>81261</v>
      </c>
      <c r="DO40" s="752">
        <v>55719</v>
      </c>
      <c r="DP40" s="752">
        <v>3925788</v>
      </c>
      <c r="DQ40" s="752">
        <v>2328910</v>
      </c>
      <c r="DR40" s="752">
        <v>1596878</v>
      </c>
      <c r="DS40" s="1486">
        <v>0.97414094292803965</v>
      </c>
      <c r="DT40" s="752">
        <v>0</v>
      </c>
      <c r="DU40" s="752">
        <v>0</v>
      </c>
      <c r="DV40" s="752">
        <v>0</v>
      </c>
      <c r="DW40" s="752">
        <v>136980</v>
      </c>
      <c r="DX40" s="752">
        <v>81261</v>
      </c>
      <c r="DY40" s="752">
        <v>55719</v>
      </c>
      <c r="DZ40" s="752">
        <v>3925788</v>
      </c>
      <c r="EA40" s="752">
        <v>2328910</v>
      </c>
      <c r="EB40" s="752">
        <v>1596878</v>
      </c>
      <c r="EC40" s="1486">
        <v>0.97414094292803965</v>
      </c>
      <c r="ED40" s="752">
        <v>0</v>
      </c>
      <c r="EE40" s="752">
        <v>0</v>
      </c>
      <c r="EF40" s="752">
        <v>0</v>
      </c>
      <c r="EG40" s="1179">
        <v>136980</v>
      </c>
      <c r="EH40" s="1179">
        <v>81261</v>
      </c>
      <c r="EI40" s="1179">
        <v>55719</v>
      </c>
      <c r="EJ40" s="1487">
        <v>0.40676741130091987</v>
      </c>
      <c r="EK40" s="1593">
        <v>3925788</v>
      </c>
      <c r="EL40" s="1593">
        <v>2328910</v>
      </c>
      <c r="EM40" s="1488">
        <v>1596878</v>
      </c>
      <c r="EN40" s="1489">
        <v>0.40676623393825645</v>
      </c>
      <c r="EO40" s="1485">
        <v>104212</v>
      </c>
      <c r="EP40" s="1485">
        <v>61822</v>
      </c>
      <c r="EQ40" s="1485">
        <v>42390</v>
      </c>
      <c r="ER40" s="1490">
        <v>0.40676697501247455</v>
      </c>
      <c r="ES40" s="1179">
        <v>0</v>
      </c>
      <c r="ET40" s="1179">
        <v>0</v>
      </c>
      <c r="EU40" s="1179">
        <v>0</v>
      </c>
      <c r="EV40" s="1487" t="s">
        <v>630</v>
      </c>
      <c r="EW40" s="1488">
        <v>3925788</v>
      </c>
      <c r="EX40" s="1488">
        <v>2328910</v>
      </c>
      <c r="EY40" s="1488">
        <v>1596878</v>
      </c>
      <c r="EZ40" s="1489">
        <v>0.40676623393825645</v>
      </c>
      <c r="FA40" s="1485">
        <v>104212</v>
      </c>
      <c r="FB40" s="1485">
        <v>61822</v>
      </c>
      <c r="FC40" s="1590">
        <v>42390</v>
      </c>
      <c r="FD40" s="1490">
        <v>0.40676697501247455</v>
      </c>
      <c r="FE40" s="1179">
        <v>0</v>
      </c>
      <c r="FF40" s="1179">
        <v>0</v>
      </c>
      <c r="FG40" s="1179">
        <v>0</v>
      </c>
      <c r="FH40" s="1487" t="s">
        <v>630</v>
      </c>
      <c r="FI40" s="1488">
        <v>3925788</v>
      </c>
      <c r="FJ40" s="1488">
        <v>2328910</v>
      </c>
      <c r="FK40" s="1488">
        <v>1596878</v>
      </c>
      <c r="FL40" s="1489">
        <v>0.40676623393825645</v>
      </c>
      <c r="FM40" s="1485">
        <v>104212</v>
      </c>
      <c r="FN40" s="1485">
        <v>61822</v>
      </c>
      <c r="FO40" s="1485">
        <v>42390</v>
      </c>
      <c r="FP40" s="1490">
        <v>0.40676697501247455</v>
      </c>
      <c r="FQ40" s="1179">
        <v>0</v>
      </c>
      <c r="FR40" s="1179">
        <v>0</v>
      </c>
      <c r="FS40" s="1179">
        <v>0</v>
      </c>
      <c r="FT40" s="1487" t="s">
        <v>630</v>
      </c>
      <c r="FU40" s="1488">
        <v>3925788</v>
      </c>
      <c r="FV40" s="1488">
        <v>2328910</v>
      </c>
      <c r="FW40" s="1488">
        <v>1596878</v>
      </c>
      <c r="FX40" s="1489">
        <v>0.40676623393825645</v>
      </c>
      <c r="FY40" s="1485">
        <v>104212</v>
      </c>
      <c r="FZ40" s="1485">
        <v>61822</v>
      </c>
      <c r="GA40" s="1502">
        <v>42390</v>
      </c>
      <c r="GB40" s="1490">
        <v>0.40676697501247455</v>
      </c>
      <c r="GC40" s="1179">
        <v>0</v>
      </c>
      <c r="GD40" s="1179">
        <v>0</v>
      </c>
      <c r="GE40" s="1179">
        <v>0</v>
      </c>
      <c r="GF40" s="1487" t="s">
        <v>630</v>
      </c>
      <c r="GG40" s="1488">
        <v>3925788</v>
      </c>
      <c r="GH40" s="1488">
        <v>2328910</v>
      </c>
      <c r="GI40" s="1488">
        <v>1596878</v>
      </c>
      <c r="GJ40" s="1489">
        <v>0.40676623393825645</v>
      </c>
      <c r="GK40" s="1485">
        <v>104212</v>
      </c>
      <c r="GL40" s="1485">
        <v>61822</v>
      </c>
      <c r="GM40" s="1502">
        <v>42390</v>
      </c>
      <c r="GN40" s="1490">
        <v>0.40676697501247455</v>
      </c>
      <c r="GO40" s="1179">
        <v>104212</v>
      </c>
      <c r="GP40" s="1179">
        <v>61822</v>
      </c>
      <c r="GQ40" s="1179">
        <v>42390</v>
      </c>
      <c r="GR40" s="1487">
        <v>0.40676697501247455</v>
      </c>
      <c r="GS40" s="1488">
        <v>4030000</v>
      </c>
      <c r="GT40" s="1488">
        <v>2390732</v>
      </c>
      <c r="GU40" s="1488">
        <v>1639268</v>
      </c>
      <c r="GV40" s="1489">
        <v>0.40676625310173697</v>
      </c>
      <c r="GW40" s="1485">
        <v>0</v>
      </c>
      <c r="GX40" s="1485">
        <v>0</v>
      </c>
      <c r="GY40" s="1502">
        <v>0</v>
      </c>
      <c r="GZ40" s="1490" t="s">
        <v>630</v>
      </c>
    </row>
    <row r="41" spans="1:210" s="611" customFormat="1">
      <c r="A41" s="1493" t="s">
        <v>672</v>
      </c>
      <c r="B41" s="1494" t="s">
        <v>2092</v>
      </c>
      <c r="C41" s="1495" t="s">
        <v>1314</v>
      </c>
      <c r="D41" s="1495" t="s">
        <v>1246</v>
      </c>
      <c r="E41" s="1495"/>
      <c r="F41" s="1499">
        <v>5150000</v>
      </c>
      <c r="G41" s="1499">
        <v>3686233</v>
      </c>
      <c r="H41" s="1500">
        <v>1463767</v>
      </c>
      <c r="I41" s="1498">
        <v>0.28422660194174759</v>
      </c>
      <c r="J41" s="1499">
        <v>5150000</v>
      </c>
      <c r="K41" s="1499">
        <v>3686233</v>
      </c>
      <c r="L41" s="1500">
        <v>1463767</v>
      </c>
      <c r="M41" s="1498">
        <v>0.28422660194174759</v>
      </c>
      <c r="N41" s="1499">
        <v>0</v>
      </c>
      <c r="O41" s="1499">
        <v>0</v>
      </c>
      <c r="P41" s="1500">
        <v>0</v>
      </c>
      <c r="Q41" s="1493">
        <v>560902</v>
      </c>
      <c r="R41" s="1493">
        <v>401479</v>
      </c>
      <c r="S41" s="1493">
        <v>159423</v>
      </c>
      <c r="T41" s="1501">
        <v>0.28422612149715992</v>
      </c>
      <c r="U41" s="1502">
        <v>4589098</v>
      </c>
      <c r="V41" s="1502">
        <v>3284754</v>
      </c>
      <c r="W41" s="1502">
        <v>1304344</v>
      </c>
      <c r="X41" s="1493">
        <v>154655</v>
      </c>
      <c r="Y41" s="1493">
        <v>110698</v>
      </c>
      <c r="Z41" s="1493">
        <v>43957</v>
      </c>
      <c r="AA41" s="1493">
        <v>154655</v>
      </c>
      <c r="AB41" s="1493">
        <v>110698</v>
      </c>
      <c r="AC41" s="1493">
        <v>43957</v>
      </c>
      <c r="AD41" s="1493">
        <v>715557</v>
      </c>
      <c r="AE41" s="1493">
        <v>512177</v>
      </c>
      <c r="AF41" s="1493">
        <v>203380</v>
      </c>
      <c r="AG41" s="1503">
        <v>0.13894310679611652</v>
      </c>
      <c r="AH41" s="1493">
        <v>109632</v>
      </c>
      <c r="AI41" s="1493">
        <v>78471</v>
      </c>
      <c r="AJ41" s="1493">
        <v>31161</v>
      </c>
      <c r="AK41" s="1493">
        <v>264287</v>
      </c>
      <c r="AL41" s="1493">
        <v>189169</v>
      </c>
      <c r="AM41" s="1493">
        <v>75118</v>
      </c>
      <c r="AN41" s="1493">
        <v>825189</v>
      </c>
      <c r="AO41" s="1493">
        <v>590648</v>
      </c>
      <c r="AP41" s="1493">
        <v>234541</v>
      </c>
      <c r="AQ41" s="1503">
        <v>0.16023087378640777</v>
      </c>
      <c r="AR41" s="1493">
        <v>190338</v>
      </c>
      <c r="AS41" s="1493">
        <v>136239</v>
      </c>
      <c r="AT41" s="1493">
        <v>54099</v>
      </c>
      <c r="AU41" s="1493">
        <v>454625</v>
      </c>
      <c r="AV41" s="1493">
        <v>325408</v>
      </c>
      <c r="AW41" s="1493">
        <v>129217</v>
      </c>
      <c r="AX41" s="1493">
        <v>1015527</v>
      </c>
      <c r="AY41" s="1493">
        <v>726887</v>
      </c>
      <c r="AZ41" s="1493">
        <v>288640</v>
      </c>
      <c r="BA41" s="1503">
        <v>0.19718970873786407</v>
      </c>
      <c r="BB41" s="1493">
        <v>160024</v>
      </c>
      <c r="BC41" s="1493">
        <v>114541</v>
      </c>
      <c r="BD41" s="1493">
        <v>45483</v>
      </c>
      <c r="BE41" s="1493">
        <v>614649</v>
      </c>
      <c r="BF41" s="1493">
        <v>439949</v>
      </c>
      <c r="BG41" s="1493">
        <v>174700</v>
      </c>
      <c r="BH41" s="1493">
        <v>1175551</v>
      </c>
      <c r="BI41" s="1493">
        <v>841428</v>
      </c>
      <c r="BJ41" s="1493">
        <v>334123</v>
      </c>
      <c r="BK41" s="1503">
        <v>0.22826233009708738</v>
      </c>
      <c r="BL41" s="1493">
        <v>202360</v>
      </c>
      <c r="BM41" s="1493">
        <v>144844</v>
      </c>
      <c r="BN41" s="1493">
        <v>57516</v>
      </c>
      <c r="BO41" s="1493">
        <v>817009</v>
      </c>
      <c r="BP41" s="1493">
        <v>584793</v>
      </c>
      <c r="BQ41" s="1493">
        <v>232216</v>
      </c>
      <c r="BR41" s="1493">
        <v>1377911</v>
      </c>
      <c r="BS41" s="1493">
        <v>986272</v>
      </c>
      <c r="BT41" s="1493">
        <v>391639</v>
      </c>
      <c r="BU41" s="1503">
        <v>0.26755553398058252</v>
      </c>
      <c r="BV41" s="1493">
        <v>175565</v>
      </c>
      <c r="BW41" s="1493">
        <v>125665</v>
      </c>
      <c r="BX41" s="1493">
        <v>49900</v>
      </c>
      <c r="BY41" s="1493">
        <v>992574</v>
      </c>
      <c r="BZ41" s="1493">
        <v>710458</v>
      </c>
      <c r="CA41" s="1493">
        <v>282116</v>
      </c>
      <c r="CB41" s="1493">
        <v>1553476</v>
      </c>
      <c r="CC41" s="1493">
        <v>1111937</v>
      </c>
      <c r="CD41" s="1493">
        <v>441539</v>
      </c>
      <c r="CE41" s="1503">
        <v>0.30164582524271843</v>
      </c>
      <c r="CF41" s="1493">
        <v>169396</v>
      </c>
      <c r="CG41" s="1493">
        <v>121249</v>
      </c>
      <c r="CH41" s="1493">
        <v>48147</v>
      </c>
      <c r="CI41" s="1493">
        <v>1161970</v>
      </c>
      <c r="CJ41" s="1493">
        <v>831707</v>
      </c>
      <c r="CK41" s="1493">
        <v>330263</v>
      </c>
      <c r="CL41" s="1493">
        <v>1722872</v>
      </c>
      <c r="CM41" s="1493">
        <v>1233186</v>
      </c>
      <c r="CN41" s="1493">
        <v>489686</v>
      </c>
      <c r="CO41" s="1503">
        <v>0.33453825242718449</v>
      </c>
      <c r="CP41" s="1493">
        <v>170579</v>
      </c>
      <c r="CQ41" s="1493">
        <v>122096</v>
      </c>
      <c r="CR41" s="1493">
        <v>48483</v>
      </c>
      <c r="CS41" s="1493">
        <v>1332549</v>
      </c>
      <c r="CT41" s="1493">
        <v>953803</v>
      </c>
      <c r="CU41" s="1493">
        <v>378746</v>
      </c>
      <c r="CV41" s="1493">
        <v>1893451</v>
      </c>
      <c r="CW41" s="1493">
        <v>1355282</v>
      </c>
      <c r="CX41" s="1493">
        <v>538169</v>
      </c>
      <c r="CY41" s="1503">
        <v>0.36766038834951459</v>
      </c>
      <c r="CZ41" s="1493">
        <v>155787</v>
      </c>
      <c r="DA41" s="1493">
        <v>111508</v>
      </c>
      <c r="DB41" s="1493">
        <v>44279</v>
      </c>
      <c r="DC41" s="1493">
        <v>1488336</v>
      </c>
      <c r="DD41" s="1493">
        <v>1065311</v>
      </c>
      <c r="DE41" s="1493">
        <v>423025</v>
      </c>
      <c r="DF41" s="1493">
        <v>2049238</v>
      </c>
      <c r="DG41" s="1493">
        <v>1466790</v>
      </c>
      <c r="DH41" s="1493">
        <v>582448</v>
      </c>
      <c r="DI41" s="1503">
        <v>0.3979102912621359</v>
      </c>
      <c r="DJ41" s="1493">
        <v>166814</v>
      </c>
      <c r="DK41" s="1493">
        <v>119401</v>
      </c>
      <c r="DL41" s="1493">
        <v>47413</v>
      </c>
      <c r="DM41" s="1493">
        <v>1655150</v>
      </c>
      <c r="DN41" s="1493">
        <v>1184712</v>
      </c>
      <c r="DO41" s="1493">
        <v>470438</v>
      </c>
      <c r="DP41" s="1493">
        <v>2216052</v>
      </c>
      <c r="DQ41" s="1493">
        <v>1586191</v>
      </c>
      <c r="DR41" s="1493">
        <v>629861</v>
      </c>
      <c r="DS41" s="1503">
        <v>0.43030135922330098</v>
      </c>
      <c r="DT41" s="1493">
        <v>168615</v>
      </c>
      <c r="DU41" s="1493">
        <v>120690</v>
      </c>
      <c r="DV41" s="1493">
        <v>47925</v>
      </c>
      <c r="DW41" s="1493">
        <v>1823765</v>
      </c>
      <c r="DX41" s="1493">
        <v>1305402</v>
      </c>
      <c r="DY41" s="1493">
        <v>518363</v>
      </c>
      <c r="DZ41" s="1493">
        <v>2384667</v>
      </c>
      <c r="EA41" s="1493">
        <v>1706881</v>
      </c>
      <c r="EB41" s="1493">
        <v>677786</v>
      </c>
      <c r="EC41" s="1503">
        <v>0.46304213592233012</v>
      </c>
      <c r="ED41" s="1493">
        <v>206205</v>
      </c>
      <c r="EE41" s="1493">
        <v>147596</v>
      </c>
      <c r="EF41" s="1493">
        <v>58609</v>
      </c>
      <c r="EG41" s="1189">
        <v>2029970</v>
      </c>
      <c r="EH41" s="1189">
        <v>1452998</v>
      </c>
      <c r="EI41" s="1189">
        <v>576972</v>
      </c>
      <c r="EJ41" s="1504">
        <v>0.2842268604954753</v>
      </c>
      <c r="EK41" s="1597">
        <v>2590872</v>
      </c>
      <c r="EL41" s="1597">
        <v>1854477</v>
      </c>
      <c r="EM41" s="1505">
        <v>736395</v>
      </c>
      <c r="EN41" s="1506">
        <v>0.28422670050855464</v>
      </c>
      <c r="EO41" s="1502">
        <v>2559128</v>
      </c>
      <c r="EP41" s="1502">
        <v>1831756</v>
      </c>
      <c r="EQ41" s="1502">
        <v>727372</v>
      </c>
      <c r="ER41" s="1507">
        <v>0.28422650215229561</v>
      </c>
      <c r="ES41" s="1189">
        <v>754813</v>
      </c>
      <c r="ET41" s="1189">
        <v>540275</v>
      </c>
      <c r="EU41" s="1189">
        <v>214538</v>
      </c>
      <c r="EV41" s="1504">
        <v>0.28422668925945899</v>
      </c>
      <c r="EW41" s="1505">
        <v>3345685</v>
      </c>
      <c r="EX41" s="1505">
        <v>2394752</v>
      </c>
      <c r="EY41" s="1505">
        <v>950933</v>
      </c>
      <c r="EZ41" s="1506">
        <v>0.28422669797066968</v>
      </c>
      <c r="FA41" s="1502">
        <v>1804315</v>
      </c>
      <c r="FB41" s="1502">
        <v>1291481</v>
      </c>
      <c r="FC41" s="1502">
        <v>512834</v>
      </c>
      <c r="FD41" s="1507">
        <v>0.28422642387831393</v>
      </c>
      <c r="FE41" s="1189">
        <v>965371</v>
      </c>
      <c r="FF41" s="1189">
        <v>690987</v>
      </c>
      <c r="FG41" s="1189">
        <v>274384</v>
      </c>
      <c r="FH41" s="1504">
        <v>0.28422647873201079</v>
      </c>
      <c r="FI41" s="1505">
        <v>4311056</v>
      </c>
      <c r="FJ41" s="1505">
        <v>3085739</v>
      </c>
      <c r="FK41" s="1505">
        <v>1225317</v>
      </c>
      <c r="FL41" s="1506">
        <v>0.28422664887674853</v>
      </c>
      <c r="FM41" s="1502">
        <v>838944</v>
      </c>
      <c r="FN41" s="1502">
        <v>600494</v>
      </c>
      <c r="FO41" s="1502">
        <v>238450</v>
      </c>
      <c r="FP41" s="1507">
        <v>0.28422636075828661</v>
      </c>
      <c r="FQ41" s="1189">
        <v>0</v>
      </c>
      <c r="FR41" s="1189">
        <v>0</v>
      </c>
      <c r="FS41" s="1189">
        <v>0</v>
      </c>
      <c r="FT41" s="1504" t="s">
        <v>630</v>
      </c>
      <c r="FU41" s="1505">
        <v>4311056</v>
      </c>
      <c r="FV41" s="1505">
        <v>3085739</v>
      </c>
      <c r="FW41" s="1505">
        <v>1225317</v>
      </c>
      <c r="FX41" s="1506">
        <v>0.28422664887674853</v>
      </c>
      <c r="FY41" s="1502">
        <v>838944</v>
      </c>
      <c r="FZ41" s="1502">
        <v>600494</v>
      </c>
      <c r="GA41" s="1502">
        <v>238450</v>
      </c>
      <c r="GB41" s="1507">
        <v>0.28422636075828661</v>
      </c>
      <c r="GC41" s="1189">
        <v>0</v>
      </c>
      <c r="GD41" s="1189">
        <v>0</v>
      </c>
      <c r="GE41" s="1189">
        <v>0</v>
      </c>
      <c r="GF41" s="1504" t="s">
        <v>630</v>
      </c>
      <c r="GG41" s="1505">
        <v>4311056</v>
      </c>
      <c r="GH41" s="1505">
        <v>3085739</v>
      </c>
      <c r="GI41" s="1505">
        <v>1225317</v>
      </c>
      <c r="GJ41" s="1506">
        <v>0.28422664887674853</v>
      </c>
      <c r="GK41" s="1502">
        <v>838944</v>
      </c>
      <c r="GL41" s="1502">
        <v>600494</v>
      </c>
      <c r="GM41" s="1502">
        <v>238450</v>
      </c>
      <c r="GN41" s="1507">
        <v>0.28422636075828661</v>
      </c>
      <c r="GO41" s="1189">
        <v>838944</v>
      </c>
      <c r="GP41" s="1189">
        <v>600494</v>
      </c>
      <c r="GQ41" s="1189">
        <v>238450</v>
      </c>
      <c r="GR41" s="1504">
        <v>0.28422636075828661</v>
      </c>
      <c r="GS41" s="1505">
        <v>5150000</v>
      </c>
      <c r="GT41" s="1505">
        <v>3686233</v>
      </c>
      <c r="GU41" s="1505">
        <v>1463767</v>
      </c>
      <c r="GV41" s="1506">
        <v>0.28422660194174759</v>
      </c>
      <c r="GW41" s="1502">
        <v>0</v>
      </c>
      <c r="GX41" s="1502">
        <v>0</v>
      </c>
      <c r="GY41" s="1502">
        <v>0</v>
      </c>
      <c r="GZ41" s="1507" t="s">
        <v>630</v>
      </c>
    </row>
    <row r="42" spans="1:210">
      <c r="A42" s="752" t="s">
        <v>673</v>
      </c>
      <c r="B42" s="1478" t="s">
        <v>2093</v>
      </c>
      <c r="C42" s="753" t="s">
        <v>1308</v>
      </c>
      <c r="D42" s="753" t="s">
        <v>1246</v>
      </c>
      <c r="E42" s="753"/>
      <c r="F42" s="1482">
        <v>19200000</v>
      </c>
      <c r="G42" s="1482">
        <v>12357744</v>
      </c>
      <c r="H42" s="1483">
        <v>6842256</v>
      </c>
      <c r="I42" s="1481">
        <v>0.3563675</v>
      </c>
      <c r="J42" s="1482">
        <v>19200000</v>
      </c>
      <c r="K42" s="1482">
        <v>14100000</v>
      </c>
      <c r="L42" s="1483">
        <v>5100000</v>
      </c>
      <c r="M42" s="1481">
        <v>0.265625</v>
      </c>
      <c r="N42" s="1482">
        <v>0</v>
      </c>
      <c r="O42" s="1482">
        <v>-1742256</v>
      </c>
      <c r="P42" s="1483">
        <v>1742256</v>
      </c>
      <c r="Q42" s="752">
        <v>14839954</v>
      </c>
      <c r="R42" s="752">
        <v>9551477</v>
      </c>
      <c r="S42" s="752">
        <v>5288477</v>
      </c>
      <c r="T42" s="1484">
        <v>0.35636747930620272</v>
      </c>
      <c r="U42" s="1485">
        <v>4360046</v>
      </c>
      <c r="V42" s="1485">
        <v>2806267</v>
      </c>
      <c r="W42" s="1590">
        <v>1553779</v>
      </c>
      <c r="X42" s="752">
        <v>188327</v>
      </c>
      <c r="Y42" s="752">
        <v>121213</v>
      </c>
      <c r="Z42" s="752">
        <v>67114</v>
      </c>
      <c r="AA42" s="752">
        <v>188327</v>
      </c>
      <c r="AB42" s="752">
        <v>121213</v>
      </c>
      <c r="AC42" s="752">
        <v>67114</v>
      </c>
      <c r="AD42" s="752">
        <v>15028281</v>
      </c>
      <c r="AE42" s="752">
        <v>9672690</v>
      </c>
      <c r="AF42" s="752">
        <v>5355591</v>
      </c>
      <c r="AG42" s="1486">
        <v>0.78272296875000003</v>
      </c>
      <c r="AH42" s="752">
        <v>122961</v>
      </c>
      <c r="AI42" s="752">
        <v>79142</v>
      </c>
      <c r="AJ42" s="752">
        <v>43819</v>
      </c>
      <c r="AK42" s="752">
        <v>311288</v>
      </c>
      <c r="AL42" s="752">
        <v>200355</v>
      </c>
      <c r="AM42" s="752">
        <v>110933</v>
      </c>
      <c r="AN42" s="752">
        <v>15151242</v>
      </c>
      <c r="AO42" s="752">
        <v>9751832</v>
      </c>
      <c r="AP42" s="752">
        <v>5399410</v>
      </c>
      <c r="AQ42" s="1486">
        <v>0.78912718749999999</v>
      </c>
      <c r="AR42" s="752">
        <v>247940</v>
      </c>
      <c r="AS42" s="752">
        <v>159582</v>
      </c>
      <c r="AT42" s="752">
        <v>88358</v>
      </c>
      <c r="AU42" s="752">
        <v>559228</v>
      </c>
      <c r="AV42" s="752">
        <v>359937</v>
      </c>
      <c r="AW42" s="752">
        <v>199291</v>
      </c>
      <c r="AX42" s="752">
        <v>15399182</v>
      </c>
      <c r="AY42" s="752">
        <v>9911414</v>
      </c>
      <c r="AZ42" s="752">
        <v>5487768</v>
      </c>
      <c r="BA42" s="1486">
        <v>0.80204072916666669</v>
      </c>
      <c r="BB42" s="752">
        <v>195110</v>
      </c>
      <c r="BC42" s="752">
        <v>125579</v>
      </c>
      <c r="BD42" s="752">
        <v>69531</v>
      </c>
      <c r="BE42" s="752">
        <v>754338</v>
      </c>
      <c r="BF42" s="752">
        <v>485516</v>
      </c>
      <c r="BG42" s="752">
        <v>268822</v>
      </c>
      <c r="BH42" s="752">
        <v>15594292</v>
      </c>
      <c r="BI42" s="752">
        <v>10036993</v>
      </c>
      <c r="BJ42" s="752">
        <v>5557299</v>
      </c>
      <c r="BK42" s="1486">
        <v>0.8122027083333333</v>
      </c>
      <c r="BL42" s="752">
        <v>226130</v>
      </c>
      <c r="BM42" s="752">
        <v>145545</v>
      </c>
      <c r="BN42" s="752">
        <v>80585</v>
      </c>
      <c r="BO42" s="752">
        <v>980468</v>
      </c>
      <c r="BP42" s="752">
        <v>631061</v>
      </c>
      <c r="BQ42" s="752">
        <v>349407</v>
      </c>
      <c r="BR42" s="752">
        <v>15820422</v>
      </c>
      <c r="BS42" s="752">
        <v>10182538</v>
      </c>
      <c r="BT42" s="752">
        <v>5637884</v>
      </c>
      <c r="BU42" s="1486">
        <v>0.82398031250000003</v>
      </c>
      <c r="BV42" s="752">
        <v>196333</v>
      </c>
      <c r="BW42" s="752">
        <v>126366</v>
      </c>
      <c r="BX42" s="752">
        <v>69967</v>
      </c>
      <c r="BY42" s="752">
        <v>1176801</v>
      </c>
      <c r="BZ42" s="752">
        <v>757427</v>
      </c>
      <c r="CA42" s="752">
        <v>419374</v>
      </c>
      <c r="CB42" s="752">
        <v>16016755</v>
      </c>
      <c r="CC42" s="752">
        <v>10308904</v>
      </c>
      <c r="CD42" s="752">
        <v>5707851</v>
      </c>
      <c r="CE42" s="1486">
        <v>0.83420598958333336</v>
      </c>
      <c r="CF42" s="752">
        <v>189471</v>
      </c>
      <c r="CG42" s="752">
        <v>121950</v>
      </c>
      <c r="CH42" s="752">
        <v>67521</v>
      </c>
      <c r="CI42" s="752">
        <v>1366272</v>
      </c>
      <c r="CJ42" s="752">
        <v>879377</v>
      </c>
      <c r="CK42" s="752">
        <v>486895</v>
      </c>
      <c r="CL42" s="752">
        <v>16206226</v>
      </c>
      <c r="CM42" s="752">
        <v>10430854</v>
      </c>
      <c r="CN42" s="752">
        <v>5775372</v>
      </c>
      <c r="CO42" s="1486">
        <v>0.84407427083333331</v>
      </c>
      <c r="CP42" s="752">
        <v>190895</v>
      </c>
      <c r="CQ42" s="752">
        <v>122866</v>
      </c>
      <c r="CR42" s="752">
        <v>68029</v>
      </c>
      <c r="CS42" s="752">
        <v>1557167</v>
      </c>
      <c r="CT42" s="752">
        <v>1002243</v>
      </c>
      <c r="CU42" s="752">
        <v>554924</v>
      </c>
      <c r="CV42" s="752">
        <v>16397121</v>
      </c>
      <c r="CW42" s="752">
        <v>10553720</v>
      </c>
      <c r="CX42" s="752">
        <v>5843401</v>
      </c>
      <c r="CY42" s="1486">
        <v>0.85401671874999996</v>
      </c>
      <c r="CZ42" s="752">
        <v>174444</v>
      </c>
      <c r="DA42" s="752">
        <v>112278</v>
      </c>
      <c r="DB42" s="752">
        <v>62166</v>
      </c>
      <c r="DC42" s="752">
        <v>1731611</v>
      </c>
      <c r="DD42" s="752">
        <v>1114521</v>
      </c>
      <c r="DE42" s="752">
        <v>617090</v>
      </c>
      <c r="DF42" s="752">
        <v>16571565</v>
      </c>
      <c r="DG42" s="752">
        <v>10665998</v>
      </c>
      <c r="DH42" s="752">
        <v>5905567</v>
      </c>
      <c r="DI42" s="1486">
        <v>0.86310234374999995</v>
      </c>
      <c r="DJ42" s="752">
        <v>387720</v>
      </c>
      <c r="DK42" s="752">
        <v>249549</v>
      </c>
      <c r="DL42" s="752">
        <v>138171</v>
      </c>
      <c r="DM42" s="752">
        <v>2119331</v>
      </c>
      <c r="DN42" s="752">
        <v>1364070</v>
      </c>
      <c r="DO42" s="752">
        <v>755261</v>
      </c>
      <c r="DP42" s="752">
        <v>16959285</v>
      </c>
      <c r="DQ42" s="752">
        <v>10915547</v>
      </c>
      <c r="DR42" s="752">
        <v>6043738</v>
      </c>
      <c r="DS42" s="1486">
        <v>0.88329609374999996</v>
      </c>
      <c r="DT42" s="752">
        <v>307132</v>
      </c>
      <c r="DU42" s="752">
        <v>197680</v>
      </c>
      <c r="DV42" s="752">
        <v>109452</v>
      </c>
      <c r="DW42" s="752">
        <v>2426463</v>
      </c>
      <c r="DX42" s="752">
        <v>1561750</v>
      </c>
      <c r="DY42" s="752">
        <v>864713</v>
      </c>
      <c r="DZ42" s="752">
        <v>17266417</v>
      </c>
      <c r="EA42" s="752">
        <v>11113227</v>
      </c>
      <c r="EB42" s="752">
        <v>6153190</v>
      </c>
      <c r="EC42" s="1486">
        <v>0.89929255208333336</v>
      </c>
      <c r="ED42" s="752">
        <v>336961</v>
      </c>
      <c r="EE42" s="752">
        <v>216879</v>
      </c>
      <c r="EF42" s="752">
        <v>120082</v>
      </c>
      <c r="EG42" s="1179">
        <v>2763424</v>
      </c>
      <c r="EH42" s="1179">
        <v>1778629</v>
      </c>
      <c r="EI42" s="1179">
        <v>984795</v>
      </c>
      <c r="EJ42" s="1487">
        <v>0.35636768009541786</v>
      </c>
      <c r="EK42" s="1593">
        <v>17603378</v>
      </c>
      <c r="EL42" s="1593">
        <v>11330106</v>
      </c>
      <c r="EM42" s="1488">
        <v>6273272</v>
      </c>
      <c r="EN42" s="1489">
        <v>0.35636751082661522</v>
      </c>
      <c r="EO42" s="1485">
        <v>1596622</v>
      </c>
      <c r="EP42" s="1485">
        <v>1027638</v>
      </c>
      <c r="EQ42" s="1485">
        <v>568984</v>
      </c>
      <c r="ER42" s="1490">
        <v>0.35636738063236006</v>
      </c>
      <c r="ES42" s="1179">
        <v>1064317</v>
      </c>
      <c r="ET42" s="1179">
        <v>685029</v>
      </c>
      <c r="EU42" s="1179">
        <v>379288</v>
      </c>
      <c r="EV42" s="1487">
        <v>0.35636751080740042</v>
      </c>
      <c r="EW42" s="1488">
        <v>18667695</v>
      </c>
      <c r="EX42" s="1488">
        <v>12015135</v>
      </c>
      <c r="EY42" s="1488">
        <v>6652560</v>
      </c>
      <c r="EZ42" s="1489">
        <v>0.35636751082551971</v>
      </c>
      <c r="FA42" s="1485">
        <v>532305</v>
      </c>
      <c r="FB42" s="1485">
        <v>342609</v>
      </c>
      <c r="FC42" s="1590">
        <v>189696</v>
      </c>
      <c r="FD42" s="1490">
        <v>0.35636712035393242</v>
      </c>
      <c r="FE42" s="1179">
        <v>0</v>
      </c>
      <c r="FF42" s="1179">
        <v>0</v>
      </c>
      <c r="FG42" s="1179">
        <v>0</v>
      </c>
      <c r="FH42" s="1487" t="s">
        <v>630</v>
      </c>
      <c r="FI42" s="1488">
        <v>18667695</v>
      </c>
      <c r="FJ42" s="1488">
        <v>12015135</v>
      </c>
      <c r="FK42" s="1488">
        <v>6652560</v>
      </c>
      <c r="FL42" s="1489">
        <v>0.35636751082551971</v>
      </c>
      <c r="FM42" s="1485">
        <v>532305</v>
      </c>
      <c r="FN42" s="1485">
        <v>342609</v>
      </c>
      <c r="FO42" s="1485">
        <v>189696</v>
      </c>
      <c r="FP42" s="1490">
        <v>0.35636712035393242</v>
      </c>
      <c r="FQ42" s="1179">
        <v>0</v>
      </c>
      <c r="FR42" s="1179">
        <v>0</v>
      </c>
      <c r="FS42" s="1179">
        <v>0</v>
      </c>
      <c r="FT42" s="1487" t="s">
        <v>630</v>
      </c>
      <c r="FU42" s="1488">
        <v>18667695</v>
      </c>
      <c r="FV42" s="1488">
        <v>12015135</v>
      </c>
      <c r="FW42" s="1488">
        <v>6652560</v>
      </c>
      <c r="FX42" s="1489">
        <v>0.35636751082551971</v>
      </c>
      <c r="FY42" s="1485">
        <v>532305</v>
      </c>
      <c r="FZ42" s="1485">
        <v>342609</v>
      </c>
      <c r="GA42" s="1485">
        <v>189696</v>
      </c>
      <c r="GB42" s="1490">
        <v>0.35636712035393242</v>
      </c>
      <c r="GC42" s="1179">
        <v>0</v>
      </c>
      <c r="GD42" s="1179">
        <v>0</v>
      </c>
      <c r="GE42" s="1179">
        <v>0</v>
      </c>
      <c r="GF42" s="1487" t="s">
        <v>630</v>
      </c>
      <c r="GG42" s="1488">
        <v>18667695</v>
      </c>
      <c r="GH42" s="1488">
        <v>12015135</v>
      </c>
      <c r="GI42" s="1488">
        <v>6652560</v>
      </c>
      <c r="GJ42" s="1489">
        <v>0.35636751082551971</v>
      </c>
      <c r="GK42" s="1485">
        <v>532305</v>
      </c>
      <c r="GL42" s="1485">
        <v>342609</v>
      </c>
      <c r="GM42" s="1485">
        <v>189696</v>
      </c>
      <c r="GN42" s="1490">
        <v>0.35636712035393242</v>
      </c>
      <c r="GO42" s="1179">
        <v>532305</v>
      </c>
      <c r="GP42" s="1179">
        <v>342609</v>
      </c>
      <c r="GQ42" s="1179">
        <v>189696</v>
      </c>
      <c r="GR42" s="1487">
        <v>0.35636712035393242</v>
      </c>
      <c r="GS42" s="1488">
        <v>19200000</v>
      </c>
      <c r="GT42" s="1488">
        <v>12357744</v>
      </c>
      <c r="GU42" s="1488">
        <v>6842256</v>
      </c>
      <c r="GV42" s="1489">
        <v>0.3563675</v>
      </c>
      <c r="GW42" s="1485">
        <v>0</v>
      </c>
      <c r="GX42" s="1485">
        <v>0</v>
      </c>
      <c r="GY42" s="1485">
        <v>0</v>
      </c>
      <c r="GZ42" s="1490" t="s">
        <v>630</v>
      </c>
    </row>
    <row r="43" spans="1:210">
      <c r="A43" s="752" t="s">
        <v>675</v>
      </c>
      <c r="B43" s="1478" t="s">
        <v>2094</v>
      </c>
      <c r="C43" s="753" t="s">
        <v>1308</v>
      </c>
      <c r="D43" s="753" t="s">
        <v>1246</v>
      </c>
      <c r="E43" s="753"/>
      <c r="F43" s="1482">
        <v>4940000</v>
      </c>
      <c r="G43" s="1482">
        <v>3200000</v>
      </c>
      <c r="H43" s="1483">
        <v>1740000</v>
      </c>
      <c r="I43" s="1481">
        <v>0.35222672064777327</v>
      </c>
      <c r="J43" s="1482">
        <v>4940000</v>
      </c>
      <c r="K43" s="1482">
        <v>3200000</v>
      </c>
      <c r="L43" s="1483">
        <v>1740000</v>
      </c>
      <c r="M43" s="1481">
        <v>0.35222672064777327</v>
      </c>
      <c r="N43" s="1482">
        <v>0</v>
      </c>
      <c r="O43" s="1482">
        <v>0</v>
      </c>
      <c r="P43" s="1483">
        <v>0</v>
      </c>
      <c r="Q43" s="752">
        <v>4517732</v>
      </c>
      <c r="R43" s="752">
        <v>2926466</v>
      </c>
      <c r="S43" s="752">
        <v>1591266</v>
      </c>
      <c r="T43" s="1484">
        <v>0.35222673677854288</v>
      </c>
      <c r="U43" s="1485">
        <v>422268</v>
      </c>
      <c r="V43" s="1485">
        <v>273534</v>
      </c>
      <c r="W43" s="1590">
        <v>148734</v>
      </c>
      <c r="X43" s="752">
        <v>1553</v>
      </c>
      <c r="Y43" s="752">
        <v>1006</v>
      </c>
      <c r="Z43" s="752">
        <v>547</v>
      </c>
      <c r="AA43" s="752">
        <v>1553</v>
      </c>
      <c r="AB43" s="752">
        <v>1006</v>
      </c>
      <c r="AC43" s="752">
        <v>547</v>
      </c>
      <c r="AD43" s="752">
        <v>4519285</v>
      </c>
      <c r="AE43" s="752">
        <v>2927472</v>
      </c>
      <c r="AF43" s="752">
        <v>1591813</v>
      </c>
      <c r="AG43" s="1486">
        <v>0.91483502024291496</v>
      </c>
      <c r="AH43" s="752">
        <v>1553</v>
      </c>
      <c r="AI43" s="752">
        <v>1006</v>
      </c>
      <c r="AJ43" s="752">
        <v>547</v>
      </c>
      <c r="AK43" s="752">
        <v>3106</v>
      </c>
      <c r="AL43" s="752">
        <v>2012</v>
      </c>
      <c r="AM43" s="752">
        <v>1094</v>
      </c>
      <c r="AN43" s="752">
        <v>4520838</v>
      </c>
      <c r="AO43" s="752">
        <v>2928478</v>
      </c>
      <c r="AP43" s="752">
        <v>1592360</v>
      </c>
      <c r="AQ43" s="1486">
        <v>0.91514939271255058</v>
      </c>
      <c r="AR43" s="752">
        <v>1622</v>
      </c>
      <c r="AS43" s="752">
        <v>1051</v>
      </c>
      <c r="AT43" s="752">
        <v>571</v>
      </c>
      <c r="AU43" s="752">
        <v>4728</v>
      </c>
      <c r="AV43" s="752">
        <v>3063</v>
      </c>
      <c r="AW43" s="752">
        <v>1665</v>
      </c>
      <c r="AX43" s="752">
        <v>4522460</v>
      </c>
      <c r="AY43" s="752">
        <v>2929529</v>
      </c>
      <c r="AZ43" s="752">
        <v>1592931</v>
      </c>
      <c r="BA43" s="1486">
        <v>0.91547773279352229</v>
      </c>
      <c r="BB43" s="752">
        <v>1623</v>
      </c>
      <c r="BC43" s="752">
        <v>1051</v>
      </c>
      <c r="BD43" s="752">
        <v>572</v>
      </c>
      <c r="BE43" s="752">
        <v>6351</v>
      </c>
      <c r="BF43" s="752">
        <v>4114</v>
      </c>
      <c r="BG43" s="752">
        <v>2237</v>
      </c>
      <c r="BH43" s="752">
        <v>4524083</v>
      </c>
      <c r="BI43" s="752">
        <v>2930580</v>
      </c>
      <c r="BJ43" s="752">
        <v>1593503</v>
      </c>
      <c r="BK43" s="1486">
        <v>0.91580627530364378</v>
      </c>
      <c r="BL43" s="752">
        <v>1622</v>
      </c>
      <c r="BM43" s="752">
        <v>1051</v>
      </c>
      <c r="BN43" s="752">
        <v>571</v>
      </c>
      <c r="BO43" s="752">
        <v>7973</v>
      </c>
      <c r="BP43" s="752">
        <v>5165</v>
      </c>
      <c r="BQ43" s="752">
        <v>2808</v>
      </c>
      <c r="BR43" s="752">
        <v>4525705</v>
      </c>
      <c r="BS43" s="752">
        <v>2931631</v>
      </c>
      <c r="BT43" s="752">
        <v>1594074</v>
      </c>
      <c r="BU43" s="1486">
        <v>0.91613461538461538</v>
      </c>
      <c r="BV43" s="752">
        <v>1623</v>
      </c>
      <c r="BW43" s="752">
        <v>1051</v>
      </c>
      <c r="BX43" s="752">
        <v>572</v>
      </c>
      <c r="BY43" s="752">
        <v>9596</v>
      </c>
      <c r="BZ43" s="752">
        <v>6216</v>
      </c>
      <c r="CA43" s="752">
        <v>3380</v>
      </c>
      <c r="CB43" s="752">
        <v>4527328</v>
      </c>
      <c r="CC43" s="752">
        <v>2932682</v>
      </c>
      <c r="CD43" s="752">
        <v>1594646</v>
      </c>
      <c r="CE43" s="1486">
        <v>0.91646315789473687</v>
      </c>
      <c r="CF43" s="752">
        <v>1622</v>
      </c>
      <c r="CG43" s="752">
        <v>1051</v>
      </c>
      <c r="CH43" s="752">
        <v>571</v>
      </c>
      <c r="CI43" s="752">
        <v>11218</v>
      </c>
      <c r="CJ43" s="752">
        <v>7267</v>
      </c>
      <c r="CK43" s="752">
        <v>3951</v>
      </c>
      <c r="CL43" s="752">
        <v>4528950</v>
      </c>
      <c r="CM43" s="752">
        <v>2933733</v>
      </c>
      <c r="CN43" s="752">
        <v>1595217</v>
      </c>
      <c r="CO43" s="1486">
        <v>0.91679149797570847</v>
      </c>
      <c r="CP43" s="752">
        <v>0</v>
      </c>
      <c r="CQ43" s="752">
        <v>0</v>
      </c>
      <c r="CR43" s="752">
        <v>0</v>
      </c>
      <c r="CS43" s="752">
        <v>11218</v>
      </c>
      <c r="CT43" s="752">
        <v>7267</v>
      </c>
      <c r="CU43" s="752">
        <v>3951</v>
      </c>
      <c r="CV43" s="752">
        <v>4528950</v>
      </c>
      <c r="CW43" s="752">
        <v>2933733</v>
      </c>
      <c r="CX43" s="752">
        <v>1595217</v>
      </c>
      <c r="CY43" s="1486">
        <v>0.91679149797570847</v>
      </c>
      <c r="CZ43" s="752">
        <v>0</v>
      </c>
      <c r="DA43" s="752">
        <v>0</v>
      </c>
      <c r="DB43" s="752">
        <v>0</v>
      </c>
      <c r="DC43" s="752">
        <v>11218</v>
      </c>
      <c r="DD43" s="752">
        <v>7267</v>
      </c>
      <c r="DE43" s="752">
        <v>3951</v>
      </c>
      <c r="DF43" s="752">
        <v>4528950</v>
      </c>
      <c r="DG43" s="752">
        <v>2933733</v>
      </c>
      <c r="DH43" s="752">
        <v>1595217</v>
      </c>
      <c r="DI43" s="1486">
        <v>0.91679149797570847</v>
      </c>
      <c r="DJ43" s="752">
        <v>0</v>
      </c>
      <c r="DK43" s="752">
        <v>0</v>
      </c>
      <c r="DL43" s="752">
        <v>0</v>
      </c>
      <c r="DM43" s="752">
        <v>11218</v>
      </c>
      <c r="DN43" s="752">
        <v>7267</v>
      </c>
      <c r="DO43" s="752">
        <v>3951</v>
      </c>
      <c r="DP43" s="752">
        <v>4528950</v>
      </c>
      <c r="DQ43" s="752">
        <v>2933733</v>
      </c>
      <c r="DR43" s="752">
        <v>1595217</v>
      </c>
      <c r="DS43" s="1486">
        <v>0.91679149797570847</v>
      </c>
      <c r="DT43" s="752">
        <v>0</v>
      </c>
      <c r="DU43" s="752">
        <v>0</v>
      </c>
      <c r="DV43" s="752">
        <v>0</v>
      </c>
      <c r="DW43" s="752">
        <v>11218</v>
      </c>
      <c r="DX43" s="752">
        <v>7267</v>
      </c>
      <c r="DY43" s="752">
        <v>3951</v>
      </c>
      <c r="DZ43" s="752">
        <v>4528950</v>
      </c>
      <c r="EA43" s="752">
        <v>2933733</v>
      </c>
      <c r="EB43" s="752">
        <v>1595217</v>
      </c>
      <c r="EC43" s="1486">
        <v>0.91679149797570847</v>
      </c>
      <c r="ED43" s="752">
        <v>0</v>
      </c>
      <c r="EE43" s="752">
        <v>0</v>
      </c>
      <c r="EF43" s="752">
        <v>0</v>
      </c>
      <c r="EG43" s="1179">
        <v>11218</v>
      </c>
      <c r="EH43" s="1179">
        <v>7267</v>
      </c>
      <c r="EI43" s="1179">
        <v>3951</v>
      </c>
      <c r="EJ43" s="1487">
        <v>0.35220181850597254</v>
      </c>
      <c r="EK43" s="1593">
        <v>4528950</v>
      </c>
      <c r="EL43" s="1593">
        <v>2933733</v>
      </c>
      <c r="EM43" s="1488">
        <v>1595217</v>
      </c>
      <c r="EN43" s="1489">
        <v>0.35222667505713245</v>
      </c>
      <c r="EO43" s="1485">
        <v>411050</v>
      </c>
      <c r="EP43" s="1485">
        <v>266267</v>
      </c>
      <c r="EQ43" s="1485">
        <v>144783</v>
      </c>
      <c r="ER43" s="1490">
        <v>0.35222722296557596</v>
      </c>
      <c r="ES43" s="1179">
        <v>0</v>
      </c>
      <c r="ET43" s="1179">
        <v>0</v>
      </c>
      <c r="EU43" s="1179">
        <v>0</v>
      </c>
      <c r="EV43" s="1487" t="s">
        <v>630</v>
      </c>
      <c r="EW43" s="1488">
        <v>4528950</v>
      </c>
      <c r="EX43" s="1488">
        <v>2933733</v>
      </c>
      <c r="EY43" s="1488">
        <v>1595217</v>
      </c>
      <c r="EZ43" s="1489">
        <v>0.35222667505713245</v>
      </c>
      <c r="FA43" s="1485">
        <v>411050</v>
      </c>
      <c r="FB43" s="1485">
        <v>266267</v>
      </c>
      <c r="FC43" s="1590">
        <v>144783</v>
      </c>
      <c r="FD43" s="1490">
        <v>0.35222722296557596</v>
      </c>
      <c r="FE43" s="1179">
        <v>0</v>
      </c>
      <c r="FF43" s="1179">
        <v>0</v>
      </c>
      <c r="FG43" s="1179">
        <v>0</v>
      </c>
      <c r="FH43" s="1487" t="s">
        <v>630</v>
      </c>
      <c r="FI43" s="1488">
        <v>4528950</v>
      </c>
      <c r="FJ43" s="1488">
        <v>2933733</v>
      </c>
      <c r="FK43" s="1488">
        <v>1595217</v>
      </c>
      <c r="FL43" s="1489">
        <v>0.35222667505713245</v>
      </c>
      <c r="FM43" s="1485">
        <v>411050</v>
      </c>
      <c r="FN43" s="1485">
        <v>266267</v>
      </c>
      <c r="FO43" s="1485">
        <v>144783</v>
      </c>
      <c r="FP43" s="1490">
        <v>0.35222722296557596</v>
      </c>
      <c r="FQ43" s="1179">
        <v>0</v>
      </c>
      <c r="FR43" s="1179">
        <v>0</v>
      </c>
      <c r="FS43" s="1179">
        <v>0</v>
      </c>
      <c r="FT43" s="1487" t="s">
        <v>630</v>
      </c>
      <c r="FU43" s="1488">
        <v>4528950</v>
      </c>
      <c r="FV43" s="1488">
        <v>2933733</v>
      </c>
      <c r="FW43" s="1488">
        <v>1595217</v>
      </c>
      <c r="FX43" s="1489">
        <v>0.35222667505713245</v>
      </c>
      <c r="FY43" s="1485">
        <v>411050</v>
      </c>
      <c r="FZ43" s="1485">
        <v>266267</v>
      </c>
      <c r="GA43" s="1502">
        <v>144783</v>
      </c>
      <c r="GB43" s="1490">
        <v>0.35222722296557596</v>
      </c>
      <c r="GC43" s="1179">
        <v>0</v>
      </c>
      <c r="GD43" s="1179">
        <v>0</v>
      </c>
      <c r="GE43" s="1179">
        <v>0</v>
      </c>
      <c r="GF43" s="1487" t="s">
        <v>630</v>
      </c>
      <c r="GG43" s="1488">
        <v>4528950</v>
      </c>
      <c r="GH43" s="1488">
        <v>2933733</v>
      </c>
      <c r="GI43" s="1488">
        <v>1595217</v>
      </c>
      <c r="GJ43" s="1489">
        <v>0.35222667505713245</v>
      </c>
      <c r="GK43" s="1485">
        <v>411050</v>
      </c>
      <c r="GL43" s="1485">
        <v>266267</v>
      </c>
      <c r="GM43" s="1502">
        <v>144783</v>
      </c>
      <c r="GN43" s="1490">
        <v>0.35222722296557596</v>
      </c>
      <c r="GO43" s="1179">
        <v>411050</v>
      </c>
      <c r="GP43" s="1179">
        <v>266267</v>
      </c>
      <c r="GQ43" s="1179">
        <v>144783</v>
      </c>
      <c r="GR43" s="1487">
        <v>0.35222722296557596</v>
      </c>
      <c r="GS43" s="1488">
        <v>4940000</v>
      </c>
      <c r="GT43" s="1488">
        <v>3200000</v>
      </c>
      <c r="GU43" s="1488">
        <v>1740000</v>
      </c>
      <c r="GV43" s="1489">
        <v>0.35222672064777327</v>
      </c>
      <c r="GW43" s="1485">
        <v>0</v>
      </c>
      <c r="GX43" s="1485">
        <v>0</v>
      </c>
      <c r="GY43" s="1502">
        <v>0</v>
      </c>
      <c r="GZ43" s="1490" t="s">
        <v>630</v>
      </c>
    </row>
    <row r="44" spans="1:210">
      <c r="A44" s="752" t="s">
        <v>677</v>
      </c>
      <c r="B44" s="1478" t="s">
        <v>1340</v>
      </c>
      <c r="C44" s="753" t="s">
        <v>1308</v>
      </c>
      <c r="D44" s="753" t="s">
        <v>1246</v>
      </c>
      <c r="E44" s="753"/>
      <c r="F44" s="1482">
        <v>31186000</v>
      </c>
      <c r="G44" s="1482">
        <v>16578194</v>
      </c>
      <c r="H44" s="1483">
        <v>14607806</v>
      </c>
      <c r="I44" s="1481">
        <v>0.46840909382415186</v>
      </c>
      <c r="J44" s="1482">
        <v>32838000</v>
      </c>
      <c r="K44" s="1482">
        <v>21000000</v>
      </c>
      <c r="L44" s="1483">
        <v>11838000</v>
      </c>
      <c r="M44" s="1481">
        <v>0.36049698520007306</v>
      </c>
      <c r="N44" s="1482">
        <v>-1652000</v>
      </c>
      <c r="O44" s="1482">
        <v>-4421806</v>
      </c>
      <c r="P44" s="1483">
        <v>2769806</v>
      </c>
      <c r="Q44" s="752">
        <v>28823898</v>
      </c>
      <c r="R44" s="752">
        <v>15322522</v>
      </c>
      <c r="S44" s="752">
        <v>13501376</v>
      </c>
      <c r="T44" s="1484">
        <v>0.46840909581348089</v>
      </c>
      <c r="U44" s="1485">
        <v>2362102</v>
      </c>
      <c r="V44" s="1485">
        <v>1255672</v>
      </c>
      <c r="W44" s="1590">
        <v>1106430</v>
      </c>
      <c r="X44" s="752">
        <v>606827</v>
      </c>
      <c r="Y44" s="752">
        <v>322584</v>
      </c>
      <c r="Z44" s="752">
        <v>284243</v>
      </c>
      <c r="AA44" s="752">
        <v>606827</v>
      </c>
      <c r="AB44" s="752">
        <v>322584</v>
      </c>
      <c r="AC44" s="752">
        <v>284243</v>
      </c>
      <c r="AD44" s="752">
        <v>29430725</v>
      </c>
      <c r="AE44" s="752">
        <v>15645106</v>
      </c>
      <c r="AF44" s="752">
        <v>13785619</v>
      </c>
      <c r="AG44" s="1486">
        <v>0.89623987453559895</v>
      </c>
      <c r="AH44" s="752">
        <v>282938</v>
      </c>
      <c r="AI44" s="752">
        <v>150407</v>
      </c>
      <c r="AJ44" s="752">
        <v>132531</v>
      </c>
      <c r="AK44" s="752">
        <v>889765</v>
      </c>
      <c r="AL44" s="752">
        <v>472991</v>
      </c>
      <c r="AM44" s="752">
        <v>416774</v>
      </c>
      <c r="AN44" s="752">
        <v>29713663</v>
      </c>
      <c r="AO44" s="752">
        <v>15795513</v>
      </c>
      <c r="AP44" s="752">
        <v>13918150</v>
      </c>
      <c r="AQ44" s="1486">
        <v>0.90485605091662102</v>
      </c>
      <c r="AR44" s="752">
        <v>515208</v>
      </c>
      <c r="AS44" s="752">
        <v>273880</v>
      </c>
      <c r="AT44" s="752">
        <v>241328</v>
      </c>
      <c r="AU44" s="752">
        <v>1404973</v>
      </c>
      <c r="AV44" s="752">
        <v>746871</v>
      </c>
      <c r="AW44" s="752">
        <v>658102</v>
      </c>
      <c r="AX44" s="752">
        <v>30228871</v>
      </c>
      <c r="AY44" s="752">
        <v>16069393</v>
      </c>
      <c r="AZ44" s="752">
        <v>14159478</v>
      </c>
      <c r="BA44" s="1486">
        <v>0.92054543516657528</v>
      </c>
      <c r="BB44" s="752">
        <v>122856</v>
      </c>
      <c r="BC44" s="752">
        <v>65309</v>
      </c>
      <c r="BD44" s="752">
        <v>57547</v>
      </c>
      <c r="BE44" s="752">
        <v>1527829</v>
      </c>
      <c r="BF44" s="752">
        <v>812180</v>
      </c>
      <c r="BG44" s="752">
        <v>715649</v>
      </c>
      <c r="BH44" s="752">
        <v>30351727</v>
      </c>
      <c r="BI44" s="752">
        <v>16134702</v>
      </c>
      <c r="BJ44" s="752">
        <v>14217025</v>
      </c>
      <c r="BK44" s="1486">
        <v>0.92428671051830191</v>
      </c>
      <c r="BL44" s="752">
        <v>120598</v>
      </c>
      <c r="BM44" s="752">
        <v>64109</v>
      </c>
      <c r="BN44" s="752">
        <v>56489</v>
      </c>
      <c r="BO44" s="752">
        <v>1648427</v>
      </c>
      <c r="BP44" s="752">
        <v>876289</v>
      </c>
      <c r="BQ44" s="752">
        <v>772138</v>
      </c>
      <c r="BR44" s="752">
        <v>30472325</v>
      </c>
      <c r="BS44" s="752">
        <v>16198811</v>
      </c>
      <c r="BT44" s="752">
        <v>14273514</v>
      </c>
      <c r="BU44" s="1486">
        <v>0.92795922406967535</v>
      </c>
      <c r="BV44" s="752">
        <v>63024</v>
      </c>
      <c r="BW44" s="752">
        <v>33503</v>
      </c>
      <c r="BX44" s="752">
        <v>29521</v>
      </c>
      <c r="BY44" s="752">
        <v>1711451</v>
      </c>
      <c r="BZ44" s="752">
        <v>909792</v>
      </c>
      <c r="CA44" s="752">
        <v>801659</v>
      </c>
      <c r="CB44" s="752">
        <v>30535349</v>
      </c>
      <c r="CC44" s="752">
        <v>16232314</v>
      </c>
      <c r="CD44" s="752">
        <v>14303035</v>
      </c>
      <c r="CE44" s="1486">
        <v>0.92987846397466345</v>
      </c>
      <c r="CF44" s="752">
        <v>6590</v>
      </c>
      <c r="CG44" s="752">
        <v>3503</v>
      </c>
      <c r="CH44" s="752">
        <v>3087</v>
      </c>
      <c r="CI44" s="752">
        <v>1718041</v>
      </c>
      <c r="CJ44" s="752">
        <v>913295</v>
      </c>
      <c r="CK44" s="752">
        <v>804746</v>
      </c>
      <c r="CL44" s="752">
        <v>30541939</v>
      </c>
      <c r="CM44" s="752">
        <v>16235817</v>
      </c>
      <c r="CN44" s="752">
        <v>14306122</v>
      </c>
      <c r="CO44" s="1486">
        <v>0.93007914611121267</v>
      </c>
      <c r="CP44" s="752">
        <v>7239</v>
      </c>
      <c r="CQ44" s="752">
        <v>3848</v>
      </c>
      <c r="CR44" s="752">
        <v>3391</v>
      </c>
      <c r="CS44" s="752">
        <v>1725280</v>
      </c>
      <c r="CT44" s="752">
        <v>917143</v>
      </c>
      <c r="CU44" s="752">
        <v>808137</v>
      </c>
      <c r="CV44" s="752">
        <v>30549178</v>
      </c>
      <c r="CW44" s="752">
        <v>16239665</v>
      </c>
      <c r="CX44" s="752">
        <v>14309513</v>
      </c>
      <c r="CY44" s="1486">
        <v>0.93029959193617151</v>
      </c>
      <c r="CZ44" s="752">
        <v>7238</v>
      </c>
      <c r="DA44" s="752">
        <v>3848</v>
      </c>
      <c r="DB44" s="752">
        <v>3390</v>
      </c>
      <c r="DC44" s="752">
        <v>1732518</v>
      </c>
      <c r="DD44" s="752">
        <v>920991</v>
      </c>
      <c r="DE44" s="752">
        <v>811527</v>
      </c>
      <c r="DF44" s="752">
        <v>30556416</v>
      </c>
      <c r="DG44" s="752">
        <v>16243513</v>
      </c>
      <c r="DH44" s="752">
        <v>14312903</v>
      </c>
      <c r="DI44" s="1486">
        <v>0.93052000730860585</v>
      </c>
      <c r="DJ44" s="752">
        <v>7239</v>
      </c>
      <c r="DK44" s="752">
        <v>3848</v>
      </c>
      <c r="DL44" s="752">
        <v>3391</v>
      </c>
      <c r="DM44" s="752">
        <v>1739757</v>
      </c>
      <c r="DN44" s="752">
        <v>924839</v>
      </c>
      <c r="DO44" s="752">
        <v>814918</v>
      </c>
      <c r="DP44" s="752">
        <v>30563655</v>
      </c>
      <c r="DQ44" s="752">
        <v>16247361</v>
      </c>
      <c r="DR44" s="752">
        <v>14316294</v>
      </c>
      <c r="DS44" s="1486">
        <v>0.93074045313356479</v>
      </c>
      <c r="DT44" s="752">
        <v>7239</v>
      </c>
      <c r="DU44" s="752">
        <v>3848</v>
      </c>
      <c r="DV44" s="752">
        <v>3391</v>
      </c>
      <c r="DW44" s="752">
        <v>1746996</v>
      </c>
      <c r="DX44" s="752">
        <v>928687</v>
      </c>
      <c r="DY44" s="752">
        <v>818309</v>
      </c>
      <c r="DZ44" s="752">
        <v>30570894</v>
      </c>
      <c r="EA44" s="752">
        <v>16251209</v>
      </c>
      <c r="EB44" s="752">
        <v>14319685</v>
      </c>
      <c r="EC44" s="1486">
        <v>0.93096089895852363</v>
      </c>
      <c r="ED44" s="752">
        <v>7238</v>
      </c>
      <c r="EE44" s="752">
        <v>3848</v>
      </c>
      <c r="EF44" s="752">
        <v>3390</v>
      </c>
      <c r="EG44" s="1179">
        <v>1754234</v>
      </c>
      <c r="EH44" s="1179">
        <v>932535</v>
      </c>
      <c r="EI44" s="1179">
        <v>821699</v>
      </c>
      <c r="EJ44" s="1487">
        <v>0.46840900358789078</v>
      </c>
      <c r="EK44" s="1593">
        <v>30578132</v>
      </c>
      <c r="EL44" s="1593">
        <v>16255057</v>
      </c>
      <c r="EM44" s="1488">
        <v>14323075</v>
      </c>
      <c r="EN44" s="1489">
        <v>0.4684090905225996</v>
      </c>
      <c r="EO44" s="1485">
        <v>607868</v>
      </c>
      <c r="EP44" s="1485">
        <v>323137</v>
      </c>
      <c r="EQ44" s="1485">
        <v>284731</v>
      </c>
      <c r="ER44" s="1490">
        <v>0.46840925990511095</v>
      </c>
      <c r="ES44" s="1179">
        <v>163137</v>
      </c>
      <c r="ET44" s="1179">
        <v>86722</v>
      </c>
      <c r="EU44" s="1179">
        <v>76415</v>
      </c>
      <c r="EV44" s="1487">
        <v>0.46840998669829653</v>
      </c>
      <c r="EW44" s="1488">
        <v>30741269</v>
      </c>
      <c r="EX44" s="1488">
        <v>16341779</v>
      </c>
      <c r="EY44" s="1488">
        <v>14399490</v>
      </c>
      <c r="EZ44" s="1489">
        <v>0.46840909527840247</v>
      </c>
      <c r="FA44" s="1485">
        <v>444731</v>
      </c>
      <c r="FB44" s="1485">
        <v>236415</v>
      </c>
      <c r="FC44" s="1590">
        <v>208316</v>
      </c>
      <c r="FD44" s="1490">
        <v>0.46840899330156882</v>
      </c>
      <c r="FE44" s="1179">
        <v>0</v>
      </c>
      <c r="FF44" s="1179">
        <v>0</v>
      </c>
      <c r="FG44" s="1179">
        <v>0</v>
      </c>
      <c r="FH44" s="1487" t="s">
        <v>630</v>
      </c>
      <c r="FI44" s="1488">
        <v>30741269</v>
      </c>
      <c r="FJ44" s="1488">
        <v>16341779</v>
      </c>
      <c r="FK44" s="1488">
        <v>14399490</v>
      </c>
      <c r="FL44" s="1489">
        <v>0.46840909527840247</v>
      </c>
      <c r="FM44" s="1485">
        <v>444731</v>
      </c>
      <c r="FN44" s="1485">
        <v>236415</v>
      </c>
      <c r="FO44" s="1485">
        <v>208316</v>
      </c>
      <c r="FP44" s="1490">
        <v>0.46840899330156882</v>
      </c>
      <c r="FQ44" s="1179">
        <v>0</v>
      </c>
      <c r="FR44" s="1179">
        <v>0</v>
      </c>
      <c r="FS44" s="1179">
        <v>0</v>
      </c>
      <c r="FT44" s="1487" t="s">
        <v>630</v>
      </c>
      <c r="FU44" s="1488">
        <v>30741269</v>
      </c>
      <c r="FV44" s="1488">
        <v>16341779</v>
      </c>
      <c r="FW44" s="1488">
        <v>14399490</v>
      </c>
      <c r="FX44" s="1489">
        <v>0.46840909527840247</v>
      </c>
      <c r="FY44" s="1485">
        <v>444731</v>
      </c>
      <c r="FZ44" s="1485">
        <v>236415</v>
      </c>
      <c r="GA44" s="1485">
        <v>208316</v>
      </c>
      <c r="GB44" s="1490">
        <v>0.46840899330156882</v>
      </c>
      <c r="GC44" s="1179">
        <v>0</v>
      </c>
      <c r="GD44" s="1179">
        <v>0</v>
      </c>
      <c r="GE44" s="1179">
        <v>0</v>
      </c>
      <c r="GF44" s="1487" t="s">
        <v>630</v>
      </c>
      <c r="GG44" s="1488">
        <v>30741269</v>
      </c>
      <c r="GH44" s="1488">
        <v>16341779</v>
      </c>
      <c r="GI44" s="1488">
        <v>14399490</v>
      </c>
      <c r="GJ44" s="1489">
        <v>0.46840909527840247</v>
      </c>
      <c r="GK44" s="1485">
        <v>444731</v>
      </c>
      <c r="GL44" s="1485">
        <v>236415</v>
      </c>
      <c r="GM44" s="1485">
        <v>208316</v>
      </c>
      <c r="GN44" s="1490">
        <v>0.46840899330156882</v>
      </c>
      <c r="GO44" s="1179">
        <v>444731</v>
      </c>
      <c r="GP44" s="1179">
        <v>236415</v>
      </c>
      <c r="GQ44" s="1179">
        <v>208316</v>
      </c>
      <c r="GR44" s="1487">
        <v>0.46840899330156882</v>
      </c>
      <c r="GS44" s="1488">
        <v>31186000</v>
      </c>
      <c r="GT44" s="1488">
        <v>16578194</v>
      </c>
      <c r="GU44" s="1488">
        <v>14607806</v>
      </c>
      <c r="GV44" s="1489">
        <v>0.46840909382415186</v>
      </c>
      <c r="GW44" s="1485">
        <v>0</v>
      </c>
      <c r="GX44" s="1485">
        <v>0</v>
      </c>
      <c r="GY44" s="1485">
        <v>0</v>
      </c>
      <c r="GZ44" s="1490" t="s">
        <v>630</v>
      </c>
    </row>
    <row r="45" spans="1:210" ht="16.2">
      <c r="A45" s="752" t="s">
        <v>678</v>
      </c>
      <c r="B45" s="1478" t="s">
        <v>1341</v>
      </c>
      <c r="C45" s="753" t="s">
        <v>1308</v>
      </c>
      <c r="D45" s="753" t="s">
        <v>1246</v>
      </c>
      <c r="E45" s="753"/>
      <c r="F45" s="1482">
        <v>2200000</v>
      </c>
      <c r="G45" s="1482">
        <v>1681852</v>
      </c>
      <c r="H45" s="1483">
        <v>518148</v>
      </c>
      <c r="I45" s="1481">
        <v>0.23552181818181819</v>
      </c>
      <c r="J45" s="1482">
        <v>2200000</v>
      </c>
      <c r="K45" s="1482">
        <v>1693655</v>
      </c>
      <c r="L45" s="1483">
        <v>506345</v>
      </c>
      <c r="M45" s="1481">
        <v>0.23015681818181818</v>
      </c>
      <c r="N45" s="1482">
        <v>0</v>
      </c>
      <c r="O45" s="1482">
        <v>-11803</v>
      </c>
      <c r="P45" s="1483">
        <v>11803</v>
      </c>
      <c r="Q45" s="752">
        <v>2200000</v>
      </c>
      <c r="R45" s="752">
        <v>1681852</v>
      </c>
      <c r="S45" s="752">
        <v>518148</v>
      </c>
      <c r="T45" s="1484">
        <v>0.23552181818181819</v>
      </c>
      <c r="U45" s="1485">
        <v>0</v>
      </c>
      <c r="V45" s="1485">
        <v>0</v>
      </c>
      <c r="W45" s="1590">
        <v>0</v>
      </c>
      <c r="X45" s="752">
        <v>0</v>
      </c>
      <c r="Y45" s="752">
        <v>0</v>
      </c>
      <c r="Z45" s="752">
        <v>0</v>
      </c>
      <c r="AA45" s="752">
        <v>0</v>
      </c>
      <c r="AB45" s="752">
        <v>0</v>
      </c>
      <c r="AC45" s="752">
        <v>0</v>
      </c>
      <c r="AD45" s="752">
        <v>2200000</v>
      </c>
      <c r="AE45" s="752">
        <v>1681852</v>
      </c>
      <c r="AF45" s="752">
        <v>518148</v>
      </c>
      <c r="AG45" s="1486">
        <v>1</v>
      </c>
      <c r="AH45" s="752">
        <v>0</v>
      </c>
      <c r="AI45" s="752">
        <v>0</v>
      </c>
      <c r="AJ45" s="752">
        <v>0</v>
      </c>
      <c r="AK45" s="752">
        <v>0</v>
      </c>
      <c r="AL45" s="752">
        <v>0</v>
      </c>
      <c r="AM45" s="752">
        <v>0</v>
      </c>
      <c r="AN45" s="752">
        <v>2200000</v>
      </c>
      <c r="AO45" s="752">
        <v>1681852</v>
      </c>
      <c r="AP45" s="752">
        <v>518148</v>
      </c>
      <c r="AQ45" s="1486">
        <v>1</v>
      </c>
      <c r="AR45" s="752">
        <v>0</v>
      </c>
      <c r="AS45" s="752">
        <v>0</v>
      </c>
      <c r="AT45" s="752">
        <v>0</v>
      </c>
      <c r="AU45" s="752">
        <v>0</v>
      </c>
      <c r="AV45" s="752">
        <v>0</v>
      </c>
      <c r="AW45" s="752">
        <v>0</v>
      </c>
      <c r="AX45" s="752">
        <v>2200000</v>
      </c>
      <c r="AY45" s="752">
        <v>1681852</v>
      </c>
      <c r="AZ45" s="752">
        <v>518148</v>
      </c>
      <c r="BA45" s="1486">
        <v>1</v>
      </c>
      <c r="BB45" s="752">
        <v>0</v>
      </c>
      <c r="BC45" s="752">
        <v>0</v>
      </c>
      <c r="BD45" s="752">
        <v>0</v>
      </c>
      <c r="BE45" s="752">
        <v>0</v>
      </c>
      <c r="BF45" s="752">
        <v>0</v>
      </c>
      <c r="BG45" s="752">
        <v>0</v>
      </c>
      <c r="BH45" s="752">
        <v>2200000</v>
      </c>
      <c r="BI45" s="752">
        <v>1681852</v>
      </c>
      <c r="BJ45" s="752">
        <v>518148</v>
      </c>
      <c r="BK45" s="1486">
        <v>1</v>
      </c>
      <c r="BL45" s="752">
        <v>0</v>
      </c>
      <c r="BM45" s="752">
        <v>0</v>
      </c>
      <c r="BN45" s="752">
        <v>0</v>
      </c>
      <c r="BO45" s="752">
        <v>0</v>
      </c>
      <c r="BP45" s="752">
        <v>0</v>
      </c>
      <c r="BQ45" s="752">
        <v>0</v>
      </c>
      <c r="BR45" s="752">
        <v>2200000</v>
      </c>
      <c r="BS45" s="752">
        <v>1681852</v>
      </c>
      <c r="BT45" s="752">
        <v>518148</v>
      </c>
      <c r="BU45" s="1486">
        <v>1</v>
      </c>
      <c r="BV45" s="752">
        <v>0</v>
      </c>
      <c r="BW45" s="752">
        <v>0</v>
      </c>
      <c r="BX45" s="752">
        <v>0</v>
      </c>
      <c r="BY45" s="752">
        <v>0</v>
      </c>
      <c r="BZ45" s="752">
        <v>0</v>
      </c>
      <c r="CA45" s="752">
        <v>0</v>
      </c>
      <c r="CB45" s="752">
        <v>2200000</v>
      </c>
      <c r="CC45" s="752">
        <v>1681852</v>
      </c>
      <c r="CD45" s="752">
        <v>518148</v>
      </c>
      <c r="CE45" s="1486">
        <v>1</v>
      </c>
      <c r="CF45" s="752">
        <v>0</v>
      </c>
      <c r="CG45" s="752">
        <v>0</v>
      </c>
      <c r="CH45" s="752">
        <v>0</v>
      </c>
      <c r="CI45" s="752">
        <v>0</v>
      </c>
      <c r="CJ45" s="752">
        <v>0</v>
      </c>
      <c r="CK45" s="752">
        <v>0</v>
      </c>
      <c r="CL45" s="752">
        <v>2200000</v>
      </c>
      <c r="CM45" s="752">
        <v>1681852</v>
      </c>
      <c r="CN45" s="752">
        <v>518148</v>
      </c>
      <c r="CO45" s="1486">
        <v>1</v>
      </c>
      <c r="CP45" s="752">
        <v>0</v>
      </c>
      <c r="CQ45" s="752">
        <v>0</v>
      </c>
      <c r="CR45" s="752">
        <v>0</v>
      </c>
      <c r="CS45" s="752">
        <v>0</v>
      </c>
      <c r="CT45" s="752">
        <v>0</v>
      </c>
      <c r="CU45" s="752">
        <v>0</v>
      </c>
      <c r="CV45" s="752">
        <v>2200000</v>
      </c>
      <c r="CW45" s="752">
        <v>1681852</v>
      </c>
      <c r="CX45" s="752">
        <v>518148</v>
      </c>
      <c r="CY45" s="1486">
        <v>1</v>
      </c>
      <c r="CZ45" s="752">
        <v>0</v>
      </c>
      <c r="DA45" s="752">
        <v>0</v>
      </c>
      <c r="DB45" s="752">
        <v>0</v>
      </c>
      <c r="DC45" s="752">
        <v>0</v>
      </c>
      <c r="DD45" s="752">
        <v>0</v>
      </c>
      <c r="DE45" s="752">
        <v>0</v>
      </c>
      <c r="DF45" s="752">
        <v>2200000</v>
      </c>
      <c r="DG45" s="752">
        <v>1681852</v>
      </c>
      <c r="DH45" s="752">
        <v>518148</v>
      </c>
      <c r="DI45" s="1486">
        <v>1</v>
      </c>
      <c r="DJ45" s="752">
        <v>0</v>
      </c>
      <c r="DK45" s="752">
        <v>0</v>
      </c>
      <c r="DL45" s="752">
        <v>0</v>
      </c>
      <c r="DM45" s="752">
        <v>0</v>
      </c>
      <c r="DN45" s="752">
        <v>0</v>
      </c>
      <c r="DO45" s="752">
        <v>0</v>
      </c>
      <c r="DP45" s="752">
        <v>2200000</v>
      </c>
      <c r="DQ45" s="752">
        <v>1681852</v>
      </c>
      <c r="DR45" s="752">
        <v>518148</v>
      </c>
      <c r="DS45" s="1486">
        <v>1</v>
      </c>
      <c r="DT45" s="752">
        <v>0</v>
      </c>
      <c r="DU45" s="752">
        <v>0</v>
      </c>
      <c r="DV45" s="752">
        <v>0</v>
      </c>
      <c r="DW45" s="752">
        <v>0</v>
      </c>
      <c r="DX45" s="752">
        <v>0</v>
      </c>
      <c r="DY45" s="752">
        <v>0</v>
      </c>
      <c r="DZ45" s="752">
        <v>2200000</v>
      </c>
      <c r="EA45" s="752">
        <v>1681852</v>
      </c>
      <c r="EB45" s="752">
        <v>518148</v>
      </c>
      <c r="EC45" s="1486">
        <v>1</v>
      </c>
      <c r="ED45" s="752">
        <v>0</v>
      </c>
      <c r="EE45" s="752">
        <v>0</v>
      </c>
      <c r="EF45" s="752">
        <v>0</v>
      </c>
      <c r="EG45" s="1179">
        <v>0</v>
      </c>
      <c r="EH45" s="1179">
        <v>0</v>
      </c>
      <c r="EI45" s="1179">
        <v>0</v>
      </c>
      <c r="EJ45" s="1487" t="s">
        <v>630</v>
      </c>
      <c r="EK45" s="1593">
        <v>2200000</v>
      </c>
      <c r="EL45" s="1593">
        <v>1681852</v>
      </c>
      <c r="EM45" s="1488">
        <v>518148</v>
      </c>
      <c r="EN45" s="1489">
        <v>0.23552181818181819</v>
      </c>
      <c r="EO45" s="1485">
        <v>0</v>
      </c>
      <c r="EP45" s="1485">
        <v>0</v>
      </c>
      <c r="EQ45" s="1485">
        <v>0</v>
      </c>
      <c r="ER45" s="1490" t="s">
        <v>630</v>
      </c>
      <c r="ES45" s="1179">
        <v>0</v>
      </c>
      <c r="ET45" s="1179">
        <v>0</v>
      </c>
      <c r="EU45" s="1179">
        <v>0</v>
      </c>
      <c r="EV45" s="1487" t="s">
        <v>630</v>
      </c>
      <c r="EW45" s="1488">
        <v>2200000</v>
      </c>
      <c r="EX45" s="1488">
        <v>1681852</v>
      </c>
      <c r="EY45" s="1488">
        <v>518148</v>
      </c>
      <c r="EZ45" s="1489">
        <v>0.23552181818181819</v>
      </c>
      <c r="FA45" s="1485">
        <v>0</v>
      </c>
      <c r="FB45" s="1485">
        <v>0</v>
      </c>
      <c r="FC45" s="1590">
        <v>0</v>
      </c>
      <c r="FD45" s="1490" t="s">
        <v>630</v>
      </c>
      <c r="FE45" s="1179">
        <v>0</v>
      </c>
      <c r="FF45" s="1179">
        <v>0</v>
      </c>
      <c r="FG45" s="1179">
        <v>0</v>
      </c>
      <c r="FH45" s="1487" t="s">
        <v>630</v>
      </c>
      <c r="FI45" s="1488">
        <v>2200000</v>
      </c>
      <c r="FJ45" s="1488">
        <v>1681852</v>
      </c>
      <c r="FK45" s="1488">
        <v>518148</v>
      </c>
      <c r="FL45" s="1489">
        <v>0.23552181818181819</v>
      </c>
      <c r="FM45" s="1485">
        <v>0</v>
      </c>
      <c r="FN45" s="1485">
        <v>0</v>
      </c>
      <c r="FO45" s="1485">
        <v>0</v>
      </c>
      <c r="FP45" s="1490" t="s">
        <v>630</v>
      </c>
      <c r="FQ45" s="1179">
        <v>0</v>
      </c>
      <c r="FR45" s="1179">
        <v>0</v>
      </c>
      <c r="FS45" s="1179">
        <v>0</v>
      </c>
      <c r="FT45" s="1487" t="s">
        <v>630</v>
      </c>
      <c r="FU45" s="1488">
        <v>2200000</v>
      </c>
      <c r="FV45" s="1488">
        <v>1681852</v>
      </c>
      <c r="FW45" s="1488">
        <v>518148</v>
      </c>
      <c r="FX45" s="1489">
        <v>0.23552181818181819</v>
      </c>
      <c r="FY45" s="1485">
        <v>0</v>
      </c>
      <c r="FZ45" s="1485">
        <v>0</v>
      </c>
      <c r="GA45" s="1485">
        <v>0</v>
      </c>
      <c r="GB45" s="1490" t="s">
        <v>630</v>
      </c>
      <c r="GC45" s="1179">
        <v>0</v>
      </c>
      <c r="GD45" s="1179">
        <v>0</v>
      </c>
      <c r="GE45" s="1179">
        <v>0</v>
      </c>
      <c r="GF45" s="1487" t="s">
        <v>630</v>
      </c>
      <c r="GG45" s="1488">
        <v>2200000</v>
      </c>
      <c r="GH45" s="1488">
        <v>1681852</v>
      </c>
      <c r="GI45" s="1488">
        <v>518148</v>
      </c>
      <c r="GJ45" s="1489">
        <v>0.23552181818181819</v>
      </c>
      <c r="GK45" s="1485">
        <v>0</v>
      </c>
      <c r="GL45" s="1485">
        <v>0</v>
      </c>
      <c r="GM45" s="1485">
        <v>0</v>
      </c>
      <c r="GN45" s="1490" t="s">
        <v>630</v>
      </c>
      <c r="GO45" s="1179">
        <v>0</v>
      </c>
      <c r="GP45" s="1179">
        <v>0</v>
      </c>
      <c r="GQ45" s="1179">
        <v>0</v>
      </c>
      <c r="GR45" s="1487" t="s">
        <v>630</v>
      </c>
      <c r="GS45" s="1488">
        <v>2200000</v>
      </c>
      <c r="GT45" s="1488">
        <v>1681852</v>
      </c>
      <c r="GU45" s="1488">
        <v>518148</v>
      </c>
      <c r="GV45" s="1489">
        <v>0.23552181818181819</v>
      </c>
      <c r="GW45" s="1485">
        <v>0</v>
      </c>
      <c r="GX45" s="1485">
        <v>0</v>
      </c>
      <c r="GY45" s="1485">
        <v>0</v>
      </c>
      <c r="GZ45" s="1490" t="s">
        <v>630</v>
      </c>
      <c r="HB45" s="532" t="s">
        <v>2497</v>
      </c>
    </row>
    <row r="46" spans="1:210">
      <c r="A46" s="752" t="s">
        <v>680</v>
      </c>
      <c r="B46" s="1478" t="s">
        <v>1342</v>
      </c>
      <c r="C46" s="753" t="s">
        <v>1308</v>
      </c>
      <c r="D46" s="753" t="s">
        <v>1246</v>
      </c>
      <c r="E46" s="753"/>
      <c r="F46" s="1482">
        <v>3125000</v>
      </c>
      <c r="G46" s="1482">
        <v>2550964</v>
      </c>
      <c r="H46" s="1483">
        <v>574036</v>
      </c>
      <c r="I46" s="1481">
        <v>0.18369152</v>
      </c>
      <c r="J46" s="1482">
        <v>3125000</v>
      </c>
      <c r="K46" s="1482">
        <v>2550964</v>
      </c>
      <c r="L46" s="1483">
        <v>574036</v>
      </c>
      <c r="M46" s="1481">
        <v>0.18369152</v>
      </c>
      <c r="N46" s="1482">
        <v>0</v>
      </c>
      <c r="O46" s="1482">
        <v>0</v>
      </c>
      <c r="P46" s="1483">
        <v>0</v>
      </c>
      <c r="Q46" s="752">
        <v>2776782</v>
      </c>
      <c r="R46" s="752">
        <v>2266711</v>
      </c>
      <c r="S46" s="752">
        <v>510071</v>
      </c>
      <c r="T46" s="1484">
        <v>0.18369140969654801</v>
      </c>
      <c r="U46" s="1485">
        <v>348218</v>
      </c>
      <c r="V46" s="1485">
        <v>284253</v>
      </c>
      <c r="W46" s="1590">
        <v>63965</v>
      </c>
      <c r="X46" s="752">
        <v>0</v>
      </c>
      <c r="Y46" s="752">
        <v>0</v>
      </c>
      <c r="Z46" s="752">
        <v>0</v>
      </c>
      <c r="AA46" s="752">
        <v>0</v>
      </c>
      <c r="AB46" s="752">
        <v>0</v>
      </c>
      <c r="AC46" s="752">
        <v>0</v>
      </c>
      <c r="AD46" s="752">
        <v>2776782</v>
      </c>
      <c r="AE46" s="752">
        <v>2266711</v>
      </c>
      <c r="AF46" s="752">
        <v>510071</v>
      </c>
      <c r="AG46" s="1486">
        <v>0.88857023999999996</v>
      </c>
      <c r="AH46" s="752">
        <v>0</v>
      </c>
      <c r="AI46" s="752">
        <v>0</v>
      </c>
      <c r="AJ46" s="752">
        <v>0</v>
      </c>
      <c r="AK46" s="752">
        <v>0</v>
      </c>
      <c r="AL46" s="752">
        <v>0</v>
      </c>
      <c r="AM46" s="752">
        <v>0</v>
      </c>
      <c r="AN46" s="752">
        <v>2776782</v>
      </c>
      <c r="AO46" s="752">
        <v>2266711</v>
      </c>
      <c r="AP46" s="752">
        <v>510071</v>
      </c>
      <c r="AQ46" s="1486">
        <v>0.88857023999999996</v>
      </c>
      <c r="AR46" s="752">
        <v>0</v>
      </c>
      <c r="AS46" s="752">
        <v>0</v>
      </c>
      <c r="AT46" s="752">
        <v>0</v>
      </c>
      <c r="AU46" s="752">
        <v>0</v>
      </c>
      <c r="AV46" s="752">
        <v>0</v>
      </c>
      <c r="AW46" s="752">
        <v>0</v>
      </c>
      <c r="AX46" s="752">
        <v>2776782</v>
      </c>
      <c r="AY46" s="752">
        <v>2266711</v>
      </c>
      <c r="AZ46" s="752">
        <v>510071</v>
      </c>
      <c r="BA46" s="1486">
        <v>0.88857023999999996</v>
      </c>
      <c r="BB46" s="752">
        <v>0</v>
      </c>
      <c r="BC46" s="752">
        <v>0</v>
      </c>
      <c r="BD46" s="752">
        <v>0</v>
      </c>
      <c r="BE46" s="752">
        <v>0</v>
      </c>
      <c r="BF46" s="752">
        <v>0</v>
      </c>
      <c r="BG46" s="752">
        <v>0</v>
      </c>
      <c r="BH46" s="752">
        <v>2776782</v>
      </c>
      <c r="BI46" s="752">
        <v>2266711</v>
      </c>
      <c r="BJ46" s="752">
        <v>510071</v>
      </c>
      <c r="BK46" s="1486">
        <v>0.88857023999999996</v>
      </c>
      <c r="BL46" s="752">
        <v>0</v>
      </c>
      <c r="BM46" s="752">
        <v>0</v>
      </c>
      <c r="BN46" s="752">
        <v>0</v>
      </c>
      <c r="BO46" s="752">
        <v>0</v>
      </c>
      <c r="BP46" s="752">
        <v>0</v>
      </c>
      <c r="BQ46" s="752">
        <v>0</v>
      </c>
      <c r="BR46" s="752">
        <v>2776782</v>
      </c>
      <c r="BS46" s="752">
        <v>2266711</v>
      </c>
      <c r="BT46" s="752">
        <v>510071</v>
      </c>
      <c r="BU46" s="1486">
        <v>0.88857023999999996</v>
      </c>
      <c r="BV46" s="752">
        <v>0</v>
      </c>
      <c r="BW46" s="752">
        <v>0</v>
      </c>
      <c r="BX46" s="752">
        <v>0</v>
      </c>
      <c r="BY46" s="752">
        <v>0</v>
      </c>
      <c r="BZ46" s="752">
        <v>0</v>
      </c>
      <c r="CA46" s="752">
        <v>0</v>
      </c>
      <c r="CB46" s="752">
        <v>2776782</v>
      </c>
      <c r="CC46" s="752">
        <v>2266711</v>
      </c>
      <c r="CD46" s="752">
        <v>510071</v>
      </c>
      <c r="CE46" s="1486">
        <v>0.88857023999999996</v>
      </c>
      <c r="CF46" s="752">
        <v>0</v>
      </c>
      <c r="CG46" s="752">
        <v>0</v>
      </c>
      <c r="CH46" s="752">
        <v>0</v>
      </c>
      <c r="CI46" s="752">
        <v>0</v>
      </c>
      <c r="CJ46" s="752">
        <v>0</v>
      </c>
      <c r="CK46" s="752">
        <v>0</v>
      </c>
      <c r="CL46" s="752">
        <v>2776782</v>
      </c>
      <c r="CM46" s="752">
        <v>2266711</v>
      </c>
      <c r="CN46" s="752">
        <v>510071</v>
      </c>
      <c r="CO46" s="1486">
        <v>0.88857023999999996</v>
      </c>
      <c r="CP46" s="752">
        <v>0</v>
      </c>
      <c r="CQ46" s="752">
        <v>0</v>
      </c>
      <c r="CR46" s="752">
        <v>0</v>
      </c>
      <c r="CS46" s="752">
        <v>0</v>
      </c>
      <c r="CT46" s="752">
        <v>0</v>
      </c>
      <c r="CU46" s="752">
        <v>0</v>
      </c>
      <c r="CV46" s="752">
        <v>2776782</v>
      </c>
      <c r="CW46" s="752">
        <v>2266711</v>
      </c>
      <c r="CX46" s="752">
        <v>510071</v>
      </c>
      <c r="CY46" s="1486">
        <v>0.88857023999999996</v>
      </c>
      <c r="CZ46" s="752">
        <v>0</v>
      </c>
      <c r="DA46" s="752">
        <v>0</v>
      </c>
      <c r="DB46" s="752">
        <v>0</v>
      </c>
      <c r="DC46" s="752">
        <v>0</v>
      </c>
      <c r="DD46" s="752">
        <v>0</v>
      </c>
      <c r="DE46" s="752">
        <v>0</v>
      </c>
      <c r="DF46" s="752">
        <v>2776782</v>
      </c>
      <c r="DG46" s="752">
        <v>2266711</v>
      </c>
      <c r="DH46" s="752">
        <v>510071</v>
      </c>
      <c r="DI46" s="1486">
        <v>0.88857023999999996</v>
      </c>
      <c r="DJ46" s="752">
        <v>0</v>
      </c>
      <c r="DK46" s="752">
        <v>0</v>
      </c>
      <c r="DL46" s="752">
        <v>0</v>
      </c>
      <c r="DM46" s="752">
        <v>0</v>
      </c>
      <c r="DN46" s="752">
        <v>0</v>
      </c>
      <c r="DO46" s="752">
        <v>0</v>
      </c>
      <c r="DP46" s="752">
        <v>2776782</v>
      </c>
      <c r="DQ46" s="752">
        <v>2266711</v>
      </c>
      <c r="DR46" s="752">
        <v>510071</v>
      </c>
      <c r="DS46" s="1486">
        <v>0.88857023999999996</v>
      </c>
      <c r="DT46" s="752">
        <v>0</v>
      </c>
      <c r="DU46" s="752">
        <v>0</v>
      </c>
      <c r="DV46" s="752">
        <v>0</v>
      </c>
      <c r="DW46" s="752">
        <v>0</v>
      </c>
      <c r="DX46" s="752">
        <v>0</v>
      </c>
      <c r="DY46" s="752">
        <v>0</v>
      </c>
      <c r="DZ46" s="752">
        <v>2776782</v>
      </c>
      <c r="EA46" s="752">
        <v>2266711</v>
      </c>
      <c r="EB46" s="752">
        <v>510071</v>
      </c>
      <c r="EC46" s="1486">
        <v>0.88857023999999996</v>
      </c>
      <c r="ED46" s="752">
        <v>0</v>
      </c>
      <c r="EE46" s="752">
        <v>0</v>
      </c>
      <c r="EF46" s="752">
        <v>0</v>
      </c>
      <c r="EG46" s="1179">
        <v>0</v>
      </c>
      <c r="EH46" s="1179">
        <v>0</v>
      </c>
      <c r="EI46" s="1179">
        <v>0</v>
      </c>
      <c r="EJ46" s="1487" t="s">
        <v>630</v>
      </c>
      <c r="EK46" s="1593">
        <v>2776782</v>
      </c>
      <c r="EL46" s="1593">
        <v>2266711</v>
      </c>
      <c r="EM46" s="1488">
        <v>510071</v>
      </c>
      <c r="EN46" s="1489">
        <v>0.18369140969654801</v>
      </c>
      <c r="EO46" s="1485">
        <v>348218</v>
      </c>
      <c r="EP46" s="1485">
        <v>284253</v>
      </c>
      <c r="EQ46" s="1485">
        <v>63965</v>
      </c>
      <c r="ER46" s="1490">
        <v>0.18369239958876335</v>
      </c>
      <c r="ES46" s="1179">
        <v>0</v>
      </c>
      <c r="ET46" s="1179">
        <v>0</v>
      </c>
      <c r="EU46" s="1179">
        <v>0</v>
      </c>
      <c r="EV46" s="1487" t="s">
        <v>630</v>
      </c>
      <c r="EW46" s="1488">
        <v>2776782</v>
      </c>
      <c r="EX46" s="1488">
        <v>2266711</v>
      </c>
      <c r="EY46" s="1488">
        <v>510071</v>
      </c>
      <c r="EZ46" s="1489">
        <v>0.18369140969654801</v>
      </c>
      <c r="FA46" s="1485">
        <v>348218</v>
      </c>
      <c r="FB46" s="1485">
        <v>284253</v>
      </c>
      <c r="FC46" s="1590">
        <v>63965</v>
      </c>
      <c r="FD46" s="1490">
        <v>0.18369239958876335</v>
      </c>
      <c r="FE46" s="1179">
        <v>0</v>
      </c>
      <c r="FF46" s="1179">
        <v>0</v>
      </c>
      <c r="FG46" s="1179">
        <v>0</v>
      </c>
      <c r="FH46" s="1487" t="s">
        <v>630</v>
      </c>
      <c r="FI46" s="1488">
        <v>2776782</v>
      </c>
      <c r="FJ46" s="1488">
        <v>2266711</v>
      </c>
      <c r="FK46" s="1488">
        <v>510071</v>
      </c>
      <c r="FL46" s="1489">
        <v>0.18369140969654801</v>
      </c>
      <c r="FM46" s="1485">
        <v>348218</v>
      </c>
      <c r="FN46" s="1485">
        <v>284253</v>
      </c>
      <c r="FO46" s="1485">
        <v>63965</v>
      </c>
      <c r="FP46" s="1490">
        <v>0.18369239958876335</v>
      </c>
      <c r="FQ46" s="1179">
        <v>0</v>
      </c>
      <c r="FR46" s="1179">
        <v>0</v>
      </c>
      <c r="FS46" s="1179">
        <v>0</v>
      </c>
      <c r="FT46" s="1487" t="s">
        <v>630</v>
      </c>
      <c r="FU46" s="1488">
        <v>2776782</v>
      </c>
      <c r="FV46" s="1488">
        <v>2266711</v>
      </c>
      <c r="FW46" s="1488">
        <v>510071</v>
      </c>
      <c r="FX46" s="1489">
        <v>0.18369140969654801</v>
      </c>
      <c r="FY46" s="1485">
        <v>348218</v>
      </c>
      <c r="FZ46" s="1485">
        <v>284253</v>
      </c>
      <c r="GA46" s="1502">
        <v>63965</v>
      </c>
      <c r="GB46" s="1490">
        <v>0.18369239958876335</v>
      </c>
      <c r="GC46" s="1179">
        <v>0</v>
      </c>
      <c r="GD46" s="1179">
        <v>0</v>
      </c>
      <c r="GE46" s="1179">
        <v>0</v>
      </c>
      <c r="GF46" s="1487" t="s">
        <v>630</v>
      </c>
      <c r="GG46" s="1488">
        <v>2776782</v>
      </c>
      <c r="GH46" s="1488">
        <v>2266711</v>
      </c>
      <c r="GI46" s="1488">
        <v>510071</v>
      </c>
      <c r="GJ46" s="1489">
        <v>0.18369140969654801</v>
      </c>
      <c r="GK46" s="1485">
        <v>348218</v>
      </c>
      <c r="GL46" s="1485">
        <v>284253</v>
      </c>
      <c r="GM46" s="1502">
        <v>63965</v>
      </c>
      <c r="GN46" s="1490">
        <v>0.18369239958876335</v>
      </c>
      <c r="GO46" s="1179">
        <v>348218</v>
      </c>
      <c r="GP46" s="1179">
        <v>284253</v>
      </c>
      <c r="GQ46" s="1179">
        <v>63965</v>
      </c>
      <c r="GR46" s="1487">
        <v>0.18369239958876335</v>
      </c>
      <c r="GS46" s="1488">
        <v>3125000</v>
      </c>
      <c r="GT46" s="1488">
        <v>2550964</v>
      </c>
      <c r="GU46" s="1488">
        <v>574036</v>
      </c>
      <c r="GV46" s="1489">
        <v>0.18369152</v>
      </c>
      <c r="GW46" s="1485">
        <v>0</v>
      </c>
      <c r="GX46" s="1485">
        <v>0</v>
      </c>
      <c r="GY46" s="1502">
        <v>0</v>
      </c>
      <c r="GZ46" s="1490" t="s">
        <v>630</v>
      </c>
    </row>
    <row r="47" spans="1:210">
      <c r="A47" s="752" t="s">
        <v>682</v>
      </c>
      <c r="B47" s="1478" t="s">
        <v>1343</v>
      </c>
      <c r="C47" s="753" t="s">
        <v>1308</v>
      </c>
      <c r="D47" s="753" t="s">
        <v>1246</v>
      </c>
      <c r="E47" s="753"/>
      <c r="F47" s="1482">
        <v>2042000</v>
      </c>
      <c r="G47" s="1482">
        <v>1088331</v>
      </c>
      <c r="H47" s="1483">
        <v>953669</v>
      </c>
      <c r="I47" s="1481">
        <v>0.4670269343780607</v>
      </c>
      <c r="J47" s="1482">
        <v>2042000</v>
      </c>
      <c r="K47" s="1482">
        <v>1088331</v>
      </c>
      <c r="L47" s="1483">
        <v>953669</v>
      </c>
      <c r="M47" s="1481">
        <v>0.4670269343780607</v>
      </c>
      <c r="N47" s="1482">
        <v>0</v>
      </c>
      <c r="O47" s="1482">
        <v>0</v>
      </c>
      <c r="P47" s="1483">
        <v>0</v>
      </c>
      <c r="Q47" s="752">
        <v>1688355</v>
      </c>
      <c r="R47" s="752">
        <v>899848</v>
      </c>
      <c r="S47" s="752">
        <v>788507</v>
      </c>
      <c r="T47" s="1484">
        <v>0.46702678050528473</v>
      </c>
      <c r="U47" s="1485">
        <v>353645</v>
      </c>
      <c r="V47" s="1485">
        <v>188483</v>
      </c>
      <c r="W47" s="1590">
        <v>165162</v>
      </c>
      <c r="X47" s="752">
        <v>0</v>
      </c>
      <c r="Y47" s="752">
        <v>0</v>
      </c>
      <c r="Z47" s="752">
        <v>0</v>
      </c>
      <c r="AA47" s="752">
        <v>0</v>
      </c>
      <c r="AB47" s="752">
        <v>0</v>
      </c>
      <c r="AC47" s="752">
        <v>0</v>
      </c>
      <c r="AD47" s="752">
        <v>1688355</v>
      </c>
      <c r="AE47" s="752">
        <v>899848</v>
      </c>
      <c r="AF47" s="752">
        <v>788507</v>
      </c>
      <c r="AG47" s="1486">
        <v>0.82681439764936338</v>
      </c>
      <c r="AH47" s="752">
        <v>0</v>
      </c>
      <c r="AI47" s="752">
        <v>0</v>
      </c>
      <c r="AJ47" s="752">
        <v>0</v>
      </c>
      <c r="AK47" s="752">
        <v>0</v>
      </c>
      <c r="AL47" s="752">
        <v>0</v>
      </c>
      <c r="AM47" s="752">
        <v>0</v>
      </c>
      <c r="AN47" s="752">
        <v>1688355</v>
      </c>
      <c r="AO47" s="752">
        <v>899848</v>
      </c>
      <c r="AP47" s="752">
        <v>788507</v>
      </c>
      <c r="AQ47" s="1486">
        <v>0.82681439764936338</v>
      </c>
      <c r="AR47" s="752">
        <v>0</v>
      </c>
      <c r="AS47" s="752">
        <v>0</v>
      </c>
      <c r="AT47" s="752">
        <v>0</v>
      </c>
      <c r="AU47" s="752">
        <v>0</v>
      </c>
      <c r="AV47" s="752">
        <v>0</v>
      </c>
      <c r="AW47" s="752">
        <v>0</v>
      </c>
      <c r="AX47" s="752">
        <v>1688355</v>
      </c>
      <c r="AY47" s="752">
        <v>899848</v>
      </c>
      <c r="AZ47" s="752">
        <v>788507</v>
      </c>
      <c r="BA47" s="1486">
        <v>0.82681439764936338</v>
      </c>
      <c r="BB47" s="752">
        <v>0</v>
      </c>
      <c r="BC47" s="752">
        <v>0</v>
      </c>
      <c r="BD47" s="752">
        <v>0</v>
      </c>
      <c r="BE47" s="752">
        <v>0</v>
      </c>
      <c r="BF47" s="752">
        <v>0</v>
      </c>
      <c r="BG47" s="752">
        <v>0</v>
      </c>
      <c r="BH47" s="752">
        <v>1688355</v>
      </c>
      <c r="BI47" s="752">
        <v>899848</v>
      </c>
      <c r="BJ47" s="752">
        <v>788507</v>
      </c>
      <c r="BK47" s="1486">
        <v>0.82681439764936338</v>
      </c>
      <c r="BL47" s="752">
        <v>0</v>
      </c>
      <c r="BM47" s="752">
        <v>0</v>
      </c>
      <c r="BN47" s="752">
        <v>0</v>
      </c>
      <c r="BO47" s="752">
        <v>0</v>
      </c>
      <c r="BP47" s="752">
        <v>0</v>
      </c>
      <c r="BQ47" s="752">
        <v>0</v>
      </c>
      <c r="BR47" s="752">
        <v>1688355</v>
      </c>
      <c r="BS47" s="752">
        <v>899848</v>
      </c>
      <c r="BT47" s="752">
        <v>788507</v>
      </c>
      <c r="BU47" s="1486">
        <v>0.82681439764936338</v>
      </c>
      <c r="BV47" s="752">
        <v>0</v>
      </c>
      <c r="BW47" s="752">
        <v>0</v>
      </c>
      <c r="BX47" s="752">
        <v>0</v>
      </c>
      <c r="BY47" s="752">
        <v>0</v>
      </c>
      <c r="BZ47" s="752">
        <v>0</v>
      </c>
      <c r="CA47" s="752">
        <v>0</v>
      </c>
      <c r="CB47" s="752">
        <v>1688355</v>
      </c>
      <c r="CC47" s="752">
        <v>899848</v>
      </c>
      <c r="CD47" s="752">
        <v>788507</v>
      </c>
      <c r="CE47" s="1486">
        <v>0.82681439764936338</v>
      </c>
      <c r="CF47" s="752">
        <v>0</v>
      </c>
      <c r="CG47" s="752">
        <v>0</v>
      </c>
      <c r="CH47" s="752">
        <v>0</v>
      </c>
      <c r="CI47" s="752">
        <v>0</v>
      </c>
      <c r="CJ47" s="752">
        <v>0</v>
      </c>
      <c r="CK47" s="752">
        <v>0</v>
      </c>
      <c r="CL47" s="752">
        <v>1688355</v>
      </c>
      <c r="CM47" s="752">
        <v>899848</v>
      </c>
      <c r="CN47" s="752">
        <v>788507</v>
      </c>
      <c r="CO47" s="1486">
        <v>0.82681439764936338</v>
      </c>
      <c r="CP47" s="752">
        <v>0</v>
      </c>
      <c r="CQ47" s="752">
        <v>0</v>
      </c>
      <c r="CR47" s="752">
        <v>0</v>
      </c>
      <c r="CS47" s="752">
        <v>0</v>
      </c>
      <c r="CT47" s="752">
        <v>0</v>
      </c>
      <c r="CU47" s="752">
        <v>0</v>
      </c>
      <c r="CV47" s="752">
        <v>1688355</v>
      </c>
      <c r="CW47" s="752">
        <v>899848</v>
      </c>
      <c r="CX47" s="752">
        <v>788507</v>
      </c>
      <c r="CY47" s="1486">
        <v>0.82681439764936338</v>
      </c>
      <c r="CZ47" s="752">
        <v>0</v>
      </c>
      <c r="DA47" s="752">
        <v>0</v>
      </c>
      <c r="DB47" s="752">
        <v>0</v>
      </c>
      <c r="DC47" s="752">
        <v>0</v>
      </c>
      <c r="DD47" s="752">
        <v>0</v>
      </c>
      <c r="DE47" s="752">
        <v>0</v>
      </c>
      <c r="DF47" s="752">
        <v>1688355</v>
      </c>
      <c r="DG47" s="752">
        <v>899848</v>
      </c>
      <c r="DH47" s="752">
        <v>788507</v>
      </c>
      <c r="DI47" s="1486">
        <v>0.82681439764936338</v>
      </c>
      <c r="DJ47" s="752">
        <v>0</v>
      </c>
      <c r="DK47" s="752">
        <v>0</v>
      </c>
      <c r="DL47" s="752">
        <v>0</v>
      </c>
      <c r="DM47" s="752">
        <v>0</v>
      </c>
      <c r="DN47" s="752">
        <v>0</v>
      </c>
      <c r="DO47" s="752">
        <v>0</v>
      </c>
      <c r="DP47" s="752">
        <v>1688355</v>
      </c>
      <c r="DQ47" s="752">
        <v>899848</v>
      </c>
      <c r="DR47" s="752">
        <v>788507</v>
      </c>
      <c r="DS47" s="1486">
        <v>0.82681439764936338</v>
      </c>
      <c r="DT47" s="752">
        <v>0</v>
      </c>
      <c r="DU47" s="752">
        <v>0</v>
      </c>
      <c r="DV47" s="752">
        <v>0</v>
      </c>
      <c r="DW47" s="752">
        <v>0</v>
      </c>
      <c r="DX47" s="752">
        <v>0</v>
      </c>
      <c r="DY47" s="752">
        <v>0</v>
      </c>
      <c r="DZ47" s="752">
        <v>1688355</v>
      </c>
      <c r="EA47" s="752">
        <v>899848</v>
      </c>
      <c r="EB47" s="752">
        <v>788507</v>
      </c>
      <c r="EC47" s="1486">
        <v>0.82681439764936338</v>
      </c>
      <c r="ED47" s="752">
        <v>0</v>
      </c>
      <c r="EE47" s="752">
        <v>0</v>
      </c>
      <c r="EF47" s="752">
        <v>0</v>
      </c>
      <c r="EG47" s="1179">
        <v>0</v>
      </c>
      <c r="EH47" s="1179">
        <v>0</v>
      </c>
      <c r="EI47" s="1179">
        <v>0</v>
      </c>
      <c r="EJ47" s="1487" t="s">
        <v>630</v>
      </c>
      <c r="EK47" s="1593">
        <v>1688355</v>
      </c>
      <c r="EL47" s="1593">
        <v>899848</v>
      </c>
      <c r="EM47" s="1488">
        <v>788507</v>
      </c>
      <c r="EN47" s="1489">
        <v>0.46702678050528473</v>
      </c>
      <c r="EO47" s="1485">
        <v>353645</v>
      </c>
      <c r="EP47" s="1485">
        <v>188483</v>
      </c>
      <c r="EQ47" s="1485">
        <v>165162</v>
      </c>
      <c r="ER47" s="1490">
        <v>0.46702766899008891</v>
      </c>
      <c r="ES47" s="1179">
        <v>0</v>
      </c>
      <c r="ET47" s="1179">
        <v>0</v>
      </c>
      <c r="EU47" s="1179">
        <v>0</v>
      </c>
      <c r="EV47" s="1487" t="s">
        <v>630</v>
      </c>
      <c r="EW47" s="1488">
        <v>1688355</v>
      </c>
      <c r="EX47" s="1488">
        <v>899848</v>
      </c>
      <c r="EY47" s="1488">
        <v>788507</v>
      </c>
      <c r="EZ47" s="1489">
        <v>0.46702678050528473</v>
      </c>
      <c r="FA47" s="1485">
        <v>353645</v>
      </c>
      <c r="FB47" s="1485">
        <v>188483</v>
      </c>
      <c r="FC47" s="1590">
        <v>165162</v>
      </c>
      <c r="FD47" s="1490">
        <v>0.46702766899008891</v>
      </c>
      <c r="FE47" s="1179">
        <v>0</v>
      </c>
      <c r="FF47" s="1179">
        <v>0</v>
      </c>
      <c r="FG47" s="1179">
        <v>0</v>
      </c>
      <c r="FH47" s="1487" t="s">
        <v>630</v>
      </c>
      <c r="FI47" s="1488">
        <v>1688355</v>
      </c>
      <c r="FJ47" s="1488">
        <v>899848</v>
      </c>
      <c r="FK47" s="1488">
        <v>788507</v>
      </c>
      <c r="FL47" s="1489">
        <v>0.46702678050528473</v>
      </c>
      <c r="FM47" s="1485">
        <v>353645</v>
      </c>
      <c r="FN47" s="1485">
        <v>188483</v>
      </c>
      <c r="FO47" s="1485">
        <v>165162</v>
      </c>
      <c r="FP47" s="1490">
        <v>0.46702766899008891</v>
      </c>
      <c r="FQ47" s="1179">
        <v>0</v>
      </c>
      <c r="FR47" s="1179">
        <v>0</v>
      </c>
      <c r="FS47" s="1179">
        <v>0</v>
      </c>
      <c r="FT47" s="1487" t="s">
        <v>630</v>
      </c>
      <c r="FU47" s="1488">
        <v>1688355</v>
      </c>
      <c r="FV47" s="1488">
        <v>899848</v>
      </c>
      <c r="FW47" s="1488">
        <v>788507</v>
      </c>
      <c r="FX47" s="1489">
        <v>0.46702678050528473</v>
      </c>
      <c r="FY47" s="1485">
        <v>353645</v>
      </c>
      <c r="FZ47" s="1485">
        <v>188483</v>
      </c>
      <c r="GA47" s="1485">
        <v>165162</v>
      </c>
      <c r="GB47" s="1490">
        <v>0.46702766899008891</v>
      </c>
      <c r="GC47" s="1179">
        <v>0</v>
      </c>
      <c r="GD47" s="1179">
        <v>0</v>
      </c>
      <c r="GE47" s="1179">
        <v>0</v>
      </c>
      <c r="GF47" s="1487" t="s">
        <v>630</v>
      </c>
      <c r="GG47" s="1488">
        <v>1688355</v>
      </c>
      <c r="GH47" s="1488">
        <v>899848</v>
      </c>
      <c r="GI47" s="1488">
        <v>788507</v>
      </c>
      <c r="GJ47" s="1489">
        <v>0.46702678050528473</v>
      </c>
      <c r="GK47" s="1485">
        <v>353645</v>
      </c>
      <c r="GL47" s="1485">
        <v>188483</v>
      </c>
      <c r="GM47" s="1485">
        <v>165162</v>
      </c>
      <c r="GN47" s="1490">
        <v>0.46702766899008891</v>
      </c>
      <c r="GO47" s="1179">
        <v>353645</v>
      </c>
      <c r="GP47" s="1179">
        <v>188483</v>
      </c>
      <c r="GQ47" s="1179">
        <v>165162</v>
      </c>
      <c r="GR47" s="1487">
        <v>0.46702766899008891</v>
      </c>
      <c r="GS47" s="1488">
        <v>2042000</v>
      </c>
      <c r="GT47" s="1488">
        <v>1088331</v>
      </c>
      <c r="GU47" s="1488">
        <v>953669</v>
      </c>
      <c r="GV47" s="1489">
        <v>0.4670269343780607</v>
      </c>
      <c r="GW47" s="1485">
        <v>0</v>
      </c>
      <c r="GX47" s="1485">
        <v>0</v>
      </c>
      <c r="GY47" s="1485">
        <v>0</v>
      </c>
      <c r="GZ47" s="1490" t="s">
        <v>630</v>
      </c>
    </row>
    <row r="48" spans="1:210">
      <c r="A48" s="752" t="s">
        <v>684</v>
      </c>
      <c r="B48" s="1478" t="s">
        <v>2095</v>
      </c>
      <c r="C48" s="753" t="s">
        <v>1308</v>
      </c>
      <c r="D48" s="753" t="s">
        <v>1246</v>
      </c>
      <c r="E48" s="753"/>
      <c r="F48" s="1482">
        <v>2202000</v>
      </c>
      <c r="G48" s="1482">
        <v>1089400</v>
      </c>
      <c r="H48" s="1483">
        <v>1112600</v>
      </c>
      <c r="I48" s="1481">
        <v>0.50526793823796545</v>
      </c>
      <c r="J48" s="1482">
        <v>2202000</v>
      </c>
      <c r="K48" s="1482">
        <v>1100000</v>
      </c>
      <c r="L48" s="1483">
        <v>1102000</v>
      </c>
      <c r="M48" s="1481">
        <v>0.50045413260672111</v>
      </c>
      <c r="N48" s="1482">
        <v>0</v>
      </c>
      <c r="O48" s="1482">
        <v>-10600</v>
      </c>
      <c r="P48" s="1483">
        <v>10600</v>
      </c>
      <c r="Q48" s="752">
        <v>2202000</v>
      </c>
      <c r="R48" s="752">
        <v>1089400</v>
      </c>
      <c r="S48" s="752">
        <v>1112600</v>
      </c>
      <c r="T48" s="1484">
        <v>0.50526793823796545</v>
      </c>
      <c r="U48" s="1485">
        <v>0</v>
      </c>
      <c r="V48" s="1485">
        <v>0</v>
      </c>
      <c r="W48" s="1590">
        <v>0</v>
      </c>
      <c r="X48" s="752">
        <v>0</v>
      </c>
      <c r="Y48" s="752">
        <v>0</v>
      </c>
      <c r="Z48" s="752">
        <v>0</v>
      </c>
      <c r="AA48" s="752">
        <v>0</v>
      </c>
      <c r="AB48" s="752">
        <v>0</v>
      </c>
      <c r="AC48" s="752">
        <v>0</v>
      </c>
      <c r="AD48" s="752">
        <v>2202000</v>
      </c>
      <c r="AE48" s="752">
        <v>1089400</v>
      </c>
      <c r="AF48" s="752">
        <v>1112600</v>
      </c>
      <c r="AG48" s="1486">
        <v>1</v>
      </c>
      <c r="AH48" s="752">
        <v>0</v>
      </c>
      <c r="AI48" s="752">
        <v>0</v>
      </c>
      <c r="AJ48" s="752">
        <v>0</v>
      </c>
      <c r="AK48" s="752">
        <v>0</v>
      </c>
      <c r="AL48" s="752">
        <v>0</v>
      </c>
      <c r="AM48" s="752">
        <v>0</v>
      </c>
      <c r="AN48" s="752">
        <v>2202000</v>
      </c>
      <c r="AO48" s="752">
        <v>1089400</v>
      </c>
      <c r="AP48" s="752">
        <v>1112600</v>
      </c>
      <c r="AQ48" s="1486">
        <v>1</v>
      </c>
      <c r="AR48" s="752">
        <v>0</v>
      </c>
      <c r="AS48" s="752">
        <v>0</v>
      </c>
      <c r="AT48" s="752">
        <v>0</v>
      </c>
      <c r="AU48" s="752">
        <v>0</v>
      </c>
      <c r="AV48" s="752">
        <v>0</v>
      </c>
      <c r="AW48" s="752">
        <v>0</v>
      </c>
      <c r="AX48" s="752">
        <v>2202000</v>
      </c>
      <c r="AY48" s="752">
        <v>1089400</v>
      </c>
      <c r="AZ48" s="752">
        <v>1112600</v>
      </c>
      <c r="BA48" s="1486">
        <v>1</v>
      </c>
      <c r="BB48" s="752">
        <v>0</v>
      </c>
      <c r="BC48" s="752">
        <v>0</v>
      </c>
      <c r="BD48" s="752">
        <v>0</v>
      </c>
      <c r="BE48" s="752">
        <v>0</v>
      </c>
      <c r="BF48" s="752">
        <v>0</v>
      </c>
      <c r="BG48" s="752">
        <v>0</v>
      </c>
      <c r="BH48" s="752">
        <v>2202000</v>
      </c>
      <c r="BI48" s="752">
        <v>1089400</v>
      </c>
      <c r="BJ48" s="752">
        <v>1112600</v>
      </c>
      <c r="BK48" s="1486">
        <v>1</v>
      </c>
      <c r="BL48" s="752">
        <v>0</v>
      </c>
      <c r="BM48" s="752">
        <v>0</v>
      </c>
      <c r="BN48" s="752">
        <v>0</v>
      </c>
      <c r="BO48" s="752">
        <v>0</v>
      </c>
      <c r="BP48" s="752">
        <v>0</v>
      </c>
      <c r="BQ48" s="752">
        <v>0</v>
      </c>
      <c r="BR48" s="752">
        <v>2202000</v>
      </c>
      <c r="BS48" s="752">
        <v>1089400</v>
      </c>
      <c r="BT48" s="752">
        <v>1112600</v>
      </c>
      <c r="BU48" s="1486">
        <v>1</v>
      </c>
      <c r="BV48" s="752">
        <v>0</v>
      </c>
      <c r="BW48" s="752">
        <v>0</v>
      </c>
      <c r="BX48" s="752">
        <v>0</v>
      </c>
      <c r="BY48" s="752">
        <v>0</v>
      </c>
      <c r="BZ48" s="752">
        <v>0</v>
      </c>
      <c r="CA48" s="752">
        <v>0</v>
      </c>
      <c r="CB48" s="752">
        <v>2202000</v>
      </c>
      <c r="CC48" s="752">
        <v>1089400</v>
      </c>
      <c r="CD48" s="752">
        <v>1112600</v>
      </c>
      <c r="CE48" s="1486">
        <v>1</v>
      </c>
      <c r="CF48" s="752">
        <v>0</v>
      </c>
      <c r="CG48" s="752">
        <v>0</v>
      </c>
      <c r="CH48" s="752">
        <v>0</v>
      </c>
      <c r="CI48" s="752">
        <v>0</v>
      </c>
      <c r="CJ48" s="752">
        <v>0</v>
      </c>
      <c r="CK48" s="752">
        <v>0</v>
      </c>
      <c r="CL48" s="752">
        <v>2202000</v>
      </c>
      <c r="CM48" s="752">
        <v>1089400</v>
      </c>
      <c r="CN48" s="752">
        <v>1112600</v>
      </c>
      <c r="CO48" s="1486">
        <v>1</v>
      </c>
      <c r="CP48" s="752">
        <v>0</v>
      </c>
      <c r="CQ48" s="752">
        <v>0</v>
      </c>
      <c r="CR48" s="752">
        <v>0</v>
      </c>
      <c r="CS48" s="752">
        <v>0</v>
      </c>
      <c r="CT48" s="752">
        <v>0</v>
      </c>
      <c r="CU48" s="752">
        <v>0</v>
      </c>
      <c r="CV48" s="752">
        <v>2202000</v>
      </c>
      <c r="CW48" s="752">
        <v>1089400</v>
      </c>
      <c r="CX48" s="752">
        <v>1112600</v>
      </c>
      <c r="CY48" s="1486">
        <v>1</v>
      </c>
      <c r="CZ48" s="752">
        <v>0</v>
      </c>
      <c r="DA48" s="752">
        <v>0</v>
      </c>
      <c r="DB48" s="752">
        <v>0</v>
      </c>
      <c r="DC48" s="752">
        <v>0</v>
      </c>
      <c r="DD48" s="752">
        <v>0</v>
      </c>
      <c r="DE48" s="752">
        <v>0</v>
      </c>
      <c r="DF48" s="752">
        <v>2202000</v>
      </c>
      <c r="DG48" s="752">
        <v>1089400</v>
      </c>
      <c r="DH48" s="752">
        <v>1112600</v>
      </c>
      <c r="DI48" s="1486">
        <v>1</v>
      </c>
      <c r="DJ48" s="752">
        <v>0</v>
      </c>
      <c r="DK48" s="752">
        <v>0</v>
      </c>
      <c r="DL48" s="752">
        <v>0</v>
      </c>
      <c r="DM48" s="752">
        <v>0</v>
      </c>
      <c r="DN48" s="752">
        <v>0</v>
      </c>
      <c r="DO48" s="752">
        <v>0</v>
      </c>
      <c r="DP48" s="752">
        <v>2202000</v>
      </c>
      <c r="DQ48" s="752">
        <v>1089400</v>
      </c>
      <c r="DR48" s="752">
        <v>1112600</v>
      </c>
      <c r="DS48" s="1486">
        <v>1</v>
      </c>
      <c r="DT48" s="752">
        <v>0</v>
      </c>
      <c r="DU48" s="752">
        <v>0</v>
      </c>
      <c r="DV48" s="752">
        <v>0</v>
      </c>
      <c r="DW48" s="752">
        <v>0</v>
      </c>
      <c r="DX48" s="752">
        <v>0</v>
      </c>
      <c r="DY48" s="752">
        <v>0</v>
      </c>
      <c r="DZ48" s="752">
        <v>2202000</v>
      </c>
      <c r="EA48" s="752">
        <v>1089400</v>
      </c>
      <c r="EB48" s="752">
        <v>1112600</v>
      </c>
      <c r="EC48" s="1486">
        <v>1</v>
      </c>
      <c r="ED48" s="752">
        <v>0</v>
      </c>
      <c r="EE48" s="752">
        <v>0</v>
      </c>
      <c r="EF48" s="752">
        <v>0</v>
      </c>
      <c r="EG48" s="1179">
        <v>0</v>
      </c>
      <c r="EH48" s="1179">
        <v>0</v>
      </c>
      <c r="EI48" s="1179">
        <v>0</v>
      </c>
      <c r="EJ48" s="1487" t="s">
        <v>630</v>
      </c>
      <c r="EK48" s="1593">
        <v>2202000</v>
      </c>
      <c r="EL48" s="1593">
        <v>1089400</v>
      </c>
      <c r="EM48" s="1488">
        <v>1112600</v>
      </c>
      <c r="EN48" s="1489">
        <v>0.50526793823796545</v>
      </c>
      <c r="EO48" s="1485">
        <v>0</v>
      </c>
      <c r="EP48" s="1485">
        <v>0</v>
      </c>
      <c r="EQ48" s="1485">
        <v>0</v>
      </c>
      <c r="ER48" s="1490" t="s">
        <v>630</v>
      </c>
      <c r="ES48" s="1179">
        <v>0</v>
      </c>
      <c r="ET48" s="1179">
        <v>0</v>
      </c>
      <c r="EU48" s="1179">
        <v>0</v>
      </c>
      <c r="EV48" s="1487" t="s">
        <v>630</v>
      </c>
      <c r="EW48" s="1488">
        <v>2202000</v>
      </c>
      <c r="EX48" s="1488">
        <v>1089400</v>
      </c>
      <c r="EY48" s="1488">
        <v>1112600</v>
      </c>
      <c r="EZ48" s="1489">
        <v>0.50526793823796545</v>
      </c>
      <c r="FA48" s="1485">
        <v>0</v>
      </c>
      <c r="FB48" s="1485">
        <v>0</v>
      </c>
      <c r="FC48" s="1590">
        <v>0</v>
      </c>
      <c r="FD48" s="1490" t="s">
        <v>630</v>
      </c>
      <c r="FE48" s="1179">
        <v>0</v>
      </c>
      <c r="FF48" s="1179">
        <v>0</v>
      </c>
      <c r="FG48" s="1179">
        <v>0</v>
      </c>
      <c r="FH48" s="1487" t="s">
        <v>630</v>
      </c>
      <c r="FI48" s="1488">
        <v>2202000</v>
      </c>
      <c r="FJ48" s="1488">
        <v>1089400</v>
      </c>
      <c r="FK48" s="1488">
        <v>1112600</v>
      </c>
      <c r="FL48" s="1489">
        <v>0.50526793823796545</v>
      </c>
      <c r="FM48" s="1485">
        <v>0</v>
      </c>
      <c r="FN48" s="1485">
        <v>0</v>
      </c>
      <c r="FO48" s="1485">
        <v>0</v>
      </c>
      <c r="FP48" s="1490" t="s">
        <v>630</v>
      </c>
      <c r="FQ48" s="1179">
        <v>0</v>
      </c>
      <c r="FR48" s="1179">
        <v>0</v>
      </c>
      <c r="FS48" s="1179">
        <v>0</v>
      </c>
      <c r="FT48" s="1487" t="s">
        <v>630</v>
      </c>
      <c r="FU48" s="1488">
        <v>2202000</v>
      </c>
      <c r="FV48" s="1488">
        <v>1089400</v>
      </c>
      <c r="FW48" s="1488">
        <v>1112600</v>
      </c>
      <c r="FX48" s="1489">
        <v>0.50526793823796545</v>
      </c>
      <c r="FY48" s="1485">
        <v>0</v>
      </c>
      <c r="FZ48" s="1485">
        <v>0</v>
      </c>
      <c r="GA48" s="1485">
        <v>0</v>
      </c>
      <c r="GB48" s="1490" t="s">
        <v>630</v>
      </c>
      <c r="GC48" s="1179">
        <v>0</v>
      </c>
      <c r="GD48" s="1179">
        <v>0</v>
      </c>
      <c r="GE48" s="1179">
        <v>0</v>
      </c>
      <c r="GF48" s="1487" t="s">
        <v>630</v>
      </c>
      <c r="GG48" s="1488">
        <v>2202000</v>
      </c>
      <c r="GH48" s="1488">
        <v>1089400</v>
      </c>
      <c r="GI48" s="1488">
        <v>1112600</v>
      </c>
      <c r="GJ48" s="1489">
        <v>0.50526793823796545</v>
      </c>
      <c r="GK48" s="1485">
        <v>0</v>
      </c>
      <c r="GL48" s="1485">
        <v>0</v>
      </c>
      <c r="GM48" s="1485">
        <v>0</v>
      </c>
      <c r="GN48" s="1490" t="s">
        <v>630</v>
      </c>
      <c r="GO48" s="1179">
        <v>0</v>
      </c>
      <c r="GP48" s="1179">
        <v>0</v>
      </c>
      <c r="GQ48" s="1179">
        <v>0</v>
      </c>
      <c r="GR48" s="1487" t="s">
        <v>630</v>
      </c>
      <c r="GS48" s="1488">
        <v>2202000</v>
      </c>
      <c r="GT48" s="1488">
        <v>1089400</v>
      </c>
      <c r="GU48" s="1488">
        <v>1112600</v>
      </c>
      <c r="GV48" s="1489">
        <v>0.50526793823796545</v>
      </c>
      <c r="GW48" s="1485">
        <v>0</v>
      </c>
      <c r="GX48" s="1485">
        <v>0</v>
      </c>
      <c r="GY48" s="1485">
        <v>0</v>
      </c>
      <c r="GZ48" s="1490" t="s">
        <v>630</v>
      </c>
    </row>
    <row r="49" spans="1:210">
      <c r="A49" s="752" t="s">
        <v>1553</v>
      </c>
      <c r="B49" s="1478" t="s">
        <v>2096</v>
      </c>
      <c r="C49" s="753" t="s">
        <v>1308</v>
      </c>
      <c r="D49" s="753" t="s">
        <v>1246</v>
      </c>
      <c r="E49" s="753"/>
      <c r="F49" s="1482">
        <v>3365000</v>
      </c>
      <c r="G49" s="1482">
        <v>1792862</v>
      </c>
      <c r="H49" s="1483">
        <v>1572138</v>
      </c>
      <c r="I49" s="1481">
        <v>0.46720297176820208</v>
      </c>
      <c r="J49" s="1482">
        <v>3365000</v>
      </c>
      <c r="K49" s="1482">
        <v>2300000</v>
      </c>
      <c r="L49" s="1483">
        <v>1065000</v>
      </c>
      <c r="M49" s="1481">
        <v>0.31649331352154531</v>
      </c>
      <c r="N49" s="1482">
        <v>0</v>
      </c>
      <c r="O49" s="1482">
        <v>-507138</v>
      </c>
      <c r="P49" s="1483">
        <v>507138</v>
      </c>
      <c r="Q49" s="752">
        <v>3277064</v>
      </c>
      <c r="R49" s="752">
        <v>1746010</v>
      </c>
      <c r="S49" s="752">
        <v>1531054</v>
      </c>
      <c r="T49" s="1484">
        <v>0.46720295972248327</v>
      </c>
      <c r="U49" s="1485">
        <v>87936</v>
      </c>
      <c r="V49" s="1485">
        <v>46852</v>
      </c>
      <c r="W49" s="1590">
        <v>41084</v>
      </c>
      <c r="X49" s="752">
        <v>1888</v>
      </c>
      <c r="Y49" s="752">
        <v>1006</v>
      </c>
      <c r="Z49" s="752">
        <v>882</v>
      </c>
      <c r="AA49" s="752">
        <v>1888</v>
      </c>
      <c r="AB49" s="752">
        <v>1006</v>
      </c>
      <c r="AC49" s="752">
        <v>882</v>
      </c>
      <c r="AD49" s="752">
        <v>3278952</v>
      </c>
      <c r="AE49" s="752">
        <v>1747016</v>
      </c>
      <c r="AF49" s="752">
        <v>1531936</v>
      </c>
      <c r="AG49" s="1486">
        <v>0.97442852897473997</v>
      </c>
      <c r="AH49" s="752">
        <v>1888</v>
      </c>
      <c r="AI49" s="752">
        <v>1006</v>
      </c>
      <c r="AJ49" s="752">
        <v>882</v>
      </c>
      <c r="AK49" s="752">
        <v>3776</v>
      </c>
      <c r="AL49" s="752">
        <v>2012</v>
      </c>
      <c r="AM49" s="752">
        <v>1764</v>
      </c>
      <c r="AN49" s="752">
        <v>3280840</v>
      </c>
      <c r="AO49" s="752">
        <v>1748022</v>
      </c>
      <c r="AP49" s="752">
        <v>1532818</v>
      </c>
      <c r="AQ49" s="1486">
        <v>0.97498959881129277</v>
      </c>
      <c r="AR49" s="752">
        <v>1973</v>
      </c>
      <c r="AS49" s="752">
        <v>1051</v>
      </c>
      <c r="AT49" s="752">
        <v>922</v>
      </c>
      <c r="AU49" s="752">
        <v>5749</v>
      </c>
      <c r="AV49" s="752">
        <v>3063</v>
      </c>
      <c r="AW49" s="752">
        <v>2686</v>
      </c>
      <c r="AX49" s="752">
        <v>3282813</v>
      </c>
      <c r="AY49" s="752">
        <v>1749073</v>
      </c>
      <c r="AZ49" s="752">
        <v>1533740</v>
      </c>
      <c r="BA49" s="1486">
        <v>0.97557592867756315</v>
      </c>
      <c r="BB49" s="752">
        <v>1973</v>
      </c>
      <c r="BC49" s="752">
        <v>1051</v>
      </c>
      <c r="BD49" s="752">
        <v>922</v>
      </c>
      <c r="BE49" s="752">
        <v>7722</v>
      </c>
      <c r="BF49" s="752">
        <v>4114</v>
      </c>
      <c r="BG49" s="752">
        <v>3608</v>
      </c>
      <c r="BH49" s="752">
        <v>3284786</v>
      </c>
      <c r="BI49" s="752">
        <v>1750124</v>
      </c>
      <c r="BJ49" s="752">
        <v>1534662</v>
      </c>
      <c r="BK49" s="1486">
        <v>0.97616225854383354</v>
      </c>
      <c r="BL49" s="752">
        <v>1972</v>
      </c>
      <c r="BM49" s="752">
        <v>1051</v>
      </c>
      <c r="BN49" s="752">
        <v>921</v>
      </c>
      <c r="BO49" s="752">
        <v>9694</v>
      </c>
      <c r="BP49" s="752">
        <v>5165</v>
      </c>
      <c r="BQ49" s="752">
        <v>4529</v>
      </c>
      <c r="BR49" s="752">
        <v>3286758</v>
      </c>
      <c r="BS49" s="752">
        <v>1751175</v>
      </c>
      <c r="BT49" s="752">
        <v>1535583</v>
      </c>
      <c r="BU49" s="1486">
        <v>0.97674829123328377</v>
      </c>
      <c r="BV49" s="752">
        <v>1973</v>
      </c>
      <c r="BW49" s="752">
        <v>1051</v>
      </c>
      <c r="BX49" s="752">
        <v>922</v>
      </c>
      <c r="BY49" s="752">
        <v>11667</v>
      </c>
      <c r="BZ49" s="752">
        <v>6216</v>
      </c>
      <c r="CA49" s="752">
        <v>5451</v>
      </c>
      <c r="CB49" s="752">
        <v>3288731</v>
      </c>
      <c r="CC49" s="752">
        <v>1752226</v>
      </c>
      <c r="CD49" s="752">
        <v>1536505</v>
      </c>
      <c r="CE49" s="1486">
        <v>0.97733462109955427</v>
      </c>
      <c r="CF49" s="752">
        <v>1972</v>
      </c>
      <c r="CG49" s="752">
        <v>1051</v>
      </c>
      <c r="CH49" s="752">
        <v>921</v>
      </c>
      <c r="CI49" s="752">
        <v>13639</v>
      </c>
      <c r="CJ49" s="752">
        <v>7267</v>
      </c>
      <c r="CK49" s="752">
        <v>6372</v>
      </c>
      <c r="CL49" s="752">
        <v>3290703</v>
      </c>
      <c r="CM49" s="752">
        <v>1753277</v>
      </c>
      <c r="CN49" s="752">
        <v>1537426</v>
      </c>
      <c r="CO49" s="1486">
        <v>0.9779206537890045</v>
      </c>
      <c r="CP49" s="752">
        <v>0</v>
      </c>
      <c r="CQ49" s="752">
        <v>0</v>
      </c>
      <c r="CR49" s="752">
        <v>0</v>
      </c>
      <c r="CS49" s="752">
        <v>13639</v>
      </c>
      <c r="CT49" s="752">
        <v>7267</v>
      </c>
      <c r="CU49" s="752">
        <v>6372</v>
      </c>
      <c r="CV49" s="752">
        <v>3290703</v>
      </c>
      <c r="CW49" s="752">
        <v>1753277</v>
      </c>
      <c r="CX49" s="752">
        <v>1537426</v>
      </c>
      <c r="CY49" s="1486">
        <v>0.9779206537890045</v>
      </c>
      <c r="CZ49" s="752">
        <v>0</v>
      </c>
      <c r="DA49" s="752">
        <v>0</v>
      </c>
      <c r="DB49" s="752">
        <v>0</v>
      </c>
      <c r="DC49" s="752">
        <v>13639</v>
      </c>
      <c r="DD49" s="752">
        <v>7267</v>
      </c>
      <c r="DE49" s="752">
        <v>6372</v>
      </c>
      <c r="DF49" s="752">
        <v>3290703</v>
      </c>
      <c r="DG49" s="752">
        <v>1753277</v>
      </c>
      <c r="DH49" s="752">
        <v>1537426</v>
      </c>
      <c r="DI49" s="1486">
        <v>0.9779206537890045</v>
      </c>
      <c r="DJ49" s="752">
        <v>0</v>
      </c>
      <c r="DK49" s="752">
        <v>0</v>
      </c>
      <c r="DL49" s="752">
        <v>0</v>
      </c>
      <c r="DM49" s="752">
        <v>13639</v>
      </c>
      <c r="DN49" s="752">
        <v>7267</v>
      </c>
      <c r="DO49" s="752">
        <v>6372</v>
      </c>
      <c r="DP49" s="752">
        <v>3290703</v>
      </c>
      <c r="DQ49" s="752">
        <v>1753277</v>
      </c>
      <c r="DR49" s="752">
        <v>1537426</v>
      </c>
      <c r="DS49" s="1486">
        <v>0.9779206537890045</v>
      </c>
      <c r="DT49" s="752">
        <v>0</v>
      </c>
      <c r="DU49" s="752">
        <v>0</v>
      </c>
      <c r="DV49" s="752">
        <v>0</v>
      </c>
      <c r="DW49" s="752">
        <v>13639</v>
      </c>
      <c r="DX49" s="752">
        <v>7267</v>
      </c>
      <c r="DY49" s="752">
        <v>6372</v>
      </c>
      <c r="DZ49" s="752">
        <v>3290703</v>
      </c>
      <c r="EA49" s="752">
        <v>1753277</v>
      </c>
      <c r="EB49" s="752">
        <v>1537426</v>
      </c>
      <c r="EC49" s="1486">
        <v>0.9779206537890045</v>
      </c>
      <c r="ED49" s="752">
        <v>0</v>
      </c>
      <c r="EE49" s="752">
        <v>0</v>
      </c>
      <c r="EF49" s="752">
        <v>0</v>
      </c>
      <c r="EG49" s="1179">
        <v>13639</v>
      </c>
      <c r="EH49" s="1179">
        <v>7267</v>
      </c>
      <c r="EI49" s="1179">
        <v>6372</v>
      </c>
      <c r="EJ49" s="1487">
        <v>0.46718967666251193</v>
      </c>
      <c r="EK49" s="1593">
        <v>3290703</v>
      </c>
      <c r="EL49" s="1593">
        <v>1753277</v>
      </c>
      <c r="EM49" s="1488">
        <v>1537426</v>
      </c>
      <c r="EN49" s="1489">
        <v>0.46720290466809067</v>
      </c>
      <c r="EO49" s="1485">
        <v>74297</v>
      </c>
      <c r="EP49" s="1485">
        <v>39585</v>
      </c>
      <c r="EQ49" s="1485">
        <v>34712</v>
      </c>
      <c r="ER49" s="1490">
        <v>0.46720594371239754</v>
      </c>
      <c r="ES49" s="1179">
        <v>0</v>
      </c>
      <c r="ET49" s="1179">
        <v>0</v>
      </c>
      <c r="EU49" s="1179">
        <v>0</v>
      </c>
      <c r="EV49" s="1487" t="s">
        <v>630</v>
      </c>
      <c r="EW49" s="1488">
        <v>3290703</v>
      </c>
      <c r="EX49" s="1488">
        <v>1753277</v>
      </c>
      <c r="EY49" s="1488">
        <v>1537426</v>
      </c>
      <c r="EZ49" s="1489">
        <v>0.46720290466809067</v>
      </c>
      <c r="FA49" s="1485">
        <v>74297</v>
      </c>
      <c r="FB49" s="1485">
        <v>39585</v>
      </c>
      <c r="FC49" s="1590">
        <v>34712</v>
      </c>
      <c r="FD49" s="1490">
        <v>0.46720594371239754</v>
      </c>
      <c r="FE49" s="1179">
        <v>0</v>
      </c>
      <c r="FF49" s="1179">
        <v>0</v>
      </c>
      <c r="FG49" s="1179">
        <v>0</v>
      </c>
      <c r="FH49" s="1487" t="s">
        <v>630</v>
      </c>
      <c r="FI49" s="1488">
        <v>3290703</v>
      </c>
      <c r="FJ49" s="1488">
        <v>1753277</v>
      </c>
      <c r="FK49" s="1488">
        <v>1537426</v>
      </c>
      <c r="FL49" s="1489">
        <v>0.46720290466809067</v>
      </c>
      <c r="FM49" s="1485">
        <v>74297</v>
      </c>
      <c r="FN49" s="1485">
        <v>39585</v>
      </c>
      <c r="FO49" s="1485">
        <v>34712</v>
      </c>
      <c r="FP49" s="1490">
        <v>0.46720594371239754</v>
      </c>
      <c r="FQ49" s="1179">
        <v>0</v>
      </c>
      <c r="FR49" s="1179">
        <v>0</v>
      </c>
      <c r="FS49" s="1179">
        <v>0</v>
      </c>
      <c r="FT49" s="1487" t="s">
        <v>630</v>
      </c>
      <c r="FU49" s="1488">
        <v>3290703</v>
      </c>
      <c r="FV49" s="1488">
        <v>1753277</v>
      </c>
      <c r="FW49" s="1488">
        <v>1537426</v>
      </c>
      <c r="FX49" s="1489">
        <v>0.46720290466809067</v>
      </c>
      <c r="FY49" s="1485">
        <v>74297</v>
      </c>
      <c r="FZ49" s="1485">
        <v>39585</v>
      </c>
      <c r="GA49" s="1502">
        <v>34712</v>
      </c>
      <c r="GB49" s="1490">
        <v>0.46720594371239754</v>
      </c>
      <c r="GC49" s="1179">
        <v>0</v>
      </c>
      <c r="GD49" s="1179">
        <v>0</v>
      </c>
      <c r="GE49" s="1179">
        <v>0</v>
      </c>
      <c r="GF49" s="1487" t="s">
        <v>630</v>
      </c>
      <c r="GG49" s="1488">
        <v>3290703</v>
      </c>
      <c r="GH49" s="1488">
        <v>1753277</v>
      </c>
      <c r="GI49" s="1488">
        <v>1537426</v>
      </c>
      <c r="GJ49" s="1489">
        <v>0.46720290466809067</v>
      </c>
      <c r="GK49" s="1485">
        <v>74297</v>
      </c>
      <c r="GL49" s="1485">
        <v>39585</v>
      </c>
      <c r="GM49" s="1502">
        <v>34712</v>
      </c>
      <c r="GN49" s="1490">
        <v>0.46720594371239754</v>
      </c>
      <c r="GO49" s="1179">
        <v>74297</v>
      </c>
      <c r="GP49" s="1179">
        <v>39585</v>
      </c>
      <c r="GQ49" s="1179">
        <v>34712</v>
      </c>
      <c r="GR49" s="1487">
        <v>0.46720594371239754</v>
      </c>
      <c r="GS49" s="1488">
        <v>3365000</v>
      </c>
      <c r="GT49" s="1488">
        <v>1792862</v>
      </c>
      <c r="GU49" s="1488">
        <v>1572138</v>
      </c>
      <c r="GV49" s="1489">
        <v>0.46720297176820208</v>
      </c>
      <c r="GW49" s="1485">
        <v>0</v>
      </c>
      <c r="GX49" s="1485">
        <v>0</v>
      </c>
      <c r="GY49" s="1502">
        <v>0</v>
      </c>
      <c r="GZ49" s="1490" t="s">
        <v>630</v>
      </c>
    </row>
    <row r="50" spans="1:210" s="611" customFormat="1">
      <c r="A50" s="1493" t="s">
        <v>688</v>
      </c>
      <c r="B50" s="1494" t="s">
        <v>2097</v>
      </c>
      <c r="C50" s="1495" t="s">
        <v>1314</v>
      </c>
      <c r="D50" s="1495" t="s">
        <v>1246</v>
      </c>
      <c r="E50" s="1495"/>
      <c r="F50" s="1499">
        <v>3047620</v>
      </c>
      <c r="G50" s="1499">
        <v>1250140</v>
      </c>
      <c r="H50" s="1500">
        <v>1797480</v>
      </c>
      <c r="I50" s="1498">
        <v>0.58979794068814351</v>
      </c>
      <c r="J50" s="1499">
        <v>3047620</v>
      </c>
      <c r="K50" s="1499">
        <v>1279832</v>
      </c>
      <c r="L50" s="1500">
        <v>1767788</v>
      </c>
      <c r="M50" s="1498">
        <v>0.58005525623273246</v>
      </c>
      <c r="N50" s="1499">
        <v>0</v>
      </c>
      <c r="O50" s="1499">
        <v>-29692</v>
      </c>
      <c r="P50" s="1500">
        <v>29692</v>
      </c>
      <c r="Q50" s="1493">
        <v>3047620</v>
      </c>
      <c r="R50" s="1493">
        <v>1250140</v>
      </c>
      <c r="S50" s="1493">
        <v>1797480</v>
      </c>
      <c r="T50" s="1501">
        <v>0.58979794068814351</v>
      </c>
      <c r="U50" s="1502">
        <v>0</v>
      </c>
      <c r="V50" s="1502">
        <v>0</v>
      </c>
      <c r="W50" s="1502">
        <v>0</v>
      </c>
      <c r="X50" s="1493">
        <v>0</v>
      </c>
      <c r="Y50" s="1493">
        <v>0</v>
      </c>
      <c r="Z50" s="1493">
        <v>0</v>
      </c>
      <c r="AA50" s="1493">
        <v>0</v>
      </c>
      <c r="AB50" s="1493">
        <v>0</v>
      </c>
      <c r="AC50" s="1493">
        <v>0</v>
      </c>
      <c r="AD50" s="1493">
        <v>3047620</v>
      </c>
      <c r="AE50" s="1493">
        <v>1250140</v>
      </c>
      <c r="AF50" s="1493">
        <v>1797480</v>
      </c>
      <c r="AG50" s="1503">
        <v>1</v>
      </c>
      <c r="AH50" s="1493">
        <v>0</v>
      </c>
      <c r="AI50" s="1493">
        <v>0</v>
      </c>
      <c r="AJ50" s="1493">
        <v>0</v>
      </c>
      <c r="AK50" s="1493">
        <v>0</v>
      </c>
      <c r="AL50" s="1493">
        <v>0</v>
      </c>
      <c r="AM50" s="1493">
        <v>0</v>
      </c>
      <c r="AN50" s="1493">
        <v>3047620</v>
      </c>
      <c r="AO50" s="1493">
        <v>1250140</v>
      </c>
      <c r="AP50" s="1493">
        <v>1797480</v>
      </c>
      <c r="AQ50" s="1503">
        <v>1</v>
      </c>
      <c r="AR50" s="1493">
        <v>0</v>
      </c>
      <c r="AS50" s="1493">
        <v>0</v>
      </c>
      <c r="AT50" s="1493">
        <v>0</v>
      </c>
      <c r="AU50" s="1493">
        <v>0</v>
      </c>
      <c r="AV50" s="1493">
        <v>0</v>
      </c>
      <c r="AW50" s="1493">
        <v>0</v>
      </c>
      <c r="AX50" s="1493">
        <v>3047620</v>
      </c>
      <c r="AY50" s="1493">
        <v>1250140</v>
      </c>
      <c r="AZ50" s="1493">
        <v>1797480</v>
      </c>
      <c r="BA50" s="1503">
        <v>1</v>
      </c>
      <c r="BB50" s="1493">
        <v>0</v>
      </c>
      <c r="BC50" s="1493">
        <v>0</v>
      </c>
      <c r="BD50" s="1493">
        <v>0</v>
      </c>
      <c r="BE50" s="1493">
        <v>0</v>
      </c>
      <c r="BF50" s="1493">
        <v>0</v>
      </c>
      <c r="BG50" s="1493">
        <v>0</v>
      </c>
      <c r="BH50" s="1493">
        <v>3047620</v>
      </c>
      <c r="BI50" s="1493">
        <v>1250140</v>
      </c>
      <c r="BJ50" s="1493">
        <v>1797480</v>
      </c>
      <c r="BK50" s="1503">
        <v>1</v>
      </c>
      <c r="BL50" s="1493">
        <v>0</v>
      </c>
      <c r="BM50" s="1493">
        <v>0</v>
      </c>
      <c r="BN50" s="1493">
        <v>0</v>
      </c>
      <c r="BO50" s="1493">
        <v>0</v>
      </c>
      <c r="BP50" s="1493">
        <v>0</v>
      </c>
      <c r="BQ50" s="1493">
        <v>0</v>
      </c>
      <c r="BR50" s="1493">
        <v>3047620</v>
      </c>
      <c r="BS50" s="1493">
        <v>1250140</v>
      </c>
      <c r="BT50" s="1493">
        <v>1797480</v>
      </c>
      <c r="BU50" s="1503">
        <v>1</v>
      </c>
      <c r="BV50" s="1493">
        <v>0</v>
      </c>
      <c r="BW50" s="1493">
        <v>0</v>
      </c>
      <c r="BX50" s="1493">
        <v>0</v>
      </c>
      <c r="BY50" s="1493">
        <v>0</v>
      </c>
      <c r="BZ50" s="1493">
        <v>0</v>
      </c>
      <c r="CA50" s="1493">
        <v>0</v>
      </c>
      <c r="CB50" s="1493">
        <v>3047620</v>
      </c>
      <c r="CC50" s="1493">
        <v>1250140</v>
      </c>
      <c r="CD50" s="1493">
        <v>1797480</v>
      </c>
      <c r="CE50" s="1503">
        <v>1</v>
      </c>
      <c r="CF50" s="1493">
        <v>0</v>
      </c>
      <c r="CG50" s="1493">
        <v>0</v>
      </c>
      <c r="CH50" s="1493">
        <v>0</v>
      </c>
      <c r="CI50" s="1493">
        <v>0</v>
      </c>
      <c r="CJ50" s="1493">
        <v>0</v>
      </c>
      <c r="CK50" s="1493">
        <v>0</v>
      </c>
      <c r="CL50" s="1493">
        <v>3047620</v>
      </c>
      <c r="CM50" s="1493">
        <v>1250140</v>
      </c>
      <c r="CN50" s="1493">
        <v>1797480</v>
      </c>
      <c r="CO50" s="1503">
        <v>1</v>
      </c>
      <c r="CP50" s="1493">
        <v>0</v>
      </c>
      <c r="CQ50" s="1493">
        <v>0</v>
      </c>
      <c r="CR50" s="1493">
        <v>0</v>
      </c>
      <c r="CS50" s="1493">
        <v>0</v>
      </c>
      <c r="CT50" s="1493">
        <v>0</v>
      </c>
      <c r="CU50" s="1493">
        <v>0</v>
      </c>
      <c r="CV50" s="1493">
        <v>3047620</v>
      </c>
      <c r="CW50" s="1493">
        <v>1250140</v>
      </c>
      <c r="CX50" s="1493">
        <v>1797480</v>
      </c>
      <c r="CY50" s="1503">
        <v>1</v>
      </c>
      <c r="CZ50" s="1493">
        <v>0</v>
      </c>
      <c r="DA50" s="1493">
        <v>0</v>
      </c>
      <c r="DB50" s="1493">
        <v>0</v>
      </c>
      <c r="DC50" s="1493">
        <v>0</v>
      </c>
      <c r="DD50" s="1493">
        <v>0</v>
      </c>
      <c r="DE50" s="1493">
        <v>0</v>
      </c>
      <c r="DF50" s="1493">
        <v>3047620</v>
      </c>
      <c r="DG50" s="1493">
        <v>1250140</v>
      </c>
      <c r="DH50" s="1493">
        <v>1797480</v>
      </c>
      <c r="DI50" s="1503">
        <v>1</v>
      </c>
      <c r="DJ50" s="1493">
        <v>0</v>
      </c>
      <c r="DK50" s="1493">
        <v>0</v>
      </c>
      <c r="DL50" s="1493">
        <v>0</v>
      </c>
      <c r="DM50" s="1493">
        <v>0</v>
      </c>
      <c r="DN50" s="1493">
        <v>0</v>
      </c>
      <c r="DO50" s="1493">
        <v>0</v>
      </c>
      <c r="DP50" s="1493">
        <v>3047620</v>
      </c>
      <c r="DQ50" s="1493">
        <v>1250140</v>
      </c>
      <c r="DR50" s="1493">
        <v>1797480</v>
      </c>
      <c r="DS50" s="1503">
        <v>1</v>
      </c>
      <c r="DT50" s="1493">
        <v>0</v>
      </c>
      <c r="DU50" s="1493">
        <v>0</v>
      </c>
      <c r="DV50" s="1493">
        <v>0</v>
      </c>
      <c r="DW50" s="1493">
        <v>0</v>
      </c>
      <c r="DX50" s="1493">
        <v>0</v>
      </c>
      <c r="DY50" s="1493">
        <v>0</v>
      </c>
      <c r="DZ50" s="1493">
        <v>3047620</v>
      </c>
      <c r="EA50" s="1493">
        <v>1250140</v>
      </c>
      <c r="EB50" s="1493">
        <v>1797480</v>
      </c>
      <c r="EC50" s="1503">
        <v>1</v>
      </c>
      <c r="ED50" s="1493">
        <v>0</v>
      </c>
      <c r="EE50" s="1493">
        <v>0</v>
      </c>
      <c r="EF50" s="1493">
        <v>0</v>
      </c>
      <c r="EG50" s="1189">
        <v>0</v>
      </c>
      <c r="EH50" s="1189">
        <v>0</v>
      </c>
      <c r="EI50" s="1189">
        <v>0</v>
      </c>
      <c r="EJ50" s="1504" t="s">
        <v>630</v>
      </c>
      <c r="EK50" s="1597">
        <v>3047620</v>
      </c>
      <c r="EL50" s="1597">
        <v>1250140</v>
      </c>
      <c r="EM50" s="1505">
        <v>1797480</v>
      </c>
      <c r="EN50" s="1506">
        <v>0.58979794068814351</v>
      </c>
      <c r="EO50" s="1502">
        <v>0</v>
      </c>
      <c r="EP50" s="1502">
        <v>0</v>
      </c>
      <c r="EQ50" s="1502">
        <v>0</v>
      </c>
      <c r="ER50" s="1507" t="s">
        <v>630</v>
      </c>
      <c r="ES50" s="1189">
        <v>0</v>
      </c>
      <c r="ET50" s="1189">
        <v>0</v>
      </c>
      <c r="EU50" s="1189">
        <v>0</v>
      </c>
      <c r="EV50" s="1504" t="s">
        <v>630</v>
      </c>
      <c r="EW50" s="1505">
        <v>3047620</v>
      </c>
      <c r="EX50" s="1505">
        <v>1250140</v>
      </c>
      <c r="EY50" s="1505">
        <v>1797480</v>
      </c>
      <c r="EZ50" s="1506">
        <v>0.58979794068814351</v>
      </c>
      <c r="FA50" s="1502">
        <v>0</v>
      </c>
      <c r="FB50" s="1502">
        <v>0</v>
      </c>
      <c r="FC50" s="1502">
        <v>0</v>
      </c>
      <c r="FD50" s="1507" t="s">
        <v>630</v>
      </c>
      <c r="FE50" s="1189">
        <v>0</v>
      </c>
      <c r="FF50" s="1189">
        <v>0</v>
      </c>
      <c r="FG50" s="1189">
        <v>0</v>
      </c>
      <c r="FH50" s="1504" t="s">
        <v>630</v>
      </c>
      <c r="FI50" s="1505">
        <v>3047620</v>
      </c>
      <c r="FJ50" s="1505">
        <v>1250140</v>
      </c>
      <c r="FK50" s="1505">
        <v>1797480</v>
      </c>
      <c r="FL50" s="1506">
        <v>0.58979794068814351</v>
      </c>
      <c r="FM50" s="1502">
        <v>0</v>
      </c>
      <c r="FN50" s="1502">
        <v>0</v>
      </c>
      <c r="FO50" s="1502">
        <v>0</v>
      </c>
      <c r="FP50" s="1507" t="s">
        <v>630</v>
      </c>
      <c r="FQ50" s="1189">
        <v>0</v>
      </c>
      <c r="FR50" s="1189">
        <v>0</v>
      </c>
      <c r="FS50" s="1189">
        <v>0</v>
      </c>
      <c r="FT50" s="1504" t="s">
        <v>630</v>
      </c>
      <c r="FU50" s="1505">
        <v>3047620</v>
      </c>
      <c r="FV50" s="1505">
        <v>1250140</v>
      </c>
      <c r="FW50" s="1505">
        <v>1797480</v>
      </c>
      <c r="FX50" s="1506">
        <v>0.58979794068814351</v>
      </c>
      <c r="FY50" s="1502">
        <v>0</v>
      </c>
      <c r="FZ50" s="1502">
        <v>0</v>
      </c>
      <c r="GA50" s="1502">
        <v>0</v>
      </c>
      <c r="GB50" s="1507" t="s">
        <v>630</v>
      </c>
      <c r="GC50" s="1189">
        <v>0</v>
      </c>
      <c r="GD50" s="1189">
        <v>0</v>
      </c>
      <c r="GE50" s="1189">
        <v>0</v>
      </c>
      <c r="GF50" s="1504" t="s">
        <v>630</v>
      </c>
      <c r="GG50" s="1505">
        <v>3047620</v>
      </c>
      <c r="GH50" s="1505">
        <v>1250140</v>
      </c>
      <c r="GI50" s="1505">
        <v>1797480</v>
      </c>
      <c r="GJ50" s="1506">
        <v>0.58979794068814351</v>
      </c>
      <c r="GK50" s="1502">
        <v>0</v>
      </c>
      <c r="GL50" s="1502">
        <v>0</v>
      </c>
      <c r="GM50" s="1502">
        <v>0</v>
      </c>
      <c r="GN50" s="1507" t="s">
        <v>630</v>
      </c>
      <c r="GO50" s="1189">
        <v>0</v>
      </c>
      <c r="GP50" s="1189">
        <v>0</v>
      </c>
      <c r="GQ50" s="1189">
        <v>0</v>
      </c>
      <c r="GR50" s="1504" t="s">
        <v>630</v>
      </c>
      <c r="GS50" s="1505">
        <v>3047620</v>
      </c>
      <c r="GT50" s="1505">
        <v>1250140</v>
      </c>
      <c r="GU50" s="1505">
        <v>1797480</v>
      </c>
      <c r="GV50" s="1506">
        <v>0.58979794068814351</v>
      </c>
      <c r="GW50" s="1502">
        <v>0</v>
      </c>
      <c r="GX50" s="1502">
        <v>0</v>
      </c>
      <c r="GY50" s="1502">
        <v>0</v>
      </c>
      <c r="GZ50" s="1507" t="s">
        <v>630</v>
      </c>
    </row>
    <row r="51" spans="1:210" s="690" customFormat="1">
      <c r="A51" s="1514" t="s">
        <v>1554</v>
      </c>
      <c r="B51" s="1598" t="s">
        <v>2098</v>
      </c>
      <c r="C51" s="1308" t="s">
        <v>1318</v>
      </c>
      <c r="D51" s="1308" t="s">
        <v>1246</v>
      </c>
      <c r="E51" s="1508"/>
      <c r="F51" s="1512">
        <v>36177000</v>
      </c>
      <c r="G51" s="1512">
        <v>28979864</v>
      </c>
      <c r="H51" s="1513">
        <v>7197136</v>
      </c>
      <c r="I51" s="1511">
        <v>0.19894231141332891</v>
      </c>
      <c r="J51" s="1512">
        <v>36177000</v>
      </c>
      <c r="K51" s="1512">
        <v>29181154</v>
      </c>
      <c r="L51" s="1513">
        <v>6995846</v>
      </c>
      <c r="M51" s="1511">
        <v>0.19337827901705504</v>
      </c>
      <c r="N51" s="1512">
        <v>0</v>
      </c>
      <c r="O51" s="1512">
        <v>-201290</v>
      </c>
      <c r="P51" s="1513">
        <v>201290</v>
      </c>
      <c r="Q51" s="752">
        <v>11001914</v>
      </c>
      <c r="R51" s="752">
        <v>8813168</v>
      </c>
      <c r="S51" s="1514">
        <v>2188746</v>
      </c>
      <c r="T51" s="1515">
        <v>0.19894229313190415</v>
      </c>
      <c r="U51" s="1516">
        <v>25175086</v>
      </c>
      <c r="V51" s="1516">
        <v>20166696</v>
      </c>
      <c r="W51" s="1516">
        <v>5008390</v>
      </c>
      <c r="X51" s="752">
        <v>380211</v>
      </c>
      <c r="Y51" s="752">
        <v>304571</v>
      </c>
      <c r="Z51" s="1514">
        <v>75640</v>
      </c>
      <c r="AA51" s="1514">
        <v>380211</v>
      </c>
      <c r="AB51" s="1514">
        <v>304571</v>
      </c>
      <c r="AC51" s="1514">
        <v>75640</v>
      </c>
      <c r="AD51" s="1514">
        <v>11382125</v>
      </c>
      <c r="AE51" s="1514">
        <v>9117739</v>
      </c>
      <c r="AF51" s="1514">
        <v>2264386</v>
      </c>
      <c r="AG51" s="1517">
        <v>0.31462324128589986</v>
      </c>
      <c r="AH51" s="752">
        <v>248836</v>
      </c>
      <c r="AI51" s="752">
        <v>199332</v>
      </c>
      <c r="AJ51" s="1514">
        <v>49504</v>
      </c>
      <c r="AK51" s="1514">
        <v>629047</v>
      </c>
      <c r="AL51" s="1514">
        <v>503903</v>
      </c>
      <c r="AM51" s="1514">
        <v>125144</v>
      </c>
      <c r="AN51" s="1514">
        <v>11630961</v>
      </c>
      <c r="AO51" s="1514">
        <v>9317071</v>
      </c>
      <c r="AP51" s="1514">
        <v>2313890</v>
      </c>
      <c r="AQ51" s="1517">
        <v>0.32150153412389088</v>
      </c>
      <c r="AR51" s="752">
        <v>1892094</v>
      </c>
      <c r="AS51" s="752">
        <v>1515676</v>
      </c>
      <c r="AT51" s="1514">
        <v>376418</v>
      </c>
      <c r="AU51" s="1514">
        <v>2521141</v>
      </c>
      <c r="AV51" s="1514">
        <v>2019579</v>
      </c>
      <c r="AW51" s="1514">
        <v>501562</v>
      </c>
      <c r="AX51" s="1514">
        <v>13523055</v>
      </c>
      <c r="AY51" s="1514">
        <v>10832747</v>
      </c>
      <c r="AZ51" s="1514">
        <v>2690308</v>
      </c>
      <c r="BA51" s="1517">
        <v>0.37380255410896424</v>
      </c>
      <c r="BB51" s="752">
        <v>905108</v>
      </c>
      <c r="BC51" s="752">
        <v>725044</v>
      </c>
      <c r="BD51" s="1514">
        <v>180064</v>
      </c>
      <c r="BE51" s="1514">
        <v>3426249</v>
      </c>
      <c r="BF51" s="1514">
        <v>2744623</v>
      </c>
      <c r="BG51" s="1514">
        <v>681626</v>
      </c>
      <c r="BH51" s="1514">
        <v>14428163</v>
      </c>
      <c r="BI51" s="1514">
        <v>11557791</v>
      </c>
      <c r="BJ51" s="1514">
        <v>2870372</v>
      </c>
      <c r="BK51" s="1517">
        <v>0.39882143350747712</v>
      </c>
      <c r="BL51" s="752">
        <v>462510</v>
      </c>
      <c r="BM51" s="752">
        <v>370497</v>
      </c>
      <c r="BN51" s="1514">
        <v>92013</v>
      </c>
      <c r="BO51" s="1514">
        <v>3888759</v>
      </c>
      <c r="BP51" s="1514">
        <v>3115120</v>
      </c>
      <c r="BQ51" s="1514">
        <v>773639</v>
      </c>
      <c r="BR51" s="1514">
        <v>14890673</v>
      </c>
      <c r="BS51" s="1514">
        <v>11928288</v>
      </c>
      <c r="BT51" s="1514">
        <v>2962385</v>
      </c>
      <c r="BU51" s="1517">
        <v>0.41160607568344526</v>
      </c>
      <c r="BV51" s="752">
        <v>472405</v>
      </c>
      <c r="BW51" s="752">
        <v>378424</v>
      </c>
      <c r="BX51" s="1514">
        <v>93981</v>
      </c>
      <c r="BY51" s="1514">
        <v>4361164</v>
      </c>
      <c r="BZ51" s="1514">
        <v>3493544</v>
      </c>
      <c r="CA51" s="1514">
        <v>867620</v>
      </c>
      <c r="CB51" s="1514">
        <v>15363078</v>
      </c>
      <c r="CC51" s="1514">
        <v>12306712</v>
      </c>
      <c r="CD51" s="1514">
        <v>3056366</v>
      </c>
      <c r="CE51" s="1517">
        <v>0.42466423418193883</v>
      </c>
      <c r="CF51" s="752">
        <v>942525</v>
      </c>
      <c r="CG51" s="752">
        <v>755017</v>
      </c>
      <c r="CH51" s="1514">
        <v>187508</v>
      </c>
      <c r="CI51" s="1514">
        <v>5303689</v>
      </c>
      <c r="CJ51" s="1514">
        <v>4248561</v>
      </c>
      <c r="CK51" s="1514">
        <v>1055128</v>
      </c>
      <c r="CL51" s="1514">
        <v>16305603</v>
      </c>
      <c r="CM51" s="1514">
        <v>13061729</v>
      </c>
      <c r="CN51" s="1514">
        <v>3243874</v>
      </c>
      <c r="CO51" s="1517">
        <v>0.45071738950161705</v>
      </c>
      <c r="CP51" s="752">
        <v>446620</v>
      </c>
      <c r="CQ51" s="752">
        <v>357768</v>
      </c>
      <c r="CR51" s="1514">
        <v>88852</v>
      </c>
      <c r="CS51" s="1514">
        <v>5750309</v>
      </c>
      <c r="CT51" s="1514">
        <v>4606329</v>
      </c>
      <c r="CU51" s="1514">
        <v>1143980</v>
      </c>
      <c r="CV51" s="1514">
        <v>16752223</v>
      </c>
      <c r="CW51" s="1514">
        <v>13419497</v>
      </c>
      <c r="CX51" s="1514">
        <v>3332726</v>
      </c>
      <c r="CY51" s="1517">
        <v>0.46306280233297398</v>
      </c>
      <c r="CZ51" s="752">
        <v>383614</v>
      </c>
      <c r="DA51" s="752">
        <v>307297</v>
      </c>
      <c r="DB51" s="1514">
        <v>76317</v>
      </c>
      <c r="DC51" s="1514">
        <v>6133923</v>
      </c>
      <c r="DD51" s="1514">
        <v>4913626</v>
      </c>
      <c r="DE51" s="1514">
        <v>1220297</v>
      </c>
      <c r="DF51" s="1514">
        <v>17135837</v>
      </c>
      <c r="DG51" s="1514">
        <v>13726794</v>
      </c>
      <c r="DH51" s="1514">
        <v>3409043</v>
      </c>
      <c r="DI51" s="1517">
        <v>0.47366661138292288</v>
      </c>
      <c r="DJ51" s="752">
        <v>902655</v>
      </c>
      <c r="DK51" s="752">
        <v>723079</v>
      </c>
      <c r="DL51" s="1514">
        <v>179576</v>
      </c>
      <c r="DM51" s="1514">
        <v>7036578</v>
      </c>
      <c r="DN51" s="1514">
        <v>5636705</v>
      </c>
      <c r="DO51" s="1514">
        <v>1399873</v>
      </c>
      <c r="DP51" s="1514">
        <v>18038492</v>
      </c>
      <c r="DQ51" s="1514">
        <v>14449873</v>
      </c>
      <c r="DR51" s="1514">
        <v>3588619</v>
      </c>
      <c r="DS51" s="1517">
        <v>0.49861768526964645</v>
      </c>
      <c r="DT51" s="752">
        <v>441357</v>
      </c>
      <c r="DU51" s="752">
        <v>353552</v>
      </c>
      <c r="DV51" s="1514">
        <v>87805</v>
      </c>
      <c r="DW51" s="1514">
        <v>7477935</v>
      </c>
      <c r="DX51" s="1514">
        <v>5990257</v>
      </c>
      <c r="DY51" s="1514">
        <v>1487678</v>
      </c>
      <c r="DZ51" s="1514">
        <v>18479849</v>
      </c>
      <c r="EA51" s="1514">
        <v>14803425</v>
      </c>
      <c r="EB51" s="1514">
        <v>3676424</v>
      </c>
      <c r="EC51" s="1517">
        <v>0.51081761892915389</v>
      </c>
      <c r="ED51" s="752">
        <v>552337</v>
      </c>
      <c r="EE51" s="752">
        <v>442454</v>
      </c>
      <c r="EF51" s="1514">
        <v>109883</v>
      </c>
      <c r="EG51" s="1518">
        <v>8030272</v>
      </c>
      <c r="EH51" s="1518">
        <v>6432711</v>
      </c>
      <c r="EI51" s="1518">
        <v>1597561</v>
      </c>
      <c r="EJ51" s="1519">
        <v>0.1989423272337475</v>
      </c>
      <c r="EK51" s="1599">
        <v>19032186</v>
      </c>
      <c r="EL51" s="1599">
        <v>15245879</v>
      </c>
      <c r="EM51" s="1520">
        <v>3786307</v>
      </c>
      <c r="EN51" s="1521">
        <v>0.19894230752053391</v>
      </c>
      <c r="EO51" s="1516">
        <v>17144814</v>
      </c>
      <c r="EP51" s="1516">
        <v>13733985</v>
      </c>
      <c r="EQ51" s="1516">
        <v>3410829</v>
      </c>
      <c r="ER51" s="1522">
        <v>0.1989423157346589</v>
      </c>
      <c r="ES51" s="1179">
        <v>8943393</v>
      </c>
      <c r="ET51" s="1179">
        <v>7164174</v>
      </c>
      <c r="EU51" s="1518">
        <v>1779219</v>
      </c>
      <c r="EV51" s="1519">
        <v>0.19894228063107591</v>
      </c>
      <c r="EW51" s="1520">
        <v>27975579</v>
      </c>
      <c r="EX51" s="1520">
        <v>22410053</v>
      </c>
      <c r="EY51" s="1520">
        <v>5565526</v>
      </c>
      <c r="EZ51" s="1521">
        <v>0.19894229892435827</v>
      </c>
      <c r="FA51" s="1516">
        <v>8201421</v>
      </c>
      <c r="FB51" s="1516">
        <v>6569811</v>
      </c>
      <c r="FC51" s="1516">
        <v>1631610</v>
      </c>
      <c r="FD51" s="1522">
        <v>0.1989423540140178</v>
      </c>
      <c r="FE51" s="1179">
        <v>6526819</v>
      </c>
      <c r="FF51" s="1179">
        <v>5228358</v>
      </c>
      <c r="FG51" s="1518">
        <v>1298461</v>
      </c>
      <c r="FH51" s="1519">
        <v>0.19894239444973119</v>
      </c>
      <c r="FI51" s="1520">
        <v>34502398</v>
      </c>
      <c r="FJ51" s="1520">
        <v>27638411</v>
      </c>
      <c r="FK51" s="1520">
        <v>6863987</v>
      </c>
      <c r="FL51" s="1521">
        <v>0.19894231699489409</v>
      </c>
      <c r="FM51" s="1516">
        <v>1674602</v>
      </c>
      <c r="FN51" s="1516">
        <v>1341453</v>
      </c>
      <c r="FO51" s="1516">
        <v>333149</v>
      </c>
      <c r="FP51" s="1522">
        <v>0.19894219641443162</v>
      </c>
      <c r="FQ51" s="1179">
        <v>1459635</v>
      </c>
      <c r="FR51" s="1179">
        <v>1169252</v>
      </c>
      <c r="FS51" s="1518">
        <v>290383</v>
      </c>
      <c r="FT51" s="1519">
        <v>0.19894220130375059</v>
      </c>
      <c r="FU51" s="1520">
        <v>35962033</v>
      </c>
      <c r="FV51" s="1520">
        <v>28807663</v>
      </c>
      <c r="FW51" s="1520">
        <v>7154370</v>
      </c>
      <c r="FX51" s="1521">
        <v>0.19894231229919621</v>
      </c>
      <c r="FY51" s="1516">
        <v>214967</v>
      </c>
      <c r="FZ51" s="1516">
        <v>172201</v>
      </c>
      <c r="GA51" s="1516">
        <v>42766</v>
      </c>
      <c r="GB51" s="1522">
        <v>0.1989421632157494</v>
      </c>
      <c r="GC51" s="1179">
        <v>0</v>
      </c>
      <c r="GD51" s="1179">
        <v>0</v>
      </c>
      <c r="GE51" s="1518">
        <v>0</v>
      </c>
      <c r="GF51" s="1519" t="s">
        <v>630</v>
      </c>
      <c r="GG51" s="1520">
        <v>35962033</v>
      </c>
      <c r="GH51" s="1520">
        <v>28807663</v>
      </c>
      <c r="GI51" s="1520">
        <v>7154370</v>
      </c>
      <c r="GJ51" s="1521">
        <v>0.19894231229919621</v>
      </c>
      <c r="GK51" s="1516">
        <v>214967</v>
      </c>
      <c r="GL51" s="1485">
        <v>172201</v>
      </c>
      <c r="GM51" s="1516">
        <v>42766</v>
      </c>
      <c r="GN51" s="1522">
        <v>0.1989421632157494</v>
      </c>
      <c r="GO51" s="1179">
        <v>214967</v>
      </c>
      <c r="GP51" s="1179">
        <v>172201</v>
      </c>
      <c r="GQ51" s="1179">
        <v>42766</v>
      </c>
      <c r="GR51" s="1519">
        <v>0.1989421632157494</v>
      </c>
      <c r="GS51" s="1520">
        <v>36177000</v>
      </c>
      <c r="GT51" s="1520">
        <v>28979864</v>
      </c>
      <c r="GU51" s="1520">
        <v>7197136</v>
      </c>
      <c r="GV51" s="1521">
        <v>0.19894231141332891</v>
      </c>
      <c r="GW51" s="1516">
        <v>0</v>
      </c>
      <c r="GX51" s="1516">
        <v>0</v>
      </c>
      <c r="GY51" s="1516">
        <v>0</v>
      </c>
      <c r="GZ51" s="1522" t="s">
        <v>630</v>
      </c>
      <c r="HB51" s="2432" t="s">
        <v>2498</v>
      </c>
    </row>
    <row r="52" spans="1:210" s="690" customFormat="1">
      <c r="A52" s="1514" t="s">
        <v>1555</v>
      </c>
      <c r="B52" s="1598" t="s">
        <v>2099</v>
      </c>
      <c r="C52" s="1308" t="s">
        <v>1318</v>
      </c>
      <c r="D52" s="1308" t="s">
        <v>1246</v>
      </c>
      <c r="E52" s="1508"/>
      <c r="F52" s="1512">
        <v>1910000</v>
      </c>
      <c r="G52" s="1512">
        <v>1274592</v>
      </c>
      <c r="H52" s="1513">
        <v>635408</v>
      </c>
      <c r="I52" s="1511">
        <v>0.33267434554973824</v>
      </c>
      <c r="J52" s="1512">
        <v>1910000</v>
      </c>
      <c r="K52" s="1512">
        <v>1274592</v>
      </c>
      <c r="L52" s="1513">
        <v>635408</v>
      </c>
      <c r="M52" s="1511">
        <v>0.33267434554973824</v>
      </c>
      <c r="N52" s="1512">
        <v>0</v>
      </c>
      <c r="O52" s="1512">
        <v>0</v>
      </c>
      <c r="P52" s="1513">
        <v>0</v>
      </c>
      <c r="Q52" s="752">
        <v>1644854</v>
      </c>
      <c r="R52" s="752">
        <v>1097653</v>
      </c>
      <c r="S52" s="1514">
        <v>547201</v>
      </c>
      <c r="T52" s="1515">
        <v>0.3326745109292375</v>
      </c>
      <c r="U52" s="1516">
        <v>265146</v>
      </c>
      <c r="V52" s="1516">
        <v>176939</v>
      </c>
      <c r="W52" s="1516">
        <v>88207</v>
      </c>
      <c r="X52" s="752">
        <v>2513</v>
      </c>
      <c r="Y52" s="752">
        <v>1677</v>
      </c>
      <c r="Z52" s="1514">
        <v>836</v>
      </c>
      <c r="AA52" s="1514">
        <v>2513</v>
      </c>
      <c r="AB52" s="1514">
        <v>1677</v>
      </c>
      <c r="AC52" s="1514">
        <v>836</v>
      </c>
      <c r="AD52" s="1514">
        <v>1647367</v>
      </c>
      <c r="AE52" s="1514">
        <v>1099330</v>
      </c>
      <c r="AF52" s="1514">
        <v>548037</v>
      </c>
      <c r="AG52" s="1517">
        <v>0.86249581151832466</v>
      </c>
      <c r="AH52" s="752">
        <v>2513</v>
      </c>
      <c r="AI52" s="752">
        <v>1677</v>
      </c>
      <c r="AJ52" s="1514">
        <v>836</v>
      </c>
      <c r="AK52" s="1514">
        <v>5026</v>
      </c>
      <c r="AL52" s="1514">
        <v>3354</v>
      </c>
      <c r="AM52" s="1514">
        <v>1672</v>
      </c>
      <c r="AN52" s="1514">
        <v>1649880</v>
      </c>
      <c r="AO52" s="1514">
        <v>1101007</v>
      </c>
      <c r="AP52" s="1514">
        <v>548873</v>
      </c>
      <c r="AQ52" s="1517">
        <v>0.86381151832460734</v>
      </c>
      <c r="AR52" s="752">
        <v>2625</v>
      </c>
      <c r="AS52" s="752">
        <v>1752</v>
      </c>
      <c r="AT52" s="1514">
        <v>873</v>
      </c>
      <c r="AU52" s="1514">
        <v>7651</v>
      </c>
      <c r="AV52" s="1514">
        <v>5106</v>
      </c>
      <c r="AW52" s="1514">
        <v>2545</v>
      </c>
      <c r="AX52" s="1514">
        <v>1652505</v>
      </c>
      <c r="AY52" s="1514">
        <v>1102759</v>
      </c>
      <c r="AZ52" s="1514">
        <v>549746</v>
      </c>
      <c r="BA52" s="1517">
        <v>0.8651858638743456</v>
      </c>
      <c r="BB52" s="752">
        <v>2625</v>
      </c>
      <c r="BC52" s="752">
        <v>1752</v>
      </c>
      <c r="BD52" s="1514">
        <v>873</v>
      </c>
      <c r="BE52" s="1514">
        <v>10276</v>
      </c>
      <c r="BF52" s="1514">
        <v>6858</v>
      </c>
      <c r="BG52" s="1514">
        <v>3418</v>
      </c>
      <c r="BH52" s="1514">
        <v>1655130</v>
      </c>
      <c r="BI52" s="1514">
        <v>1104511</v>
      </c>
      <c r="BJ52" s="1514">
        <v>550619</v>
      </c>
      <c r="BK52" s="1517">
        <v>0.86656020942408374</v>
      </c>
      <c r="BL52" s="752">
        <v>25331</v>
      </c>
      <c r="BM52" s="752">
        <v>16904</v>
      </c>
      <c r="BN52" s="1514">
        <v>8427</v>
      </c>
      <c r="BO52" s="1514">
        <v>35607</v>
      </c>
      <c r="BP52" s="1514">
        <v>23762</v>
      </c>
      <c r="BQ52" s="1514">
        <v>11845</v>
      </c>
      <c r="BR52" s="1514">
        <v>1680461</v>
      </c>
      <c r="BS52" s="1514">
        <v>1121415</v>
      </c>
      <c r="BT52" s="1514">
        <v>559046</v>
      </c>
      <c r="BU52" s="1517">
        <v>0.87982251308900528</v>
      </c>
      <c r="BV52" s="752">
        <v>17611</v>
      </c>
      <c r="BW52" s="752">
        <v>11752</v>
      </c>
      <c r="BX52" s="1514">
        <v>5859</v>
      </c>
      <c r="BY52" s="1514">
        <v>53218</v>
      </c>
      <c r="BZ52" s="1514">
        <v>35514</v>
      </c>
      <c r="CA52" s="1514">
        <v>17704</v>
      </c>
      <c r="CB52" s="1514">
        <v>1698072</v>
      </c>
      <c r="CC52" s="1514">
        <v>1133167</v>
      </c>
      <c r="CD52" s="1514">
        <v>564905</v>
      </c>
      <c r="CE52" s="1517">
        <v>0.88904293193717276</v>
      </c>
      <c r="CF52" s="752">
        <v>2625</v>
      </c>
      <c r="CG52" s="752">
        <v>1752</v>
      </c>
      <c r="CH52" s="1514">
        <v>873</v>
      </c>
      <c r="CI52" s="1514">
        <v>55843</v>
      </c>
      <c r="CJ52" s="1514">
        <v>37266</v>
      </c>
      <c r="CK52" s="1514">
        <v>18577</v>
      </c>
      <c r="CL52" s="1514">
        <v>1700697</v>
      </c>
      <c r="CM52" s="1514">
        <v>1134919</v>
      </c>
      <c r="CN52" s="1514">
        <v>565778</v>
      </c>
      <c r="CO52" s="1517">
        <v>0.89041727748691102</v>
      </c>
      <c r="CP52" s="752">
        <v>2884</v>
      </c>
      <c r="CQ52" s="752">
        <v>1924</v>
      </c>
      <c r="CR52" s="1514">
        <v>960</v>
      </c>
      <c r="CS52" s="1514">
        <v>58727</v>
      </c>
      <c r="CT52" s="1514">
        <v>39190</v>
      </c>
      <c r="CU52" s="1514">
        <v>19537</v>
      </c>
      <c r="CV52" s="1514">
        <v>1703581</v>
      </c>
      <c r="CW52" s="1514">
        <v>1136843</v>
      </c>
      <c r="CX52" s="1514">
        <v>566738</v>
      </c>
      <c r="CY52" s="1517">
        <v>0.89192722513089007</v>
      </c>
      <c r="CZ52" s="752">
        <v>2883</v>
      </c>
      <c r="DA52" s="752">
        <v>1924</v>
      </c>
      <c r="DB52" s="1514">
        <v>959</v>
      </c>
      <c r="DC52" s="1514">
        <v>61610</v>
      </c>
      <c r="DD52" s="1514">
        <v>41114</v>
      </c>
      <c r="DE52" s="1514">
        <v>20496</v>
      </c>
      <c r="DF52" s="1514">
        <v>1706464</v>
      </c>
      <c r="DG52" s="1514">
        <v>1138767</v>
      </c>
      <c r="DH52" s="1514">
        <v>567697</v>
      </c>
      <c r="DI52" s="1517">
        <v>0.89343664921465971</v>
      </c>
      <c r="DJ52" s="752">
        <v>2883</v>
      </c>
      <c r="DK52" s="752">
        <v>1924</v>
      </c>
      <c r="DL52" s="1514">
        <v>959</v>
      </c>
      <c r="DM52" s="1514">
        <v>64493</v>
      </c>
      <c r="DN52" s="1514">
        <v>43038</v>
      </c>
      <c r="DO52" s="1514">
        <v>21455</v>
      </c>
      <c r="DP52" s="1514">
        <v>1709347</v>
      </c>
      <c r="DQ52" s="1514">
        <v>1140691</v>
      </c>
      <c r="DR52" s="1514">
        <v>568656</v>
      </c>
      <c r="DS52" s="1517">
        <v>0.89494607329842935</v>
      </c>
      <c r="DT52" s="752">
        <v>2883</v>
      </c>
      <c r="DU52" s="752">
        <v>1924</v>
      </c>
      <c r="DV52" s="1514">
        <v>959</v>
      </c>
      <c r="DW52" s="1514">
        <v>67376</v>
      </c>
      <c r="DX52" s="1514">
        <v>44962</v>
      </c>
      <c r="DY52" s="1514">
        <v>22414</v>
      </c>
      <c r="DZ52" s="1514">
        <v>1712230</v>
      </c>
      <c r="EA52" s="1514">
        <v>1142615</v>
      </c>
      <c r="EB52" s="1514">
        <v>569615</v>
      </c>
      <c r="EC52" s="1517">
        <v>0.89645549738219898</v>
      </c>
      <c r="ED52" s="752">
        <v>17868</v>
      </c>
      <c r="EE52" s="752">
        <v>11924</v>
      </c>
      <c r="EF52" s="1514">
        <v>5944</v>
      </c>
      <c r="EG52" s="1518">
        <v>85244</v>
      </c>
      <c r="EH52" s="1518">
        <v>56886</v>
      </c>
      <c r="EI52" s="1518">
        <v>28358</v>
      </c>
      <c r="EJ52" s="1519">
        <v>0.33266857491436347</v>
      </c>
      <c r="EK52" s="1599">
        <v>1730098</v>
      </c>
      <c r="EL52" s="1599">
        <v>1154539</v>
      </c>
      <c r="EM52" s="1520">
        <v>575559</v>
      </c>
      <c r="EN52" s="1521">
        <v>0.33267421845467715</v>
      </c>
      <c r="EO52" s="1516">
        <v>179902</v>
      </c>
      <c r="EP52" s="1516">
        <v>120053</v>
      </c>
      <c r="EQ52" s="1516">
        <v>59849</v>
      </c>
      <c r="ER52" s="1522">
        <v>0.33267556780914054</v>
      </c>
      <c r="ES52" s="1179">
        <v>15729</v>
      </c>
      <c r="ET52" s="1179">
        <v>10496</v>
      </c>
      <c r="EU52" s="1518">
        <v>5233</v>
      </c>
      <c r="EV52" s="1519">
        <v>0.33269756500731135</v>
      </c>
      <c r="EW52" s="1520">
        <v>1745827</v>
      </c>
      <c r="EX52" s="1520">
        <v>1165035</v>
      </c>
      <c r="EY52" s="1520">
        <v>580792</v>
      </c>
      <c r="EZ52" s="1521">
        <v>0.33267442879506387</v>
      </c>
      <c r="FA52" s="1516">
        <v>164173</v>
      </c>
      <c r="FB52" s="1516">
        <v>109557</v>
      </c>
      <c r="FC52" s="1516">
        <v>54616</v>
      </c>
      <c r="FD52" s="1522">
        <v>0.33267346031320622</v>
      </c>
      <c r="FE52" s="1179">
        <v>0</v>
      </c>
      <c r="FF52" s="1179">
        <v>0</v>
      </c>
      <c r="FG52" s="1518">
        <v>0</v>
      </c>
      <c r="FH52" s="1519" t="s">
        <v>630</v>
      </c>
      <c r="FI52" s="1520">
        <v>1745827</v>
      </c>
      <c r="FJ52" s="1520">
        <v>1165035</v>
      </c>
      <c r="FK52" s="1520">
        <v>580792</v>
      </c>
      <c r="FL52" s="1521">
        <v>0.33267442879506387</v>
      </c>
      <c r="FM52" s="1516">
        <v>164173</v>
      </c>
      <c r="FN52" s="1516">
        <v>109557</v>
      </c>
      <c r="FO52" s="1516">
        <v>54616</v>
      </c>
      <c r="FP52" s="1522">
        <v>0.33267346031320622</v>
      </c>
      <c r="FQ52" s="1179">
        <v>0</v>
      </c>
      <c r="FR52" s="1179">
        <v>0</v>
      </c>
      <c r="FS52" s="1518">
        <v>0</v>
      </c>
      <c r="FT52" s="1519" t="s">
        <v>630</v>
      </c>
      <c r="FU52" s="1520">
        <v>1745827</v>
      </c>
      <c r="FV52" s="1520">
        <v>1165035</v>
      </c>
      <c r="FW52" s="1520">
        <v>580792</v>
      </c>
      <c r="FX52" s="1521">
        <v>0.33267442879506387</v>
      </c>
      <c r="FY52" s="1516">
        <v>164173</v>
      </c>
      <c r="FZ52" s="1516">
        <v>109557</v>
      </c>
      <c r="GA52" s="1516">
        <v>54616</v>
      </c>
      <c r="GB52" s="1522">
        <v>0.33267346031320622</v>
      </c>
      <c r="GC52" s="1179">
        <v>0</v>
      </c>
      <c r="GD52" s="1179">
        <v>0</v>
      </c>
      <c r="GE52" s="1518">
        <v>0</v>
      </c>
      <c r="GF52" s="1519" t="s">
        <v>630</v>
      </c>
      <c r="GG52" s="1520">
        <v>1745827</v>
      </c>
      <c r="GH52" s="1520">
        <v>1165035</v>
      </c>
      <c r="GI52" s="1520">
        <v>580792</v>
      </c>
      <c r="GJ52" s="1521">
        <v>0.33267442879506387</v>
      </c>
      <c r="GK52" s="1516">
        <v>164173</v>
      </c>
      <c r="GL52" s="1485">
        <v>109557</v>
      </c>
      <c r="GM52" s="1516">
        <v>54616</v>
      </c>
      <c r="GN52" s="1522">
        <v>0.33267346031320622</v>
      </c>
      <c r="GO52" s="1179">
        <v>164173</v>
      </c>
      <c r="GP52" s="1179">
        <v>109557</v>
      </c>
      <c r="GQ52" s="1179">
        <v>54616</v>
      </c>
      <c r="GR52" s="1519">
        <v>0.33267346031320622</v>
      </c>
      <c r="GS52" s="1520">
        <v>1910000</v>
      </c>
      <c r="GT52" s="1520">
        <v>1274592</v>
      </c>
      <c r="GU52" s="1520">
        <v>635408</v>
      </c>
      <c r="GV52" s="1521">
        <v>0.33267434554973824</v>
      </c>
      <c r="GW52" s="1516">
        <v>0</v>
      </c>
      <c r="GX52" s="1516">
        <v>0</v>
      </c>
      <c r="GY52" s="1516">
        <v>0</v>
      </c>
      <c r="GZ52" s="1522" t="s">
        <v>630</v>
      </c>
    </row>
    <row r="53" spans="1:210" s="690" customFormat="1">
      <c r="A53" s="1514" t="s">
        <v>1556</v>
      </c>
      <c r="B53" s="1598" t="s">
        <v>2100</v>
      </c>
      <c r="C53" s="1308" t="s">
        <v>1318</v>
      </c>
      <c r="D53" s="1308" t="s">
        <v>1246</v>
      </c>
      <c r="E53" s="1508"/>
      <c r="F53" s="1512">
        <v>3969500</v>
      </c>
      <c r="G53" s="1512">
        <v>2705044</v>
      </c>
      <c r="H53" s="1513">
        <v>1264456</v>
      </c>
      <c r="I53" s="1511">
        <v>0.31854288953268672</v>
      </c>
      <c r="J53" s="1512">
        <v>3969500</v>
      </c>
      <c r="K53" s="1512">
        <v>2705044</v>
      </c>
      <c r="L53" s="1513">
        <v>1264456</v>
      </c>
      <c r="M53" s="1511">
        <v>0.31854288953268672</v>
      </c>
      <c r="N53" s="1512">
        <v>0</v>
      </c>
      <c r="O53" s="1512">
        <v>0</v>
      </c>
      <c r="P53" s="1513">
        <v>0</v>
      </c>
      <c r="Q53" s="752">
        <v>2193319</v>
      </c>
      <c r="R53" s="752">
        <v>1494653</v>
      </c>
      <c r="S53" s="1514">
        <v>698666</v>
      </c>
      <c r="T53" s="1515">
        <v>0.31854281114603028</v>
      </c>
      <c r="U53" s="1516">
        <v>1776181</v>
      </c>
      <c r="V53" s="1516">
        <v>1210391</v>
      </c>
      <c r="W53" s="1516">
        <v>565790</v>
      </c>
      <c r="X53" s="752">
        <v>161952</v>
      </c>
      <c r="Y53" s="752">
        <v>110363</v>
      </c>
      <c r="Z53" s="1514">
        <v>51589</v>
      </c>
      <c r="AA53" s="1514">
        <v>161952</v>
      </c>
      <c r="AB53" s="1514">
        <v>110363</v>
      </c>
      <c r="AC53" s="1514">
        <v>51589</v>
      </c>
      <c r="AD53" s="1514">
        <v>2355271</v>
      </c>
      <c r="AE53" s="1514">
        <v>1605016</v>
      </c>
      <c r="AF53" s="1514">
        <v>750255</v>
      </c>
      <c r="AG53" s="1517">
        <v>0.59334198261745807</v>
      </c>
      <c r="AH53" s="752">
        <v>91546</v>
      </c>
      <c r="AI53" s="752">
        <v>62385</v>
      </c>
      <c r="AJ53" s="1514">
        <v>29161</v>
      </c>
      <c r="AK53" s="1514">
        <v>253498</v>
      </c>
      <c r="AL53" s="1514">
        <v>172748</v>
      </c>
      <c r="AM53" s="1514">
        <v>80750</v>
      </c>
      <c r="AN53" s="1514">
        <v>2446817</v>
      </c>
      <c r="AO53" s="1514">
        <v>1667401</v>
      </c>
      <c r="AP53" s="1514">
        <v>779416</v>
      </c>
      <c r="AQ53" s="1517">
        <v>0.61640433303942566</v>
      </c>
      <c r="AR53" s="752">
        <v>199410</v>
      </c>
      <c r="AS53" s="752">
        <v>135889</v>
      </c>
      <c r="AT53" s="1514">
        <v>63521</v>
      </c>
      <c r="AU53" s="1514">
        <v>452908</v>
      </c>
      <c r="AV53" s="1514">
        <v>308637</v>
      </c>
      <c r="AW53" s="1514">
        <v>144271</v>
      </c>
      <c r="AX53" s="1514">
        <v>2646227</v>
      </c>
      <c r="AY53" s="1514">
        <v>1803290</v>
      </c>
      <c r="AZ53" s="1514">
        <v>842937</v>
      </c>
      <c r="BA53" s="1517">
        <v>0.66663987907796951</v>
      </c>
      <c r="BB53" s="752">
        <v>167569</v>
      </c>
      <c r="BC53" s="752">
        <v>114191</v>
      </c>
      <c r="BD53" s="1514">
        <v>53378</v>
      </c>
      <c r="BE53" s="1514">
        <v>620477</v>
      </c>
      <c r="BF53" s="1514">
        <v>422828</v>
      </c>
      <c r="BG53" s="1514">
        <v>197649</v>
      </c>
      <c r="BH53" s="1514">
        <v>2813796</v>
      </c>
      <c r="BI53" s="1514">
        <v>1917481</v>
      </c>
      <c r="BJ53" s="1514">
        <v>896315</v>
      </c>
      <c r="BK53" s="1517">
        <v>0.70885401184028218</v>
      </c>
      <c r="BL53" s="752">
        <v>189803</v>
      </c>
      <c r="BM53" s="752">
        <v>129343</v>
      </c>
      <c r="BN53" s="1514">
        <v>60460</v>
      </c>
      <c r="BO53" s="1514">
        <v>810280</v>
      </c>
      <c r="BP53" s="1514">
        <v>552171</v>
      </c>
      <c r="BQ53" s="1514">
        <v>258109</v>
      </c>
      <c r="BR53" s="1514">
        <v>3003599</v>
      </c>
      <c r="BS53" s="1514">
        <v>2046824</v>
      </c>
      <c r="BT53" s="1514">
        <v>956775</v>
      </c>
      <c r="BU53" s="1517">
        <v>0.75666935382289957</v>
      </c>
      <c r="BV53" s="752">
        <v>183893</v>
      </c>
      <c r="BW53" s="752">
        <v>125315</v>
      </c>
      <c r="BX53" s="1514">
        <v>58578</v>
      </c>
      <c r="BY53" s="1514">
        <v>994173</v>
      </c>
      <c r="BZ53" s="1514">
        <v>677486</v>
      </c>
      <c r="CA53" s="1514">
        <v>316687</v>
      </c>
      <c r="CB53" s="1514">
        <v>3187492</v>
      </c>
      <c r="CC53" s="1514">
        <v>2172139</v>
      </c>
      <c r="CD53" s="1514">
        <v>1015353</v>
      </c>
      <c r="CE53" s="1517">
        <v>0.80299584330520213</v>
      </c>
      <c r="CF53" s="752">
        <v>177412</v>
      </c>
      <c r="CG53" s="752">
        <v>120899</v>
      </c>
      <c r="CH53" s="1514">
        <v>56513</v>
      </c>
      <c r="CI53" s="1514">
        <v>1171585</v>
      </c>
      <c r="CJ53" s="1514">
        <v>798385</v>
      </c>
      <c r="CK53" s="1514">
        <v>373200</v>
      </c>
      <c r="CL53" s="1514">
        <v>3364904</v>
      </c>
      <c r="CM53" s="1514">
        <v>2293038</v>
      </c>
      <c r="CN53" s="1514">
        <v>1071866</v>
      </c>
      <c r="CO53" s="1517">
        <v>0.84768963345509507</v>
      </c>
      <c r="CP53" s="752">
        <v>178606</v>
      </c>
      <c r="CQ53" s="752">
        <v>121712</v>
      </c>
      <c r="CR53" s="1514">
        <v>56894</v>
      </c>
      <c r="CS53" s="1514">
        <v>1350191</v>
      </c>
      <c r="CT53" s="1514">
        <v>920097</v>
      </c>
      <c r="CU53" s="1514">
        <v>430094</v>
      </c>
      <c r="CV53" s="1514">
        <v>3543510</v>
      </c>
      <c r="CW53" s="1514">
        <v>2414750</v>
      </c>
      <c r="CX53" s="1514">
        <v>1128760</v>
      </c>
      <c r="CY53" s="1517">
        <v>0.89268421715581303</v>
      </c>
      <c r="CZ53" s="752">
        <v>90836</v>
      </c>
      <c r="DA53" s="752">
        <v>61901</v>
      </c>
      <c r="DB53" s="1514">
        <v>28935</v>
      </c>
      <c r="DC53" s="1514">
        <v>1441027</v>
      </c>
      <c r="DD53" s="1514">
        <v>981998</v>
      </c>
      <c r="DE53" s="1514">
        <v>459029</v>
      </c>
      <c r="DF53" s="1514">
        <v>3634346</v>
      </c>
      <c r="DG53" s="1514">
        <v>2476651</v>
      </c>
      <c r="DH53" s="1514">
        <v>1157695</v>
      </c>
      <c r="DI53" s="1517">
        <v>0.91556770374102536</v>
      </c>
      <c r="DJ53" s="752">
        <v>102419</v>
      </c>
      <c r="DK53" s="752">
        <v>69794</v>
      </c>
      <c r="DL53" s="1514">
        <v>32625</v>
      </c>
      <c r="DM53" s="1514">
        <v>1543446</v>
      </c>
      <c r="DN53" s="1514">
        <v>1051792</v>
      </c>
      <c r="DO53" s="1514">
        <v>491654</v>
      </c>
      <c r="DP53" s="1514">
        <v>3736765</v>
      </c>
      <c r="DQ53" s="1514">
        <v>2546445</v>
      </c>
      <c r="DR53" s="1514">
        <v>1190320</v>
      </c>
      <c r="DS53" s="1517">
        <v>0.94136919007431663</v>
      </c>
      <c r="DT53" s="752">
        <v>97087</v>
      </c>
      <c r="DU53" s="752">
        <v>66161</v>
      </c>
      <c r="DV53" s="1514">
        <v>30926</v>
      </c>
      <c r="DW53" s="1514">
        <v>1640533</v>
      </c>
      <c r="DX53" s="1514">
        <v>1117953</v>
      </c>
      <c r="DY53" s="1514">
        <v>522580</v>
      </c>
      <c r="DZ53" s="1514">
        <v>3833852</v>
      </c>
      <c r="EA53" s="1514">
        <v>2612606</v>
      </c>
      <c r="EB53" s="1514">
        <v>1221246</v>
      </c>
      <c r="EC53" s="1517">
        <v>0.96582743418566575</v>
      </c>
      <c r="ED53" s="752">
        <v>15805</v>
      </c>
      <c r="EE53" s="752">
        <v>10770</v>
      </c>
      <c r="EF53" s="1514">
        <v>5035</v>
      </c>
      <c r="EG53" s="1518">
        <v>1656338</v>
      </c>
      <c r="EH53" s="1518">
        <v>1128723</v>
      </c>
      <c r="EI53" s="1518">
        <v>527615</v>
      </c>
      <c r="EJ53" s="1519">
        <v>0.3185430751452904</v>
      </c>
      <c r="EK53" s="1599">
        <v>3849657</v>
      </c>
      <c r="EL53" s="1599">
        <v>2623376</v>
      </c>
      <c r="EM53" s="1520">
        <v>1226281</v>
      </c>
      <c r="EN53" s="1521">
        <v>0.31854292473329443</v>
      </c>
      <c r="EO53" s="1516">
        <v>119843</v>
      </c>
      <c r="EP53" s="1516">
        <v>81668</v>
      </c>
      <c r="EQ53" s="1516">
        <v>38175</v>
      </c>
      <c r="ER53" s="1522">
        <v>0.31854175880109808</v>
      </c>
      <c r="ES53" s="1179">
        <v>32843</v>
      </c>
      <c r="ET53" s="1179">
        <v>22381</v>
      </c>
      <c r="EU53" s="1518">
        <v>10462</v>
      </c>
      <c r="EV53" s="1519">
        <v>0.31854580884815636</v>
      </c>
      <c r="EW53" s="1520">
        <v>3882500</v>
      </c>
      <c r="EX53" s="1520">
        <v>2645757</v>
      </c>
      <c r="EY53" s="1520">
        <v>1236743</v>
      </c>
      <c r="EZ53" s="1521">
        <v>0.31854294913071474</v>
      </c>
      <c r="FA53" s="1516">
        <v>87000</v>
      </c>
      <c r="FB53" s="1516">
        <v>59287</v>
      </c>
      <c r="FC53" s="1516">
        <v>27713</v>
      </c>
      <c r="FD53" s="1522">
        <v>0.31854022988505748</v>
      </c>
      <c r="FE53" s="1179">
        <v>0</v>
      </c>
      <c r="FF53" s="1179">
        <v>0</v>
      </c>
      <c r="FG53" s="1518">
        <v>0</v>
      </c>
      <c r="FH53" s="1519" t="s">
        <v>630</v>
      </c>
      <c r="FI53" s="1520">
        <v>3882500</v>
      </c>
      <c r="FJ53" s="1520">
        <v>2645757</v>
      </c>
      <c r="FK53" s="1520">
        <v>1236743</v>
      </c>
      <c r="FL53" s="1521">
        <v>0.31854294913071474</v>
      </c>
      <c r="FM53" s="1516">
        <v>87000</v>
      </c>
      <c r="FN53" s="1516">
        <v>59287</v>
      </c>
      <c r="FO53" s="1516">
        <v>27713</v>
      </c>
      <c r="FP53" s="1522">
        <v>0.31854022988505748</v>
      </c>
      <c r="FQ53" s="1179">
        <v>0</v>
      </c>
      <c r="FR53" s="1179">
        <v>0</v>
      </c>
      <c r="FS53" s="1518">
        <v>0</v>
      </c>
      <c r="FT53" s="1519" t="s">
        <v>630</v>
      </c>
      <c r="FU53" s="1520">
        <v>3882500</v>
      </c>
      <c r="FV53" s="1520">
        <v>2645757</v>
      </c>
      <c r="FW53" s="1520">
        <v>1236743</v>
      </c>
      <c r="FX53" s="1521">
        <v>0.31854294913071474</v>
      </c>
      <c r="FY53" s="1516">
        <v>87000</v>
      </c>
      <c r="FZ53" s="1516">
        <v>59287</v>
      </c>
      <c r="GA53" s="1516">
        <v>27713</v>
      </c>
      <c r="GB53" s="1522">
        <v>0.31854022988505748</v>
      </c>
      <c r="GC53" s="1179">
        <v>0</v>
      </c>
      <c r="GD53" s="1179">
        <v>0</v>
      </c>
      <c r="GE53" s="1518">
        <v>0</v>
      </c>
      <c r="GF53" s="1519" t="s">
        <v>630</v>
      </c>
      <c r="GG53" s="1520">
        <v>3882500</v>
      </c>
      <c r="GH53" s="1520">
        <v>2645757</v>
      </c>
      <c r="GI53" s="1520">
        <v>1236743</v>
      </c>
      <c r="GJ53" s="1521">
        <v>0.31854294913071474</v>
      </c>
      <c r="GK53" s="1516">
        <v>87000</v>
      </c>
      <c r="GL53" s="1485">
        <v>59287</v>
      </c>
      <c r="GM53" s="1516">
        <v>27713</v>
      </c>
      <c r="GN53" s="1522">
        <v>0.31854022988505748</v>
      </c>
      <c r="GO53" s="1179">
        <v>87000</v>
      </c>
      <c r="GP53" s="1179">
        <v>59287</v>
      </c>
      <c r="GQ53" s="1179">
        <v>27713</v>
      </c>
      <c r="GR53" s="1519">
        <v>0.31854022988505748</v>
      </c>
      <c r="GS53" s="1520">
        <v>3969500</v>
      </c>
      <c r="GT53" s="1520">
        <v>2705044</v>
      </c>
      <c r="GU53" s="1520">
        <v>1264456</v>
      </c>
      <c r="GV53" s="1521">
        <v>0.31854288953268672</v>
      </c>
      <c r="GW53" s="1516">
        <v>0</v>
      </c>
      <c r="GX53" s="1516">
        <v>0</v>
      </c>
      <c r="GY53" s="1516">
        <v>0</v>
      </c>
      <c r="GZ53" s="1522" t="s">
        <v>630</v>
      </c>
    </row>
    <row r="54" spans="1:210" s="690" customFormat="1">
      <c r="A54" s="1514" t="s">
        <v>1557</v>
      </c>
      <c r="B54" s="1598" t="s">
        <v>2101</v>
      </c>
      <c r="C54" s="1308" t="s">
        <v>1318</v>
      </c>
      <c r="D54" s="1308" t="s">
        <v>1246</v>
      </c>
      <c r="E54" s="1508"/>
      <c r="F54" s="1512">
        <v>2655000</v>
      </c>
      <c r="G54" s="1512">
        <v>1823753</v>
      </c>
      <c r="H54" s="1513">
        <v>831247</v>
      </c>
      <c r="I54" s="1511">
        <v>0.31308738229755179</v>
      </c>
      <c r="J54" s="1512">
        <v>2655000</v>
      </c>
      <c r="K54" s="1512">
        <v>1876000</v>
      </c>
      <c r="L54" s="1513">
        <v>779000</v>
      </c>
      <c r="M54" s="1511">
        <v>0.2934086629001883</v>
      </c>
      <c r="N54" s="1512">
        <v>0</v>
      </c>
      <c r="O54" s="1512">
        <v>-52247</v>
      </c>
      <c r="P54" s="1513">
        <v>52247</v>
      </c>
      <c r="Q54" s="752">
        <v>1662788</v>
      </c>
      <c r="R54" s="752">
        <v>1142190</v>
      </c>
      <c r="S54" s="1514">
        <v>520598</v>
      </c>
      <c r="T54" s="1515">
        <v>0.31308741703692833</v>
      </c>
      <c r="U54" s="1516">
        <v>992212</v>
      </c>
      <c r="V54" s="1516">
        <v>681563</v>
      </c>
      <c r="W54" s="1516">
        <v>310649</v>
      </c>
      <c r="X54" s="752">
        <v>102361</v>
      </c>
      <c r="Y54" s="752">
        <v>70313</v>
      </c>
      <c r="Z54" s="1514">
        <v>32048</v>
      </c>
      <c r="AA54" s="1514">
        <v>102361</v>
      </c>
      <c r="AB54" s="1514">
        <v>70313</v>
      </c>
      <c r="AC54" s="1514">
        <v>32048</v>
      </c>
      <c r="AD54" s="1514">
        <v>1765149</v>
      </c>
      <c r="AE54" s="1514">
        <v>1212503</v>
      </c>
      <c r="AF54" s="1514">
        <v>552646</v>
      </c>
      <c r="AG54" s="1517">
        <v>0.66483954802259893</v>
      </c>
      <c r="AH54" s="752">
        <v>78377</v>
      </c>
      <c r="AI54" s="752">
        <v>53838</v>
      </c>
      <c r="AJ54" s="1514">
        <v>24539</v>
      </c>
      <c r="AK54" s="1514">
        <v>180738</v>
      </c>
      <c r="AL54" s="1514">
        <v>124151</v>
      </c>
      <c r="AM54" s="1514">
        <v>56587</v>
      </c>
      <c r="AN54" s="1514">
        <v>1843526</v>
      </c>
      <c r="AO54" s="1514">
        <v>1266341</v>
      </c>
      <c r="AP54" s="1514">
        <v>577185</v>
      </c>
      <c r="AQ54" s="1517">
        <v>0.69436007532956689</v>
      </c>
      <c r="AR54" s="752">
        <v>130879</v>
      </c>
      <c r="AS54" s="752">
        <v>89903</v>
      </c>
      <c r="AT54" s="1514">
        <v>40976</v>
      </c>
      <c r="AU54" s="1514">
        <v>311617</v>
      </c>
      <c r="AV54" s="1514">
        <v>214054</v>
      </c>
      <c r="AW54" s="1514">
        <v>97563</v>
      </c>
      <c r="AX54" s="1514">
        <v>1974405</v>
      </c>
      <c r="AY54" s="1514">
        <v>1356244</v>
      </c>
      <c r="AZ54" s="1514">
        <v>618161</v>
      </c>
      <c r="BA54" s="1517">
        <v>0.74365536723163839</v>
      </c>
      <c r="BB54" s="752">
        <v>105025</v>
      </c>
      <c r="BC54" s="752">
        <v>72143</v>
      </c>
      <c r="BD54" s="1514">
        <v>32882</v>
      </c>
      <c r="BE54" s="1514">
        <v>416642</v>
      </c>
      <c r="BF54" s="1514">
        <v>286197</v>
      </c>
      <c r="BG54" s="1514">
        <v>130445</v>
      </c>
      <c r="BH54" s="1514">
        <v>2079430</v>
      </c>
      <c r="BI54" s="1514">
        <v>1428387</v>
      </c>
      <c r="BJ54" s="1514">
        <v>651043</v>
      </c>
      <c r="BK54" s="1517">
        <v>0.78321280602636534</v>
      </c>
      <c r="BL54" s="752">
        <v>113849</v>
      </c>
      <c r="BM54" s="752">
        <v>78204</v>
      </c>
      <c r="BN54" s="1514">
        <v>35645</v>
      </c>
      <c r="BO54" s="1514">
        <v>530491</v>
      </c>
      <c r="BP54" s="1514">
        <v>364401</v>
      </c>
      <c r="BQ54" s="1514">
        <v>166090</v>
      </c>
      <c r="BR54" s="1514">
        <v>2193279</v>
      </c>
      <c r="BS54" s="1514">
        <v>1506591</v>
      </c>
      <c r="BT54" s="1514">
        <v>686688</v>
      </c>
      <c r="BU54" s="1517">
        <v>0.82609378531073452</v>
      </c>
      <c r="BV54" s="752">
        <v>121219</v>
      </c>
      <c r="BW54" s="752">
        <v>83267</v>
      </c>
      <c r="BX54" s="1514">
        <v>37952</v>
      </c>
      <c r="BY54" s="1514">
        <v>651710</v>
      </c>
      <c r="BZ54" s="1514">
        <v>447668</v>
      </c>
      <c r="CA54" s="1514">
        <v>204042</v>
      </c>
      <c r="CB54" s="1514">
        <v>2314498</v>
      </c>
      <c r="CC54" s="1514">
        <v>1589858</v>
      </c>
      <c r="CD54" s="1514">
        <v>724640</v>
      </c>
      <c r="CE54" s="1517">
        <v>0.87175065913370997</v>
      </c>
      <c r="CF54" s="752">
        <v>96159</v>
      </c>
      <c r="CG54" s="752">
        <v>66053</v>
      </c>
      <c r="CH54" s="1514">
        <v>30106</v>
      </c>
      <c r="CI54" s="1514">
        <v>747869</v>
      </c>
      <c r="CJ54" s="1514">
        <v>513721</v>
      </c>
      <c r="CK54" s="1514">
        <v>234148</v>
      </c>
      <c r="CL54" s="1514">
        <v>2410657</v>
      </c>
      <c r="CM54" s="1514">
        <v>1655911</v>
      </c>
      <c r="CN54" s="1514">
        <v>754746</v>
      </c>
      <c r="CO54" s="1517">
        <v>0.90796873822975521</v>
      </c>
      <c r="CP54" s="752">
        <v>47295</v>
      </c>
      <c r="CQ54" s="752">
        <v>32487</v>
      </c>
      <c r="CR54" s="1514">
        <v>14808</v>
      </c>
      <c r="CS54" s="1514">
        <v>795164</v>
      </c>
      <c r="CT54" s="1514">
        <v>546208</v>
      </c>
      <c r="CU54" s="1514">
        <v>248956</v>
      </c>
      <c r="CV54" s="1514">
        <v>2457952</v>
      </c>
      <c r="CW54" s="1514">
        <v>1688398</v>
      </c>
      <c r="CX54" s="1514">
        <v>769554</v>
      </c>
      <c r="CY54" s="1517">
        <v>0.92578229755178909</v>
      </c>
      <c r="CZ54" s="752">
        <v>42995</v>
      </c>
      <c r="DA54" s="752">
        <v>29534</v>
      </c>
      <c r="DB54" s="1514">
        <v>13461</v>
      </c>
      <c r="DC54" s="1514">
        <v>838159</v>
      </c>
      <c r="DD54" s="1514">
        <v>575742</v>
      </c>
      <c r="DE54" s="1514">
        <v>262417</v>
      </c>
      <c r="DF54" s="1514">
        <v>2500947</v>
      </c>
      <c r="DG54" s="1514">
        <v>1717932</v>
      </c>
      <c r="DH54" s="1514">
        <v>783015</v>
      </c>
      <c r="DI54" s="1517">
        <v>0.94197627118644067</v>
      </c>
      <c r="DJ54" s="752">
        <v>54486</v>
      </c>
      <c r="DK54" s="752">
        <v>37427</v>
      </c>
      <c r="DL54" s="1514">
        <v>17059</v>
      </c>
      <c r="DM54" s="1514">
        <v>892645</v>
      </c>
      <c r="DN54" s="1514">
        <v>613169</v>
      </c>
      <c r="DO54" s="1514">
        <v>279476</v>
      </c>
      <c r="DP54" s="1514">
        <v>2555433</v>
      </c>
      <c r="DQ54" s="1514">
        <v>1755359</v>
      </c>
      <c r="DR54" s="1514">
        <v>800074</v>
      </c>
      <c r="DS54" s="1517">
        <v>0.96249830508474576</v>
      </c>
      <c r="DT54" s="752">
        <v>31529</v>
      </c>
      <c r="DU54" s="752">
        <v>21658</v>
      </c>
      <c r="DV54" s="1514">
        <v>9871</v>
      </c>
      <c r="DW54" s="1514">
        <v>924174</v>
      </c>
      <c r="DX54" s="1514">
        <v>634827</v>
      </c>
      <c r="DY54" s="1514">
        <v>289347</v>
      </c>
      <c r="DZ54" s="1514">
        <v>2586962</v>
      </c>
      <c r="EA54" s="1514">
        <v>1777017</v>
      </c>
      <c r="EB54" s="1514">
        <v>809945</v>
      </c>
      <c r="EC54" s="1517">
        <v>0.97437363465160076</v>
      </c>
      <c r="ED54" s="752">
        <v>47522</v>
      </c>
      <c r="EE54" s="752">
        <v>32643</v>
      </c>
      <c r="EF54" s="1514">
        <v>14879</v>
      </c>
      <c r="EG54" s="1518">
        <v>971696</v>
      </c>
      <c r="EH54" s="1518">
        <v>667470</v>
      </c>
      <c r="EI54" s="1518">
        <v>304226</v>
      </c>
      <c r="EJ54" s="1519">
        <v>0.31308763234591891</v>
      </c>
      <c r="EK54" s="1599">
        <v>2634484</v>
      </c>
      <c r="EL54" s="1599">
        <v>1809660</v>
      </c>
      <c r="EM54" s="1520">
        <v>824824</v>
      </c>
      <c r="EN54" s="1521">
        <v>0.31308749645091788</v>
      </c>
      <c r="EO54" s="1516">
        <v>20516</v>
      </c>
      <c r="EP54" s="1516">
        <v>14093</v>
      </c>
      <c r="EQ54" s="1516">
        <v>6423</v>
      </c>
      <c r="ER54" s="1522">
        <v>0.31307272372782219</v>
      </c>
      <c r="ES54" s="1179">
        <v>0</v>
      </c>
      <c r="ET54" s="1179">
        <v>0</v>
      </c>
      <c r="EU54" s="1518">
        <v>0</v>
      </c>
      <c r="EV54" s="1519" t="s">
        <v>630</v>
      </c>
      <c r="EW54" s="1520">
        <v>2634484</v>
      </c>
      <c r="EX54" s="1520">
        <v>1809660</v>
      </c>
      <c r="EY54" s="1520">
        <v>824824</v>
      </c>
      <c r="EZ54" s="1521">
        <v>0.31308749645091788</v>
      </c>
      <c r="FA54" s="1516">
        <v>20516</v>
      </c>
      <c r="FB54" s="1516">
        <v>14093</v>
      </c>
      <c r="FC54" s="1516">
        <v>6423</v>
      </c>
      <c r="FD54" s="1522">
        <v>0.31307272372782219</v>
      </c>
      <c r="FE54" s="1179">
        <v>0</v>
      </c>
      <c r="FF54" s="1179">
        <v>0</v>
      </c>
      <c r="FG54" s="1518">
        <v>0</v>
      </c>
      <c r="FH54" s="1519" t="s">
        <v>630</v>
      </c>
      <c r="FI54" s="1520">
        <v>2634484</v>
      </c>
      <c r="FJ54" s="1520">
        <v>1809660</v>
      </c>
      <c r="FK54" s="1520">
        <v>824824</v>
      </c>
      <c r="FL54" s="1521">
        <v>0.31308749645091788</v>
      </c>
      <c r="FM54" s="1516">
        <v>20516</v>
      </c>
      <c r="FN54" s="1516">
        <v>14093</v>
      </c>
      <c r="FO54" s="1516">
        <v>6423</v>
      </c>
      <c r="FP54" s="1522">
        <v>0.31307272372782219</v>
      </c>
      <c r="FQ54" s="1179">
        <v>0</v>
      </c>
      <c r="FR54" s="1179">
        <v>0</v>
      </c>
      <c r="FS54" s="1518">
        <v>0</v>
      </c>
      <c r="FT54" s="1519" t="s">
        <v>630</v>
      </c>
      <c r="FU54" s="1520">
        <v>2634484</v>
      </c>
      <c r="FV54" s="1520">
        <v>1809660</v>
      </c>
      <c r="FW54" s="1520">
        <v>824824</v>
      </c>
      <c r="FX54" s="1521">
        <v>0.31308749645091788</v>
      </c>
      <c r="FY54" s="1516">
        <v>20516</v>
      </c>
      <c r="FZ54" s="1516">
        <v>14093</v>
      </c>
      <c r="GA54" s="1516">
        <v>6423</v>
      </c>
      <c r="GB54" s="1522">
        <v>0.31307272372782219</v>
      </c>
      <c r="GC54" s="1179">
        <v>0</v>
      </c>
      <c r="GD54" s="1179">
        <v>0</v>
      </c>
      <c r="GE54" s="1518">
        <v>0</v>
      </c>
      <c r="GF54" s="1519" t="s">
        <v>630</v>
      </c>
      <c r="GG54" s="1520">
        <v>2634484</v>
      </c>
      <c r="GH54" s="1520">
        <v>1809660</v>
      </c>
      <c r="GI54" s="1520">
        <v>824824</v>
      </c>
      <c r="GJ54" s="1521">
        <v>0.31308749645091788</v>
      </c>
      <c r="GK54" s="1516">
        <v>20516</v>
      </c>
      <c r="GL54" s="1485">
        <v>14093</v>
      </c>
      <c r="GM54" s="1516">
        <v>6423</v>
      </c>
      <c r="GN54" s="1522">
        <v>0.31307272372782219</v>
      </c>
      <c r="GO54" s="1179">
        <v>20516</v>
      </c>
      <c r="GP54" s="1179">
        <v>14093</v>
      </c>
      <c r="GQ54" s="1179">
        <v>6423</v>
      </c>
      <c r="GR54" s="1519">
        <v>0.31307272372782219</v>
      </c>
      <c r="GS54" s="1520">
        <v>2655000</v>
      </c>
      <c r="GT54" s="1520">
        <v>1823753</v>
      </c>
      <c r="GU54" s="1520">
        <v>831247</v>
      </c>
      <c r="GV54" s="1521">
        <v>0.31308738229755179</v>
      </c>
      <c r="GW54" s="1516">
        <v>0</v>
      </c>
      <c r="GX54" s="1516">
        <v>0</v>
      </c>
      <c r="GY54" s="1516">
        <v>0</v>
      </c>
      <c r="GZ54" s="1522" t="s">
        <v>630</v>
      </c>
    </row>
    <row r="55" spans="1:210" s="640" customFormat="1">
      <c r="A55" s="866" t="s">
        <v>1261</v>
      </c>
      <c r="B55" s="630" t="s">
        <v>1166</v>
      </c>
      <c r="C55" s="1523" t="s">
        <v>1323</v>
      </c>
      <c r="D55" s="1523" t="s">
        <v>1246</v>
      </c>
      <c r="E55" s="1142" t="s">
        <v>1558</v>
      </c>
      <c r="F55" s="1527">
        <v>2588000</v>
      </c>
      <c r="G55" s="1527">
        <v>1778000</v>
      </c>
      <c r="H55" s="1528">
        <v>810000</v>
      </c>
      <c r="I55" s="1526">
        <v>0.31298299845440497</v>
      </c>
      <c r="J55" s="1527">
        <v>2588000</v>
      </c>
      <c r="K55" s="1527">
        <v>1778000</v>
      </c>
      <c r="L55" s="1528">
        <v>810000</v>
      </c>
      <c r="M55" s="1526">
        <v>0.31298299845440497</v>
      </c>
      <c r="N55" s="1512">
        <v>0</v>
      </c>
      <c r="O55" s="1512">
        <v>0</v>
      </c>
      <c r="P55" s="1513">
        <v>0</v>
      </c>
      <c r="Q55" s="752">
        <v>1003993</v>
      </c>
      <c r="R55" s="752">
        <v>689760</v>
      </c>
      <c r="S55" s="1514">
        <v>314233</v>
      </c>
      <c r="T55" s="1515">
        <v>0.31298325785139935</v>
      </c>
      <c r="U55" s="1516">
        <v>1584007</v>
      </c>
      <c r="V55" s="1516">
        <v>1088240</v>
      </c>
      <c r="W55" s="1516">
        <v>495767</v>
      </c>
      <c r="X55" s="752">
        <v>161128</v>
      </c>
      <c r="Y55" s="752">
        <v>110698</v>
      </c>
      <c r="Z55" s="1514">
        <v>50430</v>
      </c>
      <c r="AA55" s="1514">
        <v>161128</v>
      </c>
      <c r="AB55" s="1514">
        <v>110698</v>
      </c>
      <c r="AC55" s="1514">
        <v>50430</v>
      </c>
      <c r="AD55" s="1514">
        <v>1165121</v>
      </c>
      <c r="AE55" s="1514">
        <v>800458</v>
      </c>
      <c r="AF55" s="1514">
        <v>364663</v>
      </c>
      <c r="AG55" s="1517">
        <v>0.45020131375579597</v>
      </c>
      <c r="AH55" s="752">
        <v>114220</v>
      </c>
      <c r="AI55" s="752">
        <v>78471</v>
      </c>
      <c r="AJ55" s="1514">
        <v>35749</v>
      </c>
      <c r="AK55" s="1514">
        <v>275348</v>
      </c>
      <c r="AL55" s="1514">
        <v>189169</v>
      </c>
      <c r="AM55" s="1514">
        <v>86179</v>
      </c>
      <c r="AN55" s="1514">
        <v>1279341</v>
      </c>
      <c r="AO55" s="1514">
        <v>878929</v>
      </c>
      <c r="AP55" s="1514">
        <v>400412</v>
      </c>
      <c r="AQ55" s="1517">
        <v>0.49433578052550231</v>
      </c>
      <c r="AR55" s="752">
        <v>198305</v>
      </c>
      <c r="AS55" s="752">
        <v>136239</v>
      </c>
      <c r="AT55" s="1514">
        <v>62066</v>
      </c>
      <c r="AU55" s="1514">
        <v>473653</v>
      </c>
      <c r="AV55" s="1514">
        <v>325408</v>
      </c>
      <c r="AW55" s="1514">
        <v>148245</v>
      </c>
      <c r="AX55" s="1514">
        <v>1477646</v>
      </c>
      <c r="AY55" s="1514">
        <v>1015168</v>
      </c>
      <c r="AZ55" s="1514">
        <v>462478</v>
      </c>
      <c r="BA55" s="1517">
        <v>0.57096058732612054</v>
      </c>
      <c r="BB55" s="752">
        <v>166722</v>
      </c>
      <c r="BC55" s="752">
        <v>114541</v>
      </c>
      <c r="BD55" s="1514">
        <v>52181</v>
      </c>
      <c r="BE55" s="1514">
        <v>640375</v>
      </c>
      <c r="BF55" s="1514">
        <v>439949</v>
      </c>
      <c r="BG55" s="1514">
        <v>200426</v>
      </c>
      <c r="BH55" s="1514">
        <v>1644368</v>
      </c>
      <c r="BI55" s="1514">
        <v>1129709</v>
      </c>
      <c r="BJ55" s="1514">
        <v>514659</v>
      </c>
      <c r="BK55" s="1517">
        <v>0.63538176197836171</v>
      </c>
      <c r="BL55" s="752">
        <v>188777</v>
      </c>
      <c r="BM55" s="752">
        <v>129693</v>
      </c>
      <c r="BN55" s="1514">
        <v>59084</v>
      </c>
      <c r="BO55" s="1514">
        <v>829152</v>
      </c>
      <c r="BP55" s="1514">
        <v>569642</v>
      </c>
      <c r="BQ55" s="1514">
        <v>259510</v>
      </c>
      <c r="BR55" s="1514">
        <v>1833145</v>
      </c>
      <c r="BS55" s="1514">
        <v>1259402</v>
      </c>
      <c r="BT55" s="1514">
        <v>573743</v>
      </c>
      <c r="BU55" s="1517">
        <v>0.70832496136012368</v>
      </c>
      <c r="BV55" s="752">
        <v>16086</v>
      </c>
      <c r="BW55" s="752">
        <v>11051</v>
      </c>
      <c r="BX55" s="1514">
        <v>5035</v>
      </c>
      <c r="BY55" s="1514">
        <v>845238</v>
      </c>
      <c r="BZ55" s="1514">
        <v>580693</v>
      </c>
      <c r="CA55" s="1514">
        <v>264545</v>
      </c>
      <c r="CB55" s="1514">
        <v>1849231</v>
      </c>
      <c r="CC55" s="1514">
        <v>1270453</v>
      </c>
      <c r="CD55" s="1514">
        <v>578778</v>
      </c>
      <c r="CE55" s="1517">
        <v>0.71454057187017006</v>
      </c>
      <c r="CF55" s="752">
        <v>1530</v>
      </c>
      <c r="CG55" s="752">
        <v>1051</v>
      </c>
      <c r="CH55" s="1514">
        <v>479</v>
      </c>
      <c r="CI55" s="1514">
        <v>846768</v>
      </c>
      <c r="CJ55" s="1514">
        <v>581744</v>
      </c>
      <c r="CK55" s="1514">
        <v>265024</v>
      </c>
      <c r="CL55" s="1514">
        <v>1850761</v>
      </c>
      <c r="CM55" s="1514">
        <v>1271504</v>
      </c>
      <c r="CN55" s="1514">
        <v>579257</v>
      </c>
      <c r="CO55" s="1517">
        <v>0.7151317619783617</v>
      </c>
      <c r="CP55" s="752">
        <v>1679</v>
      </c>
      <c r="CQ55" s="752">
        <v>1154</v>
      </c>
      <c r="CR55" s="1514">
        <v>525</v>
      </c>
      <c r="CS55" s="1514">
        <v>848447</v>
      </c>
      <c r="CT55" s="1514">
        <v>582898</v>
      </c>
      <c r="CU55" s="1514">
        <v>265549</v>
      </c>
      <c r="CV55" s="1514">
        <v>1852440</v>
      </c>
      <c r="CW55" s="1514">
        <v>1272658</v>
      </c>
      <c r="CX55" s="1514">
        <v>579782</v>
      </c>
      <c r="CY55" s="1517">
        <v>0.71578052550231841</v>
      </c>
      <c r="CZ55" s="752">
        <v>1680</v>
      </c>
      <c r="DA55" s="752">
        <v>1154</v>
      </c>
      <c r="DB55" s="1514">
        <v>526</v>
      </c>
      <c r="DC55" s="1514">
        <v>850127</v>
      </c>
      <c r="DD55" s="1514">
        <v>584052</v>
      </c>
      <c r="DE55" s="1514">
        <v>266075</v>
      </c>
      <c r="DF55" s="1514">
        <v>1854120</v>
      </c>
      <c r="DG55" s="1514">
        <v>1273812</v>
      </c>
      <c r="DH55" s="1514">
        <v>580308</v>
      </c>
      <c r="DI55" s="1517">
        <v>0.71642967542503866</v>
      </c>
      <c r="DJ55" s="752">
        <v>13169</v>
      </c>
      <c r="DK55" s="752">
        <v>9047</v>
      </c>
      <c r="DL55" s="1514">
        <v>4122</v>
      </c>
      <c r="DM55" s="1514">
        <v>863296</v>
      </c>
      <c r="DN55" s="1514">
        <v>593099</v>
      </c>
      <c r="DO55" s="1514">
        <v>270197</v>
      </c>
      <c r="DP55" s="1514">
        <v>1867289</v>
      </c>
      <c r="DQ55" s="1514">
        <v>1282859</v>
      </c>
      <c r="DR55" s="1514">
        <v>584430</v>
      </c>
      <c r="DS55" s="1517">
        <v>0.72151816074188557</v>
      </c>
      <c r="DT55" s="752">
        <v>1679</v>
      </c>
      <c r="DU55" s="752">
        <v>1154</v>
      </c>
      <c r="DV55" s="1514">
        <v>525</v>
      </c>
      <c r="DW55" s="1514">
        <v>864975</v>
      </c>
      <c r="DX55" s="1514">
        <v>594253</v>
      </c>
      <c r="DY55" s="1514">
        <v>270722</v>
      </c>
      <c r="DZ55" s="1514">
        <v>1868968</v>
      </c>
      <c r="EA55" s="1514">
        <v>1284013</v>
      </c>
      <c r="EB55" s="1514">
        <v>584955</v>
      </c>
      <c r="EC55" s="1517">
        <v>0.72216692426584239</v>
      </c>
      <c r="ED55" s="752">
        <v>16236</v>
      </c>
      <c r="EE55" s="752">
        <v>11154</v>
      </c>
      <c r="EF55" s="1514">
        <v>5082</v>
      </c>
      <c r="EG55" s="1518">
        <v>881211</v>
      </c>
      <c r="EH55" s="1518">
        <v>605407</v>
      </c>
      <c r="EI55" s="1518">
        <v>275804</v>
      </c>
      <c r="EJ55" s="1519">
        <v>0.31298292917360315</v>
      </c>
      <c r="EK55" s="1599">
        <v>1885204</v>
      </c>
      <c r="EL55" s="1599">
        <v>1295167</v>
      </c>
      <c r="EM55" s="1520">
        <v>590037</v>
      </c>
      <c r="EN55" s="1521">
        <v>0.31298310421577719</v>
      </c>
      <c r="EO55" s="1516">
        <v>702796</v>
      </c>
      <c r="EP55" s="1516">
        <v>482833</v>
      </c>
      <c r="EQ55" s="1516">
        <v>219963</v>
      </c>
      <c r="ER55" s="1522">
        <v>0.31298271475648692</v>
      </c>
      <c r="ES55" s="1179">
        <v>0</v>
      </c>
      <c r="ET55" s="1179">
        <v>0</v>
      </c>
      <c r="EU55" s="1518">
        <v>0</v>
      </c>
      <c r="EV55" s="1519" t="s">
        <v>630</v>
      </c>
      <c r="EW55" s="1520">
        <v>1885204</v>
      </c>
      <c r="EX55" s="1520">
        <v>1295167</v>
      </c>
      <c r="EY55" s="1520">
        <v>590037</v>
      </c>
      <c r="EZ55" s="1521">
        <v>0.31298310421577719</v>
      </c>
      <c r="FA55" s="1516">
        <v>702796</v>
      </c>
      <c r="FB55" s="1516">
        <v>482833</v>
      </c>
      <c r="FC55" s="1516">
        <v>219963</v>
      </c>
      <c r="FD55" s="1522">
        <v>0.31298271475648692</v>
      </c>
      <c r="FE55" s="1179">
        <v>0</v>
      </c>
      <c r="FF55" s="1179">
        <v>0</v>
      </c>
      <c r="FG55" s="1518">
        <v>0</v>
      </c>
      <c r="FH55" s="1519" t="s">
        <v>630</v>
      </c>
      <c r="FI55" s="1520">
        <v>1885204</v>
      </c>
      <c r="FJ55" s="1520">
        <v>1295167</v>
      </c>
      <c r="FK55" s="1520">
        <v>590037</v>
      </c>
      <c r="FL55" s="1521">
        <v>0.31298310421577719</v>
      </c>
      <c r="FM55" s="1516">
        <v>702796</v>
      </c>
      <c r="FN55" s="1516">
        <v>482833</v>
      </c>
      <c r="FO55" s="1516">
        <v>219963</v>
      </c>
      <c r="FP55" s="1522">
        <v>0.31298271475648692</v>
      </c>
      <c r="FQ55" s="1179">
        <v>0</v>
      </c>
      <c r="FR55" s="1179">
        <v>0</v>
      </c>
      <c r="FS55" s="1518">
        <v>0</v>
      </c>
      <c r="FT55" s="1519" t="s">
        <v>630</v>
      </c>
      <c r="FU55" s="1520">
        <v>1885204</v>
      </c>
      <c r="FV55" s="1520">
        <v>1295167</v>
      </c>
      <c r="FW55" s="1520">
        <v>590037</v>
      </c>
      <c r="FX55" s="1521">
        <v>0.31298310421577719</v>
      </c>
      <c r="FY55" s="1516">
        <v>702796</v>
      </c>
      <c r="FZ55" s="1516">
        <v>482833</v>
      </c>
      <c r="GA55" s="1516">
        <v>219963</v>
      </c>
      <c r="GB55" s="1522">
        <v>0.31298271475648692</v>
      </c>
      <c r="GC55" s="1179">
        <v>0</v>
      </c>
      <c r="GD55" s="1179">
        <v>0</v>
      </c>
      <c r="GE55" s="1518">
        <v>0</v>
      </c>
      <c r="GF55" s="1519" t="s">
        <v>630</v>
      </c>
      <c r="GG55" s="1520">
        <v>1885204</v>
      </c>
      <c r="GH55" s="1520">
        <v>1295167</v>
      </c>
      <c r="GI55" s="1520">
        <v>590037</v>
      </c>
      <c r="GJ55" s="1521">
        <v>0.31298310421577719</v>
      </c>
      <c r="GK55" s="1516">
        <v>702796</v>
      </c>
      <c r="GL55" s="1485">
        <v>482833</v>
      </c>
      <c r="GM55" s="1516">
        <v>219963</v>
      </c>
      <c r="GN55" s="1522">
        <v>0.31298271475648692</v>
      </c>
      <c r="GO55" s="1179">
        <v>702796</v>
      </c>
      <c r="GP55" s="1179">
        <v>482833</v>
      </c>
      <c r="GQ55" s="1179">
        <v>219963</v>
      </c>
      <c r="GR55" s="1519">
        <v>0.31298271475648692</v>
      </c>
      <c r="GS55" s="1520">
        <v>2588000</v>
      </c>
      <c r="GT55" s="1520">
        <v>1778000</v>
      </c>
      <c r="GU55" s="1520">
        <v>810000</v>
      </c>
      <c r="GV55" s="1521">
        <v>0.31298299845440497</v>
      </c>
      <c r="GW55" s="1516">
        <v>0</v>
      </c>
      <c r="GX55" s="1516">
        <v>0</v>
      </c>
      <c r="GY55" s="1516">
        <v>0</v>
      </c>
      <c r="GZ55" s="1522" t="s">
        <v>630</v>
      </c>
    </row>
    <row r="56" spans="1:210" s="640" customFormat="1" ht="16.2">
      <c r="A56" s="866" t="s">
        <v>1262</v>
      </c>
      <c r="B56" s="867" t="s">
        <v>1559</v>
      </c>
      <c r="C56" s="1523" t="s">
        <v>1323</v>
      </c>
      <c r="D56" s="1523" t="s">
        <v>1246</v>
      </c>
      <c r="E56" s="1142" t="s">
        <v>1558</v>
      </c>
      <c r="F56" s="1527">
        <v>4070040</v>
      </c>
      <c r="G56" s="1527">
        <v>3406000</v>
      </c>
      <c r="H56" s="1528">
        <v>664040</v>
      </c>
      <c r="I56" s="1526">
        <v>0.16315318768365913</v>
      </c>
      <c r="J56" s="1527">
        <v>4932000</v>
      </c>
      <c r="K56" s="1527">
        <v>3406000</v>
      </c>
      <c r="L56" s="1528">
        <v>1526000</v>
      </c>
      <c r="M56" s="1526">
        <v>0.30940794809407945</v>
      </c>
      <c r="N56" s="1512">
        <v>-861960</v>
      </c>
      <c r="O56" s="1512">
        <v>0</v>
      </c>
      <c r="P56" s="1513">
        <v>-861960</v>
      </c>
      <c r="Q56" s="752">
        <v>679445</v>
      </c>
      <c r="R56" s="752">
        <v>568591</v>
      </c>
      <c r="S56" s="1514">
        <v>110854</v>
      </c>
      <c r="T56" s="1515">
        <v>0.16315375048753025</v>
      </c>
      <c r="U56" s="1516">
        <v>3390595</v>
      </c>
      <c r="V56" s="1516">
        <v>2837409</v>
      </c>
      <c r="W56" s="1516">
        <v>553186</v>
      </c>
      <c r="X56" s="752">
        <v>132279</v>
      </c>
      <c r="Y56" s="752">
        <v>110698</v>
      </c>
      <c r="Z56" s="1514">
        <v>21581</v>
      </c>
      <c r="AA56" s="1514">
        <v>132279</v>
      </c>
      <c r="AB56" s="1514">
        <v>110698</v>
      </c>
      <c r="AC56" s="1514">
        <v>21581</v>
      </c>
      <c r="AD56" s="1514">
        <v>811724</v>
      </c>
      <c r="AE56" s="1514">
        <v>679289</v>
      </c>
      <c r="AF56" s="1514">
        <v>132435</v>
      </c>
      <c r="AG56" s="1517">
        <v>0.16458313057583129</v>
      </c>
      <c r="AH56" s="752">
        <v>93770</v>
      </c>
      <c r="AI56" s="752">
        <v>78471</v>
      </c>
      <c r="AJ56" s="1514">
        <v>15299</v>
      </c>
      <c r="AK56" s="1514">
        <v>226049</v>
      </c>
      <c r="AL56" s="1514">
        <v>189169</v>
      </c>
      <c r="AM56" s="1514">
        <v>36880</v>
      </c>
      <c r="AN56" s="1514">
        <v>905494</v>
      </c>
      <c r="AO56" s="1514">
        <v>757760</v>
      </c>
      <c r="AP56" s="1514">
        <v>147734</v>
      </c>
      <c r="AQ56" s="1517">
        <v>0.18359570154095703</v>
      </c>
      <c r="AR56" s="752">
        <v>243175</v>
      </c>
      <c r="AS56" s="752">
        <v>203500</v>
      </c>
      <c r="AT56" s="1514">
        <v>39675</v>
      </c>
      <c r="AU56" s="1514">
        <v>469224</v>
      </c>
      <c r="AV56" s="1514">
        <v>392669</v>
      </c>
      <c r="AW56" s="1514">
        <v>76555</v>
      </c>
      <c r="AX56" s="1514">
        <v>1148669</v>
      </c>
      <c r="AY56" s="1514">
        <v>961260</v>
      </c>
      <c r="AZ56" s="1514">
        <v>187409</v>
      </c>
      <c r="BA56" s="1517">
        <v>0.23290125709651258</v>
      </c>
      <c r="BB56" s="752">
        <v>210727</v>
      </c>
      <c r="BC56" s="752">
        <v>176346</v>
      </c>
      <c r="BD56" s="1514">
        <v>34381</v>
      </c>
      <c r="BE56" s="1514">
        <v>679951</v>
      </c>
      <c r="BF56" s="1514">
        <v>569015</v>
      </c>
      <c r="BG56" s="1514">
        <v>110936</v>
      </c>
      <c r="BH56" s="1514">
        <v>1359396</v>
      </c>
      <c r="BI56" s="1514">
        <v>1137606</v>
      </c>
      <c r="BJ56" s="1514">
        <v>221790</v>
      </c>
      <c r="BK56" s="1517">
        <v>0.27562773722627737</v>
      </c>
      <c r="BL56" s="752">
        <v>228833</v>
      </c>
      <c r="BM56" s="752">
        <v>191498</v>
      </c>
      <c r="BN56" s="1514">
        <v>37335</v>
      </c>
      <c r="BO56" s="1514">
        <v>908784</v>
      </c>
      <c r="BP56" s="1514">
        <v>760513</v>
      </c>
      <c r="BQ56" s="1514">
        <v>148271</v>
      </c>
      <c r="BR56" s="1514">
        <v>1588229</v>
      </c>
      <c r="BS56" s="1514">
        <v>1329104</v>
      </c>
      <c r="BT56" s="1514">
        <v>259125</v>
      </c>
      <c r="BU56" s="1517">
        <v>0.32202534468775346</v>
      </c>
      <c r="BV56" s="752">
        <v>225363</v>
      </c>
      <c r="BW56" s="752">
        <v>188595</v>
      </c>
      <c r="BX56" s="1514">
        <v>36768</v>
      </c>
      <c r="BY56" s="1514">
        <v>1134147</v>
      </c>
      <c r="BZ56" s="1514">
        <v>949108</v>
      </c>
      <c r="CA56" s="1514">
        <v>185039</v>
      </c>
      <c r="CB56" s="1514">
        <v>1813592</v>
      </c>
      <c r="CC56" s="1514">
        <v>1517699</v>
      </c>
      <c r="CD56" s="1514">
        <v>295893</v>
      </c>
      <c r="CE56" s="1517">
        <v>0.36771938361719386</v>
      </c>
      <c r="CF56" s="752">
        <v>144888</v>
      </c>
      <c r="CG56" s="752">
        <v>121249</v>
      </c>
      <c r="CH56" s="1514">
        <v>23639</v>
      </c>
      <c r="CI56" s="1514">
        <v>1279035</v>
      </c>
      <c r="CJ56" s="1514">
        <v>1070357</v>
      </c>
      <c r="CK56" s="1514">
        <v>208678</v>
      </c>
      <c r="CL56" s="1514">
        <v>1958480</v>
      </c>
      <c r="CM56" s="1514">
        <v>1638948</v>
      </c>
      <c r="CN56" s="1514">
        <v>319532</v>
      </c>
      <c r="CO56" s="1517">
        <v>0.39709651257096512</v>
      </c>
      <c r="CP56" s="752">
        <v>145900</v>
      </c>
      <c r="CQ56" s="752">
        <v>122096</v>
      </c>
      <c r="CR56" s="1514">
        <v>23804</v>
      </c>
      <c r="CS56" s="1514">
        <v>1424935</v>
      </c>
      <c r="CT56" s="1514">
        <v>1192453</v>
      </c>
      <c r="CU56" s="1514">
        <v>232482</v>
      </c>
      <c r="CV56" s="1514">
        <v>2104380</v>
      </c>
      <c r="CW56" s="1514">
        <v>1761044</v>
      </c>
      <c r="CX56" s="1514">
        <v>343336</v>
      </c>
      <c r="CY56" s="1517">
        <v>0.42667883211678831</v>
      </c>
      <c r="CZ56" s="752">
        <v>133248</v>
      </c>
      <c r="DA56" s="752">
        <v>111508</v>
      </c>
      <c r="DB56" s="1514">
        <v>21740</v>
      </c>
      <c r="DC56" s="1514">
        <v>1558183</v>
      </c>
      <c r="DD56" s="1514">
        <v>1303961</v>
      </c>
      <c r="DE56" s="1514">
        <v>254222</v>
      </c>
      <c r="DF56" s="1514">
        <v>2237628</v>
      </c>
      <c r="DG56" s="1514">
        <v>1872552</v>
      </c>
      <c r="DH56" s="1514">
        <v>365076</v>
      </c>
      <c r="DI56" s="1517">
        <v>0.45369586374695864</v>
      </c>
      <c r="DJ56" s="752">
        <v>142680</v>
      </c>
      <c r="DK56" s="752">
        <v>119401</v>
      </c>
      <c r="DL56" s="1514">
        <v>23279</v>
      </c>
      <c r="DM56" s="1514">
        <v>1700863</v>
      </c>
      <c r="DN56" s="1514">
        <v>1423362</v>
      </c>
      <c r="DO56" s="1514">
        <v>277501</v>
      </c>
      <c r="DP56" s="1514">
        <v>2380308</v>
      </c>
      <c r="DQ56" s="1514">
        <v>1991953</v>
      </c>
      <c r="DR56" s="1514">
        <v>388355</v>
      </c>
      <c r="DS56" s="1517">
        <v>0.48262530413625304</v>
      </c>
      <c r="DT56" s="752">
        <v>144220</v>
      </c>
      <c r="DU56" s="752">
        <v>120690</v>
      </c>
      <c r="DV56" s="1514">
        <v>23530</v>
      </c>
      <c r="DW56" s="1514">
        <v>1845083</v>
      </c>
      <c r="DX56" s="1514">
        <v>1544052</v>
      </c>
      <c r="DY56" s="1514">
        <v>301031</v>
      </c>
      <c r="DZ56" s="1514">
        <v>2524528</v>
      </c>
      <c r="EA56" s="1514">
        <v>2112643</v>
      </c>
      <c r="EB56" s="1514">
        <v>411885</v>
      </c>
      <c r="EC56" s="1517">
        <v>0.51186699107866995</v>
      </c>
      <c r="ED56" s="752">
        <v>176371</v>
      </c>
      <c r="EE56" s="752">
        <v>147596</v>
      </c>
      <c r="EF56" s="1514">
        <v>28775</v>
      </c>
      <c r="EG56" s="1518">
        <v>2021454</v>
      </c>
      <c r="EH56" s="1518">
        <v>1691648</v>
      </c>
      <c r="EI56" s="1518">
        <v>329806</v>
      </c>
      <c r="EJ56" s="1519">
        <v>0.16315285927851933</v>
      </c>
      <c r="EK56" s="1599">
        <v>2700899</v>
      </c>
      <c r="EL56" s="1599">
        <v>2260239</v>
      </c>
      <c r="EM56" s="1520">
        <v>440660</v>
      </c>
      <c r="EN56" s="1521">
        <v>0.16315308347331758</v>
      </c>
      <c r="EO56" s="1516">
        <v>1369141</v>
      </c>
      <c r="EP56" s="1516">
        <v>1145761</v>
      </c>
      <c r="EQ56" s="1516">
        <v>223380</v>
      </c>
      <c r="ER56" s="1522">
        <v>0.16315339325898501</v>
      </c>
      <c r="ES56" s="1179">
        <v>332210</v>
      </c>
      <c r="ET56" s="1179">
        <v>278009</v>
      </c>
      <c r="EU56" s="1518">
        <v>54201</v>
      </c>
      <c r="EV56" s="1519">
        <v>0.16315282502031847</v>
      </c>
      <c r="EW56" s="1520">
        <v>3033109</v>
      </c>
      <c r="EX56" s="1520">
        <v>2538248</v>
      </c>
      <c r="EY56" s="1520">
        <v>494861</v>
      </c>
      <c r="EZ56" s="1521">
        <v>0.1631530551655084</v>
      </c>
      <c r="FA56" s="1516">
        <v>1036931</v>
      </c>
      <c r="FB56" s="1516">
        <v>867752</v>
      </c>
      <c r="FC56" s="1516">
        <v>169179</v>
      </c>
      <c r="FD56" s="1522">
        <v>0.16315357531021832</v>
      </c>
      <c r="FE56" s="1179">
        <v>34442</v>
      </c>
      <c r="FF56" s="1179">
        <v>28822</v>
      </c>
      <c r="FG56" s="1518">
        <v>5620</v>
      </c>
      <c r="FH56" s="1519">
        <v>0.16317287033273328</v>
      </c>
      <c r="FI56" s="1520">
        <v>3067551</v>
      </c>
      <c r="FJ56" s="1520">
        <v>2567070</v>
      </c>
      <c r="FK56" s="1520">
        <v>500481</v>
      </c>
      <c r="FL56" s="1521">
        <v>0.1631532776472176</v>
      </c>
      <c r="FM56" s="1516">
        <v>1002489</v>
      </c>
      <c r="FN56" s="1516">
        <v>838930</v>
      </c>
      <c r="FO56" s="1516">
        <v>163559</v>
      </c>
      <c r="FP56" s="1522">
        <v>0.16315291240103383</v>
      </c>
      <c r="FQ56" s="1179">
        <v>0</v>
      </c>
      <c r="FR56" s="1179">
        <v>0</v>
      </c>
      <c r="FS56" s="1518">
        <v>0</v>
      </c>
      <c r="FT56" s="1519" t="s">
        <v>630</v>
      </c>
      <c r="FU56" s="1520">
        <v>3067551</v>
      </c>
      <c r="FV56" s="1520">
        <v>2567070</v>
      </c>
      <c r="FW56" s="1520">
        <v>500481</v>
      </c>
      <c r="FX56" s="1521">
        <v>0.1631532776472176</v>
      </c>
      <c r="FY56" s="1516">
        <v>1002489</v>
      </c>
      <c r="FZ56" s="1516">
        <v>838930</v>
      </c>
      <c r="GA56" s="1516">
        <v>163559</v>
      </c>
      <c r="GB56" s="1522">
        <v>0.16315291240103383</v>
      </c>
      <c r="GC56" s="1179">
        <v>0</v>
      </c>
      <c r="GD56" s="1179">
        <v>0</v>
      </c>
      <c r="GE56" s="1518">
        <v>0</v>
      </c>
      <c r="GF56" s="1519" t="s">
        <v>630</v>
      </c>
      <c r="GG56" s="1520">
        <v>3067551</v>
      </c>
      <c r="GH56" s="1520">
        <v>2567070</v>
      </c>
      <c r="GI56" s="1520">
        <v>500481</v>
      </c>
      <c r="GJ56" s="1521">
        <v>0.1631532776472176</v>
      </c>
      <c r="GK56" s="1516">
        <v>1002489</v>
      </c>
      <c r="GL56" s="1485">
        <v>838930</v>
      </c>
      <c r="GM56" s="1516">
        <v>163559</v>
      </c>
      <c r="GN56" s="1522">
        <v>0.16315291240103383</v>
      </c>
      <c r="GO56" s="1179">
        <v>1002489</v>
      </c>
      <c r="GP56" s="1179">
        <v>838930</v>
      </c>
      <c r="GQ56" s="1179">
        <v>163559</v>
      </c>
      <c r="GR56" s="1519">
        <v>0.16315291240103383</v>
      </c>
      <c r="GS56" s="1520">
        <v>4070040</v>
      </c>
      <c r="GT56" s="1520">
        <v>3406000</v>
      </c>
      <c r="GU56" s="1520">
        <v>664040</v>
      </c>
      <c r="GV56" s="1521">
        <v>0.16315318768365913</v>
      </c>
      <c r="GW56" s="1516">
        <v>0</v>
      </c>
      <c r="GX56" s="1516">
        <v>0</v>
      </c>
      <c r="GY56" s="1516">
        <v>0</v>
      </c>
      <c r="GZ56" s="1522" t="s">
        <v>630</v>
      </c>
    </row>
    <row r="57" spans="1:210" s="640" customFormat="1">
      <c r="A57" s="866" t="s">
        <v>1263</v>
      </c>
      <c r="B57" s="867" t="s">
        <v>1172</v>
      </c>
      <c r="C57" s="1523" t="s">
        <v>1323</v>
      </c>
      <c r="D57" s="1523" t="s">
        <v>1246</v>
      </c>
      <c r="E57" s="1142" t="s">
        <v>1558</v>
      </c>
      <c r="F57" s="1527">
        <v>11482667</v>
      </c>
      <c r="G57" s="1527">
        <v>8018707</v>
      </c>
      <c r="H57" s="1528">
        <v>3463960</v>
      </c>
      <c r="I57" s="1526">
        <v>0.30166859319354988</v>
      </c>
      <c r="J57" s="1527">
        <v>11482667</v>
      </c>
      <c r="K57" s="1527">
        <v>8018707</v>
      </c>
      <c r="L57" s="1528">
        <v>3463960</v>
      </c>
      <c r="M57" s="1526">
        <v>0.30166859319354988</v>
      </c>
      <c r="N57" s="1512">
        <v>0</v>
      </c>
      <c r="O57" s="1512">
        <v>0</v>
      </c>
      <c r="P57" s="1513">
        <v>0</v>
      </c>
      <c r="Q57" s="752">
        <v>910636</v>
      </c>
      <c r="R57" s="752">
        <v>635926</v>
      </c>
      <c r="S57" s="1514">
        <v>274710</v>
      </c>
      <c r="T57" s="1515">
        <v>0.30166828458352185</v>
      </c>
      <c r="U57" s="1516">
        <v>10572031</v>
      </c>
      <c r="V57" s="1516">
        <v>7382781</v>
      </c>
      <c r="W57" s="1516">
        <v>3189250</v>
      </c>
      <c r="X57" s="752">
        <v>159479</v>
      </c>
      <c r="Y57" s="752">
        <v>111369</v>
      </c>
      <c r="Z57" s="1514">
        <v>48110</v>
      </c>
      <c r="AA57" s="1514">
        <v>159479</v>
      </c>
      <c r="AB57" s="1514">
        <v>111369</v>
      </c>
      <c r="AC57" s="1514">
        <v>48110</v>
      </c>
      <c r="AD57" s="1514">
        <v>1070115</v>
      </c>
      <c r="AE57" s="1514">
        <v>747295</v>
      </c>
      <c r="AF57" s="1514">
        <v>322820</v>
      </c>
      <c r="AG57" s="1517">
        <v>9.3193941790700716E-2</v>
      </c>
      <c r="AH57" s="752">
        <v>113330</v>
      </c>
      <c r="AI57" s="752">
        <v>79142</v>
      </c>
      <c r="AJ57" s="1514">
        <v>34188</v>
      </c>
      <c r="AK57" s="1514">
        <v>272809</v>
      </c>
      <c r="AL57" s="1514">
        <v>190511</v>
      </c>
      <c r="AM57" s="1514">
        <v>82298</v>
      </c>
      <c r="AN57" s="1514">
        <v>1183445</v>
      </c>
      <c r="AO57" s="1514">
        <v>826437</v>
      </c>
      <c r="AP57" s="1514">
        <v>357008</v>
      </c>
      <c r="AQ57" s="1517">
        <v>0.10306360012007663</v>
      </c>
      <c r="AR57" s="752">
        <v>196096</v>
      </c>
      <c r="AS57" s="752">
        <v>136940</v>
      </c>
      <c r="AT57" s="1514">
        <v>59156</v>
      </c>
      <c r="AU57" s="1514">
        <v>468905</v>
      </c>
      <c r="AV57" s="1514">
        <v>327451</v>
      </c>
      <c r="AW57" s="1514">
        <v>141454</v>
      </c>
      <c r="AX57" s="1514">
        <v>1379541</v>
      </c>
      <c r="AY57" s="1514">
        <v>963377</v>
      </c>
      <c r="AZ57" s="1514">
        <v>416164</v>
      </c>
      <c r="BA57" s="1517">
        <v>0.12014116581104373</v>
      </c>
      <c r="BB57" s="752">
        <v>165025</v>
      </c>
      <c r="BC57" s="752">
        <v>115242</v>
      </c>
      <c r="BD57" s="1514">
        <v>49783</v>
      </c>
      <c r="BE57" s="1514">
        <v>633930</v>
      </c>
      <c r="BF57" s="1514">
        <v>442693</v>
      </c>
      <c r="BG57" s="1514">
        <v>191237</v>
      </c>
      <c r="BH57" s="1514">
        <v>1544566</v>
      </c>
      <c r="BI57" s="1514">
        <v>1078619</v>
      </c>
      <c r="BJ57" s="1514">
        <v>465947</v>
      </c>
      <c r="BK57" s="1517">
        <v>0.13451282702877301</v>
      </c>
      <c r="BL57" s="752">
        <v>186722</v>
      </c>
      <c r="BM57" s="752">
        <v>130394</v>
      </c>
      <c r="BN57" s="1514">
        <v>56328</v>
      </c>
      <c r="BO57" s="1514">
        <v>820652</v>
      </c>
      <c r="BP57" s="1514">
        <v>573087</v>
      </c>
      <c r="BQ57" s="1514">
        <v>247565</v>
      </c>
      <c r="BR57" s="1514">
        <v>1731288</v>
      </c>
      <c r="BS57" s="1514">
        <v>1209013</v>
      </c>
      <c r="BT57" s="1514">
        <v>522275</v>
      </c>
      <c r="BU57" s="1517">
        <v>0.15077403185165955</v>
      </c>
      <c r="BV57" s="752">
        <v>195274</v>
      </c>
      <c r="BW57" s="752">
        <v>136366</v>
      </c>
      <c r="BX57" s="1514">
        <v>58908</v>
      </c>
      <c r="BY57" s="1514">
        <v>1015926</v>
      </c>
      <c r="BZ57" s="1514">
        <v>709453</v>
      </c>
      <c r="CA57" s="1514">
        <v>306473</v>
      </c>
      <c r="CB57" s="1514">
        <v>1926562</v>
      </c>
      <c r="CC57" s="1514">
        <v>1345379</v>
      </c>
      <c r="CD57" s="1514">
        <v>581183</v>
      </c>
      <c r="CE57" s="1517">
        <v>0.1677800113858566</v>
      </c>
      <c r="CF57" s="752">
        <v>174631</v>
      </c>
      <c r="CG57" s="752">
        <v>121950</v>
      </c>
      <c r="CH57" s="1514">
        <v>52681</v>
      </c>
      <c r="CI57" s="1514">
        <v>1190557</v>
      </c>
      <c r="CJ57" s="1514">
        <v>831403</v>
      </c>
      <c r="CK57" s="1514">
        <v>359154</v>
      </c>
      <c r="CL57" s="1514">
        <v>2101193</v>
      </c>
      <c r="CM57" s="1514">
        <v>1467329</v>
      </c>
      <c r="CN57" s="1514">
        <v>633864</v>
      </c>
      <c r="CO57" s="1517">
        <v>0.18298823783708087</v>
      </c>
      <c r="CP57" s="752">
        <v>175942</v>
      </c>
      <c r="CQ57" s="752">
        <v>122866</v>
      </c>
      <c r="CR57" s="1514">
        <v>53076</v>
      </c>
      <c r="CS57" s="1514">
        <v>1366499</v>
      </c>
      <c r="CT57" s="1514">
        <v>954269</v>
      </c>
      <c r="CU57" s="1514">
        <v>412230</v>
      </c>
      <c r="CV57" s="1514">
        <v>2277135</v>
      </c>
      <c r="CW57" s="1514">
        <v>1590195</v>
      </c>
      <c r="CX57" s="1514">
        <v>686940</v>
      </c>
      <c r="CY57" s="1517">
        <v>0.19831063637045296</v>
      </c>
      <c r="CZ57" s="752">
        <v>160781</v>
      </c>
      <c r="DA57" s="752">
        <v>112278</v>
      </c>
      <c r="DB57" s="1514">
        <v>48503</v>
      </c>
      <c r="DC57" s="1514">
        <v>1527280</v>
      </c>
      <c r="DD57" s="1514">
        <v>1066547</v>
      </c>
      <c r="DE57" s="1514">
        <v>460733</v>
      </c>
      <c r="DF57" s="1514">
        <v>2437916</v>
      </c>
      <c r="DG57" s="1514">
        <v>1702473</v>
      </c>
      <c r="DH57" s="1514">
        <v>735443</v>
      </c>
      <c r="DI57" s="1517">
        <v>0.21231269704154968</v>
      </c>
      <c r="DJ57" s="752">
        <v>183384</v>
      </c>
      <c r="DK57" s="752">
        <v>128063</v>
      </c>
      <c r="DL57" s="1514">
        <v>55321</v>
      </c>
      <c r="DM57" s="1514">
        <v>1710664</v>
      </c>
      <c r="DN57" s="1514">
        <v>1194610</v>
      </c>
      <c r="DO57" s="1514">
        <v>516054</v>
      </c>
      <c r="DP57" s="1514">
        <v>2621300</v>
      </c>
      <c r="DQ57" s="1514">
        <v>1830536</v>
      </c>
      <c r="DR57" s="1514">
        <v>790764</v>
      </c>
      <c r="DS57" s="1517">
        <v>0.22828320284825815</v>
      </c>
      <c r="DT57" s="752">
        <v>173929</v>
      </c>
      <c r="DU57" s="752">
        <v>121460</v>
      </c>
      <c r="DV57" s="1514">
        <v>52469</v>
      </c>
      <c r="DW57" s="1514">
        <v>1884593</v>
      </c>
      <c r="DX57" s="1514">
        <v>1316070</v>
      </c>
      <c r="DY57" s="1514">
        <v>568523</v>
      </c>
      <c r="DZ57" s="1514">
        <v>2795229</v>
      </c>
      <c r="EA57" s="1514">
        <v>1951996</v>
      </c>
      <c r="EB57" s="1514">
        <v>843233</v>
      </c>
      <c r="EC57" s="1517">
        <v>0.24343029367654745</v>
      </c>
      <c r="ED57" s="752">
        <v>226777</v>
      </c>
      <c r="EE57" s="752">
        <v>158366</v>
      </c>
      <c r="EF57" s="1514">
        <v>68411</v>
      </c>
      <c r="EG57" s="1518">
        <v>2111370</v>
      </c>
      <c r="EH57" s="1518">
        <v>1474436</v>
      </c>
      <c r="EI57" s="1518">
        <v>636934</v>
      </c>
      <c r="EJ57" s="1519">
        <v>0.30166858485248915</v>
      </c>
      <c r="EK57" s="1599">
        <v>3022006</v>
      </c>
      <c r="EL57" s="1599">
        <v>2110362</v>
      </c>
      <c r="EM57" s="1520">
        <v>911644</v>
      </c>
      <c r="EN57" s="1521">
        <v>0.30166849437095755</v>
      </c>
      <c r="EO57" s="1516">
        <v>8460661</v>
      </c>
      <c r="EP57" s="1516">
        <v>5908345</v>
      </c>
      <c r="EQ57" s="1516">
        <v>2552316</v>
      </c>
      <c r="ER57" s="1522">
        <v>0.30166862849131998</v>
      </c>
      <c r="ES57" s="1179">
        <v>2180293</v>
      </c>
      <c r="ET57" s="1179">
        <v>1522567</v>
      </c>
      <c r="EU57" s="1518">
        <v>657726</v>
      </c>
      <c r="EV57" s="1519">
        <v>0.30166862894115609</v>
      </c>
      <c r="EW57" s="1520">
        <v>5202299</v>
      </c>
      <c r="EX57" s="1520">
        <v>3632929</v>
      </c>
      <c r="EY57" s="1520">
        <v>1569370</v>
      </c>
      <c r="EZ57" s="1521">
        <v>0.30166855076957322</v>
      </c>
      <c r="FA57" s="1516">
        <v>6280368</v>
      </c>
      <c r="FB57" s="1516">
        <v>4385778</v>
      </c>
      <c r="FC57" s="1516">
        <v>1894590</v>
      </c>
      <c r="FD57" s="1522">
        <v>0.3016686283351549</v>
      </c>
      <c r="FE57" s="1179">
        <v>2286813</v>
      </c>
      <c r="FF57" s="1179">
        <v>1596953</v>
      </c>
      <c r="FG57" s="1518">
        <v>689860</v>
      </c>
      <c r="FH57" s="1519">
        <v>0.30166874160676888</v>
      </c>
      <c r="FI57" s="1520">
        <v>7489112</v>
      </c>
      <c r="FJ57" s="1520">
        <v>5229882</v>
      </c>
      <c r="FK57" s="1520">
        <v>2259230</v>
      </c>
      <c r="FL57" s="1521">
        <v>0.3016686090420333</v>
      </c>
      <c r="FM57" s="1516">
        <v>3993555</v>
      </c>
      <c r="FN57" s="1516">
        <v>2788825</v>
      </c>
      <c r="FO57" s="1516">
        <v>1204730</v>
      </c>
      <c r="FP57" s="1522">
        <v>0.30166856347289572</v>
      </c>
      <c r="FQ57" s="1179">
        <v>329780</v>
      </c>
      <c r="FR57" s="1179">
        <v>230296</v>
      </c>
      <c r="FS57" s="1518">
        <v>99484</v>
      </c>
      <c r="FT57" s="1519">
        <v>0.30166777851901266</v>
      </c>
      <c r="FU57" s="1520">
        <v>7818892</v>
      </c>
      <c r="FV57" s="1520">
        <v>5460178</v>
      </c>
      <c r="FW57" s="1520">
        <v>2358714</v>
      </c>
      <c r="FX57" s="1521">
        <v>0.30166857401278852</v>
      </c>
      <c r="FY57" s="1516">
        <v>3663775</v>
      </c>
      <c r="FZ57" s="1516">
        <v>2558529</v>
      </c>
      <c r="GA57" s="1516">
        <v>1105246</v>
      </c>
      <c r="GB57" s="1522">
        <v>0.30166863412736861</v>
      </c>
      <c r="GC57" s="1179">
        <v>0</v>
      </c>
      <c r="GD57" s="1179">
        <v>0</v>
      </c>
      <c r="GE57" s="1518">
        <v>0</v>
      </c>
      <c r="GF57" s="1519" t="s">
        <v>630</v>
      </c>
      <c r="GG57" s="1520">
        <v>7818892</v>
      </c>
      <c r="GH57" s="1520">
        <v>5460178</v>
      </c>
      <c r="GI57" s="1520">
        <v>2358714</v>
      </c>
      <c r="GJ57" s="1521">
        <v>0.30166857401278852</v>
      </c>
      <c r="GK57" s="1516">
        <v>3663775</v>
      </c>
      <c r="GL57" s="1485">
        <v>2558529</v>
      </c>
      <c r="GM57" s="1516">
        <v>1105246</v>
      </c>
      <c r="GN57" s="1522">
        <v>0.30166863412736861</v>
      </c>
      <c r="GO57" s="1179">
        <v>3663775</v>
      </c>
      <c r="GP57" s="1179">
        <v>2558529</v>
      </c>
      <c r="GQ57" s="1179">
        <v>1105246</v>
      </c>
      <c r="GR57" s="1519">
        <v>0.30166863412736861</v>
      </c>
      <c r="GS57" s="1520">
        <v>11482667</v>
      </c>
      <c r="GT57" s="1520">
        <v>8018707</v>
      </c>
      <c r="GU57" s="1520">
        <v>3463960</v>
      </c>
      <c r="GV57" s="1521">
        <v>0.30166859319354988</v>
      </c>
      <c r="GW57" s="1516">
        <v>0</v>
      </c>
      <c r="GX57" s="1516">
        <v>0</v>
      </c>
      <c r="GY57" s="1516">
        <v>0</v>
      </c>
      <c r="GZ57" s="1522" t="s">
        <v>630</v>
      </c>
    </row>
    <row r="58" spans="1:210" s="640" customFormat="1">
      <c r="A58" s="866" t="s">
        <v>1264</v>
      </c>
      <c r="B58" s="867" t="s">
        <v>1175</v>
      </c>
      <c r="C58" s="1523" t="s">
        <v>1323</v>
      </c>
      <c r="D58" s="1523" t="s">
        <v>1246</v>
      </c>
      <c r="E58" s="1142" t="s">
        <v>1558</v>
      </c>
      <c r="F58" s="1527">
        <v>1960000</v>
      </c>
      <c r="G58" s="1527">
        <v>1402700</v>
      </c>
      <c r="H58" s="1528">
        <v>557300</v>
      </c>
      <c r="I58" s="1526">
        <v>0.28433673469387755</v>
      </c>
      <c r="J58" s="1527">
        <v>1960000</v>
      </c>
      <c r="K58" s="1527">
        <v>1402700</v>
      </c>
      <c r="L58" s="1528">
        <v>557300</v>
      </c>
      <c r="M58" s="1526">
        <v>0.28433673469387755</v>
      </c>
      <c r="N58" s="1512">
        <v>0</v>
      </c>
      <c r="O58" s="1512">
        <v>0</v>
      </c>
      <c r="P58" s="1513">
        <v>0</v>
      </c>
      <c r="Q58" s="752">
        <v>386289</v>
      </c>
      <c r="R58" s="752">
        <v>276453</v>
      </c>
      <c r="S58" s="1514">
        <v>109836</v>
      </c>
      <c r="T58" s="1515">
        <v>0.2843363388551059</v>
      </c>
      <c r="U58" s="1516">
        <v>1573711</v>
      </c>
      <c r="V58" s="1516">
        <v>1126247</v>
      </c>
      <c r="W58" s="1516">
        <v>447464</v>
      </c>
      <c r="X58" s="752">
        <v>84494</v>
      </c>
      <c r="Y58" s="752">
        <v>60469</v>
      </c>
      <c r="Z58" s="1514">
        <v>24025</v>
      </c>
      <c r="AA58" s="1514">
        <v>84494</v>
      </c>
      <c r="AB58" s="1514">
        <v>60469</v>
      </c>
      <c r="AC58" s="1514">
        <v>24025</v>
      </c>
      <c r="AD58" s="1514">
        <v>470783</v>
      </c>
      <c r="AE58" s="1514">
        <v>336922</v>
      </c>
      <c r="AF58" s="1514">
        <v>133861</v>
      </c>
      <c r="AG58" s="1517">
        <v>0.24019540816326532</v>
      </c>
      <c r="AH58" s="752">
        <v>44019</v>
      </c>
      <c r="AI58" s="752">
        <v>31503</v>
      </c>
      <c r="AJ58" s="1514">
        <v>12516</v>
      </c>
      <c r="AK58" s="1514">
        <v>128513</v>
      </c>
      <c r="AL58" s="1514">
        <v>91972</v>
      </c>
      <c r="AM58" s="1514">
        <v>36541</v>
      </c>
      <c r="AN58" s="1514">
        <v>514802</v>
      </c>
      <c r="AO58" s="1514">
        <v>368425</v>
      </c>
      <c r="AP58" s="1514">
        <v>146377</v>
      </c>
      <c r="AQ58" s="1517">
        <v>0.26265408163265308</v>
      </c>
      <c r="AR58" s="752">
        <v>93983</v>
      </c>
      <c r="AS58" s="752">
        <v>67260</v>
      </c>
      <c r="AT58" s="1514">
        <v>26723</v>
      </c>
      <c r="AU58" s="1514">
        <v>222496</v>
      </c>
      <c r="AV58" s="1514">
        <v>159232</v>
      </c>
      <c r="AW58" s="1514">
        <v>63264</v>
      </c>
      <c r="AX58" s="1514">
        <v>608785</v>
      </c>
      <c r="AY58" s="1514">
        <v>435685</v>
      </c>
      <c r="AZ58" s="1514">
        <v>173100</v>
      </c>
      <c r="BA58" s="1517">
        <v>0.31060459183673467</v>
      </c>
      <c r="BB58" s="752">
        <v>86362</v>
      </c>
      <c r="BC58" s="752">
        <v>61806</v>
      </c>
      <c r="BD58" s="1514">
        <v>24556</v>
      </c>
      <c r="BE58" s="1514">
        <v>308858</v>
      </c>
      <c r="BF58" s="1514">
        <v>221038</v>
      </c>
      <c r="BG58" s="1514">
        <v>87820</v>
      </c>
      <c r="BH58" s="1514">
        <v>695147</v>
      </c>
      <c r="BI58" s="1514">
        <v>497491</v>
      </c>
      <c r="BJ58" s="1514">
        <v>197656</v>
      </c>
      <c r="BK58" s="1517">
        <v>0.3546668367346939</v>
      </c>
      <c r="BL58" s="752">
        <v>107534</v>
      </c>
      <c r="BM58" s="752">
        <v>76958</v>
      </c>
      <c r="BN58" s="1514">
        <v>30576</v>
      </c>
      <c r="BO58" s="1514">
        <v>416392</v>
      </c>
      <c r="BP58" s="1514">
        <v>297996</v>
      </c>
      <c r="BQ58" s="1514">
        <v>118396</v>
      </c>
      <c r="BR58" s="1514">
        <v>802681</v>
      </c>
      <c r="BS58" s="1514">
        <v>574449</v>
      </c>
      <c r="BT58" s="1514">
        <v>228232</v>
      </c>
      <c r="BU58" s="1517">
        <v>0.4095311224489796</v>
      </c>
      <c r="BV58" s="752">
        <v>101905</v>
      </c>
      <c r="BW58" s="752">
        <v>72930</v>
      </c>
      <c r="BX58" s="1514">
        <v>28975</v>
      </c>
      <c r="BY58" s="1514">
        <v>518297</v>
      </c>
      <c r="BZ58" s="1514">
        <v>370926</v>
      </c>
      <c r="CA58" s="1514">
        <v>147371</v>
      </c>
      <c r="CB58" s="1514">
        <v>904586</v>
      </c>
      <c r="CC58" s="1514">
        <v>647379</v>
      </c>
      <c r="CD58" s="1514">
        <v>257207</v>
      </c>
      <c r="CE58" s="1517">
        <v>0.46152346938775513</v>
      </c>
      <c r="CF58" s="752">
        <v>0</v>
      </c>
      <c r="CG58" s="752">
        <v>0</v>
      </c>
      <c r="CH58" s="1514">
        <v>0</v>
      </c>
      <c r="CI58" s="1514">
        <v>518297</v>
      </c>
      <c r="CJ58" s="1514">
        <v>370926</v>
      </c>
      <c r="CK58" s="1514">
        <v>147371</v>
      </c>
      <c r="CL58" s="1514">
        <v>904586</v>
      </c>
      <c r="CM58" s="1514">
        <v>647379</v>
      </c>
      <c r="CN58" s="1514">
        <v>257207</v>
      </c>
      <c r="CO58" s="1517">
        <v>0.46152346938775513</v>
      </c>
      <c r="CP58" s="752">
        <v>0</v>
      </c>
      <c r="CQ58" s="752">
        <v>0</v>
      </c>
      <c r="CR58" s="1514">
        <v>0</v>
      </c>
      <c r="CS58" s="1514">
        <v>518297</v>
      </c>
      <c r="CT58" s="1514">
        <v>370926</v>
      </c>
      <c r="CU58" s="1514">
        <v>147371</v>
      </c>
      <c r="CV58" s="1514">
        <v>904586</v>
      </c>
      <c r="CW58" s="1514">
        <v>647379</v>
      </c>
      <c r="CX58" s="1514">
        <v>257207</v>
      </c>
      <c r="CY58" s="1517">
        <v>0.46152346938775513</v>
      </c>
      <c r="CZ58" s="752">
        <v>0</v>
      </c>
      <c r="DA58" s="752">
        <v>0</v>
      </c>
      <c r="DB58" s="1514">
        <v>0</v>
      </c>
      <c r="DC58" s="1514">
        <v>518297</v>
      </c>
      <c r="DD58" s="1514">
        <v>370926</v>
      </c>
      <c r="DE58" s="1514">
        <v>147371</v>
      </c>
      <c r="DF58" s="1514">
        <v>904586</v>
      </c>
      <c r="DG58" s="1514">
        <v>647379</v>
      </c>
      <c r="DH58" s="1514">
        <v>257207</v>
      </c>
      <c r="DI58" s="1517">
        <v>0.46152346938775513</v>
      </c>
      <c r="DJ58" s="752">
        <v>11029</v>
      </c>
      <c r="DK58" s="752">
        <v>7893</v>
      </c>
      <c r="DL58" s="1514">
        <v>3136</v>
      </c>
      <c r="DM58" s="1514">
        <v>529326</v>
      </c>
      <c r="DN58" s="1514">
        <v>378819</v>
      </c>
      <c r="DO58" s="1514">
        <v>150507</v>
      </c>
      <c r="DP58" s="1514">
        <v>915615</v>
      </c>
      <c r="DQ58" s="1514">
        <v>655272</v>
      </c>
      <c r="DR58" s="1514">
        <v>260343</v>
      </c>
      <c r="DS58" s="1517">
        <v>0.46715051020408166</v>
      </c>
      <c r="DT58" s="752">
        <v>0</v>
      </c>
      <c r="DU58" s="752">
        <v>0</v>
      </c>
      <c r="DV58" s="1514">
        <v>0</v>
      </c>
      <c r="DW58" s="1514">
        <v>529326</v>
      </c>
      <c r="DX58" s="1514">
        <v>378819</v>
      </c>
      <c r="DY58" s="1514">
        <v>150507</v>
      </c>
      <c r="DZ58" s="1514">
        <v>915615</v>
      </c>
      <c r="EA58" s="1514">
        <v>655272</v>
      </c>
      <c r="EB58" s="1514">
        <v>260343</v>
      </c>
      <c r="EC58" s="1517">
        <v>0.46715051020408166</v>
      </c>
      <c r="ED58" s="752">
        <v>13973</v>
      </c>
      <c r="EE58" s="752">
        <v>10000</v>
      </c>
      <c r="EF58" s="1514">
        <v>3973</v>
      </c>
      <c r="EG58" s="1518">
        <v>543299</v>
      </c>
      <c r="EH58" s="1518">
        <v>388819</v>
      </c>
      <c r="EI58" s="1518">
        <v>154480</v>
      </c>
      <c r="EJ58" s="1519">
        <v>0.28433698571136706</v>
      </c>
      <c r="EK58" s="1599">
        <v>929588</v>
      </c>
      <c r="EL58" s="1599">
        <v>665272</v>
      </c>
      <c r="EM58" s="1520">
        <v>264316</v>
      </c>
      <c r="EN58" s="1521">
        <v>0.28433671691114776</v>
      </c>
      <c r="EO58" s="1516">
        <v>1030412</v>
      </c>
      <c r="EP58" s="1516">
        <v>737428</v>
      </c>
      <c r="EQ58" s="1516">
        <v>292984</v>
      </c>
      <c r="ER58" s="1522">
        <v>0.28433675073659859</v>
      </c>
      <c r="ES58" s="1179">
        <v>172729</v>
      </c>
      <c r="ET58" s="1179">
        <v>123616</v>
      </c>
      <c r="EU58" s="1518">
        <v>49113</v>
      </c>
      <c r="EV58" s="1519">
        <v>0.28433557769685464</v>
      </c>
      <c r="EW58" s="1520">
        <v>1102317</v>
      </c>
      <c r="EX58" s="1520">
        <v>788888</v>
      </c>
      <c r="EY58" s="1520">
        <v>313429</v>
      </c>
      <c r="EZ58" s="1521">
        <v>0.28433653840047829</v>
      </c>
      <c r="FA58" s="1516">
        <v>857683</v>
      </c>
      <c r="FB58" s="1516">
        <v>613812</v>
      </c>
      <c r="FC58" s="1516">
        <v>243871</v>
      </c>
      <c r="FD58" s="1522">
        <v>0.28433698697537435</v>
      </c>
      <c r="FE58" s="1179">
        <v>0</v>
      </c>
      <c r="FF58" s="1179">
        <v>0</v>
      </c>
      <c r="FG58" s="1518">
        <v>0</v>
      </c>
      <c r="FH58" s="1519" t="s">
        <v>630</v>
      </c>
      <c r="FI58" s="1520">
        <v>1102317</v>
      </c>
      <c r="FJ58" s="1520">
        <v>788888</v>
      </c>
      <c r="FK58" s="1520">
        <v>313429</v>
      </c>
      <c r="FL58" s="1521">
        <v>0.28433653840047829</v>
      </c>
      <c r="FM58" s="1516">
        <v>857683</v>
      </c>
      <c r="FN58" s="1516">
        <v>613812</v>
      </c>
      <c r="FO58" s="1516">
        <v>243871</v>
      </c>
      <c r="FP58" s="1522">
        <v>0.28433698697537435</v>
      </c>
      <c r="FQ58" s="1179">
        <v>0</v>
      </c>
      <c r="FR58" s="1179">
        <v>0</v>
      </c>
      <c r="FS58" s="1518">
        <v>0</v>
      </c>
      <c r="FT58" s="1519" t="s">
        <v>630</v>
      </c>
      <c r="FU58" s="1520">
        <v>1102317</v>
      </c>
      <c r="FV58" s="1520">
        <v>788888</v>
      </c>
      <c r="FW58" s="1520">
        <v>313429</v>
      </c>
      <c r="FX58" s="1521">
        <v>0.28433653840047829</v>
      </c>
      <c r="FY58" s="1516">
        <v>857683</v>
      </c>
      <c r="FZ58" s="1516">
        <v>613812</v>
      </c>
      <c r="GA58" s="1516">
        <v>243871</v>
      </c>
      <c r="GB58" s="1522">
        <v>0.28433698697537435</v>
      </c>
      <c r="GC58" s="1179">
        <v>0</v>
      </c>
      <c r="GD58" s="1179">
        <v>0</v>
      </c>
      <c r="GE58" s="1518">
        <v>0</v>
      </c>
      <c r="GF58" s="1519" t="s">
        <v>630</v>
      </c>
      <c r="GG58" s="1520">
        <v>1102317</v>
      </c>
      <c r="GH58" s="1520">
        <v>788888</v>
      </c>
      <c r="GI58" s="1520">
        <v>313429</v>
      </c>
      <c r="GJ58" s="1521">
        <v>0.28433653840047829</v>
      </c>
      <c r="GK58" s="1516">
        <v>857683</v>
      </c>
      <c r="GL58" s="1485">
        <v>613812</v>
      </c>
      <c r="GM58" s="1516">
        <v>243871</v>
      </c>
      <c r="GN58" s="1522">
        <v>0.28433698697537435</v>
      </c>
      <c r="GO58" s="1179">
        <v>857683</v>
      </c>
      <c r="GP58" s="1179">
        <v>613812</v>
      </c>
      <c r="GQ58" s="1179">
        <v>243871</v>
      </c>
      <c r="GR58" s="1519">
        <v>0.28433698697537435</v>
      </c>
      <c r="GS58" s="1520">
        <v>1960000</v>
      </c>
      <c r="GT58" s="1520">
        <v>1402700</v>
      </c>
      <c r="GU58" s="1520">
        <v>557300</v>
      </c>
      <c r="GV58" s="1521">
        <v>0.28433673469387755</v>
      </c>
      <c r="GW58" s="1516">
        <v>0</v>
      </c>
      <c r="GX58" s="1516">
        <v>0</v>
      </c>
      <c r="GY58" s="1516">
        <v>0</v>
      </c>
      <c r="GZ58" s="1522" t="s">
        <v>630</v>
      </c>
    </row>
    <row r="59" spans="1:210">
      <c r="A59" s="752" t="s">
        <v>705</v>
      </c>
      <c r="B59" s="1478" t="s">
        <v>2102</v>
      </c>
      <c r="C59" s="753" t="s">
        <v>1308</v>
      </c>
      <c r="D59" s="753" t="s">
        <v>1547</v>
      </c>
      <c r="E59" s="753"/>
      <c r="F59" s="1482"/>
      <c r="G59" s="1482"/>
      <c r="H59" s="1483"/>
      <c r="I59" s="1481">
        <v>0</v>
      </c>
      <c r="J59" s="1482"/>
      <c r="K59" s="1482"/>
      <c r="L59" s="1483">
        <v>0</v>
      </c>
      <c r="M59" s="1481">
        <v>0</v>
      </c>
      <c r="N59" s="1482">
        <v>0</v>
      </c>
      <c r="O59" s="1482">
        <v>0</v>
      </c>
      <c r="P59" s="1483">
        <v>0</v>
      </c>
      <c r="Q59" s="752">
        <v>480000</v>
      </c>
      <c r="R59" s="752">
        <v>365186</v>
      </c>
      <c r="S59" s="752">
        <v>114814</v>
      </c>
      <c r="T59" s="1484">
        <v>0.23919583333333333</v>
      </c>
      <c r="U59" s="1485">
        <v>0</v>
      </c>
      <c r="V59" s="1485">
        <v>0</v>
      </c>
      <c r="W59" s="1485">
        <v>0</v>
      </c>
      <c r="X59" s="752">
        <v>0</v>
      </c>
      <c r="Y59" s="752">
        <v>219383</v>
      </c>
      <c r="Z59" s="752">
        <v>-219383</v>
      </c>
      <c r="AA59" s="752">
        <v>0</v>
      </c>
      <c r="AB59" s="752">
        <v>219383</v>
      </c>
      <c r="AC59" s="752">
        <v>-219383</v>
      </c>
      <c r="AD59" s="752">
        <v>480000</v>
      </c>
      <c r="AE59" s="752">
        <v>584569</v>
      </c>
      <c r="AF59" s="752">
        <v>-104569</v>
      </c>
      <c r="AG59" s="1486">
        <v>0</v>
      </c>
      <c r="AH59" s="752">
        <v>0</v>
      </c>
      <c r="AI59" s="752">
        <v>186432</v>
      </c>
      <c r="AJ59" s="752">
        <v>-186432</v>
      </c>
      <c r="AK59" s="752">
        <v>0</v>
      </c>
      <c r="AL59" s="752">
        <v>405815</v>
      </c>
      <c r="AM59" s="752">
        <v>-405815</v>
      </c>
      <c r="AN59" s="752">
        <v>480000</v>
      </c>
      <c r="AO59" s="752">
        <v>771001</v>
      </c>
      <c r="AP59" s="752">
        <v>-291001</v>
      </c>
      <c r="AQ59" s="1486">
        <v>0</v>
      </c>
      <c r="AR59" s="752">
        <v>0</v>
      </c>
      <c r="AS59" s="752">
        <v>247734</v>
      </c>
      <c r="AT59" s="752">
        <v>-247734</v>
      </c>
      <c r="AU59" s="752">
        <v>0</v>
      </c>
      <c r="AV59" s="752">
        <v>653549</v>
      </c>
      <c r="AW59" s="752">
        <v>-653549</v>
      </c>
      <c r="AX59" s="752">
        <v>480000</v>
      </c>
      <c r="AY59" s="752">
        <v>1018735</v>
      </c>
      <c r="AZ59" s="752">
        <v>-538735</v>
      </c>
      <c r="BA59" s="1486">
        <v>0</v>
      </c>
      <c r="BB59" s="752">
        <v>1265000</v>
      </c>
      <c r="BC59" s="752">
        <v>226979</v>
      </c>
      <c r="BD59" s="752">
        <v>1038021</v>
      </c>
      <c r="BE59" s="752">
        <v>1265000</v>
      </c>
      <c r="BF59" s="752">
        <v>880528</v>
      </c>
      <c r="BG59" s="752">
        <v>384472</v>
      </c>
      <c r="BH59" s="752">
        <v>1745000</v>
      </c>
      <c r="BI59" s="752">
        <v>1245714</v>
      </c>
      <c r="BJ59" s="752">
        <v>499286</v>
      </c>
      <c r="BK59" s="1486">
        <v>0</v>
      </c>
      <c r="BL59" s="752">
        <v>0</v>
      </c>
      <c r="BM59" s="752">
        <v>113490</v>
      </c>
      <c r="BN59" s="752">
        <v>-113490</v>
      </c>
      <c r="BO59" s="752">
        <v>1265000</v>
      </c>
      <c r="BP59" s="752">
        <v>994018</v>
      </c>
      <c r="BQ59" s="752">
        <v>270982</v>
      </c>
      <c r="BR59" s="752">
        <v>1745000</v>
      </c>
      <c r="BS59" s="752">
        <v>1359204</v>
      </c>
      <c r="BT59" s="752">
        <v>385796</v>
      </c>
      <c r="BU59" s="1486">
        <v>0</v>
      </c>
      <c r="BV59" s="752">
        <v>0</v>
      </c>
      <c r="BW59" s="752">
        <v>0</v>
      </c>
      <c r="BX59" s="752">
        <v>0</v>
      </c>
      <c r="BY59" s="752">
        <v>1265000</v>
      </c>
      <c r="BZ59" s="752">
        <v>994018</v>
      </c>
      <c r="CA59" s="752">
        <v>270982</v>
      </c>
      <c r="CB59" s="752">
        <v>1745000</v>
      </c>
      <c r="CC59" s="752">
        <v>1359204</v>
      </c>
      <c r="CD59" s="752">
        <v>385796</v>
      </c>
      <c r="CE59" s="1486">
        <v>0</v>
      </c>
      <c r="CF59" s="752">
        <v>0</v>
      </c>
      <c r="CG59" s="752">
        <v>0</v>
      </c>
      <c r="CH59" s="752">
        <v>0</v>
      </c>
      <c r="CI59" s="752">
        <v>1265000</v>
      </c>
      <c r="CJ59" s="752">
        <v>994018</v>
      </c>
      <c r="CK59" s="752">
        <v>270982</v>
      </c>
      <c r="CL59" s="752">
        <v>1745000</v>
      </c>
      <c r="CM59" s="752">
        <v>1359204</v>
      </c>
      <c r="CN59" s="752">
        <v>385796</v>
      </c>
      <c r="CO59" s="1486">
        <v>0</v>
      </c>
      <c r="CP59" s="752">
        <v>0</v>
      </c>
      <c r="CQ59" s="752">
        <v>0</v>
      </c>
      <c r="CR59" s="752">
        <v>0</v>
      </c>
      <c r="CS59" s="752">
        <v>1265000</v>
      </c>
      <c r="CT59" s="752">
        <v>994018</v>
      </c>
      <c r="CU59" s="752">
        <v>270982</v>
      </c>
      <c r="CV59" s="752">
        <v>1745000</v>
      </c>
      <c r="CW59" s="752">
        <v>1359204</v>
      </c>
      <c r="CX59" s="752">
        <v>385796</v>
      </c>
      <c r="CY59" s="1486">
        <v>0</v>
      </c>
      <c r="CZ59" s="752">
        <v>0</v>
      </c>
      <c r="DA59" s="752">
        <v>0</v>
      </c>
      <c r="DB59" s="752">
        <v>0</v>
      </c>
      <c r="DC59" s="752">
        <v>1265000</v>
      </c>
      <c r="DD59" s="752">
        <v>994018</v>
      </c>
      <c r="DE59" s="752">
        <v>270982</v>
      </c>
      <c r="DF59" s="752">
        <v>1745000</v>
      </c>
      <c r="DG59" s="752">
        <v>1359204</v>
      </c>
      <c r="DH59" s="752">
        <v>385796</v>
      </c>
      <c r="DI59" s="1486">
        <v>0</v>
      </c>
      <c r="DJ59" s="752">
        <v>0</v>
      </c>
      <c r="DK59" s="752">
        <v>0</v>
      </c>
      <c r="DL59" s="752">
        <v>0</v>
      </c>
      <c r="DM59" s="752">
        <v>1265000</v>
      </c>
      <c r="DN59" s="752">
        <v>994018</v>
      </c>
      <c r="DO59" s="752">
        <v>270982</v>
      </c>
      <c r="DP59" s="752">
        <v>1745000</v>
      </c>
      <c r="DQ59" s="752">
        <v>1359204</v>
      </c>
      <c r="DR59" s="752">
        <v>385796</v>
      </c>
      <c r="DS59" s="1486">
        <v>0</v>
      </c>
      <c r="DT59" s="752">
        <v>0</v>
      </c>
      <c r="DU59" s="752">
        <v>0</v>
      </c>
      <c r="DV59" s="752">
        <v>0</v>
      </c>
      <c r="DW59" s="752">
        <v>1265000</v>
      </c>
      <c r="DX59" s="752">
        <v>994018</v>
      </c>
      <c r="DY59" s="752">
        <v>270982</v>
      </c>
      <c r="DZ59" s="752">
        <v>1745000</v>
      </c>
      <c r="EA59" s="752">
        <v>1359204</v>
      </c>
      <c r="EB59" s="752">
        <v>385796</v>
      </c>
      <c r="EC59" s="1486">
        <v>0</v>
      </c>
      <c r="ED59" s="752">
        <v>0</v>
      </c>
      <c r="EE59" s="752">
        <v>0</v>
      </c>
      <c r="EF59" s="752">
        <v>0</v>
      </c>
      <c r="EG59" s="1179">
        <v>1265000</v>
      </c>
      <c r="EH59" s="1179">
        <v>994018</v>
      </c>
      <c r="EI59" s="1179">
        <v>270982</v>
      </c>
      <c r="EJ59" s="1487">
        <v>0.21421501976284585</v>
      </c>
      <c r="EK59" s="1593">
        <v>1745000</v>
      </c>
      <c r="EL59" s="1593">
        <v>1359204</v>
      </c>
      <c r="EM59" s="1488">
        <v>385796</v>
      </c>
      <c r="EN59" s="1489">
        <v>0.22108653295128941</v>
      </c>
      <c r="EO59" s="1529" t="s">
        <v>866</v>
      </c>
      <c r="EP59" s="1529" t="s">
        <v>866</v>
      </c>
      <c r="EQ59" s="1529" t="s">
        <v>1548</v>
      </c>
      <c r="ER59" s="1530"/>
      <c r="ES59" s="1179">
        <v>0</v>
      </c>
      <c r="ET59" s="1179">
        <v>0</v>
      </c>
      <c r="EU59" s="1179">
        <v>0</v>
      </c>
      <c r="EV59" s="1487" t="s">
        <v>630</v>
      </c>
      <c r="EW59" s="1520">
        <v>1745000</v>
      </c>
      <c r="EX59" s="1520">
        <v>1359204</v>
      </c>
      <c r="EY59" s="1520">
        <v>385796</v>
      </c>
      <c r="EZ59" s="1521">
        <v>0.22108653295128941</v>
      </c>
      <c r="FA59" s="1531" t="s">
        <v>866</v>
      </c>
      <c r="FB59" s="1531" t="s">
        <v>866</v>
      </c>
      <c r="FC59" s="1531" t="s">
        <v>1548</v>
      </c>
      <c r="FD59" s="1530" t="s">
        <v>630</v>
      </c>
      <c r="FE59" s="1179">
        <v>0</v>
      </c>
      <c r="FF59" s="1179">
        <v>0</v>
      </c>
      <c r="FG59" s="1179">
        <v>0</v>
      </c>
      <c r="FH59" s="1487" t="s">
        <v>630</v>
      </c>
      <c r="FI59" s="1520">
        <v>1745000</v>
      </c>
      <c r="FJ59" s="1520">
        <v>1359204</v>
      </c>
      <c r="FK59" s="1520">
        <v>385796</v>
      </c>
      <c r="FL59" s="1521">
        <v>0.22108653295128941</v>
      </c>
      <c r="FM59" s="1531" t="s">
        <v>866</v>
      </c>
      <c r="FN59" s="1531" t="s">
        <v>866</v>
      </c>
      <c r="FO59" s="1531" t="s">
        <v>1548</v>
      </c>
      <c r="FP59" s="1530" t="s">
        <v>630</v>
      </c>
      <c r="FQ59" s="1179">
        <v>0</v>
      </c>
      <c r="FR59" s="1179">
        <v>0</v>
      </c>
      <c r="FS59" s="1179">
        <v>0</v>
      </c>
      <c r="FT59" s="1487" t="s">
        <v>630</v>
      </c>
      <c r="FU59" s="1520">
        <v>1745000</v>
      </c>
      <c r="FV59" s="1520">
        <v>1359204</v>
      </c>
      <c r="FW59" s="1520">
        <v>385796</v>
      </c>
      <c r="FX59" s="1521">
        <v>0.22108653295128941</v>
      </c>
      <c r="FY59" s="1531" t="s">
        <v>866</v>
      </c>
      <c r="FZ59" s="1531" t="s">
        <v>866</v>
      </c>
      <c r="GA59" s="1531" t="s">
        <v>1548</v>
      </c>
      <c r="GB59" s="1530" t="s">
        <v>630</v>
      </c>
      <c r="GC59" s="1179">
        <v>0</v>
      </c>
      <c r="GD59" s="1179">
        <v>0</v>
      </c>
      <c r="GE59" s="1179">
        <v>0</v>
      </c>
      <c r="GF59" s="1487" t="s">
        <v>630</v>
      </c>
      <c r="GG59" s="1520">
        <v>1745000</v>
      </c>
      <c r="GH59" s="1520">
        <v>1359204</v>
      </c>
      <c r="GI59" s="1520">
        <v>385796</v>
      </c>
      <c r="GJ59" s="1521">
        <v>0.22108653295128941</v>
      </c>
      <c r="GK59" s="1531" t="s">
        <v>866</v>
      </c>
      <c r="GL59" s="1531" t="s">
        <v>866</v>
      </c>
      <c r="GM59" s="1531" t="s">
        <v>1548</v>
      </c>
      <c r="GN59" s="1489" t="s">
        <v>630</v>
      </c>
      <c r="GO59" s="1179">
        <v>0</v>
      </c>
      <c r="GP59" s="1179">
        <v>0</v>
      </c>
      <c r="GQ59" s="1179">
        <v>0</v>
      </c>
      <c r="GR59" s="1489" t="s">
        <v>630</v>
      </c>
      <c r="GS59" s="1520">
        <v>1745000</v>
      </c>
      <c r="GT59" s="1520">
        <v>1359204</v>
      </c>
      <c r="GU59" s="1520">
        <v>385796</v>
      </c>
      <c r="GV59" s="1521">
        <v>0.22108653295128941</v>
      </c>
      <c r="GW59" s="1531" t="s">
        <v>866</v>
      </c>
      <c r="GX59" s="1531" t="s">
        <v>866</v>
      </c>
      <c r="GY59" s="1531" t="s">
        <v>1548</v>
      </c>
      <c r="GZ59" s="1489" t="s">
        <v>630</v>
      </c>
    </row>
    <row r="60" spans="1:210" s="1552" customFormat="1">
      <c r="A60" s="1158" t="s">
        <v>707</v>
      </c>
      <c r="B60" s="1159" t="s">
        <v>2500</v>
      </c>
      <c r="C60" s="1536" t="s">
        <v>2083</v>
      </c>
      <c r="D60" s="1536" t="s">
        <v>1547</v>
      </c>
      <c r="E60" s="1536" t="s">
        <v>2084</v>
      </c>
      <c r="F60" s="1540"/>
      <c r="G60" s="1540"/>
      <c r="H60" s="1541"/>
      <c r="I60" s="1539">
        <v>0</v>
      </c>
      <c r="J60" s="1540"/>
      <c r="K60" s="1540"/>
      <c r="L60" s="1541">
        <v>0</v>
      </c>
      <c r="M60" s="1539">
        <v>0</v>
      </c>
      <c r="N60" s="1540">
        <v>0</v>
      </c>
      <c r="O60" s="1540">
        <v>0</v>
      </c>
      <c r="P60" s="1541">
        <v>0</v>
      </c>
      <c r="Q60" s="1158">
        <v>1120000</v>
      </c>
      <c r="R60" s="1158">
        <v>1534380</v>
      </c>
      <c r="S60" s="1158">
        <v>-414380</v>
      </c>
      <c r="T60" s="1542">
        <v>-0.36998214285714287</v>
      </c>
      <c r="U60" s="1543">
        <v>0</v>
      </c>
      <c r="V60" s="1543">
        <v>0</v>
      </c>
      <c r="W60" s="1543">
        <v>0</v>
      </c>
      <c r="X60" s="1158">
        <v>0</v>
      </c>
      <c r="Y60" s="1158">
        <v>0</v>
      </c>
      <c r="Z60" s="1158">
        <v>0</v>
      </c>
      <c r="AA60" s="1158">
        <v>0</v>
      </c>
      <c r="AB60" s="1158">
        <v>0</v>
      </c>
      <c r="AC60" s="1158">
        <v>0</v>
      </c>
      <c r="AD60" s="1158">
        <v>1120000</v>
      </c>
      <c r="AE60" s="1158">
        <v>1534380</v>
      </c>
      <c r="AF60" s="1158">
        <v>-414380</v>
      </c>
      <c r="AG60" s="1544">
        <v>0</v>
      </c>
      <c r="AH60" s="1158">
        <v>0</v>
      </c>
      <c r="AI60" s="1158">
        <v>0</v>
      </c>
      <c r="AJ60" s="1158">
        <v>0</v>
      </c>
      <c r="AK60" s="1158">
        <v>0</v>
      </c>
      <c r="AL60" s="1158">
        <v>0</v>
      </c>
      <c r="AM60" s="1158">
        <v>0</v>
      </c>
      <c r="AN60" s="1158">
        <v>1120000</v>
      </c>
      <c r="AO60" s="1158">
        <v>1534380</v>
      </c>
      <c r="AP60" s="1158">
        <v>-414380</v>
      </c>
      <c r="AQ60" s="1544">
        <v>0</v>
      </c>
      <c r="AR60" s="1158">
        <v>0</v>
      </c>
      <c r="AS60" s="1158">
        <v>0</v>
      </c>
      <c r="AT60" s="1158">
        <v>0</v>
      </c>
      <c r="AU60" s="1158">
        <v>0</v>
      </c>
      <c r="AV60" s="1158">
        <v>0</v>
      </c>
      <c r="AW60" s="1158">
        <v>0</v>
      </c>
      <c r="AX60" s="1158">
        <v>1120000</v>
      </c>
      <c r="AY60" s="1158">
        <v>1534380</v>
      </c>
      <c r="AZ60" s="1158">
        <v>-414380</v>
      </c>
      <c r="BA60" s="1544">
        <v>0</v>
      </c>
      <c r="BB60" s="1158">
        <v>0</v>
      </c>
      <c r="BC60" s="1158">
        <v>0</v>
      </c>
      <c r="BD60" s="1158">
        <v>0</v>
      </c>
      <c r="BE60" s="1158">
        <v>0</v>
      </c>
      <c r="BF60" s="1158">
        <v>0</v>
      </c>
      <c r="BG60" s="1158">
        <v>0</v>
      </c>
      <c r="BH60" s="1158">
        <v>1120000</v>
      </c>
      <c r="BI60" s="1158">
        <v>1534380</v>
      </c>
      <c r="BJ60" s="1158">
        <v>-414380</v>
      </c>
      <c r="BK60" s="1544">
        <v>0</v>
      </c>
      <c r="BL60" s="1158">
        <v>0</v>
      </c>
      <c r="BM60" s="1158">
        <v>0</v>
      </c>
      <c r="BN60" s="1158">
        <v>0</v>
      </c>
      <c r="BO60" s="1158">
        <v>0</v>
      </c>
      <c r="BP60" s="1158">
        <v>0</v>
      </c>
      <c r="BQ60" s="1158">
        <v>0</v>
      </c>
      <c r="BR60" s="1158">
        <v>1120000</v>
      </c>
      <c r="BS60" s="1158">
        <v>1534380</v>
      </c>
      <c r="BT60" s="1158">
        <v>-414380</v>
      </c>
      <c r="BU60" s="1544">
        <v>0</v>
      </c>
      <c r="BV60" s="1158">
        <v>0</v>
      </c>
      <c r="BW60" s="1158">
        <v>20000</v>
      </c>
      <c r="BX60" s="1158">
        <v>-20000</v>
      </c>
      <c r="BY60" s="1158">
        <v>0</v>
      </c>
      <c r="BZ60" s="1158">
        <v>20000</v>
      </c>
      <c r="CA60" s="1158">
        <v>-20000</v>
      </c>
      <c r="CB60" s="1158">
        <v>1120000</v>
      </c>
      <c r="CC60" s="1158">
        <v>1554380</v>
      </c>
      <c r="CD60" s="1158">
        <v>-434380</v>
      </c>
      <c r="CE60" s="1544">
        <v>0</v>
      </c>
      <c r="CF60" s="1158">
        <v>0</v>
      </c>
      <c r="CG60" s="1158">
        <v>0</v>
      </c>
      <c r="CH60" s="1158">
        <v>0</v>
      </c>
      <c r="CI60" s="1158">
        <v>0</v>
      </c>
      <c r="CJ60" s="1158">
        <v>20000</v>
      </c>
      <c r="CK60" s="1158">
        <v>-20000</v>
      </c>
      <c r="CL60" s="1158">
        <v>1120000</v>
      </c>
      <c r="CM60" s="1158">
        <v>1554380</v>
      </c>
      <c r="CN60" s="1158">
        <v>-434380</v>
      </c>
      <c r="CO60" s="1544">
        <v>0</v>
      </c>
      <c r="CP60" s="1158">
        <v>0</v>
      </c>
      <c r="CQ60" s="1158">
        <v>0</v>
      </c>
      <c r="CR60" s="1158">
        <v>0</v>
      </c>
      <c r="CS60" s="1158">
        <v>0</v>
      </c>
      <c r="CT60" s="1158">
        <v>20000</v>
      </c>
      <c r="CU60" s="1158">
        <v>-20000</v>
      </c>
      <c r="CV60" s="1158">
        <v>1120000</v>
      </c>
      <c r="CW60" s="1158">
        <v>1554380</v>
      </c>
      <c r="CX60" s="1158">
        <v>-434380</v>
      </c>
      <c r="CY60" s="1544">
        <v>0</v>
      </c>
      <c r="CZ60" s="1158">
        <v>0</v>
      </c>
      <c r="DA60" s="1158">
        <v>0</v>
      </c>
      <c r="DB60" s="1158">
        <v>0</v>
      </c>
      <c r="DC60" s="1158">
        <v>0</v>
      </c>
      <c r="DD60" s="1158">
        <v>20000</v>
      </c>
      <c r="DE60" s="1158">
        <v>-20000</v>
      </c>
      <c r="DF60" s="1158">
        <v>1120000</v>
      </c>
      <c r="DG60" s="1158">
        <v>1554380</v>
      </c>
      <c r="DH60" s="1158">
        <v>-434380</v>
      </c>
      <c r="DI60" s="1544">
        <v>0</v>
      </c>
      <c r="DJ60" s="1158">
        <v>175000</v>
      </c>
      <c r="DK60" s="1158">
        <v>110353</v>
      </c>
      <c r="DL60" s="1158">
        <v>64647</v>
      </c>
      <c r="DM60" s="1158">
        <v>175000</v>
      </c>
      <c r="DN60" s="1158">
        <v>130353</v>
      </c>
      <c r="DO60" s="1158">
        <v>44647</v>
      </c>
      <c r="DP60" s="1158">
        <v>1295000</v>
      </c>
      <c r="DQ60" s="1158">
        <v>1664733</v>
      </c>
      <c r="DR60" s="1158">
        <v>-369733</v>
      </c>
      <c r="DS60" s="1544">
        <v>0</v>
      </c>
      <c r="DT60" s="1158">
        <v>0</v>
      </c>
      <c r="DU60" s="1158">
        <v>0</v>
      </c>
      <c r="DV60" s="1158">
        <v>0</v>
      </c>
      <c r="DW60" s="1158">
        <v>175000</v>
      </c>
      <c r="DX60" s="1158">
        <v>130353</v>
      </c>
      <c r="DY60" s="1158">
        <v>44647</v>
      </c>
      <c r="DZ60" s="1158">
        <v>1295000</v>
      </c>
      <c r="EA60" s="1158">
        <v>1664733</v>
      </c>
      <c r="EB60" s="1158">
        <v>-369733</v>
      </c>
      <c r="EC60" s="1544">
        <v>0</v>
      </c>
      <c r="ED60" s="1158">
        <v>0</v>
      </c>
      <c r="EE60" s="1158">
        <v>20000</v>
      </c>
      <c r="EF60" s="1158">
        <v>-20000</v>
      </c>
      <c r="EG60" s="1545">
        <v>175000</v>
      </c>
      <c r="EH60" s="1545">
        <v>150353</v>
      </c>
      <c r="EI60" s="1545">
        <v>24647</v>
      </c>
      <c r="EJ60" s="1546">
        <v>0.14083999999999999</v>
      </c>
      <c r="EK60" s="2437">
        <v>1295000</v>
      </c>
      <c r="EL60" s="2437">
        <v>1684733</v>
      </c>
      <c r="EM60" s="1547">
        <v>-389733</v>
      </c>
      <c r="EN60" s="1548">
        <v>-0.30095212355212353</v>
      </c>
      <c r="EO60" s="1549" t="s">
        <v>866</v>
      </c>
      <c r="EP60" s="1549" t="s">
        <v>866</v>
      </c>
      <c r="EQ60" s="1549" t="s">
        <v>1548</v>
      </c>
      <c r="ER60" s="1550"/>
      <c r="ES60" s="1545">
        <v>0</v>
      </c>
      <c r="ET60" s="1545">
        <v>0</v>
      </c>
      <c r="EU60" s="1545">
        <v>0</v>
      </c>
      <c r="EV60" s="1546" t="s">
        <v>630</v>
      </c>
      <c r="EW60" s="1547">
        <v>1295000</v>
      </c>
      <c r="EX60" s="1547">
        <v>1684733</v>
      </c>
      <c r="EY60" s="1547">
        <v>-389733</v>
      </c>
      <c r="EZ60" s="1548">
        <v>-0.30095212355212353</v>
      </c>
      <c r="FA60" s="1551" t="s">
        <v>866</v>
      </c>
      <c r="FB60" s="1551" t="s">
        <v>866</v>
      </c>
      <c r="FC60" s="1551" t="s">
        <v>1548</v>
      </c>
      <c r="FD60" s="1550" t="s">
        <v>630</v>
      </c>
      <c r="FE60" s="1545">
        <v>0</v>
      </c>
      <c r="FF60" s="1545">
        <v>0</v>
      </c>
      <c r="FG60" s="1545">
        <v>0</v>
      </c>
      <c r="FH60" s="1546" t="s">
        <v>630</v>
      </c>
      <c r="FI60" s="1547">
        <v>1295000</v>
      </c>
      <c r="FJ60" s="1547">
        <v>1684733</v>
      </c>
      <c r="FK60" s="1547">
        <v>-389733</v>
      </c>
      <c r="FL60" s="1548">
        <v>-0.30095212355212353</v>
      </c>
      <c r="FM60" s="1551" t="s">
        <v>866</v>
      </c>
      <c r="FN60" s="1551" t="s">
        <v>866</v>
      </c>
      <c r="FO60" s="1551" t="s">
        <v>1548</v>
      </c>
      <c r="FP60" s="1550" t="s">
        <v>630</v>
      </c>
      <c r="FQ60" s="1545">
        <v>0</v>
      </c>
      <c r="FR60" s="1545">
        <v>0</v>
      </c>
      <c r="FS60" s="1545">
        <v>0</v>
      </c>
      <c r="FT60" s="1546" t="s">
        <v>630</v>
      </c>
      <c r="FU60" s="1547">
        <v>1295000</v>
      </c>
      <c r="FV60" s="1547">
        <v>1684733</v>
      </c>
      <c r="FW60" s="1547">
        <v>-389733</v>
      </c>
      <c r="FX60" s="1548">
        <v>-0.30095212355212353</v>
      </c>
      <c r="FY60" s="1551" t="s">
        <v>866</v>
      </c>
      <c r="FZ60" s="1551" t="s">
        <v>866</v>
      </c>
      <c r="GA60" s="1551" t="s">
        <v>1548</v>
      </c>
      <c r="GB60" s="1550" t="s">
        <v>630</v>
      </c>
      <c r="GC60" s="1545">
        <v>0</v>
      </c>
      <c r="GD60" s="1545">
        <v>0</v>
      </c>
      <c r="GE60" s="1545">
        <v>0</v>
      </c>
      <c r="GF60" s="1546" t="s">
        <v>630</v>
      </c>
      <c r="GG60" s="1547">
        <v>1295000</v>
      </c>
      <c r="GH60" s="1547">
        <v>1684733</v>
      </c>
      <c r="GI60" s="1547">
        <v>-389733</v>
      </c>
      <c r="GJ60" s="1548">
        <v>-0.30095212355212353</v>
      </c>
      <c r="GK60" s="1551" t="s">
        <v>866</v>
      </c>
      <c r="GL60" s="1551" t="s">
        <v>866</v>
      </c>
      <c r="GM60" s="1551" t="s">
        <v>1548</v>
      </c>
      <c r="GN60" s="1548" t="s">
        <v>630</v>
      </c>
      <c r="GO60" s="1545">
        <v>0</v>
      </c>
      <c r="GP60" s="1545">
        <v>0</v>
      </c>
      <c r="GQ60" s="1545">
        <v>0</v>
      </c>
      <c r="GR60" s="1548" t="s">
        <v>630</v>
      </c>
      <c r="GS60" s="1547">
        <v>1295000</v>
      </c>
      <c r="GT60" s="1547">
        <v>1684733</v>
      </c>
      <c r="GU60" s="1547">
        <v>-389733</v>
      </c>
      <c r="GV60" s="1548">
        <v>-0.30095212355212353</v>
      </c>
      <c r="GW60" s="1551" t="s">
        <v>866</v>
      </c>
      <c r="GX60" s="1551" t="s">
        <v>866</v>
      </c>
      <c r="GY60" s="1551" t="s">
        <v>1548</v>
      </c>
      <c r="GZ60" s="1548" t="s">
        <v>630</v>
      </c>
    </row>
    <row r="61" spans="1:210" s="640" customFormat="1">
      <c r="A61" s="574" t="s">
        <v>710</v>
      </c>
      <c r="B61" s="751" t="s">
        <v>1265</v>
      </c>
      <c r="C61" s="1523" t="s">
        <v>1323</v>
      </c>
      <c r="D61" s="1523" t="s">
        <v>1246</v>
      </c>
      <c r="E61" s="1142" t="s">
        <v>1558</v>
      </c>
      <c r="F61" s="1527">
        <v>0</v>
      </c>
      <c r="G61" s="1527">
        <v>0</v>
      </c>
      <c r="H61" s="1528">
        <v>0</v>
      </c>
      <c r="I61" s="1526">
        <v>0</v>
      </c>
      <c r="J61" s="1527"/>
      <c r="K61" s="1527"/>
      <c r="L61" s="1528">
        <v>0</v>
      </c>
      <c r="M61" s="1526">
        <v>0</v>
      </c>
      <c r="N61" s="1482">
        <v>0</v>
      </c>
      <c r="O61" s="1482">
        <v>0</v>
      </c>
      <c r="P61" s="1601">
        <v>0</v>
      </c>
      <c r="Q61" s="752">
        <v>0</v>
      </c>
      <c r="R61" s="752">
        <v>0</v>
      </c>
      <c r="S61" s="866">
        <v>0</v>
      </c>
      <c r="T61" s="1602" t="s">
        <v>630</v>
      </c>
      <c r="U61" s="1555">
        <v>0</v>
      </c>
      <c r="V61" s="1555">
        <v>0</v>
      </c>
      <c r="W61" s="1555">
        <v>0</v>
      </c>
      <c r="X61" s="752">
        <v>0</v>
      </c>
      <c r="Y61" s="752">
        <v>0</v>
      </c>
      <c r="Z61" s="866">
        <v>0</v>
      </c>
      <c r="AA61" s="866">
        <v>0</v>
      </c>
      <c r="AB61" s="866">
        <v>0</v>
      </c>
      <c r="AC61" s="866">
        <v>0</v>
      </c>
      <c r="AD61" s="866">
        <v>0</v>
      </c>
      <c r="AE61" s="866">
        <v>0</v>
      </c>
      <c r="AF61" s="866">
        <v>0</v>
      </c>
      <c r="AG61" s="1603">
        <v>0</v>
      </c>
      <c r="AH61" s="752">
        <v>0</v>
      </c>
      <c r="AI61" s="752">
        <v>0</v>
      </c>
      <c r="AJ61" s="866">
        <v>0</v>
      </c>
      <c r="AK61" s="866">
        <v>0</v>
      </c>
      <c r="AL61" s="866">
        <v>0</v>
      </c>
      <c r="AM61" s="866">
        <v>0</v>
      </c>
      <c r="AN61" s="866">
        <v>0</v>
      </c>
      <c r="AO61" s="866">
        <v>0</v>
      </c>
      <c r="AP61" s="866">
        <v>0</v>
      </c>
      <c r="AQ61" s="1603">
        <v>0</v>
      </c>
      <c r="AR61" s="752">
        <v>0</v>
      </c>
      <c r="AS61" s="752">
        <v>0</v>
      </c>
      <c r="AT61" s="866">
        <v>0</v>
      </c>
      <c r="AU61" s="866">
        <v>0</v>
      </c>
      <c r="AV61" s="866">
        <v>0</v>
      </c>
      <c r="AW61" s="866">
        <v>0</v>
      </c>
      <c r="AX61" s="866">
        <v>0</v>
      </c>
      <c r="AY61" s="866">
        <v>0</v>
      </c>
      <c r="AZ61" s="866">
        <v>0</v>
      </c>
      <c r="BA61" s="1603">
        <v>0</v>
      </c>
      <c r="BB61" s="752">
        <v>0</v>
      </c>
      <c r="BC61" s="752">
        <v>0</v>
      </c>
      <c r="BD61" s="866">
        <v>0</v>
      </c>
      <c r="BE61" s="866">
        <v>0</v>
      </c>
      <c r="BF61" s="866">
        <v>0</v>
      </c>
      <c r="BG61" s="866">
        <v>0</v>
      </c>
      <c r="BH61" s="866">
        <v>0</v>
      </c>
      <c r="BI61" s="866">
        <v>0</v>
      </c>
      <c r="BJ61" s="866">
        <v>0</v>
      </c>
      <c r="BK61" s="1603">
        <v>0</v>
      </c>
      <c r="BL61" s="752">
        <v>0</v>
      </c>
      <c r="BM61" s="752">
        <v>0</v>
      </c>
      <c r="BN61" s="866">
        <v>0</v>
      </c>
      <c r="BO61" s="866">
        <v>0</v>
      </c>
      <c r="BP61" s="866">
        <v>0</v>
      </c>
      <c r="BQ61" s="866">
        <v>0</v>
      </c>
      <c r="BR61" s="866">
        <v>0</v>
      </c>
      <c r="BS61" s="866">
        <v>0</v>
      </c>
      <c r="BT61" s="866">
        <v>0</v>
      </c>
      <c r="BU61" s="1603">
        <v>0</v>
      </c>
      <c r="BV61" s="752">
        <v>0</v>
      </c>
      <c r="BW61" s="752">
        <v>0</v>
      </c>
      <c r="BX61" s="866">
        <v>0</v>
      </c>
      <c r="BY61" s="866">
        <v>0</v>
      </c>
      <c r="BZ61" s="866">
        <v>0</v>
      </c>
      <c r="CA61" s="866">
        <v>0</v>
      </c>
      <c r="CB61" s="866">
        <v>0</v>
      </c>
      <c r="CC61" s="866">
        <v>0</v>
      </c>
      <c r="CD61" s="866">
        <v>0</v>
      </c>
      <c r="CE61" s="1603">
        <v>0</v>
      </c>
      <c r="CF61" s="752">
        <v>0</v>
      </c>
      <c r="CG61" s="752">
        <v>0</v>
      </c>
      <c r="CH61" s="866">
        <v>0</v>
      </c>
      <c r="CI61" s="866">
        <v>0</v>
      </c>
      <c r="CJ61" s="866">
        <v>0</v>
      </c>
      <c r="CK61" s="866">
        <v>0</v>
      </c>
      <c r="CL61" s="866">
        <v>0</v>
      </c>
      <c r="CM61" s="866">
        <v>0</v>
      </c>
      <c r="CN61" s="866">
        <v>0</v>
      </c>
      <c r="CO61" s="1603">
        <v>0</v>
      </c>
      <c r="CP61" s="752">
        <v>0</v>
      </c>
      <c r="CQ61" s="752">
        <v>0</v>
      </c>
      <c r="CR61" s="866">
        <v>0</v>
      </c>
      <c r="CS61" s="866">
        <v>0</v>
      </c>
      <c r="CT61" s="866">
        <v>0</v>
      </c>
      <c r="CU61" s="866">
        <v>0</v>
      </c>
      <c r="CV61" s="866">
        <v>0</v>
      </c>
      <c r="CW61" s="866">
        <v>0</v>
      </c>
      <c r="CX61" s="866">
        <v>0</v>
      </c>
      <c r="CY61" s="1603">
        <v>0</v>
      </c>
      <c r="CZ61" s="752">
        <v>0</v>
      </c>
      <c r="DA61" s="752">
        <v>0</v>
      </c>
      <c r="DB61" s="866">
        <v>0</v>
      </c>
      <c r="DC61" s="866">
        <v>0</v>
      </c>
      <c r="DD61" s="866">
        <v>0</v>
      </c>
      <c r="DE61" s="866">
        <v>0</v>
      </c>
      <c r="DF61" s="866">
        <v>0</v>
      </c>
      <c r="DG61" s="866">
        <v>0</v>
      </c>
      <c r="DH61" s="866">
        <v>0</v>
      </c>
      <c r="DI61" s="1603">
        <v>0</v>
      </c>
      <c r="DJ61" s="752">
        <v>0</v>
      </c>
      <c r="DK61" s="752">
        <v>0</v>
      </c>
      <c r="DL61" s="866">
        <v>0</v>
      </c>
      <c r="DM61" s="866">
        <v>0</v>
      </c>
      <c r="DN61" s="866">
        <v>0</v>
      </c>
      <c r="DO61" s="866">
        <v>0</v>
      </c>
      <c r="DP61" s="866">
        <v>0</v>
      </c>
      <c r="DQ61" s="866">
        <v>0</v>
      </c>
      <c r="DR61" s="866">
        <v>0</v>
      </c>
      <c r="DS61" s="1603">
        <v>0</v>
      </c>
      <c r="DT61" s="752">
        <v>0</v>
      </c>
      <c r="DU61" s="752">
        <v>0</v>
      </c>
      <c r="DV61" s="866">
        <v>0</v>
      </c>
      <c r="DW61" s="866">
        <v>0</v>
      </c>
      <c r="DX61" s="866">
        <v>0</v>
      </c>
      <c r="DY61" s="866">
        <v>0</v>
      </c>
      <c r="DZ61" s="866">
        <v>0</v>
      </c>
      <c r="EA61" s="866">
        <v>0</v>
      </c>
      <c r="EB61" s="866">
        <v>0</v>
      </c>
      <c r="EC61" s="1603">
        <v>0</v>
      </c>
      <c r="ED61" s="752">
        <v>0</v>
      </c>
      <c r="EE61" s="752">
        <v>0</v>
      </c>
      <c r="EF61" s="866">
        <v>0</v>
      </c>
      <c r="EG61" s="1206">
        <v>0</v>
      </c>
      <c r="EH61" s="1206">
        <v>0</v>
      </c>
      <c r="EI61" s="1206">
        <v>0</v>
      </c>
      <c r="EJ61" s="1604" t="s">
        <v>630</v>
      </c>
      <c r="EK61" s="1593">
        <v>0</v>
      </c>
      <c r="EL61" s="1593">
        <v>0</v>
      </c>
      <c r="EM61" s="1605">
        <v>0</v>
      </c>
      <c r="EN61" s="1606" t="e">
        <v>#DIV/0!</v>
      </c>
      <c r="EO61" s="1590">
        <v>0</v>
      </c>
      <c r="EP61" s="1590">
        <v>0</v>
      </c>
      <c r="EQ61" s="1590">
        <v>0</v>
      </c>
      <c r="ER61" s="1607" t="s">
        <v>630</v>
      </c>
      <c r="ES61" s="1179">
        <v>0</v>
      </c>
      <c r="ET61" s="1179">
        <v>0</v>
      </c>
      <c r="EU61" s="1206">
        <v>0</v>
      </c>
      <c r="EV61" s="1604"/>
      <c r="EW61" s="1488">
        <v>0</v>
      </c>
      <c r="EX61" s="1488">
        <v>0</v>
      </c>
      <c r="EY61" s="1488">
        <v>0</v>
      </c>
      <c r="EZ61" s="1606" t="s">
        <v>630</v>
      </c>
      <c r="FA61" s="1485">
        <v>0</v>
      </c>
      <c r="FB61" s="1485">
        <v>0</v>
      </c>
      <c r="FC61" s="1590">
        <v>0</v>
      </c>
      <c r="FD61" s="1607"/>
      <c r="FE61" s="1179">
        <v>0</v>
      </c>
      <c r="FF61" s="1179">
        <v>0</v>
      </c>
      <c r="FG61" s="1206">
        <v>0</v>
      </c>
      <c r="FH61" s="1604" t="s">
        <v>630</v>
      </c>
      <c r="FI61" s="1605">
        <v>0</v>
      </c>
      <c r="FJ61" s="1605">
        <v>0</v>
      </c>
      <c r="FK61" s="1605">
        <v>0</v>
      </c>
      <c r="FL61" s="1606" t="s">
        <v>630</v>
      </c>
      <c r="FM61" s="1485">
        <v>0</v>
      </c>
      <c r="FN61" s="1485">
        <v>0</v>
      </c>
      <c r="FO61" s="1590">
        <v>0</v>
      </c>
      <c r="FP61" s="1607" t="s">
        <v>630</v>
      </c>
      <c r="FQ61" s="1179">
        <v>0</v>
      </c>
      <c r="FR61" s="1179">
        <v>0</v>
      </c>
      <c r="FS61" s="1206">
        <v>0</v>
      </c>
      <c r="FT61" s="1604" t="s">
        <v>630</v>
      </c>
      <c r="FU61" s="1605">
        <v>0</v>
      </c>
      <c r="FV61" s="1605">
        <v>0</v>
      </c>
      <c r="FW61" s="1605">
        <v>0</v>
      </c>
      <c r="FX61" s="1606" t="s">
        <v>630</v>
      </c>
      <c r="FY61" s="1485">
        <v>0</v>
      </c>
      <c r="FZ61" s="1485">
        <v>0</v>
      </c>
      <c r="GA61" s="1485">
        <v>0</v>
      </c>
      <c r="GB61" s="1607" t="s">
        <v>630</v>
      </c>
      <c r="GC61" s="1179">
        <v>0</v>
      </c>
      <c r="GD61" s="1179">
        <v>0</v>
      </c>
      <c r="GE61" s="1206">
        <v>0</v>
      </c>
      <c r="GF61" s="1604" t="s">
        <v>630</v>
      </c>
      <c r="GG61" s="1605">
        <v>0</v>
      </c>
      <c r="GH61" s="1605">
        <v>0</v>
      </c>
      <c r="GI61" s="1605">
        <v>0</v>
      </c>
      <c r="GJ61" s="1606" t="s">
        <v>630</v>
      </c>
      <c r="GK61" s="1485">
        <v>0</v>
      </c>
      <c r="GL61" s="1485">
        <v>0</v>
      </c>
      <c r="GM61" s="1485">
        <v>0</v>
      </c>
      <c r="GN61" s="1607" t="s">
        <v>630</v>
      </c>
      <c r="GO61" s="1179">
        <v>0</v>
      </c>
      <c r="GP61" s="1179">
        <v>0</v>
      </c>
      <c r="GQ61" s="1179">
        <v>0</v>
      </c>
      <c r="GR61" s="1604" t="s">
        <v>630</v>
      </c>
      <c r="GS61" s="1605">
        <v>0</v>
      </c>
      <c r="GT61" s="1605">
        <v>0</v>
      </c>
      <c r="GU61" s="1605">
        <v>0</v>
      </c>
      <c r="GV61" s="1606" t="s">
        <v>630</v>
      </c>
      <c r="GW61" s="1485">
        <v>0</v>
      </c>
      <c r="GX61" s="1485">
        <v>0</v>
      </c>
      <c r="GY61" s="1485">
        <v>0</v>
      </c>
      <c r="GZ61" s="1607" t="s">
        <v>630</v>
      </c>
    </row>
    <row r="62" spans="1:210">
      <c r="A62" s="574" t="s">
        <v>712</v>
      </c>
      <c r="B62" s="751" t="s">
        <v>1265</v>
      </c>
      <c r="C62" s="753" t="s">
        <v>1308</v>
      </c>
      <c r="D62" s="753" t="s">
        <v>1246</v>
      </c>
      <c r="E62" s="1142" t="s">
        <v>1558</v>
      </c>
      <c r="F62" s="1527">
        <v>0</v>
      </c>
      <c r="G62" s="1527">
        <v>0</v>
      </c>
      <c r="H62" s="1528">
        <v>0</v>
      </c>
      <c r="I62" s="1481">
        <v>0</v>
      </c>
      <c r="J62" s="1482"/>
      <c r="K62" s="1482"/>
      <c r="L62" s="1483">
        <v>0</v>
      </c>
      <c r="M62" s="1481">
        <v>0</v>
      </c>
      <c r="N62" s="1482">
        <v>0</v>
      </c>
      <c r="O62" s="1482">
        <v>0</v>
      </c>
      <c r="P62" s="1601">
        <v>0</v>
      </c>
      <c r="Q62" s="752">
        <v>0</v>
      </c>
      <c r="R62" s="752">
        <v>0</v>
      </c>
      <c r="S62" s="752">
        <v>0</v>
      </c>
      <c r="T62" s="1484" t="s">
        <v>630</v>
      </c>
      <c r="U62" s="1555">
        <v>0</v>
      </c>
      <c r="V62" s="1555">
        <v>0</v>
      </c>
      <c r="W62" s="1555">
        <v>0</v>
      </c>
      <c r="X62" s="752">
        <v>0</v>
      </c>
      <c r="Y62" s="752">
        <v>0</v>
      </c>
      <c r="Z62" s="752">
        <v>0</v>
      </c>
      <c r="AA62" s="752">
        <v>0</v>
      </c>
      <c r="AB62" s="752">
        <v>0</v>
      </c>
      <c r="AC62" s="752">
        <v>0</v>
      </c>
      <c r="AD62" s="752">
        <v>0</v>
      </c>
      <c r="AE62" s="752">
        <v>0</v>
      </c>
      <c r="AF62" s="752">
        <v>0</v>
      </c>
      <c r="AG62" s="1486">
        <v>0</v>
      </c>
      <c r="AH62" s="752">
        <v>0</v>
      </c>
      <c r="AI62" s="752">
        <v>0</v>
      </c>
      <c r="AJ62" s="752">
        <v>0</v>
      </c>
      <c r="AK62" s="752">
        <v>0</v>
      </c>
      <c r="AL62" s="752">
        <v>0</v>
      </c>
      <c r="AM62" s="752">
        <v>0</v>
      </c>
      <c r="AN62" s="752">
        <v>0</v>
      </c>
      <c r="AO62" s="752">
        <v>0</v>
      </c>
      <c r="AP62" s="752">
        <v>0</v>
      </c>
      <c r="AQ62" s="1486">
        <v>0</v>
      </c>
      <c r="AR62" s="752">
        <v>0</v>
      </c>
      <c r="AS62" s="752">
        <v>0</v>
      </c>
      <c r="AT62" s="752">
        <v>0</v>
      </c>
      <c r="AU62" s="752">
        <v>0</v>
      </c>
      <c r="AV62" s="752">
        <v>0</v>
      </c>
      <c r="AW62" s="752">
        <v>0</v>
      </c>
      <c r="AX62" s="752">
        <v>0</v>
      </c>
      <c r="AY62" s="752">
        <v>0</v>
      </c>
      <c r="AZ62" s="752">
        <v>0</v>
      </c>
      <c r="BA62" s="1486">
        <v>0</v>
      </c>
      <c r="BB62" s="752">
        <v>0</v>
      </c>
      <c r="BC62" s="752">
        <v>0</v>
      </c>
      <c r="BD62" s="752">
        <v>0</v>
      </c>
      <c r="BE62" s="752">
        <v>0</v>
      </c>
      <c r="BF62" s="752">
        <v>0</v>
      </c>
      <c r="BG62" s="752">
        <v>0</v>
      </c>
      <c r="BH62" s="752">
        <v>0</v>
      </c>
      <c r="BI62" s="752">
        <v>0</v>
      </c>
      <c r="BJ62" s="752">
        <v>0</v>
      </c>
      <c r="BK62" s="1486">
        <v>0</v>
      </c>
      <c r="BL62" s="752">
        <v>0</v>
      </c>
      <c r="BM62" s="752">
        <v>0</v>
      </c>
      <c r="BN62" s="752">
        <v>0</v>
      </c>
      <c r="BO62" s="752">
        <v>0</v>
      </c>
      <c r="BP62" s="752">
        <v>0</v>
      </c>
      <c r="BQ62" s="752">
        <v>0</v>
      </c>
      <c r="BR62" s="752">
        <v>0</v>
      </c>
      <c r="BS62" s="752">
        <v>0</v>
      </c>
      <c r="BT62" s="752">
        <v>0</v>
      </c>
      <c r="BU62" s="1486">
        <v>0</v>
      </c>
      <c r="BV62" s="752">
        <v>0</v>
      </c>
      <c r="BW62" s="752">
        <v>0</v>
      </c>
      <c r="BX62" s="752">
        <v>0</v>
      </c>
      <c r="BY62" s="752">
        <v>0</v>
      </c>
      <c r="BZ62" s="752">
        <v>0</v>
      </c>
      <c r="CA62" s="752">
        <v>0</v>
      </c>
      <c r="CB62" s="752">
        <v>0</v>
      </c>
      <c r="CC62" s="752">
        <v>0</v>
      </c>
      <c r="CD62" s="752">
        <v>0</v>
      </c>
      <c r="CE62" s="1486">
        <v>0</v>
      </c>
      <c r="CF62" s="752">
        <v>0</v>
      </c>
      <c r="CG62" s="752">
        <v>0</v>
      </c>
      <c r="CH62" s="752">
        <v>0</v>
      </c>
      <c r="CI62" s="752">
        <v>0</v>
      </c>
      <c r="CJ62" s="752">
        <v>0</v>
      </c>
      <c r="CK62" s="752">
        <v>0</v>
      </c>
      <c r="CL62" s="752">
        <v>0</v>
      </c>
      <c r="CM62" s="752">
        <v>0</v>
      </c>
      <c r="CN62" s="752">
        <v>0</v>
      </c>
      <c r="CO62" s="1486">
        <v>0</v>
      </c>
      <c r="CP62" s="752">
        <v>0</v>
      </c>
      <c r="CQ62" s="752">
        <v>0</v>
      </c>
      <c r="CR62" s="752">
        <v>0</v>
      </c>
      <c r="CS62" s="752">
        <v>0</v>
      </c>
      <c r="CT62" s="752">
        <v>0</v>
      </c>
      <c r="CU62" s="752">
        <v>0</v>
      </c>
      <c r="CV62" s="752">
        <v>0</v>
      </c>
      <c r="CW62" s="752">
        <v>0</v>
      </c>
      <c r="CX62" s="752">
        <v>0</v>
      </c>
      <c r="CY62" s="1486">
        <v>0</v>
      </c>
      <c r="CZ62" s="752">
        <v>0</v>
      </c>
      <c r="DA62" s="752">
        <v>0</v>
      </c>
      <c r="DB62" s="752">
        <v>0</v>
      </c>
      <c r="DC62" s="752">
        <v>0</v>
      </c>
      <c r="DD62" s="752">
        <v>0</v>
      </c>
      <c r="DE62" s="752">
        <v>0</v>
      </c>
      <c r="DF62" s="752">
        <v>0</v>
      </c>
      <c r="DG62" s="752">
        <v>0</v>
      </c>
      <c r="DH62" s="752">
        <v>0</v>
      </c>
      <c r="DI62" s="1486">
        <v>0</v>
      </c>
      <c r="DJ62" s="752">
        <v>0</v>
      </c>
      <c r="DK62" s="752">
        <v>0</v>
      </c>
      <c r="DL62" s="752">
        <v>0</v>
      </c>
      <c r="DM62" s="752">
        <v>0</v>
      </c>
      <c r="DN62" s="752">
        <v>0</v>
      </c>
      <c r="DO62" s="752">
        <v>0</v>
      </c>
      <c r="DP62" s="752">
        <v>0</v>
      </c>
      <c r="DQ62" s="752">
        <v>0</v>
      </c>
      <c r="DR62" s="752">
        <v>0</v>
      </c>
      <c r="DS62" s="1486">
        <v>0</v>
      </c>
      <c r="DT62" s="752">
        <v>0</v>
      </c>
      <c r="DU62" s="752">
        <v>0</v>
      </c>
      <c r="DV62" s="752">
        <v>0</v>
      </c>
      <c r="DW62" s="752">
        <v>0</v>
      </c>
      <c r="DX62" s="752">
        <v>0</v>
      </c>
      <c r="DY62" s="752">
        <v>0</v>
      </c>
      <c r="DZ62" s="752">
        <v>0</v>
      </c>
      <c r="EA62" s="752">
        <v>0</v>
      </c>
      <c r="EB62" s="752">
        <v>0</v>
      </c>
      <c r="EC62" s="1486">
        <v>0</v>
      </c>
      <c r="ED62" s="752">
        <v>0</v>
      </c>
      <c r="EE62" s="752">
        <v>0</v>
      </c>
      <c r="EF62" s="752">
        <v>0</v>
      </c>
      <c r="EG62" s="1179">
        <v>0</v>
      </c>
      <c r="EH62" s="1179">
        <v>0</v>
      </c>
      <c r="EI62" s="1179">
        <v>0</v>
      </c>
      <c r="EJ62" s="1487" t="s">
        <v>630</v>
      </c>
      <c r="EK62" s="1593">
        <v>0</v>
      </c>
      <c r="EL62" s="1593">
        <v>0</v>
      </c>
      <c r="EM62" s="1605">
        <v>0</v>
      </c>
      <c r="EN62" s="1489" t="e">
        <v>#DIV/0!</v>
      </c>
      <c r="EO62" s="1485">
        <v>0</v>
      </c>
      <c r="EP62" s="1485">
        <v>0</v>
      </c>
      <c r="EQ62" s="1485">
        <v>0</v>
      </c>
      <c r="ER62" s="1490" t="s">
        <v>630</v>
      </c>
      <c r="ES62" s="1179">
        <v>0</v>
      </c>
      <c r="ET62" s="1179">
        <v>0</v>
      </c>
      <c r="EU62" s="1179">
        <v>0</v>
      </c>
      <c r="EV62" s="1487"/>
      <c r="EW62" s="1488">
        <v>0</v>
      </c>
      <c r="EX62" s="1488">
        <v>0</v>
      </c>
      <c r="EY62" s="1488">
        <v>0</v>
      </c>
      <c r="EZ62" s="1489" t="s">
        <v>630</v>
      </c>
      <c r="FA62" s="1485">
        <v>0</v>
      </c>
      <c r="FB62" s="1485">
        <v>0</v>
      </c>
      <c r="FC62" s="1590">
        <v>0</v>
      </c>
      <c r="FD62" s="1490"/>
      <c r="FE62" s="1179">
        <v>0</v>
      </c>
      <c r="FF62" s="1179">
        <v>0</v>
      </c>
      <c r="FG62" s="1179">
        <v>0</v>
      </c>
      <c r="FH62" s="1487" t="s">
        <v>630</v>
      </c>
      <c r="FI62" s="1488">
        <v>0</v>
      </c>
      <c r="FJ62" s="1488">
        <v>0</v>
      </c>
      <c r="FK62" s="1488">
        <v>0</v>
      </c>
      <c r="FL62" s="1489" t="s">
        <v>630</v>
      </c>
      <c r="FM62" s="1485">
        <v>0</v>
      </c>
      <c r="FN62" s="1485">
        <v>0</v>
      </c>
      <c r="FO62" s="1485">
        <v>0</v>
      </c>
      <c r="FP62" s="1490"/>
      <c r="FQ62" s="1179">
        <v>0</v>
      </c>
      <c r="FR62" s="1179">
        <v>0</v>
      </c>
      <c r="FS62" s="1179">
        <v>0</v>
      </c>
      <c r="FT62" s="1487" t="s">
        <v>630</v>
      </c>
      <c r="FU62" s="1488">
        <v>0</v>
      </c>
      <c r="FV62" s="1488">
        <v>0</v>
      </c>
      <c r="FW62" s="1488">
        <v>0</v>
      </c>
      <c r="FX62" s="1489" t="s">
        <v>630</v>
      </c>
      <c r="FY62" s="1485">
        <v>0</v>
      </c>
      <c r="FZ62" s="1485">
        <v>0</v>
      </c>
      <c r="GA62" s="1485">
        <v>0</v>
      </c>
      <c r="GB62" s="1490" t="s">
        <v>630</v>
      </c>
      <c r="GC62" s="1179">
        <v>0</v>
      </c>
      <c r="GD62" s="1179">
        <v>0</v>
      </c>
      <c r="GE62" s="1179">
        <v>0</v>
      </c>
      <c r="GF62" s="1487" t="s">
        <v>630</v>
      </c>
      <c r="GG62" s="1488">
        <v>0</v>
      </c>
      <c r="GH62" s="1488">
        <v>0</v>
      </c>
      <c r="GI62" s="1488">
        <v>0</v>
      </c>
      <c r="GJ62" s="1489" t="s">
        <v>630</v>
      </c>
      <c r="GK62" s="1485">
        <v>0</v>
      </c>
      <c r="GL62" s="1485">
        <v>0</v>
      </c>
      <c r="GM62" s="1485">
        <v>0</v>
      </c>
      <c r="GN62" s="1490" t="s">
        <v>630</v>
      </c>
      <c r="GO62" s="1179">
        <v>0</v>
      </c>
      <c r="GP62" s="1179">
        <v>0</v>
      </c>
      <c r="GQ62" s="1179">
        <v>0</v>
      </c>
      <c r="GR62" s="1487" t="s">
        <v>630</v>
      </c>
      <c r="GS62" s="1488">
        <v>0</v>
      </c>
      <c r="GT62" s="1488">
        <v>0</v>
      </c>
      <c r="GU62" s="1488">
        <v>0</v>
      </c>
      <c r="GV62" s="1489" t="s">
        <v>630</v>
      </c>
      <c r="GW62" s="1485">
        <v>0</v>
      </c>
      <c r="GX62" s="1485">
        <v>0</v>
      </c>
      <c r="GY62" s="1485">
        <v>0</v>
      </c>
      <c r="GZ62" s="1490" t="s">
        <v>630</v>
      </c>
    </row>
    <row r="63" spans="1:210">
      <c r="A63" s="574" t="s">
        <v>713</v>
      </c>
      <c r="B63" s="751" t="s">
        <v>1266</v>
      </c>
      <c r="C63" s="753" t="s">
        <v>1308</v>
      </c>
      <c r="D63" s="753" t="s">
        <v>1246</v>
      </c>
      <c r="E63" s="753"/>
      <c r="F63" s="1527">
        <v>45715000</v>
      </c>
      <c r="G63" s="1527">
        <v>33162551</v>
      </c>
      <c r="H63" s="1528">
        <v>12552449</v>
      </c>
      <c r="I63" s="1526">
        <v>0.27458053155419448</v>
      </c>
      <c r="J63" s="1527"/>
      <c r="K63" s="1527"/>
      <c r="L63" s="1528">
        <v>0</v>
      </c>
      <c r="M63" s="1526">
        <v>0</v>
      </c>
      <c r="N63" s="1482">
        <v>45715000</v>
      </c>
      <c r="O63" s="1482">
        <v>33162551</v>
      </c>
      <c r="P63" s="1601">
        <v>12552449</v>
      </c>
      <c r="Q63" s="752">
        <v>0</v>
      </c>
      <c r="R63" s="752">
        <v>0</v>
      </c>
      <c r="S63" s="866">
        <v>0</v>
      </c>
      <c r="T63" s="1602" t="s">
        <v>630</v>
      </c>
      <c r="U63" s="1558">
        <v>0</v>
      </c>
      <c r="V63" s="1558">
        <v>0</v>
      </c>
      <c r="W63" s="1608">
        <v>0</v>
      </c>
      <c r="X63" s="752">
        <v>239191</v>
      </c>
      <c r="Y63" s="752">
        <v>173514</v>
      </c>
      <c r="Z63" s="866">
        <v>65677</v>
      </c>
      <c r="AA63" s="866">
        <v>239191</v>
      </c>
      <c r="AB63" s="866">
        <v>173514</v>
      </c>
      <c r="AC63" s="866">
        <v>65677</v>
      </c>
      <c r="AD63" s="866">
        <v>239191</v>
      </c>
      <c r="AE63" s="866">
        <v>173514</v>
      </c>
      <c r="AF63" s="866">
        <v>65677</v>
      </c>
      <c r="AG63" s="1603">
        <v>0</v>
      </c>
      <c r="AH63" s="752">
        <v>133123</v>
      </c>
      <c r="AI63" s="752">
        <v>96570</v>
      </c>
      <c r="AJ63" s="866">
        <v>36553</v>
      </c>
      <c r="AK63" s="866">
        <v>372314</v>
      </c>
      <c r="AL63" s="866">
        <v>270084</v>
      </c>
      <c r="AM63" s="866">
        <v>102230</v>
      </c>
      <c r="AN63" s="866">
        <v>372314</v>
      </c>
      <c r="AO63" s="866">
        <v>270084</v>
      </c>
      <c r="AP63" s="866">
        <v>102230</v>
      </c>
      <c r="AQ63" s="1603">
        <v>0</v>
      </c>
      <c r="AR63" s="752">
        <v>517086</v>
      </c>
      <c r="AS63" s="752">
        <v>375104</v>
      </c>
      <c r="AT63" s="866">
        <v>141982</v>
      </c>
      <c r="AU63" s="866">
        <v>889400</v>
      </c>
      <c r="AV63" s="866">
        <v>645188</v>
      </c>
      <c r="AW63" s="866">
        <v>244212</v>
      </c>
      <c r="AX63" s="866">
        <v>889400</v>
      </c>
      <c r="AY63" s="866">
        <v>645188</v>
      </c>
      <c r="AZ63" s="866">
        <v>244212</v>
      </c>
      <c r="BA63" s="1603">
        <v>0</v>
      </c>
      <c r="BB63" s="752">
        <v>787063</v>
      </c>
      <c r="BC63" s="752">
        <v>570951</v>
      </c>
      <c r="BD63" s="866">
        <v>216112</v>
      </c>
      <c r="BE63" s="866">
        <v>1676463</v>
      </c>
      <c r="BF63" s="866">
        <v>1216139</v>
      </c>
      <c r="BG63" s="866">
        <v>460324</v>
      </c>
      <c r="BH63" s="866">
        <v>1676463</v>
      </c>
      <c r="BI63" s="866">
        <v>1216139</v>
      </c>
      <c r="BJ63" s="866">
        <v>460324</v>
      </c>
      <c r="BK63" s="1603">
        <v>0</v>
      </c>
      <c r="BL63" s="752">
        <v>1216689</v>
      </c>
      <c r="BM63" s="752">
        <v>882610</v>
      </c>
      <c r="BN63" s="866">
        <v>334079</v>
      </c>
      <c r="BO63" s="866">
        <v>2893152</v>
      </c>
      <c r="BP63" s="866">
        <v>2098749</v>
      </c>
      <c r="BQ63" s="866">
        <v>794403</v>
      </c>
      <c r="BR63" s="866">
        <v>2893152</v>
      </c>
      <c r="BS63" s="866">
        <v>2098749</v>
      </c>
      <c r="BT63" s="866">
        <v>794403</v>
      </c>
      <c r="BU63" s="1603">
        <v>0</v>
      </c>
      <c r="BV63" s="752">
        <v>1177413</v>
      </c>
      <c r="BW63" s="752">
        <v>854118</v>
      </c>
      <c r="BX63" s="866">
        <v>323295</v>
      </c>
      <c r="BY63" s="866">
        <v>4070565</v>
      </c>
      <c r="BZ63" s="866">
        <v>2952867</v>
      </c>
      <c r="CA63" s="866">
        <v>1117698</v>
      </c>
      <c r="CB63" s="866">
        <v>4070565</v>
      </c>
      <c r="CC63" s="866">
        <v>2952867</v>
      </c>
      <c r="CD63" s="866">
        <v>1117698</v>
      </c>
      <c r="CE63" s="1603">
        <v>0</v>
      </c>
      <c r="CF63" s="752">
        <v>1330383</v>
      </c>
      <c r="CG63" s="752">
        <v>965086</v>
      </c>
      <c r="CH63" s="866">
        <v>365297</v>
      </c>
      <c r="CI63" s="866">
        <v>5400948</v>
      </c>
      <c r="CJ63" s="866">
        <v>3917953</v>
      </c>
      <c r="CK63" s="866">
        <v>1482995</v>
      </c>
      <c r="CL63" s="866">
        <v>5400948</v>
      </c>
      <c r="CM63" s="866">
        <v>3917953</v>
      </c>
      <c r="CN63" s="866">
        <v>1482995</v>
      </c>
      <c r="CO63" s="1603">
        <v>0</v>
      </c>
      <c r="CP63" s="752">
        <v>1339068</v>
      </c>
      <c r="CQ63" s="752">
        <v>971386</v>
      </c>
      <c r="CR63" s="866">
        <v>367682</v>
      </c>
      <c r="CS63" s="866">
        <v>6740016</v>
      </c>
      <c r="CT63" s="866">
        <v>4889339</v>
      </c>
      <c r="CU63" s="866">
        <v>1850677</v>
      </c>
      <c r="CV63" s="866">
        <v>6740016</v>
      </c>
      <c r="CW63" s="866">
        <v>4889339</v>
      </c>
      <c r="CX63" s="866">
        <v>1850677</v>
      </c>
      <c r="CY63" s="1603">
        <v>0</v>
      </c>
      <c r="CZ63" s="752">
        <v>1374417</v>
      </c>
      <c r="DA63" s="752">
        <v>997029</v>
      </c>
      <c r="DB63" s="866">
        <v>377388</v>
      </c>
      <c r="DC63" s="866">
        <v>8114433</v>
      </c>
      <c r="DD63" s="866">
        <v>5886368</v>
      </c>
      <c r="DE63" s="866">
        <v>2228065</v>
      </c>
      <c r="DF63" s="866">
        <v>8114433</v>
      </c>
      <c r="DG63" s="866">
        <v>5886368</v>
      </c>
      <c r="DH63" s="866">
        <v>2228065</v>
      </c>
      <c r="DI63" s="1603">
        <v>0</v>
      </c>
      <c r="DJ63" s="752">
        <v>1222293</v>
      </c>
      <c r="DK63" s="752">
        <v>886675</v>
      </c>
      <c r="DL63" s="866">
        <v>335618</v>
      </c>
      <c r="DM63" s="866">
        <v>9336726</v>
      </c>
      <c r="DN63" s="866">
        <v>6773043</v>
      </c>
      <c r="DO63" s="866">
        <v>2563683</v>
      </c>
      <c r="DP63" s="866">
        <v>9336726</v>
      </c>
      <c r="DQ63" s="866">
        <v>6773043</v>
      </c>
      <c r="DR63" s="866">
        <v>2563683</v>
      </c>
      <c r="DS63" s="1603">
        <v>0</v>
      </c>
      <c r="DT63" s="752">
        <v>1488349</v>
      </c>
      <c r="DU63" s="752">
        <v>1079677</v>
      </c>
      <c r="DV63" s="866">
        <v>408672</v>
      </c>
      <c r="DW63" s="866">
        <v>10825075</v>
      </c>
      <c r="DX63" s="866">
        <v>7852720</v>
      </c>
      <c r="DY63" s="866">
        <v>2972355</v>
      </c>
      <c r="DZ63" s="866">
        <v>10825075</v>
      </c>
      <c r="EA63" s="866">
        <v>7852720</v>
      </c>
      <c r="EB63" s="866">
        <v>2972355</v>
      </c>
      <c r="EC63" s="1603">
        <v>0</v>
      </c>
      <c r="ED63" s="752">
        <v>1736829</v>
      </c>
      <c r="EE63" s="752">
        <v>1259930</v>
      </c>
      <c r="EF63" s="866">
        <v>476899</v>
      </c>
      <c r="EG63" s="1206">
        <v>12561904</v>
      </c>
      <c r="EH63" s="1206">
        <v>9112650</v>
      </c>
      <c r="EI63" s="1206">
        <v>3449254</v>
      </c>
      <c r="EJ63" s="1604">
        <v>0.27458050945143347</v>
      </c>
      <c r="EK63" s="1593">
        <v>12561904</v>
      </c>
      <c r="EL63" s="1593">
        <v>9112650</v>
      </c>
      <c r="EM63" s="1605">
        <v>3449254</v>
      </c>
      <c r="EN63" s="1606">
        <v>0.27458050945143347</v>
      </c>
      <c r="EO63" s="1590">
        <v>33153096</v>
      </c>
      <c r="EP63" s="1590">
        <v>24049901</v>
      </c>
      <c r="EQ63" s="1590">
        <v>9103195</v>
      </c>
      <c r="ER63" s="1607">
        <v>0.27458053992906123</v>
      </c>
      <c r="ES63" s="1179">
        <v>11187000</v>
      </c>
      <c r="ET63" s="1179">
        <v>8115267</v>
      </c>
      <c r="EU63" s="1206">
        <v>3071733</v>
      </c>
      <c r="EV63" s="1604"/>
      <c r="EW63" s="1488">
        <v>23748904</v>
      </c>
      <c r="EX63" s="1488">
        <v>17227917</v>
      </c>
      <c r="EY63" s="1488">
        <v>6520987</v>
      </c>
      <c r="EZ63" s="1606">
        <v>0.27458054485377514</v>
      </c>
      <c r="FA63" s="1485">
        <v>21966096</v>
      </c>
      <c r="FB63" s="1485">
        <v>15934634</v>
      </c>
      <c r="FC63" s="1590">
        <v>6031462</v>
      </c>
      <c r="FD63" s="1607"/>
      <c r="FE63" s="1179">
        <v>12709602</v>
      </c>
      <c r="FF63" s="1179">
        <v>9219793</v>
      </c>
      <c r="FG63" s="1206">
        <v>3489809</v>
      </c>
      <c r="FH63" s="1604">
        <v>0.27458051007419432</v>
      </c>
      <c r="FI63" s="1605">
        <v>36458506</v>
      </c>
      <c r="FJ63" s="1605">
        <v>26447710</v>
      </c>
      <c r="FK63" s="1605">
        <v>10010796</v>
      </c>
      <c r="FL63" s="1606">
        <v>0.27458053272945415</v>
      </c>
      <c r="FM63" s="1485">
        <v>9256494</v>
      </c>
      <c r="FN63" s="1485">
        <v>6714841</v>
      </c>
      <c r="FO63" s="1590">
        <v>2541653</v>
      </c>
      <c r="FP63" s="1607">
        <v>0.27458052692520518</v>
      </c>
      <c r="FQ63" s="1179">
        <v>5771815</v>
      </c>
      <c r="FR63" s="1179">
        <v>4186987</v>
      </c>
      <c r="FS63" s="1206">
        <v>1584828</v>
      </c>
      <c r="FT63" s="1604">
        <v>0.27458052622961754</v>
      </c>
      <c r="FU63" s="1605">
        <v>42230321</v>
      </c>
      <c r="FV63" s="1605">
        <v>30634697</v>
      </c>
      <c r="FW63" s="1605">
        <v>11595624</v>
      </c>
      <c r="FX63" s="1606">
        <v>0.27458053184109116</v>
      </c>
      <c r="FY63" s="1485">
        <v>3484679</v>
      </c>
      <c r="FZ63" s="1485">
        <v>2527854</v>
      </c>
      <c r="GA63" s="1485">
        <v>956825</v>
      </c>
      <c r="GB63" s="1607">
        <v>0.27458052807733507</v>
      </c>
      <c r="GC63" s="1179">
        <v>3484679</v>
      </c>
      <c r="GD63" s="1179">
        <v>2527854</v>
      </c>
      <c r="GE63" s="1179">
        <v>956825</v>
      </c>
      <c r="GF63" s="1604">
        <v>0.27458052807733507</v>
      </c>
      <c r="GG63" s="1605">
        <v>45715000</v>
      </c>
      <c r="GH63" s="1605">
        <v>33162551</v>
      </c>
      <c r="GI63" s="1605">
        <v>12552449</v>
      </c>
      <c r="GJ63" s="1606">
        <v>0.27458053155419448</v>
      </c>
      <c r="GK63" s="1485">
        <v>0</v>
      </c>
      <c r="GL63" s="1485">
        <v>0</v>
      </c>
      <c r="GM63" s="1502">
        <v>0</v>
      </c>
      <c r="GN63" s="1607" t="s">
        <v>630</v>
      </c>
      <c r="GO63" s="1179">
        <v>0</v>
      </c>
      <c r="GP63" s="1179">
        <v>0</v>
      </c>
      <c r="GQ63" s="1179">
        <v>0</v>
      </c>
      <c r="GR63" s="1604" t="s">
        <v>630</v>
      </c>
      <c r="GS63" s="1605">
        <v>45715000</v>
      </c>
      <c r="GT63" s="1605">
        <v>33162551</v>
      </c>
      <c r="GU63" s="1605">
        <v>12552449</v>
      </c>
      <c r="GV63" s="1606">
        <v>0.27458053155419448</v>
      </c>
      <c r="GW63" s="1485">
        <v>0</v>
      </c>
      <c r="GX63" s="1485">
        <v>0</v>
      </c>
      <c r="GY63" s="1502">
        <v>0</v>
      </c>
      <c r="GZ63" s="1607" t="s">
        <v>630</v>
      </c>
    </row>
    <row r="64" spans="1:210">
      <c r="A64" s="574" t="s">
        <v>715</v>
      </c>
      <c r="B64" s="751" t="s">
        <v>1267</v>
      </c>
      <c r="C64" s="753" t="s">
        <v>1308</v>
      </c>
      <c r="D64" s="753" t="s">
        <v>1246</v>
      </c>
      <c r="E64" s="753"/>
      <c r="F64" s="1527">
        <v>37129000</v>
      </c>
      <c r="G64" s="1527">
        <v>26962211</v>
      </c>
      <c r="H64" s="1528">
        <v>10166789</v>
      </c>
      <c r="I64" s="1481">
        <v>0.27382339949904388</v>
      </c>
      <c r="J64" s="1482"/>
      <c r="K64" s="1482"/>
      <c r="L64" s="1483">
        <v>0</v>
      </c>
      <c r="M64" s="1481">
        <v>0</v>
      </c>
      <c r="N64" s="1482"/>
      <c r="O64" s="1482"/>
      <c r="P64" s="1483"/>
      <c r="Q64" s="752">
        <v>0</v>
      </c>
      <c r="R64" s="752">
        <v>0</v>
      </c>
      <c r="S64" s="752">
        <v>0</v>
      </c>
      <c r="T64" s="1484" t="s">
        <v>630</v>
      </c>
      <c r="U64" s="1558">
        <v>0</v>
      </c>
      <c r="V64" s="1558">
        <v>0</v>
      </c>
      <c r="W64" s="1608">
        <v>0</v>
      </c>
      <c r="X64" s="752">
        <v>0</v>
      </c>
      <c r="Y64" s="752">
        <v>0</v>
      </c>
      <c r="Z64" s="752">
        <v>0</v>
      </c>
      <c r="AA64" s="752">
        <v>0</v>
      </c>
      <c r="AB64" s="752">
        <v>0</v>
      </c>
      <c r="AC64" s="752">
        <v>0</v>
      </c>
      <c r="AD64" s="752">
        <v>0</v>
      </c>
      <c r="AE64" s="752">
        <v>0</v>
      </c>
      <c r="AF64" s="752">
        <v>0</v>
      </c>
      <c r="AG64" s="1486">
        <v>0</v>
      </c>
      <c r="AH64" s="752">
        <v>0</v>
      </c>
      <c r="AI64" s="752">
        <v>0</v>
      </c>
      <c r="AJ64" s="752">
        <v>0</v>
      </c>
      <c r="AK64" s="752">
        <v>0</v>
      </c>
      <c r="AL64" s="752">
        <v>0</v>
      </c>
      <c r="AM64" s="752">
        <v>0</v>
      </c>
      <c r="AN64" s="752">
        <v>0</v>
      </c>
      <c r="AO64" s="752">
        <v>0</v>
      </c>
      <c r="AP64" s="752">
        <v>0</v>
      </c>
      <c r="AQ64" s="1486">
        <v>0</v>
      </c>
      <c r="AR64" s="752">
        <v>0</v>
      </c>
      <c r="AS64" s="752">
        <v>0</v>
      </c>
      <c r="AT64" s="752">
        <v>0</v>
      </c>
      <c r="AU64" s="752">
        <v>0</v>
      </c>
      <c r="AV64" s="752">
        <v>0</v>
      </c>
      <c r="AW64" s="752">
        <v>0</v>
      </c>
      <c r="AX64" s="752">
        <v>0</v>
      </c>
      <c r="AY64" s="752">
        <v>0</v>
      </c>
      <c r="AZ64" s="752">
        <v>0</v>
      </c>
      <c r="BA64" s="1486">
        <v>0</v>
      </c>
      <c r="BB64" s="752">
        <v>0</v>
      </c>
      <c r="BC64" s="752">
        <v>0</v>
      </c>
      <c r="BD64" s="752">
        <v>0</v>
      </c>
      <c r="BE64" s="752">
        <v>0</v>
      </c>
      <c r="BF64" s="752">
        <v>0</v>
      </c>
      <c r="BG64" s="752">
        <v>0</v>
      </c>
      <c r="BH64" s="752">
        <v>0</v>
      </c>
      <c r="BI64" s="752">
        <v>0</v>
      </c>
      <c r="BJ64" s="752">
        <v>0</v>
      </c>
      <c r="BK64" s="1486">
        <v>0</v>
      </c>
      <c r="BL64" s="752">
        <v>0</v>
      </c>
      <c r="BM64" s="752">
        <v>0</v>
      </c>
      <c r="BN64" s="752">
        <v>0</v>
      </c>
      <c r="BO64" s="752">
        <v>0</v>
      </c>
      <c r="BP64" s="752">
        <v>0</v>
      </c>
      <c r="BQ64" s="752">
        <v>0</v>
      </c>
      <c r="BR64" s="752">
        <v>0</v>
      </c>
      <c r="BS64" s="752">
        <v>0</v>
      </c>
      <c r="BT64" s="752">
        <v>0</v>
      </c>
      <c r="BU64" s="1486">
        <v>0</v>
      </c>
      <c r="BV64" s="752">
        <v>0</v>
      </c>
      <c r="BW64" s="752">
        <v>0</v>
      </c>
      <c r="BX64" s="752">
        <v>0</v>
      </c>
      <c r="BY64" s="752">
        <v>0</v>
      </c>
      <c r="BZ64" s="752">
        <v>0</v>
      </c>
      <c r="CA64" s="752">
        <v>0</v>
      </c>
      <c r="CB64" s="752">
        <v>0</v>
      </c>
      <c r="CC64" s="752">
        <v>0</v>
      </c>
      <c r="CD64" s="752">
        <v>0</v>
      </c>
      <c r="CE64" s="1486">
        <v>0</v>
      </c>
      <c r="CF64" s="752">
        <v>0</v>
      </c>
      <c r="CG64" s="752">
        <v>0</v>
      </c>
      <c r="CH64" s="752">
        <v>0</v>
      </c>
      <c r="CI64" s="752">
        <v>0</v>
      </c>
      <c r="CJ64" s="752">
        <v>0</v>
      </c>
      <c r="CK64" s="752">
        <v>0</v>
      </c>
      <c r="CL64" s="752">
        <v>0</v>
      </c>
      <c r="CM64" s="752">
        <v>0</v>
      </c>
      <c r="CN64" s="752">
        <v>0</v>
      </c>
      <c r="CO64" s="1486">
        <v>0</v>
      </c>
      <c r="CP64" s="752">
        <v>0</v>
      </c>
      <c r="CQ64" s="752">
        <v>0</v>
      </c>
      <c r="CR64" s="752">
        <v>0</v>
      </c>
      <c r="CS64" s="752">
        <v>0</v>
      </c>
      <c r="CT64" s="752">
        <v>0</v>
      </c>
      <c r="CU64" s="752">
        <v>0</v>
      </c>
      <c r="CV64" s="752">
        <v>0</v>
      </c>
      <c r="CW64" s="752">
        <v>0</v>
      </c>
      <c r="CX64" s="752">
        <v>0</v>
      </c>
      <c r="CY64" s="1486">
        <v>0</v>
      </c>
      <c r="CZ64" s="752">
        <v>0</v>
      </c>
      <c r="DA64" s="752">
        <v>0</v>
      </c>
      <c r="DB64" s="752">
        <v>0</v>
      </c>
      <c r="DC64" s="752">
        <v>0</v>
      </c>
      <c r="DD64" s="752">
        <v>0</v>
      </c>
      <c r="DE64" s="752">
        <v>0</v>
      </c>
      <c r="DF64" s="752">
        <v>0</v>
      </c>
      <c r="DG64" s="752">
        <v>0</v>
      </c>
      <c r="DH64" s="752">
        <v>0</v>
      </c>
      <c r="DI64" s="1486">
        <v>0</v>
      </c>
      <c r="DJ64" s="752">
        <v>0</v>
      </c>
      <c r="DK64" s="752">
        <v>0</v>
      </c>
      <c r="DL64" s="752">
        <v>0</v>
      </c>
      <c r="DM64" s="752">
        <v>0</v>
      </c>
      <c r="DN64" s="752">
        <v>0</v>
      </c>
      <c r="DO64" s="752">
        <v>0</v>
      </c>
      <c r="DP64" s="752">
        <v>0</v>
      </c>
      <c r="DQ64" s="752">
        <v>0</v>
      </c>
      <c r="DR64" s="752">
        <v>0</v>
      </c>
      <c r="DS64" s="1486">
        <v>0</v>
      </c>
      <c r="DT64" s="752">
        <v>0</v>
      </c>
      <c r="DU64" s="752">
        <v>0</v>
      </c>
      <c r="DV64" s="752">
        <v>0</v>
      </c>
      <c r="DW64" s="752">
        <v>0</v>
      </c>
      <c r="DX64" s="752">
        <v>0</v>
      </c>
      <c r="DY64" s="752">
        <v>0</v>
      </c>
      <c r="DZ64" s="752">
        <v>0</v>
      </c>
      <c r="EA64" s="752">
        <v>0</v>
      </c>
      <c r="EB64" s="752">
        <v>0</v>
      </c>
      <c r="EC64" s="1486">
        <v>0</v>
      </c>
      <c r="ED64" s="752">
        <v>0</v>
      </c>
      <c r="EE64" s="752">
        <v>0</v>
      </c>
      <c r="EF64" s="752">
        <v>0</v>
      </c>
      <c r="EG64" s="1179">
        <v>0</v>
      </c>
      <c r="EH64" s="1179">
        <v>0</v>
      </c>
      <c r="EI64" s="1179">
        <v>0</v>
      </c>
      <c r="EJ64" s="1487" t="s">
        <v>630</v>
      </c>
      <c r="EK64" s="1593">
        <v>0</v>
      </c>
      <c r="EL64" s="1593">
        <v>0</v>
      </c>
      <c r="EM64" s="1605">
        <v>0</v>
      </c>
      <c r="EN64" s="1489" t="e">
        <v>#DIV/0!</v>
      </c>
      <c r="EO64" s="1558"/>
      <c r="EP64" s="1558"/>
      <c r="EQ64" s="1558"/>
      <c r="ER64" s="1559"/>
      <c r="ES64" s="1179">
        <v>11585870</v>
      </c>
      <c r="ET64" s="1179">
        <v>8413388</v>
      </c>
      <c r="EU64" s="1179">
        <v>3172482</v>
      </c>
      <c r="EV64" s="1487"/>
      <c r="EW64" s="1488">
        <v>11585870</v>
      </c>
      <c r="EX64" s="1488">
        <v>8413388</v>
      </c>
      <c r="EY64" s="1488">
        <v>3172482</v>
      </c>
      <c r="EZ64" s="1489">
        <v>0.2738233727808097</v>
      </c>
      <c r="FA64" s="1485">
        <v>25543130</v>
      </c>
      <c r="FB64" s="1485">
        <v>18548823</v>
      </c>
      <c r="FC64" s="1590">
        <v>6994307</v>
      </c>
      <c r="FD64" s="1490"/>
      <c r="FE64" s="1179">
        <v>7773297</v>
      </c>
      <c r="FF64" s="1179">
        <v>5644786</v>
      </c>
      <c r="FG64" s="1179">
        <v>2128511</v>
      </c>
      <c r="FH64" s="1487">
        <v>0.27382344968936606</v>
      </c>
      <c r="FI64" s="1488">
        <v>19359167</v>
      </c>
      <c r="FJ64" s="1488">
        <v>14058174</v>
      </c>
      <c r="FK64" s="1488">
        <v>5300993</v>
      </c>
      <c r="FL64" s="1489">
        <v>0.27382340366194474</v>
      </c>
      <c r="FM64" s="1485">
        <v>17769833</v>
      </c>
      <c r="FN64" s="1485">
        <v>12904037</v>
      </c>
      <c r="FO64" s="1485">
        <v>4865796</v>
      </c>
      <c r="FP64" s="1490"/>
      <c r="FQ64" s="1179">
        <v>9623952</v>
      </c>
      <c r="FR64" s="1179">
        <v>6988689</v>
      </c>
      <c r="FS64" s="1179">
        <v>2635263</v>
      </c>
      <c r="FT64" s="1487">
        <v>0.27382337318390615</v>
      </c>
      <c r="FU64" s="1488">
        <v>28983119</v>
      </c>
      <c r="FV64" s="1488">
        <v>21046863</v>
      </c>
      <c r="FW64" s="1488">
        <v>7936256</v>
      </c>
      <c r="FX64" s="1489">
        <v>0.27382339354159918</v>
      </c>
      <c r="FY64" s="1485">
        <v>8145881</v>
      </c>
      <c r="FZ64" s="1485">
        <v>5915348</v>
      </c>
      <c r="GA64" s="1485">
        <v>2230533</v>
      </c>
      <c r="GB64" s="1490">
        <v>0.27382342069568655</v>
      </c>
      <c r="GC64" s="1179">
        <v>8049486</v>
      </c>
      <c r="GD64" s="1179">
        <v>5845348</v>
      </c>
      <c r="GE64" s="1179">
        <v>2204138</v>
      </c>
      <c r="GF64" s="1487">
        <v>0.27382344661510066</v>
      </c>
      <c r="GG64" s="1488">
        <v>37032605</v>
      </c>
      <c r="GH64" s="1488">
        <v>26892211</v>
      </c>
      <c r="GI64" s="1488">
        <v>10140394</v>
      </c>
      <c r="GJ64" s="1489">
        <v>0.27382340507776864</v>
      </c>
      <c r="GK64" s="1485">
        <v>96395</v>
      </c>
      <c r="GL64" s="1485">
        <v>70000</v>
      </c>
      <c r="GM64" s="1485">
        <v>26395</v>
      </c>
      <c r="GN64" s="1490">
        <v>0.2738212562892266</v>
      </c>
      <c r="GO64" s="1179">
        <v>96395</v>
      </c>
      <c r="GP64" s="1179">
        <v>70000</v>
      </c>
      <c r="GQ64" s="1179">
        <v>26395</v>
      </c>
      <c r="GR64" s="1487">
        <v>0.2738212562892266</v>
      </c>
      <c r="GS64" s="1488">
        <v>37129000</v>
      </c>
      <c r="GT64" s="1488">
        <v>26962211</v>
      </c>
      <c r="GU64" s="1488">
        <v>10166789</v>
      </c>
      <c r="GV64" s="1489">
        <v>0.27382339949904388</v>
      </c>
      <c r="GW64" s="1485">
        <v>0</v>
      </c>
      <c r="GX64" s="1485">
        <v>0</v>
      </c>
      <c r="GY64" s="1485">
        <v>0</v>
      </c>
      <c r="GZ64" s="1490" t="s">
        <v>630</v>
      </c>
    </row>
    <row r="65" spans="1:208">
      <c r="A65" s="574" t="s">
        <v>717</v>
      </c>
      <c r="B65" s="751" t="s">
        <v>1268</v>
      </c>
      <c r="C65" s="753" t="s">
        <v>1308</v>
      </c>
      <c r="D65" s="753" t="s">
        <v>1246</v>
      </c>
      <c r="E65" s="1556"/>
      <c r="F65" s="1527">
        <v>37036000</v>
      </c>
      <c r="G65" s="1527">
        <v>26836315</v>
      </c>
      <c r="H65" s="1528">
        <v>10199685</v>
      </c>
      <c r="I65" s="1526">
        <v>0.27539920617777297</v>
      </c>
      <c r="J65" s="1527"/>
      <c r="K65" s="1527"/>
      <c r="L65" s="1528">
        <v>0</v>
      </c>
      <c r="M65" s="1526">
        <v>0</v>
      </c>
      <c r="N65" s="1482"/>
      <c r="O65" s="1482"/>
      <c r="P65" s="1601"/>
      <c r="Q65" s="752">
        <v>0</v>
      </c>
      <c r="R65" s="752">
        <v>0</v>
      </c>
      <c r="S65" s="866">
        <v>0</v>
      </c>
      <c r="T65" s="1602" t="s">
        <v>630</v>
      </c>
      <c r="U65" s="1558">
        <v>0</v>
      </c>
      <c r="V65" s="1558">
        <v>0</v>
      </c>
      <c r="W65" s="1608">
        <v>0</v>
      </c>
      <c r="X65" s="752">
        <v>0</v>
      </c>
      <c r="Y65" s="752">
        <v>0</v>
      </c>
      <c r="Z65" s="866">
        <v>0</v>
      </c>
      <c r="AA65" s="866">
        <v>0</v>
      </c>
      <c r="AB65" s="866">
        <v>0</v>
      </c>
      <c r="AC65" s="866">
        <v>0</v>
      </c>
      <c r="AD65" s="866">
        <v>0</v>
      </c>
      <c r="AE65" s="866">
        <v>0</v>
      </c>
      <c r="AF65" s="866">
        <v>0</v>
      </c>
      <c r="AG65" s="1603">
        <v>0</v>
      </c>
      <c r="AH65" s="752">
        <v>0</v>
      </c>
      <c r="AI65" s="752">
        <v>0</v>
      </c>
      <c r="AJ65" s="866">
        <v>0</v>
      </c>
      <c r="AK65" s="866">
        <v>0</v>
      </c>
      <c r="AL65" s="866">
        <v>0</v>
      </c>
      <c r="AM65" s="866">
        <v>0</v>
      </c>
      <c r="AN65" s="866">
        <v>0</v>
      </c>
      <c r="AO65" s="866">
        <v>0</v>
      </c>
      <c r="AP65" s="866">
        <v>0</v>
      </c>
      <c r="AQ65" s="1603">
        <v>0</v>
      </c>
      <c r="AR65" s="752">
        <v>0</v>
      </c>
      <c r="AS65" s="752">
        <v>0</v>
      </c>
      <c r="AT65" s="866">
        <v>0</v>
      </c>
      <c r="AU65" s="866">
        <v>0</v>
      </c>
      <c r="AV65" s="866">
        <v>0</v>
      </c>
      <c r="AW65" s="866">
        <v>0</v>
      </c>
      <c r="AX65" s="866">
        <v>0</v>
      </c>
      <c r="AY65" s="866">
        <v>0</v>
      </c>
      <c r="AZ65" s="866">
        <v>0</v>
      </c>
      <c r="BA65" s="1603">
        <v>0</v>
      </c>
      <c r="BB65" s="752">
        <v>0</v>
      </c>
      <c r="BC65" s="752">
        <v>0</v>
      </c>
      <c r="BD65" s="866">
        <v>0</v>
      </c>
      <c r="BE65" s="866">
        <v>0</v>
      </c>
      <c r="BF65" s="866">
        <v>0</v>
      </c>
      <c r="BG65" s="866">
        <v>0</v>
      </c>
      <c r="BH65" s="866">
        <v>0</v>
      </c>
      <c r="BI65" s="866">
        <v>0</v>
      </c>
      <c r="BJ65" s="866">
        <v>0</v>
      </c>
      <c r="BK65" s="1603">
        <v>0</v>
      </c>
      <c r="BL65" s="752">
        <v>0</v>
      </c>
      <c r="BM65" s="752">
        <v>0</v>
      </c>
      <c r="BN65" s="866">
        <v>0</v>
      </c>
      <c r="BO65" s="866">
        <v>0</v>
      </c>
      <c r="BP65" s="866">
        <v>0</v>
      </c>
      <c r="BQ65" s="866">
        <v>0</v>
      </c>
      <c r="BR65" s="866">
        <v>0</v>
      </c>
      <c r="BS65" s="866">
        <v>0</v>
      </c>
      <c r="BT65" s="866">
        <v>0</v>
      </c>
      <c r="BU65" s="1603">
        <v>0</v>
      </c>
      <c r="BV65" s="752">
        <v>0</v>
      </c>
      <c r="BW65" s="752">
        <v>0</v>
      </c>
      <c r="BX65" s="866">
        <v>0</v>
      </c>
      <c r="BY65" s="866">
        <v>0</v>
      </c>
      <c r="BZ65" s="866">
        <v>0</v>
      </c>
      <c r="CA65" s="866">
        <v>0</v>
      </c>
      <c r="CB65" s="866">
        <v>0</v>
      </c>
      <c r="CC65" s="866">
        <v>0</v>
      </c>
      <c r="CD65" s="866">
        <v>0</v>
      </c>
      <c r="CE65" s="1603">
        <v>0</v>
      </c>
      <c r="CF65" s="752">
        <v>0</v>
      </c>
      <c r="CG65" s="752">
        <v>0</v>
      </c>
      <c r="CH65" s="866">
        <v>0</v>
      </c>
      <c r="CI65" s="866">
        <v>0</v>
      </c>
      <c r="CJ65" s="866">
        <v>0</v>
      </c>
      <c r="CK65" s="866">
        <v>0</v>
      </c>
      <c r="CL65" s="866">
        <v>0</v>
      </c>
      <c r="CM65" s="866">
        <v>0</v>
      </c>
      <c r="CN65" s="866">
        <v>0</v>
      </c>
      <c r="CO65" s="1603">
        <v>0</v>
      </c>
      <c r="CP65" s="752">
        <v>0</v>
      </c>
      <c r="CQ65" s="752">
        <v>0</v>
      </c>
      <c r="CR65" s="866">
        <v>0</v>
      </c>
      <c r="CS65" s="866">
        <v>0</v>
      </c>
      <c r="CT65" s="866">
        <v>0</v>
      </c>
      <c r="CU65" s="866">
        <v>0</v>
      </c>
      <c r="CV65" s="866">
        <v>0</v>
      </c>
      <c r="CW65" s="866">
        <v>0</v>
      </c>
      <c r="CX65" s="866">
        <v>0</v>
      </c>
      <c r="CY65" s="1603">
        <v>0</v>
      </c>
      <c r="CZ65" s="752">
        <v>0</v>
      </c>
      <c r="DA65" s="752">
        <v>0</v>
      </c>
      <c r="DB65" s="866">
        <v>0</v>
      </c>
      <c r="DC65" s="866">
        <v>0</v>
      </c>
      <c r="DD65" s="866">
        <v>0</v>
      </c>
      <c r="DE65" s="866">
        <v>0</v>
      </c>
      <c r="DF65" s="866">
        <v>0</v>
      </c>
      <c r="DG65" s="866">
        <v>0</v>
      </c>
      <c r="DH65" s="866">
        <v>0</v>
      </c>
      <c r="DI65" s="1603">
        <v>0</v>
      </c>
      <c r="DJ65" s="752">
        <v>0</v>
      </c>
      <c r="DK65" s="752">
        <v>0</v>
      </c>
      <c r="DL65" s="866">
        <v>0</v>
      </c>
      <c r="DM65" s="866">
        <v>0</v>
      </c>
      <c r="DN65" s="866">
        <v>0</v>
      </c>
      <c r="DO65" s="866">
        <v>0</v>
      </c>
      <c r="DP65" s="866">
        <v>0</v>
      </c>
      <c r="DQ65" s="866">
        <v>0</v>
      </c>
      <c r="DR65" s="866">
        <v>0</v>
      </c>
      <c r="DS65" s="1603">
        <v>0</v>
      </c>
      <c r="DT65" s="752">
        <v>0</v>
      </c>
      <c r="DU65" s="752">
        <v>0</v>
      </c>
      <c r="DV65" s="866">
        <v>0</v>
      </c>
      <c r="DW65" s="866">
        <v>0</v>
      </c>
      <c r="DX65" s="866">
        <v>0</v>
      </c>
      <c r="DY65" s="866">
        <v>0</v>
      </c>
      <c r="DZ65" s="866">
        <v>0</v>
      </c>
      <c r="EA65" s="866">
        <v>0</v>
      </c>
      <c r="EB65" s="866">
        <v>0</v>
      </c>
      <c r="EC65" s="1603">
        <v>0</v>
      </c>
      <c r="ED65" s="752">
        <v>0</v>
      </c>
      <c r="EE65" s="752">
        <v>0</v>
      </c>
      <c r="EF65" s="866">
        <v>0</v>
      </c>
      <c r="EG65" s="1206">
        <v>0</v>
      </c>
      <c r="EH65" s="1206">
        <v>0</v>
      </c>
      <c r="EI65" s="1206">
        <v>0</v>
      </c>
      <c r="EJ65" s="1604" t="s">
        <v>630</v>
      </c>
      <c r="EK65" s="1593">
        <v>0</v>
      </c>
      <c r="EL65" s="1593">
        <v>0</v>
      </c>
      <c r="EM65" s="1605">
        <v>0</v>
      </c>
      <c r="EN65" s="1606" t="e">
        <v>#DIV/0!</v>
      </c>
      <c r="EO65" s="1608"/>
      <c r="EP65" s="1608"/>
      <c r="EQ65" s="1608"/>
      <c r="ER65" s="1609"/>
      <c r="ES65" s="1179">
        <v>0</v>
      </c>
      <c r="ET65" s="1179">
        <v>0</v>
      </c>
      <c r="EU65" s="1206">
        <v>0</v>
      </c>
      <c r="EV65" s="1604"/>
      <c r="EW65" s="1488">
        <v>0</v>
      </c>
      <c r="EX65" s="1488">
        <v>0</v>
      </c>
      <c r="EY65" s="1488">
        <v>0</v>
      </c>
      <c r="EZ65" s="1606" t="s">
        <v>630</v>
      </c>
      <c r="FA65" s="1558"/>
      <c r="FB65" s="1558"/>
      <c r="FC65" s="1608"/>
      <c r="FD65" s="1609"/>
      <c r="FE65" s="1179">
        <v>7673986</v>
      </c>
      <c r="FF65" s="1179">
        <v>5560576</v>
      </c>
      <c r="FG65" s="1206">
        <v>2113410</v>
      </c>
      <c r="FH65" s="1604">
        <v>0.27539925144507693</v>
      </c>
      <c r="FI65" s="1488">
        <v>7673986</v>
      </c>
      <c r="FJ65" s="1488">
        <v>5560576</v>
      </c>
      <c r="FK65" s="1488">
        <v>2113410</v>
      </c>
      <c r="FL65" s="1606">
        <v>0.27539925144507693</v>
      </c>
      <c r="FM65" s="1485">
        <v>29362014</v>
      </c>
      <c r="FN65" s="1485">
        <v>21275739</v>
      </c>
      <c r="FO65" s="1590">
        <v>8086275</v>
      </c>
      <c r="FP65" s="1607">
        <v>0.27539919434681831</v>
      </c>
      <c r="FQ65" s="1179">
        <v>10058901</v>
      </c>
      <c r="FR65" s="1179">
        <v>7288688</v>
      </c>
      <c r="FS65" s="1206">
        <v>2770213</v>
      </c>
      <c r="FT65" s="1604">
        <v>0.27539917134088504</v>
      </c>
      <c r="FU65" s="1605">
        <v>17732887</v>
      </c>
      <c r="FV65" s="1605">
        <v>12849264</v>
      </c>
      <c r="FW65" s="1605">
        <v>4883623</v>
      </c>
      <c r="FX65" s="1606">
        <v>0.27539920600633161</v>
      </c>
      <c r="FY65" s="1485">
        <v>19303113</v>
      </c>
      <c r="FZ65" s="1485">
        <v>13987051</v>
      </c>
      <c r="GA65" s="1485">
        <v>5316062</v>
      </c>
      <c r="GB65" s="1607">
        <v>0.27539920633526832</v>
      </c>
      <c r="GC65" s="1179">
        <v>10017494</v>
      </c>
      <c r="GD65" s="1179">
        <v>7258684</v>
      </c>
      <c r="GE65" s="1179">
        <v>2758810</v>
      </c>
      <c r="GF65" s="1604">
        <v>0.27539921661046168</v>
      </c>
      <c r="GG65" s="1605">
        <v>27750381</v>
      </c>
      <c r="GH65" s="1605">
        <v>20107948</v>
      </c>
      <c r="GI65" s="1605">
        <v>7642433</v>
      </c>
      <c r="GJ65" s="1606">
        <v>0.27539920983427219</v>
      </c>
      <c r="GK65" s="1485">
        <v>9285619</v>
      </c>
      <c r="GL65" s="1485">
        <v>6728367</v>
      </c>
      <c r="GM65" s="1485">
        <v>2557252</v>
      </c>
      <c r="GN65" s="1607">
        <v>0.27539919525020357</v>
      </c>
      <c r="GO65" s="1179">
        <v>9285619</v>
      </c>
      <c r="GP65" s="1179">
        <v>6728367</v>
      </c>
      <c r="GQ65" s="1179">
        <v>2557252</v>
      </c>
      <c r="GR65" s="1604">
        <v>0.27539919525020357</v>
      </c>
      <c r="GS65" s="1605">
        <v>37036000</v>
      </c>
      <c r="GT65" s="1605">
        <v>26836315</v>
      </c>
      <c r="GU65" s="1605">
        <v>10199685</v>
      </c>
      <c r="GV65" s="1606">
        <v>0.27539920617777297</v>
      </c>
      <c r="GW65" s="1485">
        <v>0</v>
      </c>
      <c r="GX65" s="1485">
        <v>0</v>
      </c>
      <c r="GY65" s="1485">
        <v>0</v>
      </c>
      <c r="GZ65" s="1607" t="s">
        <v>630</v>
      </c>
    </row>
    <row r="66" spans="1:208">
      <c r="A66" s="574" t="s">
        <v>1767</v>
      </c>
      <c r="B66" s="751" t="s">
        <v>1269</v>
      </c>
      <c r="C66" s="753" t="s">
        <v>1308</v>
      </c>
      <c r="D66" s="753" t="s">
        <v>1246</v>
      </c>
      <c r="E66" s="1562"/>
      <c r="F66" s="1527">
        <v>39667000</v>
      </c>
      <c r="G66" s="1527">
        <v>29105591</v>
      </c>
      <c r="H66" s="1528">
        <v>10561409</v>
      </c>
      <c r="I66" s="1481">
        <v>0.26625177099352104</v>
      </c>
      <c r="J66" s="1482"/>
      <c r="K66" s="1482"/>
      <c r="L66" s="1483">
        <v>0</v>
      </c>
      <c r="M66" s="1481">
        <v>0</v>
      </c>
      <c r="N66" s="1482"/>
      <c r="O66" s="1482"/>
      <c r="P66" s="1483"/>
      <c r="Q66" s="752">
        <v>0</v>
      </c>
      <c r="R66" s="752">
        <v>0</v>
      </c>
      <c r="S66" s="752">
        <v>0</v>
      </c>
      <c r="T66" s="1484" t="s">
        <v>630</v>
      </c>
      <c r="U66" s="1558">
        <v>0</v>
      </c>
      <c r="V66" s="1558">
        <v>0</v>
      </c>
      <c r="W66" s="1608">
        <v>0</v>
      </c>
      <c r="X66" s="752">
        <v>0</v>
      </c>
      <c r="Y66" s="752">
        <v>0</v>
      </c>
      <c r="Z66" s="752">
        <v>0</v>
      </c>
      <c r="AA66" s="752">
        <v>0</v>
      </c>
      <c r="AB66" s="752">
        <v>0</v>
      </c>
      <c r="AC66" s="752">
        <v>0</v>
      </c>
      <c r="AD66" s="752">
        <v>0</v>
      </c>
      <c r="AE66" s="752">
        <v>0</v>
      </c>
      <c r="AF66" s="752">
        <v>0</v>
      </c>
      <c r="AG66" s="1486">
        <v>0</v>
      </c>
      <c r="AH66" s="752">
        <v>0</v>
      </c>
      <c r="AI66" s="752">
        <v>0</v>
      </c>
      <c r="AJ66" s="752">
        <v>0</v>
      </c>
      <c r="AK66" s="752">
        <v>0</v>
      </c>
      <c r="AL66" s="752">
        <v>0</v>
      </c>
      <c r="AM66" s="752">
        <v>0</v>
      </c>
      <c r="AN66" s="752">
        <v>0</v>
      </c>
      <c r="AO66" s="752">
        <v>0</v>
      </c>
      <c r="AP66" s="752">
        <v>0</v>
      </c>
      <c r="AQ66" s="1486">
        <v>0</v>
      </c>
      <c r="AR66" s="752">
        <v>0</v>
      </c>
      <c r="AS66" s="752">
        <v>0</v>
      </c>
      <c r="AT66" s="752">
        <v>0</v>
      </c>
      <c r="AU66" s="752">
        <v>0</v>
      </c>
      <c r="AV66" s="752">
        <v>0</v>
      </c>
      <c r="AW66" s="752">
        <v>0</v>
      </c>
      <c r="AX66" s="752">
        <v>0</v>
      </c>
      <c r="AY66" s="752">
        <v>0</v>
      </c>
      <c r="AZ66" s="752">
        <v>0</v>
      </c>
      <c r="BA66" s="1486">
        <v>0</v>
      </c>
      <c r="BB66" s="752">
        <v>0</v>
      </c>
      <c r="BC66" s="752">
        <v>0</v>
      </c>
      <c r="BD66" s="752">
        <v>0</v>
      </c>
      <c r="BE66" s="752">
        <v>0</v>
      </c>
      <c r="BF66" s="752">
        <v>0</v>
      </c>
      <c r="BG66" s="752">
        <v>0</v>
      </c>
      <c r="BH66" s="752">
        <v>0</v>
      </c>
      <c r="BI66" s="752">
        <v>0</v>
      </c>
      <c r="BJ66" s="752">
        <v>0</v>
      </c>
      <c r="BK66" s="1486">
        <v>0</v>
      </c>
      <c r="BL66" s="752">
        <v>0</v>
      </c>
      <c r="BM66" s="752">
        <v>0</v>
      </c>
      <c r="BN66" s="752">
        <v>0</v>
      </c>
      <c r="BO66" s="752">
        <v>0</v>
      </c>
      <c r="BP66" s="752">
        <v>0</v>
      </c>
      <c r="BQ66" s="752">
        <v>0</v>
      </c>
      <c r="BR66" s="752">
        <v>0</v>
      </c>
      <c r="BS66" s="752">
        <v>0</v>
      </c>
      <c r="BT66" s="752">
        <v>0</v>
      </c>
      <c r="BU66" s="1486">
        <v>0</v>
      </c>
      <c r="BV66" s="752">
        <v>0</v>
      </c>
      <c r="BW66" s="752">
        <v>0</v>
      </c>
      <c r="BX66" s="752">
        <v>0</v>
      </c>
      <c r="BY66" s="752">
        <v>0</v>
      </c>
      <c r="BZ66" s="752">
        <v>0</v>
      </c>
      <c r="CA66" s="752">
        <v>0</v>
      </c>
      <c r="CB66" s="752">
        <v>0</v>
      </c>
      <c r="CC66" s="752">
        <v>0</v>
      </c>
      <c r="CD66" s="752">
        <v>0</v>
      </c>
      <c r="CE66" s="1486">
        <v>0</v>
      </c>
      <c r="CF66" s="752">
        <v>0</v>
      </c>
      <c r="CG66" s="752">
        <v>0</v>
      </c>
      <c r="CH66" s="752">
        <v>0</v>
      </c>
      <c r="CI66" s="752">
        <v>0</v>
      </c>
      <c r="CJ66" s="752">
        <v>0</v>
      </c>
      <c r="CK66" s="752">
        <v>0</v>
      </c>
      <c r="CL66" s="752">
        <v>0</v>
      </c>
      <c r="CM66" s="752">
        <v>0</v>
      </c>
      <c r="CN66" s="752">
        <v>0</v>
      </c>
      <c r="CO66" s="1486">
        <v>0</v>
      </c>
      <c r="CP66" s="752">
        <v>0</v>
      </c>
      <c r="CQ66" s="752">
        <v>0</v>
      </c>
      <c r="CR66" s="752">
        <v>0</v>
      </c>
      <c r="CS66" s="752">
        <v>0</v>
      </c>
      <c r="CT66" s="752">
        <v>0</v>
      </c>
      <c r="CU66" s="752">
        <v>0</v>
      </c>
      <c r="CV66" s="752">
        <v>0</v>
      </c>
      <c r="CW66" s="752">
        <v>0</v>
      </c>
      <c r="CX66" s="752">
        <v>0</v>
      </c>
      <c r="CY66" s="1486">
        <v>0</v>
      </c>
      <c r="CZ66" s="752">
        <v>0</v>
      </c>
      <c r="DA66" s="752">
        <v>0</v>
      </c>
      <c r="DB66" s="752">
        <v>0</v>
      </c>
      <c r="DC66" s="752">
        <v>0</v>
      </c>
      <c r="DD66" s="752">
        <v>0</v>
      </c>
      <c r="DE66" s="752">
        <v>0</v>
      </c>
      <c r="DF66" s="752">
        <v>0</v>
      </c>
      <c r="DG66" s="752">
        <v>0</v>
      </c>
      <c r="DH66" s="752">
        <v>0</v>
      </c>
      <c r="DI66" s="1486">
        <v>0</v>
      </c>
      <c r="DJ66" s="752">
        <v>0</v>
      </c>
      <c r="DK66" s="752">
        <v>0</v>
      </c>
      <c r="DL66" s="752">
        <v>0</v>
      </c>
      <c r="DM66" s="752">
        <v>0</v>
      </c>
      <c r="DN66" s="752">
        <v>0</v>
      </c>
      <c r="DO66" s="752">
        <v>0</v>
      </c>
      <c r="DP66" s="752">
        <v>0</v>
      </c>
      <c r="DQ66" s="752">
        <v>0</v>
      </c>
      <c r="DR66" s="752">
        <v>0</v>
      </c>
      <c r="DS66" s="1486">
        <v>0</v>
      </c>
      <c r="DT66" s="752">
        <v>0</v>
      </c>
      <c r="DU66" s="752">
        <v>0</v>
      </c>
      <c r="DV66" s="752">
        <v>0</v>
      </c>
      <c r="DW66" s="752">
        <v>0</v>
      </c>
      <c r="DX66" s="752">
        <v>0</v>
      </c>
      <c r="DY66" s="752">
        <v>0</v>
      </c>
      <c r="DZ66" s="752">
        <v>0</v>
      </c>
      <c r="EA66" s="752">
        <v>0</v>
      </c>
      <c r="EB66" s="752">
        <v>0</v>
      </c>
      <c r="EC66" s="1486">
        <v>0</v>
      </c>
      <c r="ED66" s="752">
        <v>0</v>
      </c>
      <c r="EE66" s="752">
        <v>0</v>
      </c>
      <c r="EF66" s="752">
        <v>0</v>
      </c>
      <c r="EG66" s="1179">
        <v>0</v>
      </c>
      <c r="EH66" s="1179">
        <v>0</v>
      </c>
      <c r="EI66" s="1179">
        <v>0</v>
      </c>
      <c r="EJ66" s="1487" t="s">
        <v>630</v>
      </c>
      <c r="EK66" s="1593">
        <v>0</v>
      </c>
      <c r="EL66" s="1593">
        <v>0</v>
      </c>
      <c r="EM66" s="1605">
        <v>0</v>
      </c>
      <c r="EN66" s="1489" t="e">
        <v>#DIV/0!</v>
      </c>
      <c r="EO66" s="1558"/>
      <c r="EP66" s="1558"/>
      <c r="EQ66" s="1558"/>
      <c r="ER66" s="1559"/>
      <c r="ES66" s="1179">
        <v>0</v>
      </c>
      <c r="ET66" s="1179">
        <v>0</v>
      </c>
      <c r="EU66" s="1179">
        <v>0</v>
      </c>
      <c r="EV66" s="1487"/>
      <c r="EW66" s="1488">
        <v>0</v>
      </c>
      <c r="EX66" s="1488">
        <v>0</v>
      </c>
      <c r="EY66" s="1488">
        <v>0</v>
      </c>
      <c r="EZ66" s="1489" t="s">
        <v>630</v>
      </c>
      <c r="FA66" s="1558"/>
      <c r="FB66" s="1558"/>
      <c r="FC66" s="1608"/>
      <c r="FD66" s="1559"/>
      <c r="FE66" s="1179">
        <v>0</v>
      </c>
      <c r="FF66" s="1179">
        <v>0</v>
      </c>
      <c r="FG66" s="1179">
        <v>0</v>
      </c>
      <c r="FH66" s="1487" t="s">
        <v>630</v>
      </c>
      <c r="FI66" s="1488">
        <v>0</v>
      </c>
      <c r="FJ66" s="1488">
        <v>0</v>
      </c>
      <c r="FK66" s="1488">
        <v>0</v>
      </c>
      <c r="FL66" s="1489" t="s">
        <v>630</v>
      </c>
      <c r="FM66" s="1558"/>
      <c r="FN66" s="1558"/>
      <c r="FO66" s="1558"/>
      <c r="FP66" s="1559"/>
      <c r="FQ66" s="1179">
        <v>11650269</v>
      </c>
      <c r="FR66" s="1179">
        <v>8548364</v>
      </c>
      <c r="FS66" s="1179">
        <v>3101905</v>
      </c>
      <c r="FT66" s="1487">
        <v>0.26625179212600153</v>
      </c>
      <c r="FU66" s="1488">
        <v>11650269</v>
      </c>
      <c r="FV66" s="1488">
        <v>8548364</v>
      </c>
      <c r="FW66" s="1488">
        <v>3101905</v>
      </c>
      <c r="FX66" s="1489">
        <v>0.26625179212600153</v>
      </c>
      <c r="FY66" s="1485">
        <v>28016731</v>
      </c>
      <c r="FZ66" s="1485">
        <v>20557227</v>
      </c>
      <c r="GA66" s="1485">
        <v>7459504</v>
      </c>
      <c r="GB66" s="1490">
        <v>0.2662517622059476</v>
      </c>
      <c r="GC66" s="1179">
        <v>10301468</v>
      </c>
      <c r="GD66" s="1179">
        <v>7558684</v>
      </c>
      <c r="GE66" s="1179">
        <v>2742784</v>
      </c>
      <c r="GF66" s="1487">
        <v>0.26625176139944329</v>
      </c>
      <c r="GG66" s="1488">
        <v>21951737</v>
      </c>
      <c r="GH66" s="1488">
        <v>16107048</v>
      </c>
      <c r="GI66" s="1488">
        <v>5844689</v>
      </c>
      <c r="GJ66" s="1489">
        <v>0.26625177770670266</v>
      </c>
      <c r="GK66" s="1485">
        <v>17715263</v>
      </c>
      <c r="GL66" s="1485">
        <v>12998543</v>
      </c>
      <c r="GM66" s="1502">
        <v>4716720</v>
      </c>
      <c r="GN66" s="1490">
        <v>0.26625176267493178</v>
      </c>
      <c r="GO66" s="1179">
        <v>17715263</v>
      </c>
      <c r="GP66" s="1179">
        <v>12998543</v>
      </c>
      <c r="GQ66" s="1179">
        <v>4716720</v>
      </c>
      <c r="GR66" s="1487">
        <v>0.26625176267493178</v>
      </c>
      <c r="GS66" s="1488">
        <v>39667000</v>
      </c>
      <c r="GT66" s="1488">
        <v>29105591</v>
      </c>
      <c r="GU66" s="1488">
        <v>10561409</v>
      </c>
      <c r="GV66" s="1489">
        <v>0.26625177099352104</v>
      </c>
      <c r="GW66" s="1485">
        <v>0</v>
      </c>
      <c r="GX66" s="1485">
        <v>0</v>
      </c>
      <c r="GY66" s="1502">
        <v>0</v>
      </c>
      <c r="GZ66" s="1490" t="s">
        <v>630</v>
      </c>
    </row>
    <row r="67" spans="1:208">
      <c r="A67" s="574" t="s">
        <v>1768</v>
      </c>
      <c r="B67" s="751" t="s">
        <v>1270</v>
      </c>
      <c r="C67" s="753" t="s">
        <v>1308</v>
      </c>
      <c r="D67" s="753" t="s">
        <v>1246</v>
      </c>
      <c r="E67" s="1562"/>
      <c r="F67" s="1527">
        <v>42374000</v>
      </c>
      <c r="G67" s="1527">
        <v>30695265</v>
      </c>
      <c r="H67" s="1528">
        <v>11678735</v>
      </c>
      <c r="I67" s="1526">
        <v>0.27561086987303535</v>
      </c>
      <c r="J67" s="1527"/>
      <c r="K67" s="1527"/>
      <c r="L67" s="1528">
        <v>0</v>
      </c>
      <c r="M67" s="1526">
        <v>0</v>
      </c>
      <c r="N67" s="1482"/>
      <c r="O67" s="1482"/>
      <c r="P67" s="1601"/>
      <c r="Q67" s="752">
        <v>0</v>
      </c>
      <c r="R67" s="752">
        <v>0</v>
      </c>
      <c r="S67" s="866">
        <v>0</v>
      </c>
      <c r="T67" s="1602" t="s">
        <v>630</v>
      </c>
      <c r="U67" s="1558">
        <v>0</v>
      </c>
      <c r="V67" s="1558">
        <v>0</v>
      </c>
      <c r="W67" s="1608">
        <v>0</v>
      </c>
      <c r="X67" s="752">
        <v>0</v>
      </c>
      <c r="Y67" s="752">
        <v>0</v>
      </c>
      <c r="Z67" s="866">
        <v>0</v>
      </c>
      <c r="AA67" s="866">
        <v>0</v>
      </c>
      <c r="AB67" s="866">
        <v>0</v>
      </c>
      <c r="AC67" s="866">
        <v>0</v>
      </c>
      <c r="AD67" s="866">
        <v>0</v>
      </c>
      <c r="AE67" s="866">
        <v>0</v>
      </c>
      <c r="AF67" s="866">
        <v>0</v>
      </c>
      <c r="AG67" s="1603">
        <v>0</v>
      </c>
      <c r="AH67" s="752">
        <v>0</v>
      </c>
      <c r="AI67" s="752">
        <v>0</v>
      </c>
      <c r="AJ67" s="866">
        <v>0</v>
      </c>
      <c r="AK67" s="866">
        <v>0</v>
      </c>
      <c r="AL67" s="866">
        <v>0</v>
      </c>
      <c r="AM67" s="866">
        <v>0</v>
      </c>
      <c r="AN67" s="866">
        <v>0</v>
      </c>
      <c r="AO67" s="866">
        <v>0</v>
      </c>
      <c r="AP67" s="866">
        <v>0</v>
      </c>
      <c r="AQ67" s="1603">
        <v>0</v>
      </c>
      <c r="AR67" s="752">
        <v>0</v>
      </c>
      <c r="AS67" s="752">
        <v>0</v>
      </c>
      <c r="AT67" s="866">
        <v>0</v>
      </c>
      <c r="AU67" s="866">
        <v>0</v>
      </c>
      <c r="AV67" s="866">
        <v>0</v>
      </c>
      <c r="AW67" s="866">
        <v>0</v>
      </c>
      <c r="AX67" s="866">
        <v>0</v>
      </c>
      <c r="AY67" s="866">
        <v>0</v>
      </c>
      <c r="AZ67" s="866">
        <v>0</v>
      </c>
      <c r="BA67" s="1603">
        <v>0</v>
      </c>
      <c r="BB67" s="752">
        <v>0</v>
      </c>
      <c r="BC67" s="752">
        <v>0</v>
      </c>
      <c r="BD67" s="866">
        <v>0</v>
      </c>
      <c r="BE67" s="866">
        <v>0</v>
      </c>
      <c r="BF67" s="866">
        <v>0</v>
      </c>
      <c r="BG67" s="866">
        <v>0</v>
      </c>
      <c r="BH67" s="866">
        <v>0</v>
      </c>
      <c r="BI67" s="866">
        <v>0</v>
      </c>
      <c r="BJ67" s="866">
        <v>0</v>
      </c>
      <c r="BK67" s="1603">
        <v>0</v>
      </c>
      <c r="BL67" s="752">
        <v>0</v>
      </c>
      <c r="BM67" s="752">
        <v>0</v>
      </c>
      <c r="BN67" s="866">
        <v>0</v>
      </c>
      <c r="BO67" s="866">
        <v>0</v>
      </c>
      <c r="BP67" s="866">
        <v>0</v>
      </c>
      <c r="BQ67" s="866">
        <v>0</v>
      </c>
      <c r="BR67" s="866">
        <v>0</v>
      </c>
      <c r="BS67" s="866">
        <v>0</v>
      </c>
      <c r="BT67" s="866">
        <v>0</v>
      </c>
      <c r="BU67" s="1603">
        <v>0</v>
      </c>
      <c r="BV67" s="752">
        <v>0</v>
      </c>
      <c r="BW67" s="752">
        <v>0</v>
      </c>
      <c r="BX67" s="866">
        <v>0</v>
      </c>
      <c r="BY67" s="866">
        <v>0</v>
      </c>
      <c r="BZ67" s="866">
        <v>0</v>
      </c>
      <c r="CA67" s="866">
        <v>0</v>
      </c>
      <c r="CB67" s="866">
        <v>0</v>
      </c>
      <c r="CC67" s="866">
        <v>0</v>
      </c>
      <c r="CD67" s="866">
        <v>0</v>
      </c>
      <c r="CE67" s="1603">
        <v>0</v>
      </c>
      <c r="CF67" s="752">
        <v>0</v>
      </c>
      <c r="CG67" s="752">
        <v>0</v>
      </c>
      <c r="CH67" s="866">
        <v>0</v>
      </c>
      <c r="CI67" s="866">
        <v>0</v>
      </c>
      <c r="CJ67" s="866">
        <v>0</v>
      </c>
      <c r="CK67" s="866">
        <v>0</v>
      </c>
      <c r="CL67" s="866">
        <v>0</v>
      </c>
      <c r="CM67" s="866">
        <v>0</v>
      </c>
      <c r="CN67" s="866">
        <v>0</v>
      </c>
      <c r="CO67" s="1603">
        <v>0</v>
      </c>
      <c r="CP67" s="752">
        <v>0</v>
      </c>
      <c r="CQ67" s="752">
        <v>0</v>
      </c>
      <c r="CR67" s="866">
        <v>0</v>
      </c>
      <c r="CS67" s="866">
        <v>0</v>
      </c>
      <c r="CT67" s="866">
        <v>0</v>
      </c>
      <c r="CU67" s="866">
        <v>0</v>
      </c>
      <c r="CV67" s="866">
        <v>0</v>
      </c>
      <c r="CW67" s="866">
        <v>0</v>
      </c>
      <c r="CX67" s="866">
        <v>0</v>
      </c>
      <c r="CY67" s="1603">
        <v>0</v>
      </c>
      <c r="CZ67" s="752">
        <v>0</v>
      </c>
      <c r="DA67" s="752">
        <v>0</v>
      </c>
      <c r="DB67" s="866">
        <v>0</v>
      </c>
      <c r="DC67" s="866">
        <v>0</v>
      </c>
      <c r="DD67" s="866">
        <v>0</v>
      </c>
      <c r="DE67" s="866">
        <v>0</v>
      </c>
      <c r="DF67" s="866">
        <v>0</v>
      </c>
      <c r="DG67" s="866">
        <v>0</v>
      </c>
      <c r="DH67" s="866">
        <v>0</v>
      </c>
      <c r="DI67" s="1603">
        <v>0</v>
      </c>
      <c r="DJ67" s="752">
        <v>0</v>
      </c>
      <c r="DK67" s="752">
        <v>0</v>
      </c>
      <c r="DL67" s="866">
        <v>0</v>
      </c>
      <c r="DM67" s="866">
        <v>0</v>
      </c>
      <c r="DN67" s="866">
        <v>0</v>
      </c>
      <c r="DO67" s="866">
        <v>0</v>
      </c>
      <c r="DP67" s="866">
        <v>0</v>
      </c>
      <c r="DQ67" s="866">
        <v>0</v>
      </c>
      <c r="DR67" s="866">
        <v>0</v>
      </c>
      <c r="DS67" s="1603">
        <v>0</v>
      </c>
      <c r="DT67" s="752">
        <v>0</v>
      </c>
      <c r="DU67" s="752">
        <v>0</v>
      </c>
      <c r="DV67" s="866">
        <v>0</v>
      </c>
      <c r="DW67" s="866">
        <v>0</v>
      </c>
      <c r="DX67" s="866">
        <v>0</v>
      </c>
      <c r="DY67" s="866">
        <v>0</v>
      </c>
      <c r="DZ67" s="866">
        <v>0</v>
      </c>
      <c r="EA67" s="866">
        <v>0</v>
      </c>
      <c r="EB67" s="866">
        <v>0</v>
      </c>
      <c r="EC67" s="1603">
        <v>0</v>
      </c>
      <c r="ED67" s="752">
        <v>0</v>
      </c>
      <c r="EE67" s="752">
        <v>0</v>
      </c>
      <c r="EF67" s="866">
        <v>0</v>
      </c>
      <c r="EG67" s="1206">
        <v>0</v>
      </c>
      <c r="EH67" s="1206">
        <v>0</v>
      </c>
      <c r="EI67" s="1206">
        <v>0</v>
      </c>
      <c r="EJ67" s="1604" t="s">
        <v>630</v>
      </c>
      <c r="EK67" s="1593">
        <v>0</v>
      </c>
      <c r="EL67" s="1593">
        <v>0</v>
      </c>
      <c r="EM67" s="1605">
        <v>0</v>
      </c>
      <c r="EN67" s="1606" t="e">
        <v>#DIV/0!</v>
      </c>
      <c r="EO67" s="1608"/>
      <c r="EP67" s="1608"/>
      <c r="EQ67" s="1608"/>
      <c r="ER67" s="1609"/>
      <c r="ES67" s="1179">
        <v>0</v>
      </c>
      <c r="ET67" s="1179">
        <v>0</v>
      </c>
      <c r="EU67" s="1206">
        <v>0</v>
      </c>
      <c r="EV67" s="1604"/>
      <c r="EW67" s="1488">
        <v>0</v>
      </c>
      <c r="EX67" s="1488">
        <v>0</v>
      </c>
      <c r="EY67" s="1488">
        <v>0</v>
      </c>
      <c r="EZ67" s="1606" t="s">
        <v>630</v>
      </c>
      <c r="FA67" s="1558"/>
      <c r="FB67" s="1558"/>
      <c r="FC67" s="1608"/>
      <c r="FD67" s="1609"/>
      <c r="FE67" s="1179">
        <v>0</v>
      </c>
      <c r="FF67" s="1179">
        <v>0</v>
      </c>
      <c r="FG67" s="1206">
        <v>0</v>
      </c>
      <c r="FH67" s="1604" t="s">
        <v>630</v>
      </c>
      <c r="FI67" s="1605">
        <v>0</v>
      </c>
      <c r="FJ67" s="1605">
        <v>0</v>
      </c>
      <c r="FK67" s="1605">
        <v>0</v>
      </c>
      <c r="FL67" s="1606" t="s">
        <v>630</v>
      </c>
      <c r="FM67" s="1558"/>
      <c r="FN67" s="1558"/>
      <c r="FO67" s="1608"/>
      <c r="FP67" s="1609" t="s">
        <v>630</v>
      </c>
      <c r="FQ67" s="1179">
        <v>0</v>
      </c>
      <c r="FR67" s="1179">
        <v>0</v>
      </c>
      <c r="FS67" s="1206">
        <v>0</v>
      </c>
      <c r="FT67" s="1604" t="s">
        <v>630</v>
      </c>
      <c r="FU67" s="1605">
        <v>0</v>
      </c>
      <c r="FV67" s="1605">
        <v>0</v>
      </c>
      <c r="FW67" s="1605">
        <v>0</v>
      </c>
      <c r="FX67" s="1606" t="s">
        <v>630</v>
      </c>
      <c r="FY67" s="1558"/>
      <c r="FZ67" s="1558"/>
      <c r="GA67" s="1558"/>
      <c r="GB67" s="1609" t="s">
        <v>630</v>
      </c>
      <c r="GC67" s="1179">
        <v>8373052</v>
      </c>
      <c r="GD67" s="1179">
        <v>6065348</v>
      </c>
      <c r="GE67" s="1179">
        <v>2307704</v>
      </c>
      <c r="GF67" s="1604">
        <v>0.27561085253023626</v>
      </c>
      <c r="GG67" s="1605">
        <v>8373052</v>
      </c>
      <c r="GH67" s="1605">
        <v>6065348</v>
      </c>
      <c r="GI67" s="1605">
        <v>2307704</v>
      </c>
      <c r="GJ67" s="1606">
        <v>0.27561085253023626</v>
      </c>
      <c r="GK67" s="1485">
        <v>34000948</v>
      </c>
      <c r="GL67" s="1485">
        <v>24629917</v>
      </c>
      <c r="GM67" s="1485">
        <v>9371031</v>
      </c>
      <c r="GN67" s="1607">
        <v>0.27561087414386209</v>
      </c>
      <c r="GO67" s="1179">
        <v>34000948</v>
      </c>
      <c r="GP67" s="1179">
        <v>24629917</v>
      </c>
      <c r="GQ67" s="1179">
        <v>9371031</v>
      </c>
      <c r="GR67" s="1604">
        <v>0.27561087414386209</v>
      </c>
      <c r="GS67" s="1605">
        <v>42374000</v>
      </c>
      <c r="GT67" s="1605">
        <v>30695265</v>
      </c>
      <c r="GU67" s="1605">
        <v>11678735</v>
      </c>
      <c r="GV67" s="1606">
        <v>0.27561086987303535</v>
      </c>
      <c r="GW67" s="1485">
        <v>0</v>
      </c>
      <c r="GX67" s="1485">
        <v>0</v>
      </c>
      <c r="GY67" s="1485">
        <v>0</v>
      </c>
      <c r="GZ67" s="1607" t="s">
        <v>630</v>
      </c>
    </row>
    <row r="68" spans="1:208" ht="16.2" thickBot="1">
      <c r="A68" s="1560"/>
      <c r="B68" s="1610"/>
      <c r="C68" s="1611"/>
      <c r="D68" s="1611"/>
      <c r="E68" s="1562"/>
      <c r="F68" s="1563"/>
      <c r="G68" s="1563"/>
      <c r="H68" s="1564"/>
      <c r="I68" s="1565"/>
      <c r="J68" s="1566"/>
      <c r="K68" s="1566"/>
      <c r="L68" s="1612"/>
      <c r="M68" s="1565"/>
      <c r="N68" s="1563"/>
      <c r="O68" s="1563"/>
      <c r="P68" s="1564"/>
      <c r="Q68" s="752">
        <v>0</v>
      </c>
      <c r="R68" s="1477"/>
      <c r="S68" s="1477"/>
      <c r="T68" s="1568"/>
      <c r="U68" s="1569"/>
      <c r="V68" s="1569"/>
      <c r="W68" s="1569"/>
      <c r="X68" s="752">
        <v>0</v>
      </c>
      <c r="Y68" s="752">
        <v>0</v>
      </c>
      <c r="Z68" s="1477"/>
      <c r="AA68" s="1477"/>
      <c r="AB68" s="1477"/>
      <c r="AC68" s="1477"/>
      <c r="AD68" s="1477"/>
      <c r="AE68" s="1477"/>
      <c r="AF68" s="1477"/>
      <c r="AG68" s="1570"/>
      <c r="AH68" s="1477"/>
      <c r="AI68" s="752">
        <v>0</v>
      </c>
      <c r="AJ68" s="1477"/>
      <c r="AK68" s="1477"/>
      <c r="AL68" s="1477"/>
      <c r="AM68" s="1477"/>
      <c r="AN68" s="1477"/>
      <c r="AO68" s="1477"/>
      <c r="AP68" s="1477"/>
      <c r="AQ68" s="1570"/>
      <c r="AR68" s="1477"/>
      <c r="AS68" s="752">
        <v>0</v>
      </c>
      <c r="AT68" s="1477"/>
      <c r="AU68" s="1477"/>
      <c r="AV68" s="1477"/>
      <c r="AW68" s="1477"/>
      <c r="AX68" s="1477"/>
      <c r="AY68" s="1477"/>
      <c r="AZ68" s="1477"/>
      <c r="BA68" s="1570"/>
      <c r="BB68" s="752">
        <v>0</v>
      </c>
      <c r="BC68" s="752">
        <v>0</v>
      </c>
      <c r="BD68" s="1477"/>
      <c r="BE68" s="1477"/>
      <c r="BF68" s="1477"/>
      <c r="BG68" s="1477"/>
      <c r="BH68" s="1477"/>
      <c r="BI68" s="1477"/>
      <c r="BJ68" s="1477"/>
      <c r="BK68" s="1570"/>
      <c r="BL68" s="752">
        <v>0</v>
      </c>
      <c r="BM68" s="752">
        <v>0</v>
      </c>
      <c r="BN68" s="1477"/>
      <c r="BO68" s="1477"/>
      <c r="BP68" s="1477"/>
      <c r="BQ68" s="1477"/>
      <c r="BR68" s="1477"/>
      <c r="BS68" s="1477"/>
      <c r="BT68" s="1477"/>
      <c r="BU68" s="1570"/>
      <c r="BV68" s="752">
        <v>0</v>
      </c>
      <c r="BW68" s="752">
        <v>0</v>
      </c>
      <c r="BX68" s="1477"/>
      <c r="BY68" s="1477"/>
      <c r="BZ68" s="1477"/>
      <c r="CA68" s="1477"/>
      <c r="CB68" s="1477"/>
      <c r="CC68" s="1477"/>
      <c r="CD68" s="1477"/>
      <c r="CE68" s="1570"/>
      <c r="CF68" s="752">
        <v>0</v>
      </c>
      <c r="CG68" s="752">
        <v>0</v>
      </c>
      <c r="CH68" s="1477"/>
      <c r="CI68" s="1477"/>
      <c r="CJ68" s="1477"/>
      <c r="CK68" s="1477"/>
      <c r="CL68" s="1477"/>
      <c r="CM68" s="1477"/>
      <c r="CN68" s="1477"/>
      <c r="CO68" s="1570"/>
      <c r="CP68" s="752">
        <v>0</v>
      </c>
      <c r="CQ68" s="752">
        <v>0</v>
      </c>
      <c r="CR68" s="1477"/>
      <c r="CS68" s="1477"/>
      <c r="CT68" s="1477"/>
      <c r="CU68" s="1477"/>
      <c r="CV68" s="1477"/>
      <c r="CW68" s="1477"/>
      <c r="CX68" s="1477"/>
      <c r="CY68" s="1570"/>
      <c r="CZ68" s="752">
        <v>0</v>
      </c>
      <c r="DA68" s="752">
        <v>0</v>
      </c>
      <c r="DB68" s="1477"/>
      <c r="DC68" s="1477"/>
      <c r="DD68" s="1477"/>
      <c r="DE68" s="1477"/>
      <c r="DF68" s="1477"/>
      <c r="DG68" s="1477"/>
      <c r="DH68" s="1477"/>
      <c r="DI68" s="1570"/>
      <c r="DJ68" s="752">
        <v>0</v>
      </c>
      <c r="DK68" s="752">
        <v>0</v>
      </c>
      <c r="DL68" s="1477"/>
      <c r="DM68" s="1477"/>
      <c r="DN68" s="1477"/>
      <c r="DO68" s="1477"/>
      <c r="DP68" s="1477"/>
      <c r="DQ68" s="1477"/>
      <c r="DR68" s="1477"/>
      <c r="DS68" s="1570"/>
      <c r="DT68" s="752">
        <v>0</v>
      </c>
      <c r="DU68" s="752">
        <v>0</v>
      </c>
      <c r="DV68" s="1477"/>
      <c r="DW68" s="1477"/>
      <c r="DX68" s="1477"/>
      <c r="DY68" s="1477"/>
      <c r="DZ68" s="1477"/>
      <c r="EA68" s="1477"/>
      <c r="EB68" s="1477"/>
      <c r="EC68" s="1570"/>
      <c r="ED68" s="1477"/>
      <c r="EE68" s="752">
        <v>0</v>
      </c>
      <c r="EF68" s="1477"/>
      <c r="EG68" s="1571"/>
      <c r="EH68" s="1571"/>
      <c r="EI68" s="1571"/>
      <c r="EJ68" s="1572"/>
      <c r="EK68" s="1613"/>
      <c r="EL68" s="1613"/>
      <c r="EM68" s="1613"/>
      <c r="EN68" s="1614"/>
      <c r="EO68" s="1569"/>
      <c r="EP68" s="1569"/>
      <c r="EQ68" s="1569"/>
      <c r="ER68" s="1575"/>
      <c r="ES68" s="1179">
        <v>0</v>
      </c>
      <c r="ET68" s="1179">
        <v>0</v>
      </c>
      <c r="EU68" s="1571"/>
      <c r="EV68" s="1572"/>
      <c r="EW68" s="1573"/>
      <c r="EX68" s="1573"/>
      <c r="EY68" s="1573"/>
      <c r="EZ68" s="1574"/>
      <c r="FA68" s="1558">
        <v>0</v>
      </c>
      <c r="FB68" s="1558">
        <v>0</v>
      </c>
      <c r="FC68" s="1608">
        <v>0</v>
      </c>
      <c r="FD68" s="1577"/>
      <c r="FE68" s="1179">
        <v>0</v>
      </c>
      <c r="FF68" s="1179">
        <v>0</v>
      </c>
      <c r="FG68" s="1571"/>
      <c r="FH68" s="1572"/>
      <c r="FI68" s="1573"/>
      <c r="FJ68" s="1573"/>
      <c r="FK68" s="1573"/>
      <c r="FL68" s="1574"/>
      <c r="FM68" s="1558"/>
      <c r="FN68" s="1558"/>
      <c r="FO68" s="1558"/>
      <c r="FP68" s="1577"/>
      <c r="FQ68" s="1179">
        <v>0</v>
      </c>
      <c r="FR68" s="1179">
        <v>0</v>
      </c>
      <c r="FS68" s="1179">
        <v>0</v>
      </c>
      <c r="FT68" s="1572"/>
      <c r="FU68" s="1573"/>
      <c r="FV68" s="1573"/>
      <c r="FW68" s="1573"/>
      <c r="FX68" s="1574"/>
      <c r="FY68" s="1558"/>
      <c r="FZ68" s="1558"/>
      <c r="GA68" s="1558"/>
      <c r="GB68" s="1577"/>
      <c r="GC68" s="1179"/>
      <c r="GD68" s="1179"/>
      <c r="GE68" s="1179"/>
      <c r="GF68" s="1572"/>
      <c r="GG68" s="1573"/>
      <c r="GH68" s="1573"/>
      <c r="GI68" s="1573"/>
      <c r="GJ68" s="1574"/>
      <c r="GK68" s="1558">
        <v>0</v>
      </c>
      <c r="GL68" s="1558">
        <v>0</v>
      </c>
      <c r="GM68" s="1558">
        <v>0</v>
      </c>
      <c r="GN68" s="1559"/>
      <c r="GO68" s="1179">
        <v>0</v>
      </c>
      <c r="GP68" s="1179">
        <v>0</v>
      </c>
      <c r="GQ68" s="1179">
        <v>0</v>
      </c>
      <c r="GR68" s="1572"/>
      <c r="GS68" s="1573"/>
      <c r="GT68" s="1573"/>
      <c r="GU68" s="1573"/>
      <c r="GV68" s="1574"/>
      <c r="GW68" s="1485">
        <v>0</v>
      </c>
      <c r="GX68" s="1485">
        <v>0</v>
      </c>
      <c r="GY68" s="1485">
        <v>0</v>
      </c>
      <c r="GZ68" s="1575"/>
    </row>
    <row r="69" spans="1:208" ht="21.6" thickBot="1">
      <c r="A69" s="1578" t="s">
        <v>2105</v>
      </c>
      <c r="B69" s="1579"/>
      <c r="C69" s="1579"/>
      <c r="D69" s="1579"/>
      <c r="E69" s="1579"/>
      <c r="F69" s="1580">
        <v>209946827</v>
      </c>
      <c r="G69" s="1580">
        <v>145924036</v>
      </c>
      <c r="H69" s="1580">
        <v>64022791</v>
      </c>
      <c r="I69" s="1581">
        <v>0.30494764752981957</v>
      </c>
      <c r="J69" s="1582">
        <v>166745787</v>
      </c>
      <c r="K69" s="1582">
        <v>120277165</v>
      </c>
      <c r="L69" s="1582">
        <v>46468622</v>
      </c>
      <c r="M69" s="1583">
        <v>0.27867943674043172</v>
      </c>
      <c r="N69" s="1582">
        <v>43201040</v>
      </c>
      <c r="O69" s="1582">
        <v>25646871</v>
      </c>
      <c r="P69" s="1582">
        <v>17554169</v>
      </c>
      <c r="Q69" s="1582">
        <v>107386645</v>
      </c>
      <c r="R69" s="1582">
        <v>71356179</v>
      </c>
      <c r="S69" s="1582">
        <v>36030466</v>
      </c>
      <c r="T69" s="1581">
        <v>0.33552092068804273</v>
      </c>
      <c r="U69" s="1582">
        <v>58445182</v>
      </c>
      <c r="V69" s="1582">
        <v>43304872</v>
      </c>
      <c r="W69" s="1582">
        <v>15140310</v>
      </c>
      <c r="X69" s="1582">
        <v>2526397</v>
      </c>
      <c r="Y69" s="1582">
        <v>1958160</v>
      </c>
      <c r="Z69" s="1582">
        <v>568237</v>
      </c>
      <c r="AA69" s="1582">
        <v>2526397</v>
      </c>
      <c r="AB69" s="1582">
        <v>1958160</v>
      </c>
      <c r="AC69" s="1582">
        <v>568237</v>
      </c>
      <c r="AD69" s="1582">
        <v>109913042</v>
      </c>
      <c r="AE69" s="1582">
        <v>73314339</v>
      </c>
      <c r="AF69" s="1582">
        <v>36598703</v>
      </c>
      <c r="AG69" s="1582">
        <v>14.726517763471232</v>
      </c>
      <c r="AH69" s="1582">
        <v>1488348</v>
      </c>
      <c r="AI69" s="1582">
        <v>1216005</v>
      </c>
      <c r="AJ69" s="1582">
        <v>272343</v>
      </c>
      <c r="AK69" s="1582">
        <v>4014745</v>
      </c>
      <c r="AL69" s="1582">
        <v>3174165</v>
      </c>
      <c r="AM69" s="1582">
        <v>840580</v>
      </c>
      <c r="AN69" s="1582">
        <v>111401390</v>
      </c>
      <c r="AO69" s="1582">
        <v>74530344</v>
      </c>
      <c r="AP69" s="1582">
        <v>36871046</v>
      </c>
      <c r="AQ69" s="1582">
        <v>14.929698729450816</v>
      </c>
      <c r="AR69" s="1582">
        <v>4518741</v>
      </c>
      <c r="AS69" s="1582">
        <v>3546519</v>
      </c>
      <c r="AT69" s="1582">
        <v>972222</v>
      </c>
      <c r="AU69" s="1582">
        <v>8533486</v>
      </c>
      <c r="AV69" s="1582">
        <v>6720684</v>
      </c>
      <c r="AW69" s="1582">
        <v>1812802</v>
      </c>
      <c r="AX69" s="1582">
        <v>115920131</v>
      </c>
      <c r="AY69" s="1582">
        <v>78076863</v>
      </c>
      <c r="AZ69" s="1582">
        <v>37843268</v>
      </c>
      <c r="BA69" s="1582">
        <v>15.35847911805581</v>
      </c>
      <c r="BB69" s="1582">
        <v>4342812</v>
      </c>
      <c r="BC69" s="1582">
        <v>2486526</v>
      </c>
      <c r="BD69" s="1582">
        <v>1856286</v>
      </c>
      <c r="BE69" s="1582">
        <v>12876298</v>
      </c>
      <c r="BF69" s="1582">
        <v>9207210</v>
      </c>
      <c r="BG69" s="1582">
        <v>3669088</v>
      </c>
      <c r="BH69" s="1582">
        <v>120262943</v>
      </c>
      <c r="BI69" s="1582">
        <v>80563389</v>
      </c>
      <c r="BJ69" s="1582">
        <v>39699554</v>
      </c>
      <c r="BK69" s="1582">
        <v>15.678116223712806</v>
      </c>
      <c r="BL69" s="1582">
        <v>3272730</v>
      </c>
      <c r="BM69" s="1582">
        <v>2476191</v>
      </c>
      <c r="BN69" s="1582">
        <v>796539</v>
      </c>
      <c r="BO69" s="1582">
        <v>16149028</v>
      </c>
      <c r="BP69" s="1582">
        <v>11683401</v>
      </c>
      <c r="BQ69" s="1582">
        <v>4465627</v>
      </c>
      <c r="BR69" s="1582">
        <v>123535673</v>
      </c>
      <c r="BS69" s="1582">
        <v>83039580</v>
      </c>
      <c r="BT69" s="1582">
        <v>40496093</v>
      </c>
      <c r="BU69" s="1582">
        <v>16.040983482573051</v>
      </c>
      <c r="BV69" s="1582">
        <v>2949687</v>
      </c>
      <c r="BW69" s="1582">
        <v>2169454</v>
      </c>
      <c r="BX69" s="1582">
        <v>780233</v>
      </c>
      <c r="BY69" s="1582">
        <v>19098715</v>
      </c>
      <c r="BZ69" s="1582">
        <v>13852855</v>
      </c>
      <c r="CA69" s="1582">
        <v>5245860</v>
      </c>
      <c r="CB69" s="1582">
        <v>126485360</v>
      </c>
      <c r="CC69" s="1582">
        <v>85209034</v>
      </c>
      <c r="CD69" s="1582">
        <v>41276326</v>
      </c>
      <c r="CE69" s="1582">
        <v>16.323303479764302</v>
      </c>
      <c r="CF69" s="1582">
        <v>3239204</v>
      </c>
      <c r="CG69" s="1582">
        <v>2401861</v>
      </c>
      <c r="CH69" s="1582">
        <v>837343</v>
      </c>
      <c r="CI69" s="1582">
        <v>22337919</v>
      </c>
      <c r="CJ69" s="1582">
        <v>16254716</v>
      </c>
      <c r="CK69" s="1582">
        <v>6083203</v>
      </c>
      <c r="CL69" s="1582">
        <v>129724564</v>
      </c>
      <c r="CM69" s="1582">
        <v>87610895</v>
      </c>
      <c r="CN69" s="1582">
        <v>42113669</v>
      </c>
      <c r="CO69" s="1582">
        <v>16.520695158734277</v>
      </c>
      <c r="CP69" s="1582">
        <v>2706707</v>
      </c>
      <c r="CQ69" s="1582">
        <v>1980203</v>
      </c>
      <c r="CR69" s="1582">
        <v>726504</v>
      </c>
      <c r="CS69" s="1582">
        <v>25044626</v>
      </c>
      <c r="CT69" s="1582">
        <v>18234919</v>
      </c>
      <c r="CU69" s="1582">
        <v>6809707</v>
      </c>
      <c r="CV69" s="1582">
        <v>132431271</v>
      </c>
      <c r="CW69" s="1582">
        <v>89591098</v>
      </c>
      <c r="CX69" s="1582">
        <v>42840173</v>
      </c>
      <c r="CY69" s="1582">
        <v>16.686197173499476</v>
      </c>
      <c r="CZ69" s="1582">
        <v>2527923</v>
      </c>
      <c r="DA69" s="1582">
        <v>1850259</v>
      </c>
      <c r="DB69" s="1582">
        <v>677664</v>
      </c>
      <c r="DC69" s="1582">
        <v>27572549</v>
      </c>
      <c r="DD69" s="1582">
        <v>20085178</v>
      </c>
      <c r="DE69" s="1582">
        <v>7487371</v>
      </c>
      <c r="DF69" s="1582">
        <v>134959194</v>
      </c>
      <c r="DG69" s="1582">
        <v>91441357</v>
      </c>
      <c r="DH69" s="1582">
        <v>43517837</v>
      </c>
      <c r="DI69" s="1582">
        <v>16.818612052362102</v>
      </c>
      <c r="DJ69" s="1582">
        <v>3378918</v>
      </c>
      <c r="DK69" s="1582">
        <v>2473601</v>
      </c>
      <c r="DL69" s="1582">
        <v>905317</v>
      </c>
      <c r="DM69" s="1582">
        <v>30951467</v>
      </c>
      <c r="DN69" s="1582">
        <v>22558779</v>
      </c>
      <c r="DO69" s="1582">
        <v>8392688</v>
      </c>
      <c r="DP69" s="1582">
        <v>138338112</v>
      </c>
      <c r="DQ69" s="1582">
        <v>93914958</v>
      </c>
      <c r="DR69" s="1582">
        <v>44423154</v>
      </c>
      <c r="DS69" s="1582">
        <v>17.000730745298412</v>
      </c>
      <c r="DT69" s="1582">
        <v>2864019</v>
      </c>
      <c r="DU69" s="1582">
        <v>2088494</v>
      </c>
      <c r="DV69" s="1582">
        <v>775525</v>
      </c>
      <c r="DW69" s="1582">
        <v>33815486</v>
      </c>
      <c r="DX69" s="1582">
        <v>24647273</v>
      </c>
      <c r="DY69" s="1582">
        <v>9168213</v>
      </c>
      <c r="DZ69" s="1582">
        <v>141202131</v>
      </c>
      <c r="EA69" s="1582">
        <v>96003452</v>
      </c>
      <c r="EB69" s="1582">
        <v>45198679</v>
      </c>
      <c r="EC69" s="1615">
        <v>0.32009912796571038</v>
      </c>
      <c r="ED69" s="1582">
        <v>3354122</v>
      </c>
      <c r="EE69" s="1582">
        <v>2473160</v>
      </c>
      <c r="EF69" s="1582">
        <v>880962</v>
      </c>
      <c r="EG69" s="1582">
        <v>37169608</v>
      </c>
      <c r="EH69" s="1582">
        <v>27120433</v>
      </c>
      <c r="EI69" s="1582">
        <v>10049175</v>
      </c>
      <c r="EJ69" s="1615">
        <v>0.27035999411131806</v>
      </c>
      <c r="EK69" s="1582">
        <v>144556253</v>
      </c>
      <c r="EL69" s="1582">
        <v>98476612</v>
      </c>
      <c r="EM69" s="1582">
        <v>46079641</v>
      </c>
      <c r="EN69" s="1615">
        <v>0.31876615534576702</v>
      </c>
      <c r="EO69" s="1582">
        <v>68430574</v>
      </c>
      <c r="EP69" s="1582">
        <v>50491361</v>
      </c>
      <c r="EQ69" s="1582">
        <v>17939213</v>
      </c>
      <c r="ER69" s="1615">
        <v>0.26215201702092983</v>
      </c>
      <c r="ES69" s="1582">
        <v>36432334</v>
      </c>
      <c r="ET69" s="1582">
        <v>26961924</v>
      </c>
      <c r="EU69" s="1582">
        <v>9470410</v>
      </c>
      <c r="EV69" s="1615">
        <v>0.25994519044538844</v>
      </c>
      <c r="EW69" s="1582">
        <v>180988587</v>
      </c>
      <c r="EX69" s="1582">
        <v>125438536</v>
      </c>
      <c r="EY69" s="1582">
        <v>55550051</v>
      </c>
      <c r="EZ69" s="1615">
        <v>0.30692571239312455</v>
      </c>
      <c r="FA69" s="1582">
        <v>69127240</v>
      </c>
      <c r="FB69" s="1582">
        <v>50491648</v>
      </c>
      <c r="FC69" s="1582">
        <v>18635592</v>
      </c>
      <c r="FD69" s="1615">
        <v>0.26958391511074359</v>
      </c>
      <c r="FE69" s="1582">
        <v>37970330</v>
      </c>
      <c r="FF69" s="1582">
        <v>27970275</v>
      </c>
      <c r="FG69" s="1582">
        <v>10000055</v>
      </c>
      <c r="FH69" s="1615">
        <v>0.26336497470525011</v>
      </c>
      <c r="FI69" s="1582">
        <v>218958917</v>
      </c>
      <c r="FJ69" s="1582">
        <v>153408811</v>
      </c>
      <c r="FK69" s="1582">
        <v>65550106</v>
      </c>
      <c r="FL69" s="1615">
        <v>0.2993717127309321</v>
      </c>
      <c r="FM69" s="1582">
        <v>68192910</v>
      </c>
      <c r="FN69" s="1582">
        <v>49357688</v>
      </c>
      <c r="FO69" s="1582">
        <v>18835222</v>
      </c>
      <c r="FP69" s="1615">
        <v>0.27620498963895218</v>
      </c>
      <c r="FQ69" s="1582">
        <v>38894352</v>
      </c>
      <c r="FR69" s="1582">
        <v>28412276</v>
      </c>
      <c r="FS69" s="1582">
        <v>10482076</v>
      </c>
      <c r="FT69" s="1615">
        <v>0.26950123760899786</v>
      </c>
      <c r="FU69" s="1582">
        <v>257853269</v>
      </c>
      <c r="FV69" s="1582">
        <v>181821087</v>
      </c>
      <c r="FW69" s="1582">
        <v>76032182</v>
      </c>
      <c r="FX69" s="1615">
        <v>0.29486607749774157</v>
      </c>
      <c r="FY69" s="1582">
        <v>68965558</v>
      </c>
      <c r="FZ69" s="1582">
        <v>50051003</v>
      </c>
      <c r="GA69" s="1582">
        <v>18914555</v>
      </c>
      <c r="GB69" s="1583">
        <v>0.2742608854118167</v>
      </c>
      <c r="GC69" s="1582">
        <v>40226179</v>
      </c>
      <c r="GD69" s="1582">
        <v>29255918</v>
      </c>
      <c r="GE69" s="1582">
        <v>10970261</v>
      </c>
      <c r="GF69" s="1583">
        <v>0.272714467859351</v>
      </c>
      <c r="GG69" s="1582">
        <v>298079448</v>
      </c>
      <c r="GH69" s="1582">
        <v>211077005</v>
      </c>
      <c r="GI69" s="1582">
        <v>87002443</v>
      </c>
      <c r="GJ69" s="1615">
        <v>0.29187669121019039</v>
      </c>
      <c r="GK69" s="1582">
        <v>71113379</v>
      </c>
      <c r="GL69" s="1582">
        <v>51490350</v>
      </c>
      <c r="GM69" s="1582">
        <v>19623029</v>
      </c>
      <c r="GN69" s="1583">
        <v>0.27594004498084673</v>
      </c>
      <c r="GO69" s="1582">
        <v>71113379</v>
      </c>
      <c r="GP69" s="1582">
        <v>51490350</v>
      </c>
      <c r="GQ69" s="1582">
        <v>19623029</v>
      </c>
      <c r="GR69" s="1583">
        <v>0.27594004498084673</v>
      </c>
      <c r="GS69" s="1582">
        <v>369192827</v>
      </c>
      <c r="GT69" s="1582">
        <v>262567355</v>
      </c>
      <c r="GU69" s="1582">
        <v>106625472</v>
      </c>
      <c r="GV69" s="1615">
        <v>0.28880699786726899</v>
      </c>
      <c r="GW69" s="1582">
        <v>0</v>
      </c>
      <c r="GX69" s="1582">
        <v>0</v>
      </c>
      <c r="GY69" s="1582">
        <v>0</v>
      </c>
      <c r="GZ69" s="1583" t="e">
        <v>#DIV/0!</v>
      </c>
    </row>
    <row r="70" spans="1:208">
      <c r="A70" s="1616" t="s">
        <v>1560</v>
      </c>
      <c r="B70" s="1616" t="s">
        <v>2106</v>
      </c>
      <c r="C70" s="1617"/>
      <c r="D70" s="1617"/>
      <c r="E70" s="1617"/>
      <c r="F70" s="1618">
        <v>538855920</v>
      </c>
      <c r="G70" s="1618">
        <v>375940958</v>
      </c>
      <c r="H70" s="1618">
        <v>162914962</v>
      </c>
      <c r="I70" s="1619">
        <v>0.30233492099335196</v>
      </c>
      <c r="J70" s="1618">
        <v>386654880</v>
      </c>
      <c r="K70" s="1618">
        <v>270507998</v>
      </c>
      <c r="L70" s="1618">
        <v>116146882</v>
      </c>
      <c r="M70" s="1619">
        <v>0.30038902392748801</v>
      </c>
      <c r="N70" s="1618">
        <v>152201040</v>
      </c>
      <c r="O70" s="1618">
        <v>105432960</v>
      </c>
      <c r="P70" s="1618">
        <v>46768080</v>
      </c>
      <c r="Q70" s="1618">
        <v>174881479</v>
      </c>
      <c r="R70" s="1618">
        <v>122031006</v>
      </c>
      <c r="S70" s="1618">
        <v>52850473</v>
      </c>
      <c r="T70" s="1619">
        <v>0.3022073766885286</v>
      </c>
      <c r="U70" s="1618">
        <v>212899441</v>
      </c>
      <c r="V70" s="1618">
        <v>151378894</v>
      </c>
      <c r="W70" s="1618">
        <v>61520547</v>
      </c>
      <c r="X70" s="1618">
        <v>6548621</v>
      </c>
      <c r="Y70" s="1618">
        <v>4934706</v>
      </c>
      <c r="Z70" s="1620">
        <v>1613915</v>
      </c>
      <c r="AA70" s="1620">
        <v>6548621</v>
      </c>
      <c r="AB70" s="1620">
        <v>4934706</v>
      </c>
      <c r="AC70" s="1620">
        <v>1613915</v>
      </c>
      <c r="AD70" s="1620">
        <v>181430100</v>
      </c>
      <c r="AE70" s="1620">
        <v>126965712</v>
      </c>
      <c r="AF70" s="1620">
        <v>54464388</v>
      </c>
      <c r="AG70" s="1620"/>
      <c r="AH70" s="1620">
        <v>4030977</v>
      </c>
      <c r="AI70" s="1620">
        <v>3081127</v>
      </c>
      <c r="AJ70" s="1620">
        <v>949850</v>
      </c>
      <c r="AK70" s="1620">
        <v>10579598</v>
      </c>
      <c r="AL70" s="1620">
        <v>8015833</v>
      </c>
      <c r="AM70" s="1620">
        <v>2563765</v>
      </c>
      <c r="AN70" s="1620">
        <v>185461077</v>
      </c>
      <c r="AO70" s="1620">
        <v>130046839</v>
      </c>
      <c r="AP70" s="1620">
        <v>55414238</v>
      </c>
      <c r="AQ70" s="1620"/>
      <c r="AR70" s="1620">
        <v>7915922</v>
      </c>
      <c r="AS70" s="1620">
        <v>6017966</v>
      </c>
      <c r="AT70" s="1620">
        <v>1897956</v>
      </c>
      <c r="AU70" s="1620">
        <v>18495520</v>
      </c>
      <c r="AV70" s="1620">
        <v>14033799</v>
      </c>
      <c r="AW70" s="1620">
        <v>4461721</v>
      </c>
      <c r="AX70" s="1620">
        <v>193376999</v>
      </c>
      <c r="AY70" s="1620">
        <v>136064805</v>
      </c>
      <c r="AZ70" s="1620">
        <v>57312194</v>
      </c>
      <c r="BA70" s="1620"/>
      <c r="BB70" s="1618">
        <v>6872527</v>
      </c>
      <c r="BC70" s="1618">
        <v>4351731</v>
      </c>
      <c r="BD70" s="1620">
        <v>2520796</v>
      </c>
      <c r="BE70" s="1620">
        <v>25368047</v>
      </c>
      <c r="BF70" s="1620">
        <v>18385530</v>
      </c>
      <c r="BG70" s="1620">
        <v>6982517</v>
      </c>
      <c r="BH70" s="1620">
        <v>200249526</v>
      </c>
      <c r="BI70" s="1620">
        <v>140416536</v>
      </c>
      <c r="BJ70" s="1620">
        <v>59832990</v>
      </c>
      <c r="BK70" s="1620"/>
      <c r="BL70" s="1618">
        <v>5826483</v>
      </c>
      <c r="BM70" s="1618">
        <v>4371179</v>
      </c>
      <c r="BN70" s="1620">
        <v>1455304</v>
      </c>
      <c r="BO70" s="1620">
        <v>31194530</v>
      </c>
      <c r="BP70" s="1620">
        <v>22756709</v>
      </c>
      <c r="BQ70" s="1620">
        <v>8437821</v>
      </c>
      <c r="BR70" s="1620">
        <v>206076009</v>
      </c>
      <c r="BS70" s="1620">
        <v>144787715</v>
      </c>
      <c r="BT70" s="1620">
        <v>61288294</v>
      </c>
      <c r="BU70" s="1620"/>
      <c r="BV70" s="1620">
        <v>5940068</v>
      </c>
      <c r="BW70" s="1620">
        <v>4373972</v>
      </c>
      <c r="BX70" s="1620">
        <v>1566096</v>
      </c>
      <c r="BY70" s="1620">
        <v>37134598</v>
      </c>
      <c r="BZ70" s="1620">
        <v>27130681</v>
      </c>
      <c r="CA70" s="1620">
        <v>10003917</v>
      </c>
      <c r="CB70" s="1620">
        <v>212016077</v>
      </c>
      <c r="CC70" s="1620">
        <v>149161687</v>
      </c>
      <c r="CD70" s="1620">
        <v>62854390</v>
      </c>
      <c r="CE70" s="1620"/>
      <c r="CF70" s="1618">
        <v>5771855</v>
      </c>
      <c r="CG70" s="1618">
        <v>4260679</v>
      </c>
      <c r="CH70" s="1620">
        <v>1511176</v>
      </c>
      <c r="CI70" s="1620">
        <v>42906453</v>
      </c>
      <c r="CJ70" s="1620">
        <v>31391360</v>
      </c>
      <c r="CK70" s="1620">
        <v>11515093</v>
      </c>
      <c r="CL70" s="1620">
        <v>217787932</v>
      </c>
      <c r="CM70" s="1620">
        <v>153422366</v>
      </c>
      <c r="CN70" s="1620">
        <v>64365566</v>
      </c>
      <c r="CO70" s="1620"/>
      <c r="CP70" s="1618">
        <v>4476597</v>
      </c>
      <c r="CQ70" s="1618">
        <v>3783788</v>
      </c>
      <c r="CR70" s="1620">
        <v>692809</v>
      </c>
      <c r="CS70" s="1620">
        <v>47383050</v>
      </c>
      <c r="CT70" s="1620">
        <v>35175148</v>
      </c>
      <c r="CU70" s="1620">
        <v>12207902</v>
      </c>
      <c r="CV70" s="1620">
        <v>222264529</v>
      </c>
      <c r="CW70" s="1620">
        <v>157206154</v>
      </c>
      <c r="CX70" s="1620">
        <v>65058375</v>
      </c>
      <c r="CY70" s="1620"/>
      <c r="CZ70" s="1618">
        <v>4212536</v>
      </c>
      <c r="DA70" s="1618">
        <v>3716980</v>
      </c>
      <c r="DB70" s="1620">
        <v>495556</v>
      </c>
      <c r="DC70" s="1620">
        <v>51595586</v>
      </c>
      <c r="DD70" s="1620">
        <v>38892128</v>
      </c>
      <c r="DE70" s="1620">
        <v>12703458</v>
      </c>
      <c r="DF70" s="1620">
        <v>226477065</v>
      </c>
      <c r="DG70" s="1620">
        <v>160923134</v>
      </c>
      <c r="DH70" s="1620">
        <v>65553931</v>
      </c>
      <c r="DI70" s="1620"/>
      <c r="DJ70" s="1618">
        <v>7499703</v>
      </c>
      <c r="DK70" s="1618">
        <v>4292671</v>
      </c>
      <c r="DL70" s="1620">
        <v>3207032</v>
      </c>
      <c r="DM70" s="1620">
        <v>59095289</v>
      </c>
      <c r="DN70" s="1620">
        <v>43184799</v>
      </c>
      <c r="DO70" s="1620">
        <v>15910490</v>
      </c>
      <c r="DP70" s="1620">
        <v>233976768</v>
      </c>
      <c r="DQ70" s="1620">
        <v>165215805</v>
      </c>
      <c r="DR70" s="1620">
        <v>68760963</v>
      </c>
      <c r="DS70" s="1620"/>
      <c r="DT70" s="1618">
        <v>5477499</v>
      </c>
      <c r="DU70" s="1618">
        <v>3966531</v>
      </c>
      <c r="DV70" s="1620">
        <v>1510968</v>
      </c>
      <c r="DW70" s="1620">
        <v>64572788</v>
      </c>
      <c r="DX70" s="1620">
        <v>47151330</v>
      </c>
      <c r="DY70" s="1620">
        <v>17421458</v>
      </c>
      <c r="DZ70" s="1620">
        <v>239454267</v>
      </c>
      <c r="EA70" s="1620">
        <v>169182336</v>
      </c>
      <c r="EB70" s="1620">
        <v>70271931</v>
      </c>
      <c r="EC70" s="1620"/>
      <c r="ED70" s="1618">
        <v>13550986</v>
      </c>
      <c r="EE70" s="1618">
        <v>8840702</v>
      </c>
      <c r="EF70" s="1620">
        <v>4710284</v>
      </c>
      <c r="EG70" s="1620">
        <v>78123774</v>
      </c>
      <c r="EH70" s="1620">
        <v>55992032</v>
      </c>
      <c r="EI70" s="1620">
        <v>22131742</v>
      </c>
      <c r="EJ70" s="1621">
        <v>0.28329074322497527</v>
      </c>
      <c r="EK70" s="1620">
        <v>253005253</v>
      </c>
      <c r="EL70" s="1620">
        <v>178023038</v>
      </c>
      <c r="EM70" s="1620">
        <v>74982215</v>
      </c>
      <c r="EN70" s="1622">
        <v>0.29636623789783528</v>
      </c>
      <c r="EO70" s="1618">
        <v>292484667</v>
      </c>
      <c r="EP70" s="1618">
        <v>203326689</v>
      </c>
      <c r="EQ70" s="1618">
        <v>89157978</v>
      </c>
      <c r="ER70" s="1619">
        <v>0.30482957932287097</v>
      </c>
      <c r="ES70" s="1620">
        <v>74093856</v>
      </c>
      <c r="ET70" s="1620">
        <v>52847779</v>
      </c>
      <c r="EU70" s="1620">
        <v>21246077</v>
      </c>
      <c r="EV70" s="1621">
        <v>0.28674546240379228</v>
      </c>
      <c r="EW70" s="1618">
        <v>327099109</v>
      </c>
      <c r="EX70" s="1618">
        <v>230870817</v>
      </c>
      <c r="EY70" s="1618">
        <v>96228292</v>
      </c>
      <c r="EZ70" s="1622">
        <v>0.29418695848541732</v>
      </c>
      <c r="FA70" s="1618">
        <v>333489811</v>
      </c>
      <c r="FB70" s="1618">
        <v>229894476</v>
      </c>
      <c r="FC70" s="1618">
        <v>103595335</v>
      </c>
      <c r="FD70" s="1619">
        <v>0.31064018024826551</v>
      </c>
      <c r="FE70" s="1620">
        <v>81264186</v>
      </c>
      <c r="FF70" s="1620">
        <v>57179915</v>
      </c>
      <c r="FG70" s="1620">
        <v>24084271</v>
      </c>
      <c r="FH70" s="1621">
        <v>0.29637005162397123</v>
      </c>
      <c r="FI70" s="1618">
        <v>408363295</v>
      </c>
      <c r="FJ70" s="1618">
        <v>288050732</v>
      </c>
      <c r="FK70" s="1618">
        <v>120312563</v>
      </c>
      <c r="FL70" s="1622">
        <v>0.29462139343351118</v>
      </c>
      <c r="FM70" s="1618">
        <v>368193125</v>
      </c>
      <c r="FN70" s="1618">
        <v>252539580</v>
      </c>
      <c r="FO70" s="1618">
        <v>115653545</v>
      </c>
      <c r="FP70" s="1619">
        <v>0.31411109319328001</v>
      </c>
      <c r="FQ70" s="1620">
        <v>80478460</v>
      </c>
      <c r="FR70" s="1620">
        <v>55778598</v>
      </c>
      <c r="FS70" s="1620">
        <v>24699862</v>
      </c>
      <c r="FT70" s="1621">
        <v>0.30691270682863464</v>
      </c>
      <c r="FU70" s="1618">
        <v>488841755</v>
      </c>
      <c r="FV70" s="1618">
        <v>343829330</v>
      </c>
      <c r="FW70" s="1618">
        <v>145012425</v>
      </c>
      <c r="FX70" s="1622">
        <v>0.29664492346812721</v>
      </c>
      <c r="FY70" s="1618">
        <v>406479165</v>
      </c>
      <c r="FZ70" s="1618">
        <v>278388908</v>
      </c>
      <c r="GA70" s="1618">
        <v>128090257</v>
      </c>
      <c r="GB70" s="1619">
        <v>0.31512133469374748</v>
      </c>
      <c r="GC70" s="1620">
        <v>88626486</v>
      </c>
      <c r="GD70" s="1620">
        <v>62066027</v>
      </c>
      <c r="GE70" s="1620">
        <v>26560459</v>
      </c>
      <c r="GF70" s="1621">
        <v>0.2996898579505905</v>
      </c>
      <c r="GG70" s="1618">
        <v>577468241</v>
      </c>
      <c r="GH70" s="1618">
        <v>405895357</v>
      </c>
      <c r="GI70" s="1618">
        <v>171572884</v>
      </c>
      <c r="GJ70" s="1622">
        <v>0.29711224240295492</v>
      </c>
      <c r="GK70" s="1618">
        <v>438226679</v>
      </c>
      <c r="GL70" s="1618">
        <v>299638276</v>
      </c>
      <c r="GM70" s="1618">
        <v>138588403</v>
      </c>
      <c r="GN70" s="1619">
        <v>0.31624821043814177</v>
      </c>
      <c r="GO70" s="1620">
        <v>438226679</v>
      </c>
      <c r="GP70" s="1620">
        <v>299698276</v>
      </c>
      <c r="GQ70" s="1620">
        <v>138528403</v>
      </c>
      <c r="GR70" s="1621">
        <v>0.3161112949948901</v>
      </c>
      <c r="GS70" s="1618">
        <v>1015694920</v>
      </c>
      <c r="GT70" s="1618">
        <v>705593633</v>
      </c>
      <c r="GU70" s="1618">
        <v>310101287</v>
      </c>
      <c r="GV70" s="1622">
        <v>0.30530947914950685</v>
      </c>
      <c r="GW70" s="1618">
        <v>0</v>
      </c>
      <c r="GX70" s="1618">
        <v>0</v>
      </c>
      <c r="GY70" s="1618">
        <v>0</v>
      </c>
      <c r="GZ70" s="1619" t="s">
        <v>630</v>
      </c>
    </row>
    <row r="71" spans="1:208">
      <c r="A71" s="752" t="s">
        <v>1561</v>
      </c>
      <c r="B71" s="1478" t="s">
        <v>2107</v>
      </c>
      <c r="C71" s="753" t="s">
        <v>2108</v>
      </c>
      <c r="D71" s="753" t="s">
        <v>2108</v>
      </c>
      <c r="E71" s="753"/>
      <c r="F71" s="1482">
        <v>-473891300</v>
      </c>
      <c r="G71" s="1482">
        <v>-473891300</v>
      </c>
      <c r="H71" s="1483">
        <v>0</v>
      </c>
      <c r="I71" s="1481"/>
      <c r="J71" s="1482">
        <v>-321690260</v>
      </c>
      <c r="K71" s="1482">
        <v>-321690260</v>
      </c>
      <c r="L71" s="1483">
        <v>0</v>
      </c>
      <c r="M71" s="1481"/>
      <c r="N71" s="1482">
        <v>-152201040</v>
      </c>
      <c r="O71" s="1482">
        <v>-152201040</v>
      </c>
      <c r="P71" s="1483">
        <v>0</v>
      </c>
      <c r="Q71" s="1482">
        <v>-147200695</v>
      </c>
      <c r="R71" s="1482">
        <v>-147200695</v>
      </c>
      <c r="S71" s="752">
        <v>0</v>
      </c>
      <c r="T71" s="1486"/>
      <c r="U71" s="1623">
        <v>-173243105</v>
      </c>
      <c r="V71" s="1623">
        <v>-173243105</v>
      </c>
      <c r="W71" s="1624">
        <v>0</v>
      </c>
      <c r="X71" s="1482">
        <v>-5749203</v>
      </c>
      <c r="Y71" s="1482">
        <v>-5749203</v>
      </c>
      <c r="Z71" s="1483">
        <v>0</v>
      </c>
      <c r="AA71" s="752">
        <v>-5749203</v>
      </c>
      <c r="AB71" s="752">
        <v>-5749203</v>
      </c>
      <c r="AC71" s="752">
        <v>0</v>
      </c>
      <c r="AD71" s="752">
        <v>-152949898</v>
      </c>
      <c r="AE71" s="752">
        <v>-152949898</v>
      </c>
      <c r="AF71" s="752">
        <v>0</v>
      </c>
      <c r="AG71" s="1486"/>
      <c r="AH71" s="1482">
        <v>-3276581</v>
      </c>
      <c r="AI71" s="1482">
        <v>-3276581</v>
      </c>
      <c r="AJ71" s="752">
        <v>0</v>
      </c>
      <c r="AK71" s="752">
        <v>-9025784</v>
      </c>
      <c r="AL71" s="752">
        <v>-9025784</v>
      </c>
      <c r="AM71" s="752">
        <v>0</v>
      </c>
      <c r="AN71" s="752">
        <v>-156226479</v>
      </c>
      <c r="AO71" s="752">
        <v>-156226479</v>
      </c>
      <c r="AP71" s="752">
        <v>0</v>
      </c>
      <c r="AQ71" s="1486"/>
      <c r="AR71" s="752">
        <v>-6755577</v>
      </c>
      <c r="AS71" s="752">
        <v>-6755577</v>
      </c>
      <c r="AT71" s="752">
        <v>0</v>
      </c>
      <c r="AU71" s="752">
        <v>-15781361</v>
      </c>
      <c r="AV71" s="752">
        <v>-15781361</v>
      </c>
      <c r="AW71" s="752">
        <v>0</v>
      </c>
      <c r="AX71" s="752">
        <v>-162982056</v>
      </c>
      <c r="AY71" s="752">
        <v>-162982056</v>
      </c>
      <c r="AZ71" s="752">
        <v>0</v>
      </c>
      <c r="BA71" s="1486"/>
      <c r="BB71" s="1482">
        <v>-6018925</v>
      </c>
      <c r="BC71" s="1482">
        <v>-6018925</v>
      </c>
      <c r="BD71" s="752">
        <v>0</v>
      </c>
      <c r="BE71" s="752">
        <v>-21800286</v>
      </c>
      <c r="BF71" s="752">
        <v>-21800286</v>
      </c>
      <c r="BG71" s="752">
        <v>0</v>
      </c>
      <c r="BH71" s="752">
        <v>-169000981</v>
      </c>
      <c r="BI71" s="752">
        <v>-169000981</v>
      </c>
      <c r="BJ71" s="752">
        <v>0</v>
      </c>
      <c r="BK71" s="1486"/>
      <c r="BL71" s="1482">
        <v>-4930545</v>
      </c>
      <c r="BM71" s="1482">
        <v>-4930545</v>
      </c>
      <c r="BN71" s="752">
        <v>0</v>
      </c>
      <c r="BO71" s="752">
        <v>-26730831</v>
      </c>
      <c r="BP71" s="752">
        <v>-26730831</v>
      </c>
      <c r="BQ71" s="752">
        <v>0</v>
      </c>
      <c r="BR71" s="752">
        <v>-173931526</v>
      </c>
      <c r="BS71" s="752">
        <v>-173931526</v>
      </c>
      <c r="BT71" s="752">
        <v>0</v>
      </c>
      <c r="BU71" s="1486"/>
      <c r="BV71" s="1482">
        <v>-5170546</v>
      </c>
      <c r="BW71" s="1482">
        <v>-5170546</v>
      </c>
      <c r="BX71" s="752">
        <v>0</v>
      </c>
      <c r="BY71" s="752">
        <v>-31901377</v>
      </c>
      <c r="BZ71" s="752">
        <v>-31901377</v>
      </c>
      <c r="CA71" s="752">
        <v>0</v>
      </c>
      <c r="CB71" s="752">
        <v>-179102072</v>
      </c>
      <c r="CC71" s="752">
        <v>-179102072</v>
      </c>
      <c r="CD71" s="752">
        <v>0</v>
      </c>
      <c r="CE71" s="1486"/>
      <c r="CF71" s="1482">
        <v>-4936886</v>
      </c>
      <c r="CG71" s="1482">
        <v>-4936886</v>
      </c>
      <c r="CH71" s="752">
        <v>0</v>
      </c>
      <c r="CI71" s="752">
        <v>-36838263</v>
      </c>
      <c r="CJ71" s="752">
        <v>-36838263</v>
      </c>
      <c r="CK71" s="752">
        <v>0</v>
      </c>
      <c r="CL71" s="752">
        <v>-184038958</v>
      </c>
      <c r="CM71" s="752">
        <v>-184038958</v>
      </c>
      <c r="CN71" s="752">
        <v>0</v>
      </c>
      <c r="CO71" s="1486"/>
      <c r="CP71" s="1482">
        <v>-3640445</v>
      </c>
      <c r="CQ71" s="1482">
        <v>-3640445</v>
      </c>
      <c r="CR71" s="752">
        <v>0</v>
      </c>
      <c r="CS71" s="752">
        <v>-40478708</v>
      </c>
      <c r="CT71" s="752">
        <v>-40478708</v>
      </c>
      <c r="CU71" s="752">
        <v>0</v>
      </c>
      <c r="CV71" s="752">
        <v>-187679403</v>
      </c>
      <c r="CW71" s="752">
        <v>-187679403</v>
      </c>
      <c r="CX71" s="752">
        <v>0</v>
      </c>
      <c r="CY71" s="1486"/>
      <c r="CZ71" s="1482">
        <v>-3391174</v>
      </c>
      <c r="DA71" s="1482">
        <v>-3391174</v>
      </c>
      <c r="DB71" s="752">
        <v>0</v>
      </c>
      <c r="DC71" s="752">
        <v>-43869882</v>
      </c>
      <c r="DD71" s="752">
        <v>-43869882</v>
      </c>
      <c r="DE71" s="752">
        <v>0</v>
      </c>
      <c r="DF71" s="752">
        <v>-191070577</v>
      </c>
      <c r="DG71" s="752">
        <v>-191070577</v>
      </c>
      <c r="DH71" s="752">
        <v>0</v>
      </c>
      <c r="DI71" s="1486"/>
      <c r="DJ71" s="1482">
        <v>-6492315</v>
      </c>
      <c r="DK71" s="1482">
        <v>-6492315</v>
      </c>
      <c r="DL71" s="752">
        <v>0</v>
      </c>
      <c r="DM71" s="752">
        <v>-50362197</v>
      </c>
      <c r="DN71" s="752">
        <v>-50362197</v>
      </c>
      <c r="DO71" s="752">
        <v>0</v>
      </c>
      <c r="DP71" s="752">
        <v>-197562892</v>
      </c>
      <c r="DQ71" s="752">
        <v>-197562892</v>
      </c>
      <c r="DR71" s="752">
        <v>0</v>
      </c>
      <c r="DS71" s="1486"/>
      <c r="DT71" s="1482">
        <v>-4685660</v>
      </c>
      <c r="DU71" s="1482">
        <v>-4685660</v>
      </c>
      <c r="DV71" s="752">
        <v>0</v>
      </c>
      <c r="DW71" s="752">
        <v>-55047857</v>
      </c>
      <c r="DX71" s="752">
        <v>-55047857</v>
      </c>
      <c r="DY71" s="752">
        <v>0</v>
      </c>
      <c r="DZ71" s="752">
        <v>-202248552</v>
      </c>
      <c r="EA71" s="752">
        <v>-202248552</v>
      </c>
      <c r="EB71" s="752">
        <v>0</v>
      </c>
      <c r="EC71" s="1486"/>
      <c r="ED71" s="1482">
        <v>-6490079</v>
      </c>
      <c r="EE71" s="1482">
        <v>-6490079</v>
      </c>
      <c r="EF71" s="752">
        <v>0</v>
      </c>
      <c r="EG71" s="1625">
        <v>-61537936</v>
      </c>
      <c r="EH71" s="1626">
        <v>-61537936</v>
      </c>
      <c r="EI71" s="1625">
        <v>0</v>
      </c>
      <c r="EJ71" s="1625"/>
      <c r="EK71" s="1488">
        <v>-208738631</v>
      </c>
      <c r="EL71" s="1488">
        <v>-208738631</v>
      </c>
      <c r="EM71" s="1488">
        <v>0</v>
      </c>
      <c r="EN71" s="1489"/>
      <c r="EO71" s="1485">
        <v>-268039169</v>
      </c>
      <c r="EP71" s="1485">
        <v>-268039169</v>
      </c>
      <c r="EQ71" s="1485">
        <v>0</v>
      </c>
      <c r="ER71" s="1490"/>
      <c r="ES71" s="1625">
        <v>-67786326</v>
      </c>
      <c r="ET71" s="1626">
        <v>-67786326</v>
      </c>
      <c r="EU71" s="1179">
        <v>0</v>
      </c>
      <c r="EV71" s="1179"/>
      <c r="EW71" s="1488">
        <v>-280639957</v>
      </c>
      <c r="EX71" s="1488">
        <v>-280639957</v>
      </c>
      <c r="EY71" s="1488">
        <v>0</v>
      </c>
      <c r="EZ71" s="1489"/>
      <c r="FA71" s="1485">
        <v>-314931843</v>
      </c>
      <c r="FB71" s="1485">
        <v>-314931843</v>
      </c>
      <c r="FC71" s="1485">
        <v>0</v>
      </c>
      <c r="FD71" s="1490"/>
      <c r="FE71" s="1625">
        <v>-75678272</v>
      </c>
      <c r="FF71" s="1626">
        <v>-75678272</v>
      </c>
      <c r="FG71" s="1179">
        <v>0</v>
      </c>
      <c r="FH71" s="1179"/>
      <c r="FI71" s="1488">
        <v>-357139729</v>
      </c>
      <c r="FJ71" s="1488">
        <v>-357139729</v>
      </c>
      <c r="FK71" s="1488">
        <v>0</v>
      </c>
      <c r="FL71" s="1489"/>
      <c r="FM71" s="1485">
        <v>-354399571</v>
      </c>
      <c r="FN71" s="1485">
        <v>-354399571</v>
      </c>
      <c r="FO71" s="1485">
        <v>0</v>
      </c>
      <c r="FP71" s="1490"/>
      <c r="FQ71" s="1625">
        <v>-77571041</v>
      </c>
      <c r="FR71" s="1626">
        <v>-77571041</v>
      </c>
      <c r="FS71" s="1179">
        <v>0</v>
      </c>
      <c r="FT71" s="1179"/>
      <c r="FU71" s="1488">
        <v>-434710770</v>
      </c>
      <c r="FV71" s="1488">
        <v>-434710770</v>
      </c>
      <c r="FW71" s="1488">
        <v>0</v>
      </c>
      <c r="FX71" s="1489"/>
      <c r="FY71" s="1485">
        <v>-395593030</v>
      </c>
      <c r="FZ71" s="1485">
        <v>-395593030</v>
      </c>
      <c r="GA71" s="1485">
        <v>0</v>
      </c>
      <c r="GB71" s="1490"/>
      <c r="GC71" s="1625">
        <v>-83771515</v>
      </c>
      <c r="GD71" s="1626">
        <v>-83771515</v>
      </c>
      <c r="GE71" s="1179">
        <v>0</v>
      </c>
      <c r="GF71" s="1179"/>
      <c r="GG71" s="1488">
        <v>-518482285</v>
      </c>
      <c r="GH71" s="1488">
        <v>-518482285</v>
      </c>
      <c r="GI71" s="1488">
        <v>0</v>
      </c>
      <c r="GJ71" s="1489"/>
      <c r="GK71" s="1485">
        <v>-432195515</v>
      </c>
      <c r="GL71" s="1485">
        <v>-432195515</v>
      </c>
      <c r="GM71" s="1485">
        <v>0</v>
      </c>
      <c r="GN71" s="1490"/>
      <c r="GO71" s="1625">
        <v>-432195515</v>
      </c>
      <c r="GP71" s="1626">
        <v>-432195515</v>
      </c>
      <c r="GQ71" s="1179">
        <v>0</v>
      </c>
      <c r="GR71" s="1179"/>
      <c r="GS71" s="1488">
        <v>-950677800</v>
      </c>
      <c r="GT71" s="1488">
        <v>-950677800</v>
      </c>
      <c r="GU71" s="1488">
        <v>0</v>
      </c>
      <c r="GV71" s="1489"/>
      <c r="GW71" s="1485">
        <v>0</v>
      </c>
      <c r="GX71" s="1485">
        <v>0</v>
      </c>
      <c r="GY71" s="1485">
        <v>0</v>
      </c>
      <c r="GZ71" s="1490"/>
    </row>
    <row r="72" spans="1:208" s="1641" customFormat="1" ht="15" customHeight="1">
      <c r="A72" s="1627" t="s">
        <v>1562</v>
      </c>
      <c r="B72" s="1628" t="s">
        <v>2109</v>
      </c>
      <c r="C72" s="1628"/>
      <c r="D72" s="1628"/>
      <c r="E72" s="753" t="s">
        <v>2080</v>
      </c>
      <c r="F72" s="1629"/>
      <c r="G72" s="1629"/>
      <c r="H72" s="1630">
        <v>0</v>
      </c>
      <c r="I72" s="1631"/>
      <c r="J72" s="1629"/>
      <c r="K72" s="1629"/>
      <c r="L72" s="1630"/>
      <c r="M72" s="1631"/>
      <c r="N72" s="1629"/>
      <c r="O72" s="1629"/>
      <c r="P72" s="1630">
        <v>0</v>
      </c>
      <c r="Q72" s="1600">
        <v>-2320000</v>
      </c>
      <c r="R72" s="1600">
        <v>-2013870</v>
      </c>
      <c r="S72" s="752">
        <v>-306130</v>
      </c>
      <c r="T72" s="1632"/>
      <c r="U72" s="1633"/>
      <c r="V72" s="1633"/>
      <c r="W72" s="1634"/>
      <c r="X72" s="1635">
        <v>0</v>
      </c>
      <c r="Y72" s="1635">
        <v>-59561</v>
      </c>
      <c r="Z72" s="1635">
        <v>59561</v>
      </c>
      <c r="AA72" s="1635">
        <v>0</v>
      </c>
      <c r="AB72" s="1635">
        <v>-59561</v>
      </c>
      <c r="AC72" s="1635">
        <v>59561</v>
      </c>
      <c r="AD72" s="752">
        <v>-2320000</v>
      </c>
      <c r="AE72" s="752">
        <v>-2073431</v>
      </c>
      <c r="AF72" s="1635">
        <v>-246569</v>
      </c>
      <c r="AG72" s="1632"/>
      <c r="AH72" s="1627">
        <v>0</v>
      </c>
      <c r="AI72" s="1482">
        <v>-59561</v>
      </c>
      <c r="AJ72" s="1627">
        <v>59561</v>
      </c>
      <c r="AK72" s="752">
        <v>0</v>
      </c>
      <c r="AL72" s="752">
        <v>-119122</v>
      </c>
      <c r="AM72" s="1627">
        <v>119122</v>
      </c>
      <c r="AN72" s="1627">
        <v>-2320000</v>
      </c>
      <c r="AO72" s="1627">
        <v>-2132992</v>
      </c>
      <c r="AP72" s="1627">
        <v>-187008</v>
      </c>
      <c r="AQ72" s="1632"/>
      <c r="AR72" s="1635">
        <v>0</v>
      </c>
      <c r="AS72" s="1635">
        <v>-59561</v>
      </c>
      <c r="AT72" s="1635">
        <v>59561</v>
      </c>
      <c r="AU72" s="1635">
        <v>0</v>
      </c>
      <c r="AV72" s="1635">
        <v>-178683</v>
      </c>
      <c r="AW72" s="1635">
        <v>178683</v>
      </c>
      <c r="AX72" s="1627">
        <v>-2320000</v>
      </c>
      <c r="AY72" s="1627">
        <v>-2192553</v>
      </c>
      <c r="AZ72" s="1627">
        <v>-127447</v>
      </c>
      <c r="BA72" s="1632"/>
      <c r="BB72" s="1627">
        <v>0</v>
      </c>
      <c r="BC72" s="1482">
        <v>-59561</v>
      </c>
      <c r="BD72" s="1627">
        <v>59561</v>
      </c>
      <c r="BE72" s="752">
        <v>0</v>
      </c>
      <c r="BF72" s="752">
        <v>-238244</v>
      </c>
      <c r="BG72" s="1627">
        <v>238244</v>
      </c>
      <c r="BH72" s="1627">
        <v>-2320000</v>
      </c>
      <c r="BI72" s="1627">
        <v>-2252114</v>
      </c>
      <c r="BJ72" s="1627">
        <v>-67886</v>
      </c>
      <c r="BK72" s="1632"/>
      <c r="BL72" s="1627">
        <v>0</v>
      </c>
      <c r="BM72" s="1482">
        <v>-59561</v>
      </c>
      <c r="BN72" s="1627">
        <v>59561</v>
      </c>
      <c r="BO72" s="752">
        <v>0</v>
      </c>
      <c r="BP72" s="752">
        <v>-297805</v>
      </c>
      <c r="BQ72" s="1627">
        <v>297805</v>
      </c>
      <c r="BR72" s="1627">
        <v>-2320000</v>
      </c>
      <c r="BS72" s="1627">
        <v>-2311675</v>
      </c>
      <c r="BT72" s="1627">
        <v>-8325</v>
      </c>
      <c r="BU72" s="1632"/>
      <c r="BV72" s="1627">
        <v>0</v>
      </c>
      <c r="BW72" s="1482">
        <v>-79561</v>
      </c>
      <c r="BX72" s="1627">
        <v>79561</v>
      </c>
      <c r="BY72" s="752">
        <v>0</v>
      </c>
      <c r="BZ72" s="752">
        <v>-377366</v>
      </c>
      <c r="CA72" s="1627">
        <v>377366</v>
      </c>
      <c r="CB72" s="1627">
        <v>-2320000</v>
      </c>
      <c r="CC72" s="1627">
        <v>-2391236</v>
      </c>
      <c r="CD72" s="1627">
        <v>71236</v>
      </c>
      <c r="CE72" s="1632"/>
      <c r="CF72" s="1627">
        <v>0</v>
      </c>
      <c r="CG72" s="1482">
        <v>-59561</v>
      </c>
      <c r="CH72" s="1627">
        <v>59561</v>
      </c>
      <c r="CI72" s="752">
        <v>0</v>
      </c>
      <c r="CJ72" s="752">
        <v>-436927</v>
      </c>
      <c r="CK72" s="1627">
        <v>436927</v>
      </c>
      <c r="CL72" s="1627">
        <v>-2320000</v>
      </c>
      <c r="CM72" s="1627">
        <v>-2450797</v>
      </c>
      <c r="CN72" s="1627">
        <v>130797</v>
      </c>
      <c r="CO72" s="1632"/>
      <c r="CP72" s="1627">
        <v>0</v>
      </c>
      <c r="CQ72" s="1482">
        <v>-59561</v>
      </c>
      <c r="CR72" s="1627">
        <v>59561</v>
      </c>
      <c r="CS72" s="752">
        <v>0</v>
      </c>
      <c r="CT72" s="752">
        <v>-496488</v>
      </c>
      <c r="CU72" s="1627">
        <v>496488</v>
      </c>
      <c r="CV72" s="1627">
        <v>-2320000</v>
      </c>
      <c r="CW72" s="1627">
        <v>-2510358</v>
      </c>
      <c r="CX72" s="1627">
        <v>190358</v>
      </c>
      <c r="CY72" s="1632"/>
      <c r="CZ72" s="1627">
        <v>0</v>
      </c>
      <c r="DA72" s="1482">
        <v>-59561</v>
      </c>
      <c r="DB72" s="1627">
        <v>59561</v>
      </c>
      <c r="DC72" s="752">
        <v>0</v>
      </c>
      <c r="DD72" s="752">
        <v>-556049</v>
      </c>
      <c r="DE72" s="1627">
        <v>556049</v>
      </c>
      <c r="DF72" s="1627">
        <v>-2320000</v>
      </c>
      <c r="DG72" s="1627">
        <v>-2569919</v>
      </c>
      <c r="DH72" s="1627">
        <v>249919</v>
      </c>
      <c r="DI72" s="1632"/>
      <c r="DJ72" s="1627">
        <v>-175000</v>
      </c>
      <c r="DK72" s="1482">
        <v>-169914</v>
      </c>
      <c r="DL72" s="1627">
        <v>-5086</v>
      </c>
      <c r="DM72" s="752">
        <v>-175000</v>
      </c>
      <c r="DN72" s="752">
        <v>-725963</v>
      </c>
      <c r="DO72" s="1627">
        <v>550963</v>
      </c>
      <c r="DP72" s="1627">
        <v>-2495000</v>
      </c>
      <c r="DQ72" s="1627">
        <v>-2739833</v>
      </c>
      <c r="DR72" s="1627">
        <v>244833</v>
      </c>
      <c r="DS72" s="1632"/>
      <c r="DT72" s="1627">
        <v>0</v>
      </c>
      <c r="DU72" s="1482">
        <v>-59561</v>
      </c>
      <c r="DV72" s="1627">
        <v>59561</v>
      </c>
      <c r="DW72" s="752">
        <v>-175000</v>
      </c>
      <c r="DX72" s="752">
        <v>-785524</v>
      </c>
      <c r="DY72" s="1627">
        <v>610524</v>
      </c>
      <c r="DZ72" s="1627">
        <v>-2495000</v>
      </c>
      <c r="EA72" s="1627">
        <v>-2799394</v>
      </c>
      <c r="EB72" s="1627">
        <v>304394</v>
      </c>
      <c r="EC72" s="1632"/>
      <c r="ED72" s="1627">
        <v>-1200000</v>
      </c>
      <c r="EE72" s="1482">
        <v>-79561</v>
      </c>
      <c r="EF72" s="1627">
        <v>-1120439</v>
      </c>
      <c r="EG72" s="1636">
        <v>-1375000</v>
      </c>
      <c r="EH72" s="1636">
        <v>-865085</v>
      </c>
      <c r="EI72" s="1636">
        <v>-509915</v>
      </c>
      <c r="EJ72" s="1636"/>
      <c r="EK72" s="1488">
        <v>-3695000</v>
      </c>
      <c r="EL72" s="1488">
        <v>-2878955</v>
      </c>
      <c r="EM72" s="1488">
        <v>-816045</v>
      </c>
      <c r="EN72" s="1637"/>
      <c r="EO72" s="1485"/>
      <c r="EP72" s="1485"/>
      <c r="EQ72" s="1485">
        <v>0</v>
      </c>
      <c r="ER72" s="1490" t="s">
        <v>630</v>
      </c>
      <c r="ES72" s="1636">
        <v>-420000</v>
      </c>
      <c r="ET72" s="1636">
        <v>-300088</v>
      </c>
      <c r="EU72" s="1179">
        <v>-119912</v>
      </c>
      <c r="EV72" s="1638"/>
      <c r="EW72" s="1636">
        <v>-4115000</v>
      </c>
      <c r="EX72" s="1488">
        <v>-3179043</v>
      </c>
      <c r="EY72" s="1488">
        <v>-935957</v>
      </c>
      <c r="EZ72" s="1637"/>
      <c r="FA72" s="1640" t="s">
        <v>1099</v>
      </c>
      <c r="FB72" s="1640" t="s">
        <v>1099</v>
      </c>
      <c r="FC72" s="1640" t="s">
        <v>1563</v>
      </c>
      <c r="FD72" s="1490" t="s">
        <v>630</v>
      </c>
      <c r="FE72" s="1636">
        <v>-821500</v>
      </c>
      <c r="FF72" s="1636">
        <v>-240431</v>
      </c>
      <c r="FG72" s="1179">
        <v>-581069</v>
      </c>
      <c r="FH72" s="1638"/>
      <c r="FI72" s="1636">
        <v>-4936500</v>
      </c>
      <c r="FJ72" s="1488">
        <v>-3419474</v>
      </c>
      <c r="FK72" s="1488">
        <v>-1517026</v>
      </c>
      <c r="FL72" s="1637"/>
      <c r="FM72" s="1640" t="s">
        <v>1099</v>
      </c>
      <c r="FN72" s="1640" t="s">
        <v>1099</v>
      </c>
      <c r="FO72" s="1640" t="s">
        <v>1563</v>
      </c>
      <c r="FP72" s="1490" t="s">
        <v>630</v>
      </c>
      <c r="FQ72" s="1636">
        <v>0</v>
      </c>
      <c r="FR72" s="1636">
        <v>0</v>
      </c>
      <c r="FS72" s="1179">
        <v>0</v>
      </c>
      <c r="FT72" s="1638"/>
      <c r="FU72" s="1636">
        <v>-4936500</v>
      </c>
      <c r="FV72" s="1488">
        <v>-3419474</v>
      </c>
      <c r="FW72" s="1488">
        <v>-1517026</v>
      </c>
      <c r="FX72" s="1637"/>
      <c r="FY72" s="1640" t="s">
        <v>1099</v>
      </c>
      <c r="FZ72" s="1640" t="s">
        <v>1099</v>
      </c>
      <c r="GA72" s="1640" t="s">
        <v>1563</v>
      </c>
      <c r="GB72" s="1490" t="s">
        <v>630</v>
      </c>
      <c r="GC72" s="1636">
        <v>0</v>
      </c>
      <c r="GD72" s="1636">
        <v>0</v>
      </c>
      <c r="GE72" s="1179">
        <v>0</v>
      </c>
      <c r="GF72" s="1638"/>
      <c r="GG72" s="1636">
        <v>-4936500</v>
      </c>
      <c r="GH72" s="1488">
        <v>-3419474</v>
      </c>
      <c r="GI72" s="1488">
        <v>-1517026</v>
      </c>
      <c r="GJ72" s="1637"/>
      <c r="GK72" s="1640" t="s">
        <v>1099</v>
      </c>
      <c r="GL72" s="1640" t="s">
        <v>1099</v>
      </c>
      <c r="GM72" s="1640" t="s">
        <v>1563</v>
      </c>
      <c r="GN72" s="1490" t="s">
        <v>630</v>
      </c>
      <c r="GO72" s="1636">
        <v>0</v>
      </c>
      <c r="GP72" s="1636">
        <v>0</v>
      </c>
      <c r="GQ72" s="1179">
        <v>0</v>
      </c>
      <c r="GR72" s="1638"/>
      <c r="GS72" s="1636">
        <v>-4936500</v>
      </c>
      <c r="GT72" s="1488">
        <v>-3419474</v>
      </c>
      <c r="GU72" s="1488">
        <v>-1517026</v>
      </c>
      <c r="GV72" s="1637"/>
      <c r="GW72" s="1640" t="s">
        <v>1099</v>
      </c>
      <c r="GX72" s="1640" t="s">
        <v>1099</v>
      </c>
      <c r="GY72" s="1640" t="s">
        <v>1563</v>
      </c>
      <c r="GZ72" s="1490" t="s">
        <v>630</v>
      </c>
    </row>
    <row r="73" spans="1:208" s="1641" customFormat="1" ht="15" customHeight="1">
      <c r="A73" s="1627" t="s">
        <v>1203</v>
      </c>
      <c r="B73" s="1628" t="s">
        <v>2110</v>
      </c>
      <c r="C73" s="1628"/>
      <c r="D73" s="1628"/>
      <c r="E73" s="753"/>
      <c r="F73" s="1629"/>
      <c r="G73" s="1629"/>
      <c r="H73" s="1630">
        <v>0</v>
      </c>
      <c r="I73" s="1631"/>
      <c r="J73" s="1629"/>
      <c r="K73" s="1629"/>
      <c r="L73" s="1630"/>
      <c r="M73" s="1631"/>
      <c r="N73" s="1629"/>
      <c r="O73" s="1629"/>
      <c r="P73" s="1630">
        <v>0</v>
      </c>
      <c r="Q73" s="1600" t="s">
        <v>866</v>
      </c>
      <c r="R73" s="1600" t="s">
        <v>866</v>
      </c>
      <c r="S73" s="1600" t="s">
        <v>1548</v>
      </c>
      <c r="T73" s="1632"/>
      <c r="U73" s="1633"/>
      <c r="V73" s="1633"/>
      <c r="W73" s="1634"/>
      <c r="X73" s="1635">
        <v>0</v>
      </c>
      <c r="Y73" s="1635">
        <v>0</v>
      </c>
      <c r="Z73" s="1635">
        <v>0</v>
      </c>
      <c r="AA73" s="1635">
        <v>0</v>
      </c>
      <c r="AB73" s="1635">
        <v>0</v>
      </c>
      <c r="AC73" s="1635">
        <v>0</v>
      </c>
      <c r="AD73" s="1635">
        <v>0</v>
      </c>
      <c r="AE73" s="1635">
        <v>0</v>
      </c>
      <c r="AF73" s="1635">
        <v>0</v>
      </c>
      <c r="AG73" s="1632"/>
      <c r="AH73" s="1627">
        <v>0</v>
      </c>
      <c r="AI73" s="1627">
        <v>0</v>
      </c>
      <c r="AJ73" s="1627">
        <v>0</v>
      </c>
      <c r="AK73" s="1627">
        <v>0</v>
      </c>
      <c r="AL73" s="752">
        <v>0</v>
      </c>
      <c r="AM73" s="1627">
        <v>0</v>
      </c>
      <c r="AN73" s="1627">
        <v>0</v>
      </c>
      <c r="AO73" s="1627">
        <v>0</v>
      </c>
      <c r="AP73" s="1627">
        <v>0</v>
      </c>
      <c r="AQ73" s="1632"/>
      <c r="AR73" s="1635">
        <v>0</v>
      </c>
      <c r="AS73" s="1635">
        <v>0</v>
      </c>
      <c r="AT73" s="1635">
        <v>0</v>
      </c>
      <c r="AU73" s="1635">
        <v>0</v>
      </c>
      <c r="AV73" s="1635">
        <v>0</v>
      </c>
      <c r="AW73" s="1635">
        <v>0</v>
      </c>
      <c r="AX73" s="1627">
        <v>0</v>
      </c>
      <c r="AY73" s="1627">
        <v>0</v>
      </c>
      <c r="AZ73" s="1627">
        <v>0</v>
      </c>
      <c r="BA73" s="1632"/>
      <c r="BB73" s="1627">
        <v>0</v>
      </c>
      <c r="BC73" s="1627">
        <v>0</v>
      </c>
      <c r="BD73" s="1627">
        <v>0</v>
      </c>
      <c r="BE73" s="1627">
        <v>0</v>
      </c>
      <c r="BF73" s="752">
        <v>0</v>
      </c>
      <c r="BG73" s="1627">
        <v>0</v>
      </c>
      <c r="BH73" s="1627">
        <v>0</v>
      </c>
      <c r="BI73" s="1627">
        <v>0</v>
      </c>
      <c r="BJ73" s="1627">
        <v>0</v>
      </c>
      <c r="BK73" s="1632"/>
      <c r="BL73" s="1627">
        <v>0</v>
      </c>
      <c r="BM73" s="1627">
        <v>0</v>
      </c>
      <c r="BN73" s="1627">
        <v>0</v>
      </c>
      <c r="BO73" s="1627">
        <v>0</v>
      </c>
      <c r="BP73" s="752">
        <v>0</v>
      </c>
      <c r="BQ73" s="1627">
        <v>0</v>
      </c>
      <c r="BR73" s="1627">
        <v>0</v>
      </c>
      <c r="BS73" s="1627">
        <v>0</v>
      </c>
      <c r="BT73" s="1627">
        <v>0</v>
      </c>
      <c r="BU73" s="1632"/>
      <c r="BV73" s="1627">
        <v>0</v>
      </c>
      <c r="BW73" s="1627">
        <v>0</v>
      </c>
      <c r="BX73" s="1627">
        <v>0</v>
      </c>
      <c r="BY73" s="1627">
        <v>0</v>
      </c>
      <c r="BZ73" s="752">
        <v>0</v>
      </c>
      <c r="CA73" s="1627">
        <v>0</v>
      </c>
      <c r="CB73" s="1627">
        <v>0</v>
      </c>
      <c r="CC73" s="1627">
        <v>0</v>
      </c>
      <c r="CD73" s="1627">
        <v>0</v>
      </c>
      <c r="CE73" s="1632"/>
      <c r="CF73" s="1627">
        <v>0</v>
      </c>
      <c r="CG73" s="1627">
        <v>0</v>
      </c>
      <c r="CH73" s="1627">
        <v>0</v>
      </c>
      <c r="CI73" s="1627">
        <v>0</v>
      </c>
      <c r="CJ73" s="752">
        <v>0</v>
      </c>
      <c r="CK73" s="1627">
        <v>0</v>
      </c>
      <c r="CL73" s="1627">
        <v>0</v>
      </c>
      <c r="CM73" s="1627">
        <v>0</v>
      </c>
      <c r="CN73" s="1627">
        <v>0</v>
      </c>
      <c r="CO73" s="1632"/>
      <c r="CP73" s="1627">
        <v>0</v>
      </c>
      <c r="CQ73" s="1627">
        <v>0</v>
      </c>
      <c r="CR73" s="1627">
        <v>0</v>
      </c>
      <c r="CS73" s="1627">
        <v>0</v>
      </c>
      <c r="CT73" s="752">
        <v>0</v>
      </c>
      <c r="CU73" s="1627">
        <v>0</v>
      </c>
      <c r="CV73" s="1627">
        <v>0</v>
      </c>
      <c r="CW73" s="1627">
        <v>0</v>
      </c>
      <c r="CX73" s="1627">
        <v>0</v>
      </c>
      <c r="CY73" s="1632"/>
      <c r="CZ73" s="1627">
        <v>0</v>
      </c>
      <c r="DA73" s="1627">
        <v>0</v>
      </c>
      <c r="DB73" s="1627">
        <v>0</v>
      </c>
      <c r="DC73" s="1627">
        <v>0</v>
      </c>
      <c r="DD73" s="752">
        <v>0</v>
      </c>
      <c r="DE73" s="1627">
        <v>0</v>
      </c>
      <c r="DF73" s="1627">
        <v>0</v>
      </c>
      <c r="DG73" s="1627">
        <v>0</v>
      </c>
      <c r="DH73" s="1627">
        <v>0</v>
      </c>
      <c r="DI73" s="1632"/>
      <c r="DJ73" s="1627">
        <v>0</v>
      </c>
      <c r="DK73" s="1627">
        <v>0</v>
      </c>
      <c r="DL73" s="1627">
        <v>0</v>
      </c>
      <c r="DM73" s="1627">
        <v>0</v>
      </c>
      <c r="DN73" s="752">
        <v>0</v>
      </c>
      <c r="DO73" s="1627">
        <v>0</v>
      </c>
      <c r="DP73" s="1627">
        <v>0</v>
      </c>
      <c r="DQ73" s="1627">
        <v>0</v>
      </c>
      <c r="DR73" s="1627">
        <v>0</v>
      </c>
      <c r="DS73" s="1632"/>
      <c r="DT73" s="1627">
        <v>0</v>
      </c>
      <c r="DU73" s="1627">
        <v>0</v>
      </c>
      <c r="DV73" s="1627">
        <v>0</v>
      </c>
      <c r="DW73" s="1627">
        <v>0</v>
      </c>
      <c r="DX73" s="752">
        <v>0</v>
      </c>
      <c r="DY73" s="1627">
        <v>0</v>
      </c>
      <c r="DZ73" s="1627">
        <v>0</v>
      </c>
      <c r="EA73" s="1627">
        <v>0</v>
      </c>
      <c r="EB73" s="1627">
        <v>0</v>
      </c>
      <c r="EC73" s="1632"/>
      <c r="ED73" s="1627">
        <v>0</v>
      </c>
      <c r="EE73" s="1627">
        <v>0</v>
      </c>
      <c r="EF73" s="1627">
        <v>0</v>
      </c>
      <c r="EG73" s="1636">
        <v>0</v>
      </c>
      <c r="EH73" s="1636">
        <v>0</v>
      </c>
      <c r="EI73" s="1636">
        <v>0</v>
      </c>
      <c r="EJ73" s="1636"/>
      <c r="EK73" s="1488">
        <v>0</v>
      </c>
      <c r="EL73" s="1488">
        <v>0</v>
      </c>
      <c r="EM73" s="1488">
        <v>0</v>
      </c>
      <c r="EN73" s="1637"/>
      <c r="EO73" s="1485"/>
      <c r="EP73" s="1485"/>
      <c r="EQ73" s="1485">
        <v>0</v>
      </c>
      <c r="ER73" s="1490" t="s">
        <v>630</v>
      </c>
      <c r="ES73" s="1636">
        <v>0</v>
      </c>
      <c r="ET73" s="1636">
        <v>0</v>
      </c>
      <c r="EU73" s="1179">
        <v>0</v>
      </c>
      <c r="EV73" s="1638"/>
      <c r="EW73" s="1639">
        <v>0</v>
      </c>
      <c r="EX73" s="1639">
        <v>0</v>
      </c>
      <c r="EY73" s="1639">
        <v>0</v>
      </c>
      <c r="EZ73" s="1637"/>
      <c r="FA73" s="1640" t="s">
        <v>1099</v>
      </c>
      <c r="FB73" s="1640" t="s">
        <v>1099</v>
      </c>
      <c r="FC73" s="1640" t="s">
        <v>1563</v>
      </c>
      <c r="FD73" s="1490" t="s">
        <v>630</v>
      </c>
      <c r="FE73" s="1636">
        <v>0</v>
      </c>
      <c r="FF73" s="1636">
        <v>0</v>
      </c>
      <c r="FG73" s="1179">
        <v>0</v>
      </c>
      <c r="FH73" s="1638"/>
      <c r="FI73" s="1639">
        <v>0</v>
      </c>
      <c r="FJ73" s="1639">
        <v>0</v>
      </c>
      <c r="FK73" s="1639">
        <v>0</v>
      </c>
      <c r="FL73" s="1637"/>
      <c r="FM73" s="1640" t="s">
        <v>1099</v>
      </c>
      <c r="FN73" s="1640" t="s">
        <v>1099</v>
      </c>
      <c r="FO73" s="1640" t="s">
        <v>1563</v>
      </c>
      <c r="FP73" s="1490" t="s">
        <v>630</v>
      </c>
      <c r="FQ73" s="1636">
        <v>0</v>
      </c>
      <c r="FR73" s="1636">
        <v>0</v>
      </c>
      <c r="FS73" s="1179">
        <v>0</v>
      </c>
      <c r="FT73" s="1638"/>
      <c r="FU73" s="1639">
        <v>0</v>
      </c>
      <c r="FV73" s="1639">
        <v>0</v>
      </c>
      <c r="FW73" s="1639">
        <v>0</v>
      </c>
      <c r="FX73" s="1637"/>
      <c r="FY73" s="1640" t="s">
        <v>1099</v>
      </c>
      <c r="FZ73" s="1640" t="s">
        <v>1099</v>
      </c>
      <c r="GA73" s="1640" t="s">
        <v>1563</v>
      </c>
      <c r="GB73" s="1490" t="s">
        <v>630</v>
      </c>
      <c r="GC73" s="1636">
        <v>0</v>
      </c>
      <c r="GD73" s="1636">
        <v>0</v>
      </c>
      <c r="GE73" s="1179">
        <v>0</v>
      </c>
      <c r="GF73" s="1638"/>
      <c r="GG73" s="1639">
        <v>0</v>
      </c>
      <c r="GH73" s="1639">
        <v>0</v>
      </c>
      <c r="GI73" s="1639">
        <v>0</v>
      </c>
      <c r="GJ73" s="1637"/>
      <c r="GK73" s="1640" t="s">
        <v>1099</v>
      </c>
      <c r="GL73" s="1640" t="s">
        <v>1099</v>
      </c>
      <c r="GM73" s="1640" t="s">
        <v>1563</v>
      </c>
      <c r="GN73" s="1490" t="s">
        <v>630</v>
      </c>
      <c r="GO73" s="1636">
        <v>0</v>
      </c>
      <c r="GP73" s="1636">
        <v>0</v>
      </c>
      <c r="GQ73" s="1179">
        <v>0</v>
      </c>
      <c r="GR73" s="1638"/>
      <c r="GS73" s="1639">
        <v>0</v>
      </c>
      <c r="GT73" s="1639">
        <v>0</v>
      </c>
      <c r="GU73" s="1639">
        <v>0</v>
      </c>
      <c r="GV73" s="1637"/>
      <c r="GW73" s="1640" t="s">
        <v>1099</v>
      </c>
      <c r="GX73" s="1640" t="s">
        <v>1099</v>
      </c>
      <c r="GY73" s="1640" t="s">
        <v>1563</v>
      </c>
      <c r="GZ73" s="1490" t="s">
        <v>630</v>
      </c>
    </row>
    <row r="74" spans="1:208">
      <c r="A74" s="1642" t="s">
        <v>1564</v>
      </c>
      <c r="B74" s="1642" t="s">
        <v>2111</v>
      </c>
      <c r="C74" s="1643"/>
      <c r="D74" s="1643"/>
      <c r="E74" s="1643"/>
      <c r="F74" s="1644">
        <v>-473891300</v>
      </c>
      <c r="G74" s="1644">
        <v>-473891300</v>
      </c>
      <c r="H74" s="1644">
        <v>0</v>
      </c>
      <c r="I74" s="1645">
        <v>0</v>
      </c>
      <c r="J74" s="1644">
        <v>-321690260</v>
      </c>
      <c r="K74" s="1644">
        <v>-321690260</v>
      </c>
      <c r="L74" s="1644">
        <v>0</v>
      </c>
      <c r="M74" s="1645">
        <v>0</v>
      </c>
      <c r="N74" s="1644">
        <v>-152201040</v>
      </c>
      <c r="O74" s="1644">
        <v>-152201040</v>
      </c>
      <c r="P74" s="1644">
        <v>0</v>
      </c>
      <c r="Q74" s="1644">
        <v>-149520695</v>
      </c>
      <c r="R74" s="1644">
        <v>-149214565</v>
      </c>
      <c r="S74" s="1644">
        <v>-306130</v>
      </c>
      <c r="T74" s="1644"/>
      <c r="U74" s="1644">
        <v>-173243105</v>
      </c>
      <c r="V74" s="1644">
        <v>-173243105</v>
      </c>
      <c r="W74" s="1644">
        <v>0</v>
      </c>
      <c r="X74" s="1644">
        <v>-5749203</v>
      </c>
      <c r="Y74" s="1644">
        <v>-5808764</v>
      </c>
      <c r="Z74" s="1644">
        <v>59561</v>
      </c>
      <c r="AA74" s="1644">
        <v>-5749203</v>
      </c>
      <c r="AB74" s="1644">
        <v>-5808764</v>
      </c>
      <c r="AC74" s="1644">
        <v>59561</v>
      </c>
      <c r="AD74" s="1644">
        <v>-155269898</v>
      </c>
      <c r="AE74" s="1644">
        <v>-155023329</v>
      </c>
      <c r="AF74" s="1644">
        <v>-246569</v>
      </c>
      <c r="AG74" s="1646"/>
      <c r="AH74" s="1644">
        <v>-3276581</v>
      </c>
      <c r="AI74" s="1644">
        <v>-3336142</v>
      </c>
      <c r="AJ74" s="1644">
        <v>59561</v>
      </c>
      <c r="AK74" s="1644">
        <v>-9025784</v>
      </c>
      <c r="AL74" s="1644">
        <v>-9144906</v>
      </c>
      <c r="AM74" s="1644">
        <v>119122</v>
      </c>
      <c r="AN74" s="1644">
        <v>-158546479</v>
      </c>
      <c r="AO74" s="1644">
        <v>-158359471</v>
      </c>
      <c r="AP74" s="1644">
        <v>-187008</v>
      </c>
      <c r="AQ74" s="1646"/>
      <c r="AR74" s="1644">
        <v>-6755577</v>
      </c>
      <c r="AS74" s="1644">
        <v>-6815138</v>
      </c>
      <c r="AT74" s="1644">
        <v>59561</v>
      </c>
      <c r="AU74" s="1644">
        <v>-15781361</v>
      </c>
      <c r="AV74" s="1644">
        <v>-15960044</v>
      </c>
      <c r="AW74" s="1644">
        <v>178683</v>
      </c>
      <c r="AX74" s="1644">
        <v>-165302056</v>
      </c>
      <c r="AY74" s="1644">
        <v>-165174609</v>
      </c>
      <c r="AZ74" s="1644">
        <v>-127447</v>
      </c>
      <c r="BA74" s="1646"/>
      <c r="BB74" s="1644">
        <v>-6018925</v>
      </c>
      <c r="BC74" s="1644">
        <v>-6078486</v>
      </c>
      <c r="BD74" s="1644">
        <v>59561</v>
      </c>
      <c r="BE74" s="1644">
        <v>-21800286</v>
      </c>
      <c r="BF74" s="1644">
        <v>-22038530</v>
      </c>
      <c r="BG74" s="1644">
        <v>238244</v>
      </c>
      <c r="BH74" s="1644">
        <v>-171320981</v>
      </c>
      <c r="BI74" s="1644">
        <v>-171253095</v>
      </c>
      <c r="BJ74" s="1644">
        <v>-67886</v>
      </c>
      <c r="BK74" s="1646"/>
      <c r="BL74" s="1644">
        <v>-4930545</v>
      </c>
      <c r="BM74" s="1644">
        <v>-4990106</v>
      </c>
      <c r="BN74" s="1644">
        <v>59561</v>
      </c>
      <c r="BO74" s="1644">
        <v>-26730831</v>
      </c>
      <c r="BP74" s="1644">
        <v>-27028636</v>
      </c>
      <c r="BQ74" s="1644">
        <v>297805</v>
      </c>
      <c r="BR74" s="1644">
        <v>-176251526</v>
      </c>
      <c r="BS74" s="1644">
        <v>-176243201</v>
      </c>
      <c r="BT74" s="1644">
        <v>-8325</v>
      </c>
      <c r="BU74" s="1646"/>
      <c r="BV74" s="1644">
        <v>-5170546</v>
      </c>
      <c r="BW74" s="1644">
        <v>-5250107</v>
      </c>
      <c r="BX74" s="1644">
        <v>79561</v>
      </c>
      <c r="BY74" s="1644">
        <v>-31901377</v>
      </c>
      <c r="BZ74" s="1644">
        <v>-32278743</v>
      </c>
      <c r="CA74" s="1644">
        <v>377366</v>
      </c>
      <c r="CB74" s="1644">
        <v>-181422072</v>
      </c>
      <c r="CC74" s="1644">
        <v>-181493308</v>
      </c>
      <c r="CD74" s="1644">
        <v>71236</v>
      </c>
      <c r="CE74" s="1646"/>
      <c r="CF74" s="1644">
        <v>-4936886</v>
      </c>
      <c r="CG74" s="1644">
        <v>-4996447</v>
      </c>
      <c r="CH74" s="1644">
        <v>59561</v>
      </c>
      <c r="CI74" s="1644">
        <v>-36838263</v>
      </c>
      <c r="CJ74" s="1644">
        <v>-37275190</v>
      </c>
      <c r="CK74" s="1644">
        <v>436927</v>
      </c>
      <c r="CL74" s="1644">
        <v>-186358958</v>
      </c>
      <c r="CM74" s="1644">
        <v>-186489755</v>
      </c>
      <c r="CN74" s="1644">
        <v>130797</v>
      </c>
      <c r="CO74" s="1646"/>
      <c r="CP74" s="1644">
        <v>-3640445</v>
      </c>
      <c r="CQ74" s="1644">
        <v>-3700006</v>
      </c>
      <c r="CR74" s="1644">
        <v>59561</v>
      </c>
      <c r="CS74" s="1644">
        <v>-40478708</v>
      </c>
      <c r="CT74" s="1644">
        <v>-40975196</v>
      </c>
      <c r="CU74" s="1644">
        <v>496488</v>
      </c>
      <c r="CV74" s="1644">
        <v>-189999403</v>
      </c>
      <c r="CW74" s="1644">
        <v>-190189761</v>
      </c>
      <c r="CX74" s="1644">
        <v>190358</v>
      </c>
      <c r="CY74" s="1646"/>
      <c r="CZ74" s="1644">
        <v>-3391174</v>
      </c>
      <c r="DA74" s="1644">
        <v>-3450735</v>
      </c>
      <c r="DB74" s="1644">
        <v>59561</v>
      </c>
      <c r="DC74" s="1644">
        <v>-43869882</v>
      </c>
      <c r="DD74" s="1644">
        <v>-44425931</v>
      </c>
      <c r="DE74" s="1644">
        <v>556049</v>
      </c>
      <c r="DF74" s="1644">
        <v>-193390577</v>
      </c>
      <c r="DG74" s="1644">
        <v>-193640496</v>
      </c>
      <c r="DH74" s="1644">
        <v>249919</v>
      </c>
      <c r="DI74" s="1646"/>
      <c r="DJ74" s="1644">
        <v>-6667315</v>
      </c>
      <c r="DK74" s="1644">
        <v>-6662229</v>
      </c>
      <c r="DL74" s="1644">
        <v>-5086</v>
      </c>
      <c r="DM74" s="1644">
        <v>-50537197</v>
      </c>
      <c r="DN74" s="1644">
        <v>-51088160</v>
      </c>
      <c r="DO74" s="1644">
        <v>550963</v>
      </c>
      <c r="DP74" s="1644">
        <v>-200057892</v>
      </c>
      <c r="DQ74" s="1644">
        <v>-200302725</v>
      </c>
      <c r="DR74" s="1644">
        <v>244833</v>
      </c>
      <c r="DS74" s="1646"/>
      <c r="DT74" s="1644">
        <v>-4685660</v>
      </c>
      <c r="DU74" s="1644">
        <v>-4745221</v>
      </c>
      <c r="DV74" s="1644">
        <v>59561</v>
      </c>
      <c r="DW74" s="1644">
        <v>-55222857</v>
      </c>
      <c r="DX74" s="1644">
        <v>-55833381</v>
      </c>
      <c r="DY74" s="1644">
        <v>610524</v>
      </c>
      <c r="DZ74" s="1644">
        <v>-204743552</v>
      </c>
      <c r="EA74" s="1644">
        <v>-205047946</v>
      </c>
      <c r="EB74" s="1644">
        <v>304394</v>
      </c>
      <c r="EC74" s="1646"/>
      <c r="ED74" s="1644">
        <v>-7690079</v>
      </c>
      <c r="EE74" s="1644">
        <v>-6569640</v>
      </c>
      <c r="EF74" s="1644">
        <v>-1120439</v>
      </c>
      <c r="EG74" s="1644">
        <v>-62912936</v>
      </c>
      <c r="EH74" s="1644">
        <v>-62403021</v>
      </c>
      <c r="EI74" s="1644">
        <v>-509915</v>
      </c>
      <c r="EJ74" s="1646"/>
      <c r="EK74" s="1644">
        <v>-212433631</v>
      </c>
      <c r="EL74" s="1644">
        <v>-211617586</v>
      </c>
      <c r="EM74" s="1644">
        <v>-816045</v>
      </c>
      <c r="EN74" s="1647"/>
      <c r="EO74" s="1644">
        <v>-268039169</v>
      </c>
      <c r="EP74" s="1644">
        <v>-268039169</v>
      </c>
      <c r="EQ74" s="1644">
        <v>0</v>
      </c>
      <c r="ER74" s="1645"/>
      <c r="ES74" s="1644">
        <v>-68206326</v>
      </c>
      <c r="ET74" s="1644">
        <v>-68086414</v>
      </c>
      <c r="EU74" s="1644">
        <v>-119912</v>
      </c>
      <c r="EV74" s="1646"/>
      <c r="EW74" s="1644">
        <v>-284754957</v>
      </c>
      <c r="EX74" s="1644">
        <v>-283819000</v>
      </c>
      <c r="EY74" s="1644">
        <v>-935957</v>
      </c>
      <c r="EZ74" s="1644"/>
      <c r="FA74" s="1644">
        <v>-314931843</v>
      </c>
      <c r="FB74" s="1644">
        <v>-314931843</v>
      </c>
      <c r="FC74" s="1644">
        <v>0</v>
      </c>
      <c r="FD74" s="1645"/>
      <c r="FE74" s="1644">
        <v>-76499772</v>
      </c>
      <c r="FF74" s="1644">
        <v>-75918703</v>
      </c>
      <c r="FG74" s="1644">
        <v>-581069</v>
      </c>
      <c r="FH74" s="1646"/>
      <c r="FI74" s="1644">
        <v>-362076229</v>
      </c>
      <c r="FJ74" s="1644">
        <v>-360559203</v>
      </c>
      <c r="FK74" s="1644">
        <v>-1517026</v>
      </c>
      <c r="FL74" s="1644"/>
      <c r="FM74" s="1644">
        <v>-354399571</v>
      </c>
      <c r="FN74" s="1644">
        <v>-354399571</v>
      </c>
      <c r="FO74" s="1644">
        <v>0</v>
      </c>
      <c r="FP74" s="1645"/>
      <c r="FQ74" s="1644">
        <v>-77571041</v>
      </c>
      <c r="FR74" s="1644">
        <v>-77571041</v>
      </c>
      <c r="FS74" s="1644">
        <v>0</v>
      </c>
      <c r="FT74" s="1646"/>
      <c r="FU74" s="1644">
        <v>-439647270</v>
      </c>
      <c r="FV74" s="1644">
        <v>-438130244</v>
      </c>
      <c r="FW74" s="1644">
        <v>-1517026</v>
      </c>
      <c r="FX74" s="1644"/>
      <c r="FY74" s="1644">
        <v>-395593030</v>
      </c>
      <c r="FZ74" s="1644">
        <v>-395593030</v>
      </c>
      <c r="GA74" s="1644">
        <v>0</v>
      </c>
      <c r="GB74" s="1645"/>
      <c r="GC74" s="1644">
        <v>-83771515</v>
      </c>
      <c r="GD74" s="1644">
        <v>-83771515</v>
      </c>
      <c r="GE74" s="1644">
        <v>0</v>
      </c>
      <c r="GF74" s="1646"/>
      <c r="GG74" s="1644">
        <v>-523418785</v>
      </c>
      <c r="GH74" s="1644">
        <v>-521901759</v>
      </c>
      <c r="GI74" s="1644">
        <v>-1517026</v>
      </c>
      <c r="GJ74" s="1644"/>
      <c r="GK74" s="1644">
        <v>-432195515</v>
      </c>
      <c r="GL74" s="1644">
        <v>-432195515</v>
      </c>
      <c r="GM74" s="1644">
        <v>0</v>
      </c>
      <c r="GN74" s="1645"/>
      <c r="GO74" s="1644">
        <v>-432195515</v>
      </c>
      <c r="GP74" s="1644">
        <v>-432195515</v>
      </c>
      <c r="GQ74" s="1644">
        <v>0</v>
      </c>
      <c r="GR74" s="1646"/>
      <c r="GS74" s="1644">
        <v>-955614300</v>
      </c>
      <c r="GT74" s="1644">
        <v>-954097274</v>
      </c>
      <c r="GU74" s="1644">
        <v>-1517026</v>
      </c>
      <c r="GV74" s="1644"/>
      <c r="GW74" s="1644">
        <v>0</v>
      </c>
      <c r="GX74" s="1644">
        <v>0</v>
      </c>
      <c r="GY74" s="1644">
        <v>0</v>
      </c>
      <c r="GZ74" s="1645"/>
    </row>
    <row r="75" spans="1:208">
      <c r="A75" s="1648" t="s">
        <v>2112</v>
      </c>
      <c r="B75" s="1648" t="s">
        <v>2113</v>
      </c>
      <c r="C75" s="1649"/>
      <c r="D75" s="1649"/>
      <c r="E75" s="1649"/>
      <c r="F75" s="1650">
        <v>64964620</v>
      </c>
      <c r="G75" s="1650">
        <v>-97950342</v>
      </c>
      <c r="H75" s="1650">
        <v>162914962</v>
      </c>
      <c r="I75" s="1651">
        <v>2.5077490178500237</v>
      </c>
      <c r="J75" s="1650">
        <v>64964620</v>
      </c>
      <c r="K75" s="1650">
        <v>-51182262</v>
      </c>
      <c r="L75" s="1650">
        <v>116146882</v>
      </c>
      <c r="M75" s="1651">
        <v>1.7878482472459625</v>
      </c>
      <c r="N75" s="1650">
        <v>0</v>
      </c>
      <c r="O75" s="1650">
        <v>-46768080</v>
      </c>
      <c r="P75" s="1650">
        <v>46768080</v>
      </c>
      <c r="Q75" s="1650">
        <v>25360784</v>
      </c>
      <c r="R75" s="1650">
        <v>-27183559</v>
      </c>
      <c r="S75" s="1650">
        <v>52544343</v>
      </c>
      <c r="T75" s="1650"/>
      <c r="U75" s="1650">
        <v>39656336</v>
      </c>
      <c r="V75" s="1650">
        <v>-21864211</v>
      </c>
      <c r="W75" s="1650">
        <v>61520547</v>
      </c>
      <c r="X75" s="1650">
        <v>799418</v>
      </c>
      <c r="Y75" s="1650">
        <v>-874058</v>
      </c>
      <c r="Z75" s="1650">
        <v>1673476</v>
      </c>
      <c r="AA75" s="1650">
        <v>799418</v>
      </c>
      <c r="AB75" s="1650">
        <v>-874058</v>
      </c>
      <c r="AC75" s="1650">
        <v>1673476</v>
      </c>
      <c r="AD75" s="1650">
        <v>26160202</v>
      </c>
      <c r="AE75" s="1650">
        <v>-28057617</v>
      </c>
      <c r="AF75" s="1650">
        <v>54217819</v>
      </c>
      <c r="AG75" s="1652"/>
      <c r="AH75" s="1650">
        <v>754396</v>
      </c>
      <c r="AI75" s="1650">
        <v>-255015</v>
      </c>
      <c r="AJ75" s="1650">
        <v>1009411</v>
      </c>
      <c r="AK75" s="1650">
        <v>1553814</v>
      </c>
      <c r="AL75" s="1650">
        <v>-1129073</v>
      </c>
      <c r="AM75" s="1650">
        <v>2682887</v>
      </c>
      <c r="AN75" s="1650">
        <v>26914598</v>
      </c>
      <c r="AO75" s="1650">
        <v>-28312632</v>
      </c>
      <c r="AP75" s="1650">
        <v>55227230</v>
      </c>
      <c r="AQ75" s="1652"/>
      <c r="AR75" s="1650">
        <v>1160345</v>
      </c>
      <c r="AS75" s="1650">
        <v>-797172</v>
      </c>
      <c r="AT75" s="1650">
        <v>1957517</v>
      </c>
      <c r="AU75" s="1650">
        <v>2714159</v>
      </c>
      <c r="AV75" s="1650">
        <v>-1926245</v>
      </c>
      <c r="AW75" s="1650">
        <v>4640404</v>
      </c>
      <c r="AX75" s="1650">
        <v>28074943</v>
      </c>
      <c r="AY75" s="1650">
        <v>-29109804</v>
      </c>
      <c r="AZ75" s="1650">
        <v>57184747</v>
      </c>
      <c r="BA75" s="1652"/>
      <c r="BB75" s="1650">
        <v>853602</v>
      </c>
      <c r="BC75" s="1650">
        <v>-1726755</v>
      </c>
      <c r="BD75" s="1650">
        <v>2580357</v>
      </c>
      <c r="BE75" s="1650">
        <v>3567761</v>
      </c>
      <c r="BF75" s="1650">
        <v>-3653000</v>
      </c>
      <c r="BG75" s="1650">
        <v>7220761</v>
      </c>
      <c r="BH75" s="1650">
        <v>28928545</v>
      </c>
      <c r="BI75" s="1650">
        <v>-30836559</v>
      </c>
      <c r="BJ75" s="1650">
        <v>59765104</v>
      </c>
      <c r="BK75" s="1652"/>
      <c r="BL75" s="1650">
        <v>895938</v>
      </c>
      <c r="BM75" s="1650">
        <v>-618927</v>
      </c>
      <c r="BN75" s="1650">
        <v>1514865</v>
      </c>
      <c r="BO75" s="1650">
        <v>4463699</v>
      </c>
      <c r="BP75" s="1650">
        <v>-4271927</v>
      </c>
      <c r="BQ75" s="1650">
        <v>8735626</v>
      </c>
      <c r="BR75" s="1650">
        <v>29824483</v>
      </c>
      <c r="BS75" s="1650">
        <v>-31455486</v>
      </c>
      <c r="BT75" s="1650">
        <v>61279969</v>
      </c>
      <c r="BU75" s="1652"/>
      <c r="BV75" s="1650">
        <v>769522</v>
      </c>
      <c r="BW75" s="1650">
        <v>-876135</v>
      </c>
      <c r="BX75" s="1650">
        <v>1645657</v>
      </c>
      <c r="BY75" s="1650">
        <v>5233221</v>
      </c>
      <c r="BZ75" s="1650">
        <v>-5148062</v>
      </c>
      <c r="CA75" s="1650">
        <v>10381283</v>
      </c>
      <c r="CB75" s="1650">
        <v>30594005</v>
      </c>
      <c r="CC75" s="1650">
        <v>-32331621</v>
      </c>
      <c r="CD75" s="1650">
        <v>62925626</v>
      </c>
      <c r="CE75" s="1652"/>
      <c r="CF75" s="1650">
        <v>834969</v>
      </c>
      <c r="CG75" s="1650">
        <v>-735768</v>
      </c>
      <c r="CH75" s="1650">
        <v>1570737</v>
      </c>
      <c r="CI75" s="1650">
        <v>6068190</v>
      </c>
      <c r="CJ75" s="1650">
        <v>-5883830</v>
      </c>
      <c r="CK75" s="1650">
        <v>11952020</v>
      </c>
      <c r="CL75" s="1650">
        <v>31428974</v>
      </c>
      <c r="CM75" s="1650">
        <v>-33067389</v>
      </c>
      <c r="CN75" s="1650">
        <v>64496363</v>
      </c>
      <c r="CO75" s="1652"/>
      <c r="CP75" s="1650">
        <v>836152</v>
      </c>
      <c r="CQ75" s="1650">
        <v>83782</v>
      </c>
      <c r="CR75" s="1650">
        <v>752370</v>
      </c>
      <c r="CS75" s="1650">
        <v>6904342</v>
      </c>
      <c r="CT75" s="1650">
        <v>-5800048</v>
      </c>
      <c r="CU75" s="1650">
        <v>12704390</v>
      </c>
      <c r="CV75" s="1650">
        <v>32265126</v>
      </c>
      <c r="CW75" s="1650">
        <v>-32983607</v>
      </c>
      <c r="CX75" s="1650">
        <v>65248733</v>
      </c>
      <c r="CY75" s="1652"/>
      <c r="CZ75" s="1650">
        <v>821362</v>
      </c>
      <c r="DA75" s="1650">
        <v>266245</v>
      </c>
      <c r="DB75" s="1650">
        <v>555117</v>
      </c>
      <c r="DC75" s="1650">
        <v>7725704</v>
      </c>
      <c r="DD75" s="1650">
        <v>-5533803</v>
      </c>
      <c r="DE75" s="1650">
        <v>13259507</v>
      </c>
      <c r="DF75" s="1650">
        <v>33086488</v>
      </c>
      <c r="DG75" s="1650">
        <v>-32717362</v>
      </c>
      <c r="DH75" s="1650">
        <v>65803850</v>
      </c>
      <c r="DI75" s="1652"/>
      <c r="DJ75" s="1650">
        <v>832388</v>
      </c>
      <c r="DK75" s="1650">
        <v>-2369558</v>
      </c>
      <c r="DL75" s="1650">
        <v>3201946</v>
      </c>
      <c r="DM75" s="1650">
        <v>8558092</v>
      </c>
      <c r="DN75" s="1650">
        <v>-7903361</v>
      </c>
      <c r="DO75" s="1650">
        <v>16461453</v>
      </c>
      <c r="DP75" s="1650">
        <v>33918876</v>
      </c>
      <c r="DQ75" s="1650">
        <v>-35086920</v>
      </c>
      <c r="DR75" s="1650">
        <v>69005796</v>
      </c>
      <c r="DS75" s="1652"/>
      <c r="DT75" s="1650">
        <v>791839</v>
      </c>
      <c r="DU75" s="1650">
        <v>-778690</v>
      </c>
      <c r="DV75" s="1650">
        <v>1570529</v>
      </c>
      <c r="DW75" s="1650">
        <v>9349931</v>
      </c>
      <c r="DX75" s="1650">
        <v>-8682051</v>
      </c>
      <c r="DY75" s="1650">
        <v>18031982</v>
      </c>
      <c r="DZ75" s="1650">
        <v>34710715</v>
      </c>
      <c r="EA75" s="1650">
        <v>-35865610</v>
      </c>
      <c r="EB75" s="1650">
        <v>70576325</v>
      </c>
      <c r="EC75" s="1652"/>
      <c r="ED75" s="1650">
        <v>5860907</v>
      </c>
      <c r="EE75" s="1650">
        <v>2271062</v>
      </c>
      <c r="EF75" s="1650">
        <v>3589845</v>
      </c>
      <c r="EG75" s="1650">
        <v>15210838</v>
      </c>
      <c r="EH75" s="1650">
        <v>-6410989</v>
      </c>
      <c r="EI75" s="1650">
        <v>21621827</v>
      </c>
      <c r="EJ75" s="1652"/>
      <c r="EK75" s="1650">
        <v>40571622</v>
      </c>
      <c r="EL75" s="1650">
        <v>-33594548</v>
      </c>
      <c r="EM75" s="1650">
        <v>74166170</v>
      </c>
      <c r="EN75" s="1653"/>
      <c r="EO75" s="1650">
        <v>24445498</v>
      </c>
      <c r="EP75" s="1650">
        <v>-64712480</v>
      </c>
      <c r="EQ75" s="1650">
        <v>89157978</v>
      </c>
      <c r="ER75" s="1651"/>
      <c r="ES75" s="1650">
        <v>5887530</v>
      </c>
      <c r="ET75" s="1650">
        <v>-15238635</v>
      </c>
      <c r="EU75" s="1650">
        <v>21126165</v>
      </c>
      <c r="EV75" s="1652"/>
      <c r="EW75" s="1650">
        <v>42344152</v>
      </c>
      <c r="EX75" s="1650">
        <v>-52948183</v>
      </c>
      <c r="EY75" s="1650">
        <v>95292335</v>
      </c>
      <c r="EZ75" s="1650"/>
      <c r="FA75" s="1650">
        <v>18557968</v>
      </c>
      <c r="FB75" s="1650">
        <v>-85037367</v>
      </c>
      <c r="FC75" s="1650">
        <v>103595335</v>
      </c>
      <c r="FD75" s="1651"/>
      <c r="FE75" s="1650">
        <v>4764414</v>
      </c>
      <c r="FF75" s="1650">
        <v>-18738788</v>
      </c>
      <c r="FG75" s="1650">
        <v>23503202</v>
      </c>
      <c r="FH75" s="1652"/>
      <c r="FI75" s="1650">
        <v>46287066</v>
      </c>
      <c r="FJ75" s="1650">
        <v>-72508471</v>
      </c>
      <c r="FK75" s="1650">
        <v>118795537</v>
      </c>
      <c r="FL75" s="1650"/>
      <c r="FM75" s="1650">
        <v>13793554</v>
      </c>
      <c r="FN75" s="1650">
        <v>-101859991</v>
      </c>
      <c r="FO75" s="1650">
        <v>115653545</v>
      </c>
      <c r="FP75" s="1651"/>
      <c r="FQ75" s="1650">
        <v>2907419</v>
      </c>
      <c r="FR75" s="1650">
        <v>-21792443</v>
      </c>
      <c r="FS75" s="1650">
        <v>24699862</v>
      </c>
      <c r="FT75" s="1652"/>
      <c r="FU75" s="1650">
        <v>49194485</v>
      </c>
      <c r="FV75" s="1650">
        <v>-94300914</v>
      </c>
      <c r="FW75" s="1650">
        <v>143495399</v>
      </c>
      <c r="FX75" s="1650"/>
      <c r="FY75" s="1650">
        <v>10886135</v>
      </c>
      <c r="FZ75" s="1650">
        <v>-117204122</v>
      </c>
      <c r="GA75" s="1650">
        <v>128090257</v>
      </c>
      <c r="GB75" s="1651"/>
      <c r="GC75" s="1650">
        <v>4854971</v>
      </c>
      <c r="GD75" s="1650">
        <v>-21705488</v>
      </c>
      <c r="GE75" s="1650">
        <v>26560459</v>
      </c>
      <c r="GF75" s="1652"/>
      <c r="GG75" s="1650">
        <v>54049456</v>
      </c>
      <c r="GH75" s="1650">
        <v>-116006402</v>
      </c>
      <c r="GI75" s="1650">
        <v>170055858</v>
      </c>
      <c r="GJ75" s="1650"/>
      <c r="GK75" s="1650">
        <v>6031164</v>
      </c>
      <c r="GL75" s="1650">
        <v>-132557239</v>
      </c>
      <c r="GM75" s="1650">
        <v>138588403</v>
      </c>
      <c r="GN75" s="1651"/>
      <c r="GO75" s="1650">
        <v>6031164</v>
      </c>
      <c r="GP75" s="1650">
        <v>-132497239</v>
      </c>
      <c r="GQ75" s="1650">
        <v>138528403</v>
      </c>
      <c r="GR75" s="1652"/>
      <c r="GS75" s="1650">
        <v>60080620</v>
      </c>
      <c r="GT75" s="1650">
        <v>-248503641</v>
      </c>
      <c r="GU75" s="1650">
        <v>308584261</v>
      </c>
      <c r="GV75" s="1650"/>
      <c r="GW75" s="1650">
        <v>0</v>
      </c>
      <c r="GX75" s="1650">
        <v>0</v>
      </c>
      <c r="GY75" s="1650">
        <v>0</v>
      </c>
      <c r="GZ75" s="1651"/>
    </row>
    <row r="76" spans="1:208">
      <c r="J76" s="532">
        <v>0</v>
      </c>
      <c r="K76" s="532">
        <v>0</v>
      </c>
      <c r="L76" s="532">
        <v>0</v>
      </c>
      <c r="N76" s="532">
        <v>0</v>
      </c>
      <c r="O76" s="532">
        <v>0</v>
      </c>
      <c r="P76" s="532">
        <v>0</v>
      </c>
      <c r="Q76" s="532">
        <v>0</v>
      </c>
      <c r="R76" s="532">
        <v>0</v>
      </c>
      <c r="S76" s="532">
        <v>0</v>
      </c>
      <c r="U76" s="532">
        <v>0</v>
      </c>
      <c r="V76" s="532">
        <v>0</v>
      </c>
      <c r="W76" s="532">
        <v>0</v>
      </c>
      <c r="X76" s="532">
        <v>0</v>
      </c>
      <c r="Y76" s="532">
        <v>0</v>
      </c>
      <c r="Z76" s="532">
        <v>0</v>
      </c>
      <c r="AA76" s="532">
        <v>0</v>
      </c>
      <c r="AB76" s="532">
        <v>0</v>
      </c>
      <c r="AC76" s="532">
        <v>0</v>
      </c>
      <c r="AD76" s="532">
        <v>0</v>
      </c>
      <c r="AE76" s="532">
        <v>0</v>
      </c>
      <c r="AF76" s="532">
        <v>0</v>
      </c>
      <c r="AH76" s="532">
        <v>0</v>
      </c>
      <c r="AI76" s="532">
        <v>0</v>
      </c>
      <c r="AJ76" s="532">
        <v>0</v>
      </c>
      <c r="AK76" s="532">
        <v>0</v>
      </c>
      <c r="AL76" s="532">
        <v>0</v>
      </c>
      <c r="AM76" s="533">
        <v>0</v>
      </c>
      <c r="AN76" s="532">
        <v>0</v>
      </c>
      <c r="AO76" s="532">
        <v>0</v>
      </c>
      <c r="AP76" s="532">
        <v>0</v>
      </c>
      <c r="AR76" s="532">
        <v>0</v>
      </c>
      <c r="AS76" s="532">
        <v>0</v>
      </c>
      <c r="AT76" s="532">
        <v>0</v>
      </c>
      <c r="AU76" s="532">
        <v>0</v>
      </c>
      <c r="AV76" s="532">
        <v>0</v>
      </c>
      <c r="AW76" s="532">
        <v>0</v>
      </c>
      <c r="AX76" s="532">
        <v>0</v>
      </c>
      <c r="AY76" s="532">
        <v>0</v>
      </c>
      <c r="AZ76" s="532">
        <v>0</v>
      </c>
      <c r="BB76" s="532">
        <v>0</v>
      </c>
      <c r="BC76" s="532">
        <v>0</v>
      </c>
      <c r="BD76" s="532">
        <v>0</v>
      </c>
      <c r="BE76" s="532">
        <v>0</v>
      </c>
      <c r="BF76" s="532">
        <v>0</v>
      </c>
      <c r="BG76" s="532">
        <v>0</v>
      </c>
      <c r="BH76" s="532">
        <v>0</v>
      </c>
      <c r="BI76" s="532">
        <v>0</v>
      </c>
      <c r="BJ76" s="532">
        <v>0</v>
      </c>
      <c r="BL76" s="532">
        <v>0</v>
      </c>
      <c r="BM76" s="532">
        <v>0</v>
      </c>
      <c r="BN76" s="532">
        <v>0</v>
      </c>
      <c r="BO76" s="532">
        <v>0</v>
      </c>
      <c r="BP76" s="532">
        <v>0</v>
      </c>
      <c r="BQ76" s="532">
        <v>0</v>
      </c>
      <c r="BR76" s="532">
        <v>0</v>
      </c>
      <c r="BS76" s="532">
        <v>0</v>
      </c>
      <c r="BT76" s="532">
        <v>0</v>
      </c>
      <c r="BV76" s="532">
        <v>0</v>
      </c>
      <c r="BW76" s="532">
        <v>0</v>
      </c>
      <c r="BX76" s="532">
        <v>0</v>
      </c>
      <c r="BY76" s="532">
        <v>0</v>
      </c>
      <c r="BZ76" s="532">
        <v>0</v>
      </c>
      <c r="CA76" s="532">
        <v>0</v>
      </c>
      <c r="CB76" s="532">
        <v>0</v>
      </c>
      <c r="CC76" s="532">
        <v>0</v>
      </c>
      <c r="CD76" s="532">
        <v>0</v>
      </c>
      <c r="CF76" s="532">
        <v>0</v>
      </c>
      <c r="CG76" s="532">
        <v>0</v>
      </c>
      <c r="CH76" s="532">
        <v>0</v>
      </c>
      <c r="CI76" s="532">
        <v>0</v>
      </c>
      <c r="CJ76" s="532">
        <v>0</v>
      </c>
      <c r="CK76" s="532">
        <v>0</v>
      </c>
      <c r="CL76" s="532">
        <v>0</v>
      </c>
      <c r="CM76" s="532">
        <v>0</v>
      </c>
      <c r="CN76" s="532">
        <v>0</v>
      </c>
      <c r="CP76" s="532">
        <v>0</v>
      </c>
      <c r="CQ76" s="532">
        <v>0</v>
      </c>
      <c r="CR76" s="532">
        <v>0</v>
      </c>
      <c r="CS76" s="532">
        <v>0</v>
      </c>
      <c r="CT76" s="532">
        <v>0</v>
      </c>
      <c r="CU76" s="532">
        <v>0</v>
      </c>
      <c r="CV76" s="532">
        <v>0</v>
      </c>
      <c r="CW76" s="532">
        <v>0</v>
      </c>
      <c r="CX76" s="532">
        <v>0</v>
      </c>
      <c r="CZ76" s="532">
        <v>0</v>
      </c>
      <c r="DA76" s="532">
        <v>0</v>
      </c>
      <c r="DB76" s="532">
        <v>0</v>
      </c>
      <c r="DC76" s="532">
        <v>0</v>
      </c>
      <c r="DD76" s="532">
        <v>0</v>
      </c>
      <c r="DE76" s="532">
        <v>0</v>
      </c>
      <c r="DF76" s="532">
        <v>0</v>
      </c>
      <c r="DG76" s="532">
        <v>0</v>
      </c>
      <c r="DH76" s="532">
        <v>0</v>
      </c>
      <c r="DJ76" s="532">
        <v>0</v>
      </c>
      <c r="DK76" s="532">
        <v>0</v>
      </c>
      <c r="DL76" s="532">
        <v>0</v>
      </c>
      <c r="DM76" s="532">
        <v>0</v>
      </c>
      <c r="DN76" s="532">
        <v>0</v>
      </c>
      <c r="DO76" s="532">
        <v>0</v>
      </c>
      <c r="DP76" s="532">
        <v>0</v>
      </c>
      <c r="DQ76" s="532">
        <v>0</v>
      </c>
      <c r="DR76" s="532">
        <v>0</v>
      </c>
      <c r="DT76" s="532">
        <v>0</v>
      </c>
      <c r="DU76" s="532">
        <v>0</v>
      </c>
      <c r="DV76" s="532">
        <v>0</v>
      </c>
      <c r="DW76" s="532">
        <v>0</v>
      </c>
      <c r="DX76" s="532">
        <v>0</v>
      </c>
      <c r="DY76" s="532">
        <v>0</v>
      </c>
      <c r="DZ76" s="532">
        <v>0</v>
      </c>
      <c r="EA76" s="532">
        <v>0</v>
      </c>
      <c r="EB76" s="532">
        <v>0</v>
      </c>
      <c r="ED76" s="532">
        <v>0</v>
      </c>
      <c r="EE76" s="532">
        <v>0</v>
      </c>
      <c r="EF76" s="532">
        <v>0</v>
      </c>
      <c r="EG76" s="532">
        <v>0</v>
      </c>
      <c r="EH76" s="532">
        <v>0</v>
      </c>
      <c r="EI76" s="532">
        <v>0</v>
      </c>
      <c r="EK76" s="532">
        <v>0</v>
      </c>
      <c r="EL76" s="532">
        <v>0</v>
      </c>
      <c r="EM76" s="532">
        <v>0</v>
      </c>
      <c r="EN76" s="532" t="s">
        <v>2114</v>
      </c>
      <c r="EO76" s="532">
        <v>0</v>
      </c>
      <c r="EP76" s="532">
        <v>0</v>
      </c>
      <c r="EQ76" s="532">
        <v>0</v>
      </c>
      <c r="ES76" s="532">
        <v>0</v>
      </c>
      <c r="ET76" s="532">
        <v>0</v>
      </c>
      <c r="EU76" s="532">
        <v>0</v>
      </c>
      <c r="EZ76" s="532" t="s">
        <v>2114</v>
      </c>
      <c r="FA76" s="532">
        <v>0</v>
      </c>
      <c r="FB76" s="532">
        <v>0</v>
      </c>
      <c r="FC76" s="532">
        <v>0</v>
      </c>
      <c r="FE76" s="532">
        <v>0</v>
      </c>
      <c r="FF76" s="532">
        <v>0</v>
      </c>
      <c r="FG76" s="532">
        <v>0</v>
      </c>
      <c r="FM76" s="532">
        <v>0</v>
      </c>
      <c r="FN76" s="532">
        <v>0</v>
      </c>
      <c r="FO76" s="532">
        <v>0</v>
      </c>
      <c r="FQ76" s="532">
        <v>0</v>
      </c>
      <c r="FR76" s="532">
        <v>0</v>
      </c>
      <c r="FS76" s="532">
        <v>0</v>
      </c>
      <c r="FY76" s="532">
        <v>0</v>
      </c>
      <c r="FZ76" s="532">
        <v>0</v>
      </c>
      <c r="GA76" s="532">
        <v>0</v>
      </c>
      <c r="GC76" s="532">
        <v>0</v>
      </c>
      <c r="GD76" s="532">
        <v>0</v>
      </c>
      <c r="GE76" s="532">
        <v>0</v>
      </c>
      <c r="GK76" s="532">
        <v>0</v>
      </c>
      <c r="GL76" s="532">
        <v>0</v>
      </c>
      <c r="GM76" s="532">
        <v>0</v>
      </c>
      <c r="GO76" s="532">
        <v>0</v>
      </c>
      <c r="GP76" s="532">
        <v>0</v>
      </c>
      <c r="GQ76" s="532">
        <v>0</v>
      </c>
      <c r="GW76" s="532">
        <v>0</v>
      </c>
      <c r="GX76" s="532">
        <v>0</v>
      </c>
      <c r="GY76" s="532">
        <v>0</v>
      </c>
    </row>
    <row r="77" spans="1:208">
      <c r="L77" s="532"/>
      <c r="AM77" s="533"/>
      <c r="BA77" s="532"/>
      <c r="EN77" s="532" t="s">
        <v>2115</v>
      </c>
      <c r="EO77" s="532">
        <v>0</v>
      </c>
      <c r="EP77" s="532">
        <v>0</v>
      </c>
      <c r="EQ77" s="532">
        <v>0</v>
      </c>
      <c r="EZ77" s="532" t="s">
        <v>2115</v>
      </c>
      <c r="FA77" s="532">
        <v>0</v>
      </c>
      <c r="FB77" s="532">
        <v>0</v>
      </c>
      <c r="FC77" s="532">
        <v>0</v>
      </c>
      <c r="FM77" s="532">
        <v>0</v>
      </c>
      <c r="FN77" s="532">
        <v>0</v>
      </c>
      <c r="FO77" s="532">
        <v>0</v>
      </c>
      <c r="FY77" s="532">
        <v>0</v>
      </c>
      <c r="FZ77" s="532">
        <v>0</v>
      </c>
      <c r="GA77" s="532">
        <v>0</v>
      </c>
      <c r="GK77" s="532">
        <v>0</v>
      </c>
      <c r="GL77" s="532">
        <v>0</v>
      </c>
      <c r="GM77" s="532">
        <v>0</v>
      </c>
      <c r="GW77" s="532">
        <v>0</v>
      </c>
      <c r="GX77" s="532">
        <v>0</v>
      </c>
      <c r="GY77" s="532">
        <v>0</v>
      </c>
    </row>
    <row r="78" spans="1:208">
      <c r="L78" s="532"/>
      <c r="AM78" s="533"/>
    </row>
    <row r="79" spans="1:208">
      <c r="L79" s="532"/>
      <c r="AM79" s="533"/>
    </row>
    <row r="80" spans="1:208">
      <c r="B80" s="532" t="s">
        <v>1565</v>
      </c>
      <c r="Q80" s="532">
        <v>0</v>
      </c>
      <c r="R80" s="532">
        <v>0</v>
      </c>
      <c r="S80" s="532">
        <v>0</v>
      </c>
      <c r="U80" s="532">
        <v>0</v>
      </c>
      <c r="V80" s="532">
        <v>0</v>
      </c>
      <c r="W80" s="532">
        <v>0</v>
      </c>
      <c r="Z80" s="532">
        <v>0</v>
      </c>
      <c r="AJ80" s="532">
        <v>0</v>
      </c>
      <c r="AM80" s="533"/>
      <c r="AT80" s="532">
        <v>0</v>
      </c>
      <c r="BD80" s="532">
        <v>0</v>
      </c>
      <c r="BN80" s="532">
        <v>0</v>
      </c>
      <c r="BX80" s="532">
        <v>0</v>
      </c>
      <c r="CH80" s="532">
        <v>0</v>
      </c>
      <c r="CR80" s="532">
        <v>0</v>
      </c>
      <c r="DB80" s="532">
        <v>0</v>
      </c>
      <c r="DL80" s="532">
        <v>0</v>
      </c>
      <c r="DV80" s="532">
        <v>0</v>
      </c>
      <c r="EF80" s="532">
        <v>0</v>
      </c>
      <c r="EG80" s="532">
        <v>0</v>
      </c>
      <c r="EH80" s="532">
        <v>0</v>
      </c>
      <c r="EI80" s="532">
        <v>0</v>
      </c>
      <c r="EK80" s="532">
        <v>0</v>
      </c>
      <c r="EL80" s="532">
        <v>0</v>
      </c>
      <c r="EM80" s="532">
        <v>0</v>
      </c>
      <c r="EO80" s="532">
        <v>0</v>
      </c>
      <c r="EP80" s="532">
        <v>0</v>
      </c>
      <c r="EQ80" s="532">
        <v>0</v>
      </c>
      <c r="ES80" s="532">
        <v>0</v>
      </c>
      <c r="ET80" s="532">
        <v>0</v>
      </c>
      <c r="EU80" s="532">
        <v>0</v>
      </c>
      <c r="FA80" s="532">
        <v>0</v>
      </c>
      <c r="FB80" s="532">
        <v>0</v>
      </c>
      <c r="FE80" s="532">
        <v>0</v>
      </c>
      <c r="FF80" s="532">
        <v>0</v>
      </c>
      <c r="FG80" s="532">
        <v>0</v>
      </c>
      <c r="FM80" s="532">
        <v>0</v>
      </c>
      <c r="FN80" s="532">
        <v>0</v>
      </c>
      <c r="FQ80" s="532">
        <v>0</v>
      </c>
      <c r="FR80" s="532">
        <v>0</v>
      </c>
      <c r="FS80" s="532">
        <v>0</v>
      </c>
      <c r="GC80" s="532">
        <v>0</v>
      </c>
      <c r="GD80" s="532">
        <v>0</v>
      </c>
      <c r="GE80" s="532">
        <v>0</v>
      </c>
      <c r="GO80" s="532">
        <v>0</v>
      </c>
      <c r="GP80" s="532">
        <v>0</v>
      </c>
      <c r="GQ80" s="532">
        <v>0</v>
      </c>
    </row>
    <row r="81" spans="1:208" s="611" customFormat="1">
      <c r="B81" s="611" t="s">
        <v>2116</v>
      </c>
      <c r="C81" s="612" t="s">
        <v>1314</v>
      </c>
      <c r="F81" s="611">
        <v>0</v>
      </c>
      <c r="H81" s="1654">
        <v>0</v>
      </c>
      <c r="I81" s="612"/>
      <c r="J81" s="611">
        <v>0</v>
      </c>
      <c r="L81" s="1654">
        <v>0</v>
      </c>
      <c r="M81" s="612"/>
      <c r="P81" s="1654"/>
      <c r="Q81" s="611">
        <v>0</v>
      </c>
      <c r="S81" s="1654">
        <v>0</v>
      </c>
      <c r="U81" s="611">
        <v>0</v>
      </c>
      <c r="W81" s="1654">
        <v>0</v>
      </c>
      <c r="X81" s="611">
        <v>0</v>
      </c>
      <c r="Z81" s="1654">
        <v>0</v>
      </c>
      <c r="AA81" s="611">
        <v>0</v>
      </c>
      <c r="AC81" s="1654">
        <v>0</v>
      </c>
      <c r="AD81" s="611">
        <v>0</v>
      </c>
      <c r="AF81" s="1654">
        <v>0</v>
      </c>
      <c r="AG81" s="1655"/>
      <c r="AH81" s="611">
        <v>0</v>
      </c>
      <c r="AJ81" s="1654">
        <v>0</v>
      </c>
      <c r="AK81" s="611">
        <v>0</v>
      </c>
      <c r="AM81" s="1654">
        <v>0</v>
      </c>
      <c r="AN81" s="611">
        <v>0</v>
      </c>
      <c r="AP81" s="1654">
        <v>0</v>
      </c>
      <c r="AQ81" s="1655"/>
      <c r="AR81" s="611">
        <v>0</v>
      </c>
      <c r="AT81" s="1654">
        <v>0</v>
      </c>
      <c r="AU81" s="611">
        <v>0</v>
      </c>
      <c r="AW81" s="1654">
        <v>0</v>
      </c>
      <c r="AX81" s="611">
        <v>0</v>
      </c>
      <c r="AZ81" s="1654">
        <v>0</v>
      </c>
      <c r="BA81" s="1655"/>
      <c r="BB81" s="611">
        <v>0</v>
      </c>
      <c r="BD81" s="1654">
        <v>0</v>
      </c>
      <c r="BE81" s="611">
        <v>0</v>
      </c>
      <c r="BG81" s="1654">
        <v>0</v>
      </c>
      <c r="BH81" s="1654">
        <v>0</v>
      </c>
      <c r="BJ81" s="611">
        <v>0</v>
      </c>
      <c r="BK81" s="1655"/>
      <c r="BL81" s="611">
        <v>0</v>
      </c>
      <c r="BN81" s="1654">
        <v>0</v>
      </c>
      <c r="BO81" s="611">
        <v>0</v>
      </c>
      <c r="BQ81" s="1654">
        <v>0</v>
      </c>
      <c r="BR81" s="611">
        <v>0</v>
      </c>
      <c r="BS81" s="611">
        <v>0</v>
      </c>
      <c r="BT81" s="611">
        <v>0</v>
      </c>
      <c r="BU81" s="1655"/>
      <c r="BV81" s="611">
        <v>0</v>
      </c>
      <c r="BX81" s="1654">
        <v>0</v>
      </c>
      <c r="CB81" s="611">
        <v>0</v>
      </c>
      <c r="CC81" s="611">
        <v>0</v>
      </c>
      <c r="CD81" s="611">
        <v>0</v>
      </c>
      <c r="CE81" s="1655"/>
      <c r="CF81" s="611">
        <v>0</v>
      </c>
      <c r="CH81" s="1654">
        <v>0</v>
      </c>
      <c r="CL81" s="611">
        <v>0</v>
      </c>
      <c r="CM81" s="611">
        <v>0</v>
      </c>
      <c r="CN81" s="611">
        <v>0</v>
      </c>
      <c r="CO81" s="1655"/>
      <c r="CP81" s="611">
        <v>0</v>
      </c>
      <c r="CR81" s="1654">
        <v>0</v>
      </c>
      <c r="CV81" s="611">
        <v>0</v>
      </c>
      <c r="CW81" s="611">
        <v>0</v>
      </c>
      <c r="CX81" s="611">
        <v>0</v>
      </c>
      <c r="CY81" s="1655"/>
      <c r="CZ81" s="611">
        <v>0</v>
      </c>
      <c r="DB81" s="1654">
        <v>0</v>
      </c>
      <c r="DF81" s="611">
        <v>0</v>
      </c>
      <c r="DG81" s="611">
        <v>0</v>
      </c>
      <c r="DH81" s="611">
        <v>0</v>
      </c>
      <c r="DI81" s="1655"/>
      <c r="DJ81" s="611">
        <v>0</v>
      </c>
      <c r="DL81" s="1654">
        <v>0</v>
      </c>
      <c r="DP81" s="611">
        <v>0</v>
      </c>
      <c r="DQ81" s="611">
        <v>0</v>
      </c>
      <c r="DR81" s="611">
        <v>0</v>
      </c>
      <c r="DS81" s="1655"/>
      <c r="DT81" s="611">
        <v>0</v>
      </c>
      <c r="DV81" s="1654">
        <v>0</v>
      </c>
      <c r="DZ81" s="611">
        <v>0</v>
      </c>
      <c r="EA81" s="611">
        <v>0</v>
      </c>
      <c r="EB81" s="611">
        <v>0</v>
      </c>
      <c r="EC81" s="1655"/>
      <c r="ED81" s="611">
        <v>0</v>
      </c>
      <c r="EF81" s="1654">
        <v>0</v>
      </c>
      <c r="EG81" s="611">
        <v>0</v>
      </c>
      <c r="EH81" s="611">
        <v>0</v>
      </c>
      <c r="EI81" s="611">
        <v>0</v>
      </c>
      <c r="EJ81" s="1655"/>
      <c r="EK81" s="611">
        <v>0</v>
      </c>
      <c r="EL81" s="611">
        <v>0</v>
      </c>
      <c r="EM81" s="611">
        <v>0</v>
      </c>
      <c r="EN81" s="1655"/>
      <c r="EO81" s="611">
        <v>0</v>
      </c>
      <c r="EP81" s="611">
        <v>0</v>
      </c>
      <c r="EQ81" s="611">
        <v>0</v>
      </c>
      <c r="ER81" s="1655"/>
      <c r="EV81" s="1655"/>
      <c r="EW81" s="611">
        <v>0</v>
      </c>
      <c r="EX81" s="611">
        <v>0</v>
      </c>
      <c r="EY81" s="611">
        <v>0</v>
      </c>
      <c r="EZ81" s="1655"/>
      <c r="FA81" s="611">
        <v>0</v>
      </c>
      <c r="FB81" s="611">
        <v>0</v>
      </c>
      <c r="FC81" s="611">
        <v>0</v>
      </c>
      <c r="FD81" s="1655"/>
      <c r="FH81" s="1655"/>
      <c r="FI81" s="611">
        <v>0</v>
      </c>
      <c r="FJ81" s="611">
        <v>0</v>
      </c>
      <c r="FK81" s="611">
        <v>0</v>
      </c>
      <c r="FM81" s="611">
        <v>0</v>
      </c>
      <c r="FO81" s="611">
        <v>0</v>
      </c>
      <c r="FP81" s="1655"/>
      <c r="FT81" s="1655"/>
      <c r="FU81" s="611">
        <v>0</v>
      </c>
      <c r="FV81" s="611">
        <v>0</v>
      </c>
      <c r="FW81" s="611">
        <v>0</v>
      </c>
      <c r="FY81" s="611">
        <v>0</v>
      </c>
      <c r="GA81" s="611">
        <v>0</v>
      </c>
      <c r="GB81" s="1655"/>
      <c r="GF81" s="1655"/>
      <c r="GG81" s="611">
        <v>0</v>
      </c>
      <c r="GH81" s="611">
        <v>0</v>
      </c>
      <c r="GI81" s="611">
        <v>0</v>
      </c>
      <c r="GK81" s="611">
        <v>0</v>
      </c>
      <c r="GM81" s="611">
        <v>0</v>
      </c>
      <c r="GN81" s="1655"/>
      <c r="GR81" s="1655"/>
      <c r="GS81" s="611">
        <v>0</v>
      </c>
      <c r="GT81" s="611">
        <v>0</v>
      </c>
      <c r="GU81" s="611">
        <v>0</v>
      </c>
      <c r="GW81" s="611">
        <v>0</v>
      </c>
      <c r="GY81" s="611">
        <v>0</v>
      </c>
      <c r="GZ81" s="1655"/>
    </row>
    <row r="82" spans="1:208" s="640" customFormat="1">
      <c r="B82" s="640" t="s">
        <v>2117</v>
      </c>
      <c r="C82" s="641" t="s">
        <v>2118</v>
      </c>
      <c r="H82" s="1656"/>
      <c r="I82" s="641"/>
      <c r="L82" s="1656"/>
      <c r="M82" s="641"/>
      <c r="P82" s="1656"/>
      <c r="Q82" s="640">
        <v>0</v>
      </c>
      <c r="R82" s="640">
        <v>0</v>
      </c>
      <c r="S82" s="640">
        <v>0</v>
      </c>
      <c r="U82" s="640">
        <v>0</v>
      </c>
      <c r="V82" s="640">
        <v>0</v>
      </c>
      <c r="W82" s="640">
        <v>0</v>
      </c>
      <c r="X82" s="640">
        <v>0</v>
      </c>
      <c r="Y82" s="640">
        <v>0</v>
      </c>
      <c r="Z82" s="640">
        <v>0</v>
      </c>
      <c r="AA82" s="640">
        <v>0</v>
      </c>
      <c r="AB82" s="640">
        <v>0</v>
      </c>
      <c r="AC82" s="640">
        <v>0</v>
      </c>
      <c r="AD82" s="640">
        <v>0</v>
      </c>
      <c r="AE82" s="640">
        <v>0</v>
      </c>
      <c r="AF82" s="640">
        <v>0</v>
      </c>
      <c r="AG82" s="1657"/>
      <c r="AH82" s="640">
        <v>0</v>
      </c>
      <c r="AI82" s="640">
        <v>0</v>
      </c>
      <c r="AJ82" s="640">
        <v>0</v>
      </c>
      <c r="AK82" s="640">
        <v>0</v>
      </c>
      <c r="AL82" s="640">
        <v>0</v>
      </c>
      <c r="AM82" s="640">
        <v>0</v>
      </c>
      <c r="AN82" s="640">
        <v>0</v>
      </c>
      <c r="AO82" s="640">
        <v>0</v>
      </c>
      <c r="AP82" s="640">
        <v>0</v>
      </c>
      <c r="AQ82" s="1657"/>
      <c r="AR82" s="640">
        <v>0</v>
      </c>
      <c r="AS82" s="640">
        <v>0</v>
      </c>
      <c r="AT82" s="640">
        <v>0</v>
      </c>
      <c r="AU82" s="640">
        <v>0</v>
      </c>
      <c r="AV82" s="640">
        <v>0</v>
      </c>
      <c r="AW82" s="640">
        <v>0</v>
      </c>
      <c r="AX82" s="640">
        <v>0</v>
      </c>
      <c r="AY82" s="640">
        <v>0</v>
      </c>
      <c r="AZ82" s="640">
        <v>0</v>
      </c>
      <c r="BA82" s="1657"/>
      <c r="BB82" s="640">
        <v>0</v>
      </c>
      <c r="BC82" s="640">
        <v>0</v>
      </c>
      <c r="BD82" s="640">
        <v>0</v>
      </c>
      <c r="BE82" s="640">
        <v>0</v>
      </c>
      <c r="BF82" s="640">
        <v>0</v>
      </c>
      <c r="BG82" s="640">
        <v>0</v>
      </c>
      <c r="BH82" s="640">
        <v>0</v>
      </c>
      <c r="BI82" s="640">
        <v>0</v>
      </c>
      <c r="BJ82" s="640">
        <v>0</v>
      </c>
      <c r="BK82" s="1657"/>
      <c r="BL82" s="640">
        <v>0</v>
      </c>
      <c r="BM82" s="640">
        <v>0</v>
      </c>
      <c r="BN82" s="640">
        <v>0</v>
      </c>
      <c r="BO82" s="640">
        <v>0</v>
      </c>
      <c r="BP82" s="640">
        <v>0</v>
      </c>
      <c r="BQ82" s="640">
        <v>0</v>
      </c>
      <c r="BR82" s="640">
        <v>0</v>
      </c>
      <c r="BS82" s="640">
        <v>0</v>
      </c>
      <c r="BT82" s="640">
        <v>0</v>
      </c>
      <c r="BU82" s="1657"/>
      <c r="BV82" s="640">
        <v>0</v>
      </c>
      <c r="BW82" s="640">
        <v>0</v>
      </c>
      <c r="BX82" s="640">
        <v>0</v>
      </c>
      <c r="BY82" s="640">
        <v>0</v>
      </c>
      <c r="BZ82" s="640">
        <v>0</v>
      </c>
      <c r="CA82" s="640">
        <v>0</v>
      </c>
      <c r="CB82" s="640">
        <v>0</v>
      </c>
      <c r="CC82" s="640">
        <v>0</v>
      </c>
      <c r="CD82" s="640">
        <v>0</v>
      </c>
      <c r="CE82" s="1657"/>
      <c r="CF82" s="640">
        <v>0</v>
      </c>
      <c r="CG82" s="640">
        <v>0</v>
      </c>
      <c r="CH82" s="640">
        <v>0</v>
      </c>
      <c r="CI82" s="640">
        <v>0</v>
      </c>
      <c r="CJ82" s="640">
        <v>0</v>
      </c>
      <c r="CK82" s="640">
        <v>0</v>
      </c>
      <c r="CL82" s="640">
        <v>0</v>
      </c>
      <c r="CM82" s="640">
        <v>0</v>
      </c>
      <c r="CN82" s="640">
        <v>0</v>
      </c>
      <c r="CO82" s="1657"/>
      <c r="CP82" s="640">
        <v>0</v>
      </c>
      <c r="CQ82" s="640">
        <v>0</v>
      </c>
      <c r="CR82" s="640">
        <v>0</v>
      </c>
      <c r="CS82" s="640">
        <v>0</v>
      </c>
      <c r="CT82" s="640">
        <v>0</v>
      </c>
      <c r="CU82" s="640">
        <v>0</v>
      </c>
      <c r="CV82" s="640">
        <v>0</v>
      </c>
      <c r="CW82" s="640">
        <v>0</v>
      </c>
      <c r="CX82" s="640">
        <v>0</v>
      </c>
      <c r="CY82" s="1657"/>
      <c r="CZ82" s="640">
        <v>0</v>
      </c>
      <c r="DA82" s="640">
        <v>0</v>
      </c>
      <c r="DB82" s="640">
        <v>0</v>
      </c>
      <c r="DC82" s="640">
        <v>0</v>
      </c>
      <c r="DD82" s="640">
        <v>0</v>
      </c>
      <c r="DE82" s="640">
        <v>0</v>
      </c>
      <c r="DF82" s="640">
        <v>0</v>
      </c>
      <c r="DG82" s="640">
        <v>0</v>
      </c>
      <c r="DH82" s="640">
        <v>0</v>
      </c>
      <c r="DI82" s="1657"/>
      <c r="DJ82" s="640">
        <v>0</v>
      </c>
      <c r="DK82" s="640">
        <v>0</v>
      </c>
      <c r="DL82" s="640">
        <v>0</v>
      </c>
      <c r="DM82" s="640">
        <v>0</v>
      </c>
      <c r="DN82" s="640">
        <v>0</v>
      </c>
      <c r="DO82" s="640">
        <v>0</v>
      </c>
      <c r="DP82" s="640">
        <v>0</v>
      </c>
      <c r="DQ82" s="640">
        <v>0</v>
      </c>
      <c r="DR82" s="640">
        <v>0</v>
      </c>
      <c r="DS82" s="1657"/>
      <c r="DT82" s="640">
        <v>0</v>
      </c>
      <c r="DU82" s="640">
        <v>0</v>
      </c>
      <c r="DV82" s="640">
        <v>0</v>
      </c>
      <c r="DW82" s="640">
        <v>0</v>
      </c>
      <c r="DX82" s="640">
        <v>0</v>
      </c>
      <c r="DY82" s="640">
        <v>0</v>
      </c>
      <c r="DZ82" s="640">
        <v>0</v>
      </c>
      <c r="EA82" s="640">
        <v>0</v>
      </c>
      <c r="EB82" s="640">
        <v>0</v>
      </c>
      <c r="EC82" s="1657"/>
      <c r="ED82" s="640">
        <v>0</v>
      </c>
      <c r="EE82" s="640">
        <v>0</v>
      </c>
      <c r="EF82" s="640">
        <v>0</v>
      </c>
      <c r="EG82" s="640">
        <v>0</v>
      </c>
      <c r="EH82" s="640">
        <v>0</v>
      </c>
      <c r="EI82" s="640">
        <v>0</v>
      </c>
      <c r="EK82" s="640">
        <v>0</v>
      </c>
      <c r="EL82" s="640">
        <v>0</v>
      </c>
      <c r="EM82" s="640">
        <v>0</v>
      </c>
      <c r="EN82" s="1657"/>
      <c r="EO82" s="640">
        <v>0</v>
      </c>
      <c r="EP82" s="640">
        <v>0</v>
      </c>
      <c r="EQ82" s="640">
        <v>0</v>
      </c>
      <c r="ER82" s="1657"/>
      <c r="ES82" s="640">
        <v>0</v>
      </c>
      <c r="ET82" s="640">
        <v>0</v>
      </c>
      <c r="EU82" s="640">
        <v>0</v>
      </c>
      <c r="EW82" s="640">
        <v>0</v>
      </c>
      <c r="EX82" s="640">
        <v>0</v>
      </c>
      <c r="EY82" s="640">
        <v>0</v>
      </c>
      <c r="FA82" s="640">
        <v>0</v>
      </c>
      <c r="FB82" s="640">
        <v>0</v>
      </c>
      <c r="FC82" s="640">
        <v>0</v>
      </c>
      <c r="FD82" s="1657"/>
      <c r="FE82" s="640">
        <v>0</v>
      </c>
      <c r="FF82" s="640">
        <v>0</v>
      </c>
      <c r="FG82" s="640">
        <v>0</v>
      </c>
      <c r="FI82" s="640">
        <v>0</v>
      </c>
      <c r="FJ82" s="640">
        <v>0</v>
      </c>
      <c r="FK82" s="640">
        <v>0</v>
      </c>
      <c r="FM82" s="640">
        <v>0</v>
      </c>
      <c r="FN82" s="640">
        <v>0</v>
      </c>
      <c r="FO82" s="640">
        <v>0</v>
      </c>
      <c r="FP82" s="1657"/>
      <c r="FQ82" s="640">
        <v>0</v>
      </c>
      <c r="FR82" s="640">
        <v>0</v>
      </c>
      <c r="FS82" s="640">
        <v>0</v>
      </c>
      <c r="FU82" s="640">
        <v>0</v>
      </c>
      <c r="FV82" s="640">
        <v>0</v>
      </c>
      <c r="FW82" s="640">
        <v>0</v>
      </c>
      <c r="FY82" s="640">
        <v>0</v>
      </c>
      <c r="FZ82" s="640">
        <v>0</v>
      </c>
      <c r="GA82" s="640">
        <v>0</v>
      </c>
      <c r="GB82" s="1657"/>
      <c r="GC82" s="640">
        <v>0</v>
      </c>
      <c r="GD82" s="640">
        <v>0</v>
      </c>
      <c r="GE82" s="640">
        <v>0</v>
      </c>
      <c r="GG82" s="640">
        <v>0</v>
      </c>
      <c r="GH82" s="640">
        <v>0</v>
      </c>
      <c r="GI82" s="640">
        <v>0</v>
      </c>
      <c r="GK82" s="640">
        <v>0</v>
      </c>
      <c r="GL82" s="640">
        <v>0</v>
      </c>
      <c r="GM82" s="640">
        <v>0</v>
      </c>
      <c r="GN82" s="1657"/>
      <c r="GO82" s="640">
        <v>0</v>
      </c>
      <c r="GP82" s="640">
        <v>0</v>
      </c>
      <c r="GQ82" s="640">
        <v>0</v>
      </c>
      <c r="GS82" s="640">
        <v>0</v>
      </c>
      <c r="GT82" s="640">
        <v>0</v>
      </c>
      <c r="GU82" s="640">
        <v>0</v>
      </c>
      <c r="GW82" s="640">
        <v>0</v>
      </c>
      <c r="GX82" s="640">
        <v>0</v>
      </c>
      <c r="GY82" s="640">
        <v>0</v>
      </c>
      <c r="GZ82" s="1657"/>
    </row>
    <row r="83" spans="1:208">
      <c r="EK83" s="640"/>
      <c r="EL83" s="640"/>
      <c r="EM83" s="640"/>
    </row>
    <row r="84" spans="1:208">
      <c r="AG84" s="532"/>
      <c r="AQ84" s="532"/>
      <c r="BA84" s="532"/>
      <c r="BK84" s="532"/>
      <c r="BU84" s="532"/>
      <c r="CE84" s="532"/>
      <c r="CO84" s="532"/>
      <c r="CY84" s="532"/>
      <c r="DI84" s="532"/>
      <c r="DS84" s="532"/>
      <c r="EC84" s="532"/>
      <c r="EJ84" s="532"/>
      <c r="EN84" s="533"/>
      <c r="EV84" s="532"/>
      <c r="FH84" s="532"/>
      <c r="FT84" s="532"/>
      <c r="GF84" s="532"/>
      <c r="GR84" s="532"/>
    </row>
    <row r="85" spans="1:208">
      <c r="Q85" s="1294"/>
      <c r="R85" s="533"/>
    </row>
    <row r="86" spans="1:208">
      <c r="A86" s="532" t="s">
        <v>2119</v>
      </c>
      <c r="B86" s="1658" t="s">
        <v>2120</v>
      </c>
      <c r="M86" s="532"/>
      <c r="P86" s="532"/>
      <c r="Q86" s="2623" t="s">
        <v>1566</v>
      </c>
      <c r="R86" s="2623"/>
      <c r="T86" s="1659"/>
      <c r="X86" s="2624" t="s">
        <v>595</v>
      </c>
      <c r="Y86" s="2624"/>
      <c r="AG86" s="532"/>
      <c r="AH86" s="2624" t="s">
        <v>596</v>
      </c>
      <c r="AI86" s="2624"/>
      <c r="AM86" s="1427"/>
      <c r="AQ86" s="532"/>
      <c r="AR86" s="2624" t="s">
        <v>597</v>
      </c>
      <c r="AS86" s="2624"/>
      <c r="AW86" s="1427"/>
      <c r="BA86" s="532"/>
      <c r="BB86" s="2624" t="s">
        <v>598</v>
      </c>
      <c r="BC86" s="2624"/>
      <c r="BG86" s="1427"/>
      <c r="BK86" s="532"/>
      <c r="BL86" s="2624" t="s">
        <v>599</v>
      </c>
      <c r="BM86" s="2624"/>
      <c r="BQ86" s="1427"/>
      <c r="BU86" s="532"/>
      <c r="BV86" s="2624" t="s">
        <v>600</v>
      </c>
      <c r="BW86" s="2624"/>
      <c r="CA86" s="1427"/>
      <c r="CE86" s="532"/>
      <c r="CF86" s="2624" t="s">
        <v>601</v>
      </c>
      <c r="CG86" s="2624"/>
      <c r="CK86" s="1427"/>
      <c r="CO86" s="532"/>
      <c r="CP86" s="2624" t="s">
        <v>602</v>
      </c>
      <c r="CQ86" s="2624"/>
      <c r="CU86" s="1427"/>
      <c r="CY86" s="532"/>
      <c r="CZ86" s="2624" t="s">
        <v>603</v>
      </c>
      <c r="DA86" s="2624"/>
      <c r="DE86" s="1427"/>
      <c r="DI86" s="532"/>
      <c r="DJ86" s="2624" t="s">
        <v>604</v>
      </c>
      <c r="DK86" s="2624"/>
      <c r="DO86" s="1427"/>
      <c r="DS86" s="532"/>
      <c r="DT86" s="2624" t="s">
        <v>605</v>
      </c>
      <c r="DU86" s="2624"/>
      <c r="DY86" s="1427"/>
      <c r="EC86" s="532"/>
      <c r="ED86" s="2624" t="s">
        <v>606</v>
      </c>
      <c r="EE86" s="2624"/>
      <c r="ER86" s="532"/>
      <c r="ES86" s="2624" t="s">
        <v>1567</v>
      </c>
      <c r="ET86" s="2624"/>
      <c r="EV86" s="532"/>
      <c r="EZ86" s="1427"/>
      <c r="FD86" s="532"/>
      <c r="FE86" s="2624" t="s">
        <v>1568</v>
      </c>
      <c r="FF86" s="2624"/>
      <c r="FH86" s="532"/>
      <c r="FL86" s="1427"/>
      <c r="FP86" s="532"/>
      <c r="FQ86" s="2624" t="s">
        <v>1569</v>
      </c>
      <c r="FR86" s="2624"/>
      <c r="FT86" s="532"/>
      <c r="FX86" s="1427"/>
      <c r="GB86" s="532"/>
      <c r="GC86" s="2624" t="s">
        <v>1570</v>
      </c>
      <c r="GD86" s="2624"/>
      <c r="GF86" s="532"/>
      <c r="GJ86" s="1427"/>
      <c r="GN86" s="532"/>
      <c r="GO86" s="2624" t="s">
        <v>1571</v>
      </c>
      <c r="GP86" s="2624"/>
      <c r="GR86" s="532"/>
      <c r="GV86" s="1427"/>
      <c r="GZ86" s="532"/>
    </row>
    <row r="87" spans="1:208">
      <c r="B87" s="1660" t="s">
        <v>1572</v>
      </c>
      <c r="M87" s="532"/>
      <c r="P87" s="532"/>
      <c r="Q87" s="1661" t="s">
        <v>1573</v>
      </c>
      <c r="R87" s="1662" t="s">
        <v>1574</v>
      </c>
      <c r="T87" s="691"/>
      <c r="U87" s="883"/>
      <c r="X87" s="1661" t="s">
        <v>1573</v>
      </c>
      <c r="Y87" s="1662" t="s">
        <v>1574</v>
      </c>
      <c r="AG87" s="532"/>
      <c r="AH87" s="1661" t="s">
        <v>1573</v>
      </c>
      <c r="AI87" s="1662" t="s">
        <v>1574</v>
      </c>
      <c r="AM87" s="1427"/>
      <c r="AQ87" s="532"/>
      <c r="AR87" s="1661" t="s">
        <v>1573</v>
      </c>
      <c r="AS87" s="1662" t="s">
        <v>1574</v>
      </c>
      <c r="AW87" s="1427"/>
      <c r="BA87" s="532"/>
      <c r="BB87" s="1661" t="s">
        <v>1573</v>
      </c>
      <c r="BC87" s="1662" t="s">
        <v>1574</v>
      </c>
      <c r="BG87" s="1427"/>
      <c r="BK87" s="532"/>
      <c r="BL87" s="1661" t="s">
        <v>1573</v>
      </c>
      <c r="BM87" s="1662" t="s">
        <v>1574</v>
      </c>
      <c r="BQ87" s="1427"/>
      <c r="BU87" s="532"/>
      <c r="BV87" s="1661" t="s">
        <v>1573</v>
      </c>
      <c r="BW87" s="1662" t="s">
        <v>1574</v>
      </c>
      <c r="CA87" s="1427"/>
      <c r="CE87" s="532"/>
      <c r="CF87" s="1661" t="s">
        <v>1573</v>
      </c>
      <c r="CG87" s="1662" t="s">
        <v>1574</v>
      </c>
      <c r="CK87" s="1427"/>
      <c r="CO87" s="532"/>
      <c r="CP87" s="1661" t="s">
        <v>1573</v>
      </c>
      <c r="CQ87" s="1662" t="s">
        <v>1574</v>
      </c>
      <c r="CU87" s="1427"/>
      <c r="CY87" s="532"/>
      <c r="CZ87" s="1661" t="s">
        <v>1573</v>
      </c>
      <c r="DA87" s="1662" t="s">
        <v>1574</v>
      </c>
      <c r="DE87" s="1427"/>
      <c r="DI87" s="532"/>
      <c r="DJ87" s="1661" t="s">
        <v>1573</v>
      </c>
      <c r="DK87" s="1662" t="s">
        <v>1574</v>
      </c>
      <c r="DO87" s="1427"/>
      <c r="DS87" s="532"/>
      <c r="DT87" s="1661" t="s">
        <v>1573</v>
      </c>
      <c r="DU87" s="1662" t="s">
        <v>1574</v>
      </c>
      <c r="DY87" s="1427"/>
      <c r="EC87" s="532"/>
      <c r="ED87" s="1661" t="s">
        <v>1573</v>
      </c>
      <c r="EE87" s="1662" t="s">
        <v>1574</v>
      </c>
      <c r="ER87" s="532"/>
      <c r="ES87" s="1661" t="s">
        <v>1573</v>
      </c>
      <c r="ET87" s="1662" t="s">
        <v>1574</v>
      </c>
      <c r="EV87" s="532"/>
      <c r="EZ87" s="1427"/>
      <c r="FD87" s="532"/>
      <c r="FE87" s="1661" t="s">
        <v>1573</v>
      </c>
      <c r="FF87" s="1662" t="s">
        <v>1574</v>
      </c>
      <c r="FH87" s="532"/>
      <c r="FL87" s="1427"/>
      <c r="FP87" s="532"/>
      <c r="FQ87" s="1661" t="s">
        <v>1573</v>
      </c>
      <c r="FR87" s="1662" t="s">
        <v>1574</v>
      </c>
      <c r="FT87" s="532"/>
      <c r="FX87" s="1427"/>
      <c r="GB87" s="532"/>
      <c r="GC87" s="1661" t="s">
        <v>1573</v>
      </c>
      <c r="GD87" s="1662" t="s">
        <v>1574</v>
      </c>
      <c r="GF87" s="532"/>
      <c r="GJ87" s="1427"/>
      <c r="GN87" s="532"/>
      <c r="GO87" s="1661" t="s">
        <v>1573</v>
      </c>
      <c r="GP87" s="1662" t="s">
        <v>1574</v>
      </c>
      <c r="GR87" s="532"/>
      <c r="GV87" s="1427"/>
      <c r="GZ87" s="532"/>
    </row>
    <row r="88" spans="1:208">
      <c r="B88" s="1145" t="s">
        <v>1575</v>
      </c>
      <c r="F88" s="532" t="s">
        <v>2121</v>
      </c>
      <c r="M88" s="532"/>
      <c r="P88" s="532"/>
      <c r="Q88" s="1663">
        <v>19207000</v>
      </c>
      <c r="R88" s="1663">
        <v>0</v>
      </c>
      <c r="V88" s="872"/>
      <c r="X88" s="532">
        <v>5749203</v>
      </c>
      <c r="AG88" s="532"/>
      <c r="AH88" s="532">
        <v>3276581</v>
      </c>
      <c r="AM88" s="1427"/>
      <c r="AQ88" s="532"/>
      <c r="AR88" s="532">
        <v>6755577</v>
      </c>
      <c r="AW88" s="1427"/>
      <c r="BA88" s="532"/>
      <c r="BB88" s="532">
        <v>6018925</v>
      </c>
      <c r="BG88" s="1427"/>
      <c r="BK88" s="532"/>
      <c r="BL88" s="532">
        <v>4930545</v>
      </c>
      <c r="BQ88" s="1427"/>
      <c r="BU88" s="532"/>
      <c r="BV88" s="532">
        <v>5170546</v>
      </c>
      <c r="CA88" s="1427"/>
      <c r="CE88" s="532"/>
      <c r="CF88" s="532">
        <v>4936886</v>
      </c>
      <c r="CK88" s="1427"/>
      <c r="CO88" s="532"/>
      <c r="CP88" s="532">
        <v>3640445</v>
      </c>
      <c r="CU88" s="1427"/>
      <c r="CY88" s="532"/>
      <c r="CZ88" s="532">
        <v>3391174</v>
      </c>
      <c r="DE88" s="1427"/>
      <c r="DI88" s="532"/>
      <c r="DJ88" s="532">
        <v>6492315</v>
      </c>
      <c r="DO88" s="1427"/>
      <c r="DS88" s="532"/>
      <c r="DT88" s="532">
        <v>4685660</v>
      </c>
      <c r="DY88" s="1427"/>
      <c r="EC88" s="532"/>
      <c r="ED88" s="532">
        <v>6490079</v>
      </c>
      <c r="ER88" s="532"/>
      <c r="ES88" s="532">
        <v>67786326</v>
      </c>
      <c r="EV88" s="532"/>
      <c r="EZ88" s="1427"/>
      <c r="FD88" s="532"/>
      <c r="FE88" s="532">
        <v>75678272</v>
      </c>
      <c r="FH88" s="532"/>
      <c r="FL88" s="1427"/>
      <c r="FP88" s="532"/>
      <c r="FQ88" s="532">
        <v>77571041</v>
      </c>
      <c r="FT88" s="532"/>
      <c r="FX88" s="1427"/>
      <c r="GB88" s="532"/>
      <c r="GC88" s="532">
        <v>83771515</v>
      </c>
      <c r="GF88" s="532"/>
      <c r="GJ88" s="1427"/>
      <c r="GN88" s="532"/>
      <c r="GO88" s="532">
        <v>432195515</v>
      </c>
      <c r="GR88" s="532"/>
      <c r="GV88" s="1427"/>
      <c r="GZ88" s="532"/>
    </row>
    <row r="89" spans="1:208">
      <c r="B89" s="1145" t="s">
        <v>1576</v>
      </c>
      <c r="F89" s="532" t="s">
        <v>2122</v>
      </c>
      <c r="M89" s="532"/>
      <c r="P89" s="532"/>
      <c r="Q89" s="1663">
        <v>0</v>
      </c>
      <c r="R89" s="1663">
        <v>19207000</v>
      </c>
      <c r="Y89" s="532">
        <v>5749203</v>
      </c>
      <c r="AG89" s="532"/>
      <c r="AI89" s="532">
        <v>3276581</v>
      </c>
      <c r="AM89" s="1427"/>
      <c r="AQ89" s="532"/>
      <c r="AS89" s="532">
        <v>6755577</v>
      </c>
      <c r="AW89" s="1427"/>
      <c r="BA89" s="532"/>
      <c r="BC89" s="532">
        <v>6018925</v>
      </c>
      <c r="BG89" s="1427"/>
      <c r="BK89" s="532"/>
      <c r="BM89" s="532">
        <v>4930545</v>
      </c>
      <c r="BQ89" s="1427"/>
      <c r="BU89" s="532"/>
      <c r="BW89" s="532">
        <v>5170546</v>
      </c>
      <c r="CA89" s="1427"/>
      <c r="CE89" s="532"/>
      <c r="CG89" s="532">
        <v>4936886</v>
      </c>
      <c r="CK89" s="1427"/>
      <c r="CO89" s="532"/>
      <c r="CQ89" s="532">
        <v>3640445</v>
      </c>
      <c r="CU89" s="1427"/>
      <c r="CY89" s="532"/>
      <c r="DA89" s="532">
        <v>3391174</v>
      </c>
      <c r="DE89" s="1427"/>
      <c r="DI89" s="532"/>
      <c r="DK89" s="532">
        <v>6492315</v>
      </c>
      <c r="DO89" s="1427"/>
      <c r="DS89" s="532"/>
      <c r="DU89" s="532">
        <v>4685660</v>
      </c>
      <c r="DY89" s="1427"/>
      <c r="EC89" s="532"/>
      <c r="EE89" s="532">
        <v>6490079</v>
      </c>
      <c r="ER89" s="532"/>
      <c r="ET89" s="532">
        <v>67786326</v>
      </c>
      <c r="EV89" s="532"/>
      <c r="EZ89" s="1427"/>
      <c r="FD89" s="532"/>
      <c r="FF89" s="532">
        <v>75678272</v>
      </c>
      <c r="FH89" s="532"/>
      <c r="FL89" s="1427"/>
      <c r="FP89" s="532"/>
      <c r="FR89" s="532">
        <v>77571041</v>
      </c>
      <c r="FT89" s="532"/>
      <c r="FX89" s="1427"/>
      <c r="GB89" s="532"/>
      <c r="GD89" s="532">
        <v>83771515</v>
      </c>
      <c r="GF89" s="532"/>
      <c r="GJ89" s="1427"/>
      <c r="GN89" s="532"/>
      <c r="GP89" s="532">
        <v>432195515</v>
      </c>
      <c r="GR89" s="532"/>
      <c r="GV89" s="1427"/>
      <c r="GZ89" s="532"/>
    </row>
    <row r="90" spans="1:208">
      <c r="M90" s="532"/>
      <c r="P90" s="532"/>
      <c r="Q90" s="1663"/>
      <c r="R90" s="1663"/>
      <c r="AG90" s="532"/>
      <c r="AM90" s="1427"/>
      <c r="AQ90" s="532"/>
      <c r="AW90" s="1427"/>
      <c r="BA90" s="532"/>
      <c r="BG90" s="1427"/>
      <c r="BK90" s="532"/>
      <c r="BQ90" s="1427"/>
      <c r="BU90" s="532"/>
      <c r="CA90" s="1427"/>
      <c r="CE90" s="532"/>
      <c r="CK90" s="1427"/>
      <c r="CO90" s="532"/>
      <c r="CU90" s="1427"/>
      <c r="CY90" s="532"/>
      <c r="DE90" s="1427"/>
      <c r="DI90" s="532"/>
      <c r="DO90" s="1427"/>
      <c r="DS90" s="532"/>
      <c r="DY90" s="1427"/>
      <c r="EC90" s="532"/>
      <c r="ER90" s="532"/>
      <c r="EV90" s="532"/>
      <c r="EZ90" s="1427"/>
      <c r="FD90" s="532"/>
      <c r="FH90" s="532"/>
      <c r="FL90" s="1427"/>
      <c r="FP90" s="532"/>
      <c r="FT90" s="532"/>
      <c r="FX90" s="1427"/>
      <c r="GB90" s="532"/>
      <c r="GF90" s="532"/>
      <c r="GJ90" s="1427"/>
      <c r="GN90" s="532"/>
      <c r="GR90" s="532"/>
      <c r="GV90" s="1427"/>
      <c r="GZ90" s="532"/>
    </row>
    <row r="91" spans="1:208">
      <c r="B91" s="1664" t="s">
        <v>1577</v>
      </c>
      <c r="M91" s="532"/>
      <c r="P91" s="532"/>
      <c r="Q91" s="1663"/>
      <c r="R91" s="1663"/>
      <c r="AG91" s="532"/>
      <c r="AM91" s="1427"/>
      <c r="AQ91" s="532"/>
      <c r="AW91" s="1427"/>
      <c r="BA91" s="532"/>
      <c r="BG91" s="1427"/>
      <c r="BK91" s="532"/>
      <c r="BQ91" s="1427"/>
      <c r="BU91" s="532"/>
      <c r="CA91" s="1427"/>
      <c r="CE91" s="532"/>
      <c r="CK91" s="1427"/>
      <c r="CO91" s="532"/>
      <c r="CU91" s="1427"/>
      <c r="CY91" s="532"/>
      <c r="DE91" s="1427"/>
      <c r="DI91" s="532"/>
      <c r="DO91" s="1427"/>
      <c r="DS91" s="532"/>
      <c r="DY91" s="1427"/>
      <c r="EC91" s="532"/>
      <c r="ER91" s="532"/>
      <c r="EV91" s="532"/>
      <c r="EZ91" s="1427"/>
      <c r="FD91" s="532"/>
      <c r="FH91" s="532"/>
      <c r="FL91" s="1427"/>
      <c r="FP91" s="532"/>
      <c r="FT91" s="532"/>
      <c r="FX91" s="1427"/>
      <c r="GB91" s="532"/>
      <c r="GF91" s="532"/>
      <c r="GJ91" s="1427"/>
      <c r="GN91" s="532"/>
      <c r="GR91" s="532"/>
      <c r="GV91" s="1427"/>
      <c r="GZ91" s="532"/>
    </row>
    <row r="92" spans="1:208">
      <c r="A92" s="1665" t="s">
        <v>2123</v>
      </c>
      <c r="B92" s="1145" t="s">
        <v>1576</v>
      </c>
      <c r="F92" s="532" t="s">
        <v>2122</v>
      </c>
      <c r="M92" s="532"/>
      <c r="P92" s="532"/>
      <c r="Q92" s="1663">
        <v>19207000</v>
      </c>
      <c r="R92" s="1663">
        <v>0</v>
      </c>
      <c r="X92" s="532">
        <v>5749203</v>
      </c>
      <c r="Z92" s="533"/>
      <c r="AG92" s="532"/>
      <c r="AH92" s="532">
        <v>3276581</v>
      </c>
      <c r="AJ92" s="533"/>
      <c r="AM92" s="1427"/>
      <c r="AQ92" s="532"/>
      <c r="AR92" s="532">
        <v>6755577</v>
      </c>
      <c r="AT92" s="533"/>
      <c r="AW92" s="1427"/>
      <c r="BA92" s="532"/>
      <c r="BB92" s="532">
        <v>6018925</v>
      </c>
      <c r="BD92" s="533"/>
      <c r="BG92" s="1427"/>
      <c r="BK92" s="532"/>
      <c r="BL92" s="532">
        <v>4930545</v>
      </c>
      <c r="BN92" s="533"/>
      <c r="BQ92" s="1427"/>
      <c r="BU92" s="532"/>
      <c r="BV92" s="532">
        <v>5170546</v>
      </c>
      <c r="BX92" s="533"/>
      <c r="CA92" s="1427"/>
      <c r="CE92" s="532"/>
      <c r="CF92" s="532">
        <v>4936886</v>
      </c>
      <c r="CH92" s="533"/>
      <c r="CK92" s="1427"/>
      <c r="CO92" s="532"/>
      <c r="CP92" s="532">
        <v>3640445</v>
      </c>
      <c r="CR92" s="533"/>
      <c r="CU92" s="1427"/>
      <c r="CY92" s="532"/>
      <c r="CZ92" s="532">
        <v>3391174</v>
      </c>
      <c r="DB92" s="533"/>
      <c r="DE92" s="1427"/>
      <c r="DI92" s="532"/>
      <c r="DJ92" s="532">
        <v>6492315</v>
      </c>
      <c r="DL92" s="533"/>
      <c r="DO92" s="1427"/>
      <c r="DS92" s="532"/>
      <c r="DT92" s="532">
        <v>4685660</v>
      </c>
      <c r="DV92" s="533"/>
      <c r="DY92" s="1427"/>
      <c r="EC92" s="532"/>
      <c r="ED92" s="532">
        <v>6490079</v>
      </c>
      <c r="EF92" s="533"/>
      <c r="ER92" s="532"/>
      <c r="ES92" s="532">
        <v>67786326</v>
      </c>
      <c r="EU92" s="533"/>
      <c r="EV92" s="532"/>
      <c r="EZ92" s="1427"/>
      <c r="FD92" s="532"/>
      <c r="FE92" s="532">
        <v>75678272</v>
      </c>
      <c r="FG92" s="533"/>
      <c r="FH92" s="532"/>
      <c r="FL92" s="1427"/>
      <c r="FP92" s="532"/>
      <c r="FQ92" s="532">
        <v>77571041</v>
      </c>
      <c r="FS92" s="533"/>
      <c r="FT92" s="532"/>
      <c r="FX92" s="1427"/>
      <c r="GB92" s="532"/>
      <c r="GC92" s="532">
        <v>83771515</v>
      </c>
      <c r="GE92" s="533"/>
      <c r="GF92" s="532"/>
      <c r="GJ92" s="1427"/>
      <c r="GN92" s="532"/>
      <c r="GO92" s="532">
        <v>432195515</v>
      </c>
      <c r="GQ92" s="533"/>
      <c r="GR92" s="532"/>
      <c r="GV92" s="1427"/>
      <c r="GZ92" s="532"/>
    </row>
    <row r="93" spans="1:208" s="1666" customFormat="1">
      <c r="A93" s="1666" t="s">
        <v>2124</v>
      </c>
      <c r="B93" s="1667" t="s">
        <v>1580</v>
      </c>
      <c r="F93" s="1666" t="s">
        <v>2125</v>
      </c>
      <c r="H93" s="1668"/>
      <c r="I93" s="1669"/>
      <c r="L93" s="1668"/>
      <c r="Q93" s="1670">
        <v>0</v>
      </c>
      <c r="R93" s="1670">
        <v>19207000</v>
      </c>
      <c r="Y93" s="1666">
        <v>5749203</v>
      </c>
      <c r="Z93" s="1671"/>
      <c r="AI93" s="1666">
        <v>3276581</v>
      </c>
      <c r="AJ93" s="1671"/>
      <c r="AM93" s="1672"/>
      <c r="AS93" s="1666">
        <v>6755577</v>
      </c>
      <c r="AT93" s="1671"/>
      <c r="AW93" s="1672"/>
      <c r="BC93" s="1666">
        <v>6018925</v>
      </c>
      <c r="BD93" s="1671"/>
      <c r="BG93" s="1672"/>
      <c r="BM93" s="1666">
        <v>4930545</v>
      </c>
      <c r="BN93" s="1671"/>
      <c r="BQ93" s="1672"/>
      <c r="BW93" s="1666">
        <v>5170546</v>
      </c>
      <c r="BX93" s="1671"/>
      <c r="CA93" s="1672"/>
      <c r="CG93" s="1666">
        <v>4936886</v>
      </c>
      <c r="CH93" s="1671"/>
      <c r="CK93" s="1672"/>
      <c r="CQ93" s="1666">
        <v>3640445</v>
      </c>
      <c r="CR93" s="1671"/>
      <c r="CU93" s="1672"/>
      <c r="DA93" s="1666">
        <v>3391174</v>
      </c>
      <c r="DB93" s="1671"/>
      <c r="DE93" s="1672"/>
      <c r="DK93" s="1666">
        <v>6492315</v>
      </c>
      <c r="DL93" s="1671"/>
      <c r="DO93" s="1672"/>
      <c r="DU93" s="1666">
        <v>4685660</v>
      </c>
      <c r="DV93" s="1671"/>
      <c r="DY93" s="1672"/>
      <c r="EE93" s="1666">
        <v>6490079</v>
      </c>
      <c r="EF93" s="1671"/>
      <c r="EJ93" s="1672"/>
      <c r="EN93" s="1672"/>
      <c r="ET93" s="1666">
        <v>67786326</v>
      </c>
      <c r="EU93" s="1671"/>
      <c r="EZ93" s="1672"/>
      <c r="FF93" s="1666">
        <v>75678272</v>
      </c>
      <c r="FG93" s="1671"/>
      <c r="FL93" s="1672"/>
      <c r="FR93" s="1666">
        <v>77571041</v>
      </c>
      <c r="FS93" s="1671"/>
      <c r="FX93" s="1672"/>
      <c r="GD93" s="1666">
        <v>83771515</v>
      </c>
      <c r="GE93" s="1671"/>
      <c r="GJ93" s="1672"/>
      <c r="GP93" s="1666">
        <v>432195515</v>
      </c>
      <c r="GQ93" s="1671"/>
      <c r="GV93" s="1672"/>
    </row>
    <row r="94" spans="1:208">
      <c r="M94" s="532"/>
      <c r="P94" s="532"/>
      <c r="Q94" s="1663"/>
      <c r="R94" s="1663"/>
      <c r="W94" s="532" t="s">
        <v>1582</v>
      </c>
      <c r="AG94" s="532"/>
      <c r="AM94" s="1427"/>
      <c r="AQ94" s="532"/>
      <c r="AW94" s="1427"/>
      <c r="BA94" s="532"/>
      <c r="BG94" s="1427"/>
      <c r="BK94" s="532"/>
      <c r="BQ94" s="1427"/>
      <c r="BU94" s="532"/>
      <c r="CA94" s="1427"/>
      <c r="CE94" s="532"/>
      <c r="CK94" s="1427"/>
      <c r="CO94" s="532"/>
      <c r="CU94" s="1427"/>
      <c r="CY94" s="532"/>
      <c r="DE94" s="1427"/>
      <c r="DI94" s="532"/>
      <c r="DO94" s="1427"/>
      <c r="DS94" s="532"/>
      <c r="DY94" s="1427"/>
      <c r="EC94" s="532"/>
      <c r="ER94" s="532"/>
      <c r="EV94" s="532"/>
      <c r="EZ94" s="1427"/>
      <c r="FD94" s="532"/>
      <c r="FH94" s="532"/>
      <c r="FL94" s="1427"/>
      <c r="FP94" s="532"/>
      <c r="FT94" s="532"/>
      <c r="FX94" s="1427"/>
      <c r="GB94" s="532"/>
      <c r="GF94" s="532"/>
      <c r="GJ94" s="1427"/>
      <c r="GN94" s="532"/>
      <c r="GR94" s="532"/>
      <c r="GV94" s="1427"/>
      <c r="GZ94" s="532"/>
    </row>
    <row r="95" spans="1:208">
      <c r="B95" s="1660" t="s">
        <v>1583</v>
      </c>
      <c r="M95" s="532"/>
      <c r="P95" s="532"/>
      <c r="Q95" s="1663"/>
      <c r="R95" s="1663"/>
      <c r="AG95" s="532"/>
      <c r="AM95" s="1427"/>
      <c r="AQ95" s="532"/>
      <c r="AW95" s="1427"/>
      <c r="BA95" s="532"/>
      <c r="BG95" s="1427"/>
      <c r="BK95" s="532"/>
      <c r="BQ95" s="1427"/>
      <c r="BU95" s="532"/>
      <c r="CA95" s="1427"/>
      <c r="CE95" s="532"/>
      <c r="CK95" s="1427"/>
      <c r="CO95" s="532"/>
      <c r="CU95" s="1427"/>
      <c r="CY95" s="532"/>
      <c r="DE95" s="1427"/>
      <c r="DI95" s="532"/>
      <c r="DO95" s="1427"/>
      <c r="DS95" s="532"/>
      <c r="DY95" s="1427"/>
      <c r="EC95" s="532"/>
      <c r="ER95" s="532"/>
      <c r="EV95" s="532"/>
      <c r="EZ95" s="1427"/>
      <c r="FD95" s="532"/>
      <c r="FH95" s="532"/>
      <c r="FL95" s="1427"/>
      <c r="FP95" s="532"/>
      <c r="FT95" s="532"/>
      <c r="FX95" s="1427"/>
      <c r="GB95" s="532"/>
      <c r="GF95" s="532"/>
      <c r="GJ95" s="1427"/>
      <c r="GN95" s="532"/>
      <c r="GR95" s="532"/>
      <c r="GV95" s="1427"/>
      <c r="GZ95" s="532"/>
    </row>
    <row r="96" spans="1:208">
      <c r="B96" s="1145" t="s">
        <v>1580</v>
      </c>
      <c r="F96" s="532" t="s">
        <v>2125</v>
      </c>
      <c r="M96" s="532"/>
      <c r="P96" s="532"/>
      <c r="Q96" s="1663">
        <v>19207000</v>
      </c>
      <c r="R96" s="1663">
        <v>0</v>
      </c>
      <c r="X96" s="532">
        <v>5749203</v>
      </c>
      <c r="AG96" s="532"/>
      <c r="AH96" s="532">
        <v>3276581</v>
      </c>
      <c r="AM96" s="1427"/>
      <c r="AQ96" s="532"/>
      <c r="AR96" s="532">
        <v>6755577</v>
      </c>
      <c r="AW96" s="1427"/>
      <c r="BA96" s="532"/>
      <c r="BB96" s="532">
        <v>6018925</v>
      </c>
      <c r="BG96" s="1427"/>
      <c r="BK96" s="532"/>
      <c r="BL96" s="532">
        <v>4930545</v>
      </c>
      <c r="BQ96" s="1427"/>
      <c r="BU96" s="532"/>
      <c r="BV96" s="532">
        <v>5170546</v>
      </c>
      <c r="CA96" s="1427"/>
      <c r="CE96" s="532"/>
      <c r="CF96" s="532">
        <v>4936886</v>
      </c>
      <c r="CK96" s="1427"/>
      <c r="CO96" s="532"/>
      <c r="CP96" s="532">
        <v>3640445</v>
      </c>
      <c r="CU96" s="1427"/>
      <c r="CY96" s="532"/>
      <c r="CZ96" s="532">
        <v>3391174</v>
      </c>
      <c r="DE96" s="1427"/>
      <c r="DI96" s="532"/>
      <c r="DJ96" s="532">
        <v>6492315</v>
      </c>
      <c r="DO96" s="1427"/>
      <c r="DS96" s="532"/>
      <c r="DT96" s="532">
        <v>4685660</v>
      </c>
      <c r="DY96" s="1427"/>
      <c r="EC96" s="532"/>
      <c r="ED96" s="532">
        <v>6490079</v>
      </c>
      <c r="ER96" s="532"/>
      <c r="ES96" s="532">
        <v>67786326</v>
      </c>
      <c r="EV96" s="532"/>
      <c r="EZ96" s="1427"/>
      <c r="FD96" s="532"/>
      <c r="FE96" s="532">
        <v>75678272</v>
      </c>
      <c r="FH96" s="532"/>
      <c r="FL96" s="1427"/>
      <c r="FP96" s="532"/>
      <c r="FQ96" s="532">
        <v>77571041</v>
      </c>
      <c r="FT96" s="532"/>
      <c r="FX96" s="1427"/>
      <c r="GB96" s="532"/>
      <c r="GC96" s="532">
        <v>83771515</v>
      </c>
      <c r="GF96" s="532"/>
      <c r="GJ96" s="1427"/>
      <c r="GN96" s="532"/>
      <c r="GO96" s="532">
        <v>432195515</v>
      </c>
      <c r="GR96" s="532"/>
      <c r="GV96" s="1427"/>
      <c r="GZ96" s="532"/>
    </row>
    <row r="97" spans="1:208">
      <c r="B97" s="1145" t="s">
        <v>1584</v>
      </c>
      <c r="F97" s="532" t="s">
        <v>2126</v>
      </c>
      <c r="M97" s="532"/>
      <c r="P97" s="532"/>
      <c r="Q97" s="1663">
        <v>0</v>
      </c>
      <c r="R97" s="1663">
        <v>19207000</v>
      </c>
      <c r="Y97" s="532">
        <v>5749203</v>
      </c>
      <c r="AG97" s="532"/>
      <c r="AI97" s="532">
        <v>3276581</v>
      </c>
      <c r="AM97" s="1427"/>
      <c r="AQ97" s="532"/>
      <c r="AS97" s="532">
        <v>6755577</v>
      </c>
      <c r="AW97" s="1427"/>
      <c r="BA97" s="532"/>
      <c r="BC97" s="532">
        <v>6018925</v>
      </c>
      <c r="BG97" s="1427"/>
      <c r="BK97" s="532"/>
      <c r="BM97" s="532">
        <v>4930545</v>
      </c>
      <c r="BQ97" s="1427"/>
      <c r="BU97" s="532"/>
      <c r="BW97" s="532">
        <v>5170546</v>
      </c>
      <c r="CA97" s="1427"/>
      <c r="CE97" s="532"/>
      <c r="CG97" s="532">
        <v>4936886</v>
      </c>
      <c r="CK97" s="1427"/>
      <c r="CO97" s="532"/>
      <c r="CQ97" s="532">
        <v>3640445</v>
      </c>
      <c r="CU97" s="1427"/>
      <c r="CY97" s="532"/>
      <c r="DA97" s="532">
        <v>3391174</v>
      </c>
      <c r="DE97" s="1427"/>
      <c r="DI97" s="532"/>
      <c r="DK97" s="532">
        <v>6492315</v>
      </c>
      <c r="DO97" s="1427"/>
      <c r="DS97" s="532"/>
      <c r="DU97" s="532">
        <v>4685660</v>
      </c>
      <c r="DY97" s="1427"/>
      <c r="EC97" s="532"/>
      <c r="EE97" s="532">
        <v>6490079</v>
      </c>
      <c r="ER97" s="532"/>
      <c r="ET97" s="532">
        <v>67786326</v>
      </c>
      <c r="EV97" s="532"/>
      <c r="EZ97" s="1427"/>
      <c r="FD97" s="532"/>
      <c r="FF97" s="532">
        <v>75678272</v>
      </c>
      <c r="FH97" s="532"/>
      <c r="FL97" s="1427"/>
      <c r="FP97" s="532"/>
      <c r="FR97" s="532">
        <v>77571041</v>
      </c>
      <c r="FT97" s="532"/>
      <c r="FX97" s="1427"/>
      <c r="GB97" s="532"/>
      <c r="GD97" s="532">
        <v>83771515</v>
      </c>
      <c r="GF97" s="532"/>
      <c r="GJ97" s="1427"/>
      <c r="GN97" s="532"/>
      <c r="GP97" s="532">
        <v>432195515</v>
      </c>
      <c r="GR97" s="532"/>
      <c r="GV97" s="1427"/>
      <c r="GZ97" s="532"/>
    </row>
    <row r="98" spans="1:208">
      <c r="M98" s="532"/>
      <c r="P98" s="532"/>
      <c r="Q98" s="1663"/>
      <c r="R98" s="1663"/>
      <c r="AG98" s="532"/>
      <c r="AM98" s="1427"/>
      <c r="AQ98" s="532"/>
      <c r="AW98" s="1427"/>
      <c r="BA98" s="532"/>
      <c r="BG98" s="1427"/>
      <c r="BK98" s="532"/>
      <c r="BQ98" s="1427"/>
      <c r="BU98" s="532"/>
      <c r="CA98" s="1427"/>
      <c r="CE98" s="532"/>
      <c r="CK98" s="1427"/>
      <c r="CO98" s="532"/>
      <c r="CU98" s="1427"/>
      <c r="CY98" s="532"/>
      <c r="DE98" s="1427"/>
      <c r="DI98" s="532"/>
      <c r="DO98" s="1427"/>
      <c r="DS98" s="532"/>
      <c r="DY98" s="1427"/>
      <c r="EC98" s="532"/>
      <c r="ER98" s="532"/>
      <c r="EV98" s="532"/>
      <c r="EZ98" s="1427"/>
      <c r="FD98" s="532"/>
      <c r="FH98" s="532"/>
      <c r="FL98" s="1427"/>
      <c r="FP98" s="532"/>
      <c r="FT98" s="532"/>
      <c r="FX98" s="1427"/>
      <c r="GB98" s="532"/>
      <c r="GF98" s="532"/>
      <c r="GJ98" s="1427"/>
      <c r="GN98" s="532"/>
      <c r="GR98" s="532"/>
      <c r="GV98" s="1427"/>
      <c r="GZ98" s="532"/>
    </row>
    <row r="99" spans="1:208">
      <c r="B99" s="1658" t="s">
        <v>2127</v>
      </c>
      <c r="M99" s="532"/>
      <c r="P99" s="532"/>
      <c r="Q99" s="1663"/>
      <c r="R99" s="1663"/>
      <c r="AG99" s="532"/>
      <c r="AM99" s="1427"/>
      <c r="AQ99" s="532"/>
      <c r="AW99" s="1427"/>
      <c r="BA99" s="532"/>
      <c r="BG99" s="1427"/>
      <c r="BK99" s="532"/>
      <c r="BQ99" s="1427"/>
      <c r="BU99" s="532"/>
      <c r="CA99" s="1427"/>
      <c r="CE99" s="532"/>
      <c r="CK99" s="1427"/>
      <c r="CO99" s="532"/>
      <c r="CU99" s="1427"/>
      <c r="CY99" s="532"/>
      <c r="DE99" s="1427"/>
      <c r="DI99" s="532"/>
      <c r="DO99" s="1427"/>
      <c r="DS99" s="532"/>
      <c r="DY99" s="1427"/>
      <c r="EC99" s="532"/>
      <c r="ER99" s="532"/>
      <c r="EV99" s="532"/>
      <c r="EZ99" s="1427"/>
      <c r="FD99" s="532"/>
      <c r="FH99" s="532"/>
      <c r="FL99" s="1427"/>
      <c r="FP99" s="532"/>
      <c r="FT99" s="532"/>
      <c r="FX99" s="1427"/>
      <c r="GB99" s="532"/>
      <c r="GF99" s="532"/>
      <c r="GJ99" s="1427"/>
      <c r="GN99" s="532"/>
      <c r="GR99" s="532"/>
      <c r="GV99" s="1427"/>
      <c r="GZ99" s="532"/>
    </row>
    <row r="100" spans="1:208">
      <c r="B100" s="1664" t="s">
        <v>1577</v>
      </c>
      <c r="M100" s="532"/>
      <c r="P100" s="532"/>
      <c r="Q100" s="1663"/>
      <c r="R100" s="1663"/>
      <c r="AG100" s="532"/>
      <c r="AM100" s="1427"/>
      <c r="AQ100" s="532"/>
      <c r="AW100" s="1427"/>
      <c r="BA100" s="532"/>
      <c r="BG100" s="1427"/>
      <c r="BK100" s="532"/>
      <c r="BQ100" s="1427"/>
      <c r="BU100" s="532"/>
      <c r="CA100" s="1427"/>
      <c r="CE100" s="532"/>
      <c r="CK100" s="1427"/>
      <c r="CO100" s="532"/>
      <c r="CU100" s="1427"/>
      <c r="CY100" s="532"/>
      <c r="DE100" s="1427"/>
      <c r="DI100" s="532"/>
      <c r="DO100" s="1427"/>
      <c r="DS100" s="532"/>
      <c r="DY100" s="1427"/>
      <c r="EC100" s="532"/>
      <c r="ER100" s="532"/>
      <c r="EV100" s="532"/>
      <c r="EZ100" s="1427"/>
      <c r="FD100" s="532"/>
      <c r="FH100" s="532"/>
      <c r="FL100" s="1427"/>
      <c r="FP100" s="532"/>
      <c r="FT100" s="532"/>
      <c r="FX100" s="1427"/>
      <c r="GB100" s="532"/>
      <c r="GF100" s="532"/>
      <c r="GJ100" s="1427"/>
      <c r="GN100" s="532"/>
      <c r="GR100" s="532"/>
      <c r="GV100" s="1427"/>
      <c r="GZ100" s="532"/>
    </row>
    <row r="101" spans="1:208">
      <c r="A101" s="532" t="s">
        <v>2128</v>
      </c>
      <c r="B101" s="1673">
        <v>11430000</v>
      </c>
      <c r="F101" s="532" t="s">
        <v>2129</v>
      </c>
      <c r="M101" s="532"/>
      <c r="P101" s="532"/>
      <c r="Q101" s="1663">
        <v>7286475</v>
      </c>
      <c r="R101" s="1663">
        <v>0</v>
      </c>
      <c r="X101" s="532">
        <v>839389</v>
      </c>
      <c r="Z101" s="533" t="s">
        <v>1586</v>
      </c>
      <c r="AG101" s="532"/>
      <c r="AH101" s="532">
        <v>792116</v>
      </c>
      <c r="AJ101" s="533" t="s">
        <v>1586</v>
      </c>
      <c r="AM101" s="1427"/>
      <c r="AQ101" s="532"/>
      <c r="AR101" s="532">
        <v>1218362</v>
      </c>
      <c r="AT101" s="533" t="s">
        <v>1586</v>
      </c>
      <c r="AW101" s="1427"/>
      <c r="BA101" s="532"/>
      <c r="BB101" s="532">
        <v>896282</v>
      </c>
      <c r="BD101" s="533" t="s">
        <v>1586</v>
      </c>
      <c r="BG101" s="1427"/>
      <c r="BK101" s="532"/>
      <c r="BL101" s="532">
        <v>940735</v>
      </c>
      <c r="BN101" s="533" t="s">
        <v>1586</v>
      </c>
      <c r="BQ101" s="1427"/>
      <c r="BU101" s="532"/>
      <c r="BV101" s="532">
        <v>807998</v>
      </c>
      <c r="BX101" s="533" t="s">
        <v>1586</v>
      </c>
      <c r="CA101" s="1427"/>
      <c r="CE101" s="532"/>
      <c r="CF101" s="532">
        <v>876717</v>
      </c>
      <c r="CH101" s="533" t="s">
        <v>1586</v>
      </c>
      <c r="CK101" s="1427"/>
      <c r="CO101" s="532"/>
      <c r="CP101" s="532">
        <v>877960</v>
      </c>
      <c r="CR101" s="533" t="s">
        <v>1586</v>
      </c>
      <c r="CU101" s="1427"/>
      <c r="CY101" s="532"/>
      <c r="CZ101" s="532">
        <v>862430</v>
      </c>
      <c r="DB101" s="533" t="s">
        <v>1586</v>
      </c>
      <c r="DE101" s="1427"/>
      <c r="DI101" s="532"/>
      <c r="DJ101" s="532">
        <v>874007</v>
      </c>
      <c r="DL101" s="533" t="s">
        <v>1586</v>
      </c>
      <c r="DO101" s="1427"/>
      <c r="DS101" s="532"/>
      <c r="DT101" s="532">
        <v>831431</v>
      </c>
      <c r="DV101" s="533" t="s">
        <v>1586</v>
      </c>
      <c r="DY101" s="1427"/>
      <c r="EC101" s="532"/>
      <c r="ED101" s="532">
        <v>6153952</v>
      </c>
      <c r="EF101" s="533" t="s">
        <v>1586</v>
      </c>
      <c r="ER101" s="532"/>
      <c r="ES101" s="532">
        <v>6181907</v>
      </c>
      <c r="EU101" s="533" t="s">
        <v>1586</v>
      </c>
      <c r="EV101" s="532"/>
      <c r="EZ101" s="1427"/>
      <c r="FD101" s="532"/>
      <c r="FE101" s="532">
        <v>5002635</v>
      </c>
      <c r="FG101" s="533" t="s">
        <v>1586</v>
      </c>
      <c r="FH101" s="532"/>
      <c r="FL101" s="1427"/>
      <c r="FP101" s="532"/>
      <c r="FQ101" s="532">
        <v>3052790</v>
      </c>
      <c r="FS101" s="533" t="s">
        <v>1586</v>
      </c>
      <c r="FT101" s="532"/>
      <c r="FX101" s="1427"/>
      <c r="GB101" s="532"/>
      <c r="GC101" s="532">
        <v>5097720</v>
      </c>
      <c r="GE101" s="533" t="s">
        <v>1586</v>
      </c>
      <c r="GF101" s="532"/>
      <c r="GJ101" s="1427"/>
      <c r="GN101" s="532"/>
      <c r="GO101" s="532">
        <v>6332722</v>
      </c>
      <c r="GQ101" s="533" t="s">
        <v>1586</v>
      </c>
      <c r="GR101" s="532"/>
      <c r="GV101" s="1427"/>
      <c r="GZ101" s="532"/>
    </row>
    <row r="102" spans="1:208" s="1666" customFormat="1">
      <c r="A102" s="1666" t="s">
        <v>2124</v>
      </c>
      <c r="B102" s="1667" t="s">
        <v>1587</v>
      </c>
      <c r="C102" s="1674" t="s">
        <v>1314</v>
      </c>
      <c r="F102" s="1666" t="s">
        <v>2130</v>
      </c>
      <c r="H102" s="1668"/>
      <c r="I102" s="1669"/>
      <c r="L102" s="1668"/>
      <c r="Q102" s="1670">
        <v>0</v>
      </c>
      <c r="R102" s="1670">
        <v>6939500</v>
      </c>
      <c r="Y102" s="1666">
        <v>799418</v>
      </c>
      <c r="Z102" s="1671">
        <v>0</v>
      </c>
      <c r="AI102" s="1666">
        <v>754396</v>
      </c>
      <c r="AJ102" s="1671">
        <v>0</v>
      </c>
      <c r="AM102" s="1672"/>
      <c r="AS102" s="1666">
        <v>1160345</v>
      </c>
      <c r="AT102" s="1671">
        <v>0</v>
      </c>
      <c r="AW102" s="1672"/>
      <c r="BC102" s="1666">
        <v>853602</v>
      </c>
      <c r="BD102" s="1671">
        <v>0</v>
      </c>
      <c r="BG102" s="1672"/>
      <c r="BM102" s="1666">
        <v>895938</v>
      </c>
      <c r="BN102" s="1671">
        <v>0</v>
      </c>
      <c r="BQ102" s="1672"/>
      <c r="BW102" s="1666">
        <v>769522</v>
      </c>
      <c r="BX102" s="1671">
        <v>0</v>
      </c>
      <c r="CA102" s="1672"/>
      <c r="CG102" s="1666">
        <v>834969</v>
      </c>
      <c r="CH102" s="1671">
        <v>0</v>
      </c>
      <c r="CK102" s="1672"/>
      <c r="CQ102" s="1666">
        <v>836152</v>
      </c>
      <c r="CR102" s="1671">
        <v>0</v>
      </c>
      <c r="CU102" s="1672"/>
      <c r="DA102" s="1666">
        <v>821362</v>
      </c>
      <c r="DB102" s="1671">
        <v>0</v>
      </c>
      <c r="DE102" s="1672"/>
      <c r="DK102" s="1666">
        <v>832388</v>
      </c>
      <c r="DL102" s="1671">
        <v>0</v>
      </c>
      <c r="DO102" s="1672"/>
      <c r="DU102" s="1666">
        <v>791839</v>
      </c>
      <c r="DV102" s="1671">
        <v>0</v>
      </c>
      <c r="DY102" s="1672"/>
      <c r="EE102" s="1666">
        <v>5860907</v>
      </c>
      <c r="EF102" s="1671">
        <v>0</v>
      </c>
      <c r="EJ102" s="1672"/>
      <c r="EN102" s="1672"/>
      <c r="ET102" s="1666">
        <v>5887530</v>
      </c>
      <c r="EU102" s="1671">
        <v>0</v>
      </c>
      <c r="EZ102" s="1672"/>
      <c r="FF102" s="1666">
        <v>4764414</v>
      </c>
      <c r="FG102" s="1671">
        <v>0</v>
      </c>
      <c r="FL102" s="1672"/>
      <c r="FR102" s="1666">
        <v>2907419</v>
      </c>
      <c r="FS102" s="1671">
        <v>0</v>
      </c>
      <c r="FX102" s="1672"/>
      <c r="GD102" s="1666">
        <v>4854971</v>
      </c>
      <c r="GE102" s="1671">
        <v>0</v>
      </c>
      <c r="GJ102" s="1672"/>
      <c r="GP102" s="1666">
        <v>6031164</v>
      </c>
      <c r="GQ102" s="1671">
        <v>0</v>
      </c>
      <c r="GV102" s="1672"/>
    </row>
    <row r="103" spans="1:208">
      <c r="A103" s="532" t="s">
        <v>2131</v>
      </c>
      <c r="B103" s="1145" t="s">
        <v>1589</v>
      </c>
      <c r="F103" s="532" t="s">
        <v>2132</v>
      </c>
      <c r="M103" s="532"/>
      <c r="P103" s="532"/>
      <c r="Q103" s="1663">
        <v>0</v>
      </c>
      <c r="R103" s="1663">
        <v>346975</v>
      </c>
      <c r="Y103" s="532">
        <v>39971</v>
      </c>
      <c r="AG103" s="532"/>
      <c r="AI103" s="532">
        <v>37720</v>
      </c>
      <c r="AM103" s="1427"/>
      <c r="AQ103" s="532"/>
      <c r="AS103" s="532">
        <v>58017</v>
      </c>
      <c r="AW103" s="1427"/>
      <c r="BA103" s="532"/>
      <c r="BC103" s="532">
        <v>42680</v>
      </c>
      <c r="BG103" s="1427"/>
      <c r="BK103" s="532"/>
      <c r="BM103" s="532">
        <v>44797</v>
      </c>
      <c r="BQ103" s="1427"/>
      <c r="BU103" s="532"/>
      <c r="BW103" s="532">
        <v>38476</v>
      </c>
      <c r="CA103" s="1427"/>
      <c r="CE103" s="532"/>
      <c r="CG103" s="532">
        <v>41748</v>
      </c>
      <c r="CK103" s="1427"/>
      <c r="CO103" s="532"/>
      <c r="CQ103" s="532">
        <v>41808</v>
      </c>
      <c r="CU103" s="1427"/>
      <c r="CY103" s="532"/>
      <c r="DA103" s="532">
        <v>41068</v>
      </c>
      <c r="DE103" s="1427"/>
      <c r="DI103" s="532"/>
      <c r="DK103" s="532">
        <v>41619</v>
      </c>
      <c r="DO103" s="1427"/>
      <c r="DS103" s="532"/>
      <c r="DU103" s="532">
        <v>39592</v>
      </c>
      <c r="DY103" s="1427"/>
      <c r="EC103" s="532"/>
      <c r="EE103" s="532">
        <v>293045</v>
      </c>
      <c r="ER103" s="532"/>
      <c r="ET103" s="532">
        <v>294377</v>
      </c>
      <c r="EV103" s="532"/>
      <c r="EZ103" s="1427"/>
      <c r="FD103" s="532"/>
      <c r="FF103" s="532">
        <v>238221</v>
      </c>
      <c r="FH103" s="532"/>
      <c r="FL103" s="1427"/>
      <c r="FP103" s="532"/>
      <c r="FR103" s="532">
        <v>145371</v>
      </c>
      <c r="FT103" s="532"/>
      <c r="FX103" s="1427"/>
      <c r="GB103" s="532"/>
      <c r="GD103" s="532">
        <v>242749</v>
      </c>
      <c r="GF103" s="532"/>
      <c r="GJ103" s="1427"/>
      <c r="GN103" s="532"/>
      <c r="GP103" s="532">
        <v>301558</v>
      </c>
      <c r="GR103" s="532"/>
      <c r="GV103" s="1427"/>
      <c r="GZ103" s="532"/>
    </row>
    <row r="104" spans="1:208">
      <c r="M104" s="532"/>
      <c r="P104" s="532"/>
      <c r="Q104" s="1663"/>
      <c r="R104" s="1663"/>
      <c r="AG104" s="532"/>
      <c r="AM104" s="1427"/>
      <c r="AQ104" s="532"/>
      <c r="AW104" s="1427"/>
      <c r="BA104" s="532"/>
      <c r="BG104" s="1427"/>
      <c r="BK104" s="532"/>
      <c r="BQ104" s="1427"/>
      <c r="BU104" s="532"/>
      <c r="CA104" s="1427"/>
      <c r="CE104" s="532"/>
      <c r="CK104" s="1427"/>
      <c r="CO104" s="532"/>
      <c r="CU104" s="1427"/>
      <c r="CY104" s="532"/>
      <c r="DE104" s="1427"/>
      <c r="DI104" s="532"/>
      <c r="DO104" s="1427"/>
      <c r="DS104" s="532"/>
      <c r="DY104" s="1427"/>
      <c r="EC104" s="532"/>
      <c r="ER104" s="532"/>
      <c r="EV104" s="532"/>
      <c r="EZ104" s="1427"/>
      <c r="FD104" s="532"/>
      <c r="FH104" s="532"/>
      <c r="FL104" s="1427"/>
      <c r="FP104" s="532"/>
      <c r="FT104" s="532"/>
      <c r="FX104" s="1427"/>
      <c r="GB104" s="532"/>
      <c r="GF104" s="532"/>
      <c r="GJ104" s="1427"/>
      <c r="GN104" s="532"/>
      <c r="GR104" s="532"/>
      <c r="GV104" s="1427"/>
      <c r="GZ104" s="532"/>
    </row>
    <row r="105" spans="1:208">
      <c r="B105" s="1658" t="s">
        <v>2133</v>
      </c>
      <c r="M105" s="532"/>
      <c r="P105" s="532"/>
      <c r="Q105" s="1663">
        <v>0</v>
      </c>
      <c r="R105" s="1663">
        <v>0</v>
      </c>
      <c r="AG105" s="532"/>
      <c r="AM105" s="1427"/>
      <c r="AQ105" s="532"/>
      <c r="AW105" s="1427"/>
      <c r="BA105" s="532"/>
      <c r="BG105" s="1427"/>
      <c r="BK105" s="532"/>
      <c r="BQ105" s="1427"/>
      <c r="BU105" s="532"/>
      <c r="CA105" s="1427"/>
      <c r="CE105" s="532"/>
      <c r="CK105" s="1427"/>
      <c r="CO105" s="532"/>
      <c r="CU105" s="1427"/>
      <c r="CY105" s="532"/>
      <c r="DE105" s="1427"/>
      <c r="DI105" s="532"/>
      <c r="DO105" s="1427"/>
      <c r="DS105" s="532"/>
      <c r="DY105" s="1427"/>
      <c r="EC105" s="532"/>
      <c r="ER105" s="532"/>
      <c r="EV105" s="532"/>
      <c r="EZ105" s="1427"/>
      <c r="FD105" s="532"/>
      <c r="FH105" s="532"/>
      <c r="FL105" s="1427"/>
      <c r="FP105" s="532"/>
      <c r="FT105" s="532"/>
      <c r="FX105" s="1427"/>
      <c r="GB105" s="532"/>
      <c r="GF105" s="532"/>
      <c r="GJ105" s="1427"/>
      <c r="GN105" s="532"/>
      <c r="GR105" s="532"/>
      <c r="GV105" s="1427"/>
      <c r="GZ105" s="532"/>
    </row>
    <row r="106" spans="1:208">
      <c r="B106" s="1660" t="s">
        <v>1572</v>
      </c>
      <c r="M106" s="532"/>
      <c r="P106" s="532"/>
      <c r="Q106" s="1663">
        <v>0</v>
      </c>
      <c r="R106" s="1663">
        <v>0</v>
      </c>
      <c r="AG106" s="532"/>
      <c r="AM106" s="1427"/>
      <c r="AQ106" s="532"/>
      <c r="AW106" s="1427"/>
      <c r="BA106" s="532"/>
      <c r="BG106" s="1427"/>
      <c r="BK106" s="532"/>
      <c r="BQ106" s="1427"/>
      <c r="BU106" s="532"/>
      <c r="CA106" s="1427"/>
      <c r="CE106" s="532"/>
      <c r="CK106" s="1427"/>
      <c r="CO106" s="532"/>
      <c r="CU106" s="1427"/>
      <c r="CY106" s="532"/>
      <c r="DE106" s="1427"/>
      <c r="DI106" s="532"/>
      <c r="DO106" s="1427"/>
      <c r="DS106" s="532"/>
      <c r="DY106" s="1427"/>
      <c r="EC106" s="532"/>
      <c r="ER106" s="532"/>
      <c r="EV106" s="532"/>
      <c r="EZ106" s="1427"/>
      <c r="FD106" s="532"/>
      <c r="FH106" s="532"/>
      <c r="FL106" s="1427"/>
      <c r="FP106" s="532"/>
      <c r="FT106" s="532"/>
      <c r="FX106" s="1427"/>
      <c r="GB106" s="532"/>
      <c r="GF106" s="532"/>
      <c r="GJ106" s="1427"/>
      <c r="GN106" s="532"/>
      <c r="GR106" s="532"/>
      <c r="GV106" s="1427"/>
      <c r="GZ106" s="532"/>
    </row>
    <row r="107" spans="1:208">
      <c r="B107" s="1145" t="s">
        <v>1590</v>
      </c>
      <c r="F107" s="532" t="s">
        <v>2134</v>
      </c>
      <c r="M107" s="532"/>
      <c r="P107" s="532"/>
      <c r="Q107" s="1663">
        <v>2160000</v>
      </c>
      <c r="R107" s="1663">
        <v>0</v>
      </c>
      <c r="X107" s="532">
        <v>0</v>
      </c>
      <c r="AG107" s="532"/>
      <c r="AH107" s="532">
        <v>0</v>
      </c>
      <c r="AM107" s="1427"/>
      <c r="AQ107" s="532"/>
      <c r="AR107" s="532">
        <v>0</v>
      </c>
      <c r="AW107" s="1427"/>
      <c r="BA107" s="532"/>
      <c r="BB107" s="532">
        <v>0</v>
      </c>
      <c r="BG107" s="1427"/>
      <c r="BK107" s="532"/>
      <c r="BL107" s="532">
        <v>0</v>
      </c>
      <c r="BQ107" s="1427"/>
      <c r="BU107" s="532"/>
      <c r="BV107" s="532">
        <v>0</v>
      </c>
      <c r="CA107" s="1427"/>
      <c r="CE107" s="532"/>
      <c r="CF107" s="532">
        <v>0</v>
      </c>
      <c r="CK107" s="1427"/>
      <c r="CO107" s="532"/>
      <c r="CP107" s="532">
        <v>0</v>
      </c>
      <c r="CU107" s="1427"/>
      <c r="CY107" s="532"/>
      <c r="CZ107" s="532">
        <v>0</v>
      </c>
      <c r="DE107" s="1427"/>
      <c r="DI107" s="532"/>
      <c r="DJ107" s="532">
        <v>175000</v>
      </c>
      <c r="DO107" s="1427"/>
      <c r="DS107" s="532"/>
      <c r="DT107" s="532">
        <v>0</v>
      </c>
      <c r="DY107" s="1427"/>
      <c r="EC107" s="532"/>
      <c r="ED107" s="532">
        <v>1200000</v>
      </c>
      <c r="ER107" s="532"/>
      <c r="ES107" s="532">
        <v>420000</v>
      </c>
      <c r="EV107" s="532"/>
      <c r="EZ107" s="1427"/>
      <c r="FD107" s="532"/>
      <c r="FE107" s="532">
        <v>821500</v>
      </c>
      <c r="FH107" s="532"/>
      <c r="FL107" s="1427"/>
      <c r="FP107" s="532"/>
      <c r="FQ107" s="532">
        <v>0</v>
      </c>
      <c r="FT107" s="532"/>
      <c r="FX107" s="1427"/>
      <c r="GB107" s="532"/>
      <c r="GC107" s="532">
        <v>0</v>
      </c>
      <c r="GF107" s="532"/>
      <c r="GJ107" s="1427"/>
      <c r="GN107" s="532"/>
      <c r="GO107" s="532">
        <v>0</v>
      </c>
      <c r="GR107" s="532"/>
      <c r="GV107" s="1427"/>
      <c r="GZ107" s="532"/>
    </row>
    <row r="108" spans="1:208">
      <c r="B108" s="1145" t="s">
        <v>1576</v>
      </c>
      <c r="F108" s="532" t="s">
        <v>2122</v>
      </c>
      <c r="M108" s="532"/>
      <c r="P108" s="532"/>
      <c r="Q108" s="1663">
        <v>0</v>
      </c>
      <c r="R108" s="1663">
        <v>2160000</v>
      </c>
      <c r="Y108" s="532">
        <v>0</v>
      </c>
      <c r="AG108" s="532"/>
      <c r="AI108" s="532">
        <v>0</v>
      </c>
      <c r="AM108" s="1427"/>
      <c r="AQ108" s="532"/>
      <c r="AS108" s="532">
        <v>0</v>
      </c>
      <c r="AW108" s="1427"/>
      <c r="BA108" s="532"/>
      <c r="BC108" s="532">
        <v>0</v>
      </c>
      <c r="BG108" s="1427"/>
      <c r="BK108" s="532"/>
      <c r="BM108" s="532">
        <v>0</v>
      </c>
      <c r="BQ108" s="1427"/>
      <c r="BU108" s="532"/>
      <c r="BW108" s="532">
        <v>0</v>
      </c>
      <c r="CA108" s="1427"/>
      <c r="CE108" s="532"/>
      <c r="CG108" s="532">
        <v>0</v>
      </c>
      <c r="CK108" s="1427"/>
      <c r="CO108" s="532"/>
      <c r="CQ108" s="532">
        <v>0</v>
      </c>
      <c r="CU108" s="1427"/>
      <c r="CY108" s="532"/>
      <c r="DA108" s="532">
        <v>0</v>
      </c>
      <c r="DE108" s="1427"/>
      <c r="DI108" s="532"/>
      <c r="DK108" s="532">
        <v>175000</v>
      </c>
      <c r="DO108" s="1427"/>
      <c r="DS108" s="532"/>
      <c r="DU108" s="532">
        <v>0</v>
      </c>
      <c r="DY108" s="1427"/>
      <c r="EC108" s="532"/>
      <c r="EE108" s="532">
        <v>1200000</v>
      </c>
      <c r="ER108" s="532"/>
      <c r="ET108" s="532">
        <v>420000</v>
      </c>
      <c r="EV108" s="532"/>
      <c r="EZ108" s="1427"/>
      <c r="FD108" s="532"/>
      <c r="FF108" s="532">
        <v>821500</v>
      </c>
      <c r="FH108" s="532"/>
      <c r="FL108" s="1427"/>
      <c r="FP108" s="532"/>
      <c r="FR108" s="532">
        <v>0</v>
      </c>
      <c r="FT108" s="532"/>
      <c r="FX108" s="1427"/>
      <c r="GB108" s="532"/>
      <c r="GD108" s="532">
        <v>0</v>
      </c>
      <c r="GF108" s="532"/>
      <c r="GJ108" s="1427"/>
      <c r="GN108" s="532"/>
      <c r="GP108" s="532">
        <v>0</v>
      </c>
      <c r="GR108" s="532"/>
      <c r="GV108" s="1427"/>
      <c r="GZ108" s="532"/>
    </row>
    <row r="109" spans="1:208">
      <c r="M109" s="532"/>
      <c r="P109" s="532"/>
      <c r="Q109" s="1663"/>
      <c r="R109" s="1663"/>
      <c r="AG109" s="532"/>
      <c r="AM109" s="1427"/>
      <c r="AQ109" s="532"/>
      <c r="AW109" s="1427"/>
      <c r="BA109" s="532"/>
      <c r="BG109" s="1427"/>
      <c r="BK109" s="532"/>
      <c r="BQ109" s="1427"/>
      <c r="BU109" s="532"/>
      <c r="CA109" s="1427"/>
      <c r="CE109" s="532"/>
      <c r="CK109" s="1427"/>
      <c r="CO109" s="532"/>
      <c r="CU109" s="1427"/>
      <c r="CY109" s="532"/>
      <c r="DE109" s="1427"/>
      <c r="DI109" s="532"/>
      <c r="DO109" s="1427"/>
      <c r="DS109" s="532"/>
      <c r="DY109" s="1427"/>
      <c r="EC109" s="532"/>
      <c r="ER109" s="532"/>
      <c r="EV109" s="532"/>
      <c r="EZ109" s="1427"/>
      <c r="FD109" s="532"/>
      <c r="FH109" s="532"/>
      <c r="FL109" s="1427"/>
      <c r="FP109" s="532"/>
      <c r="FT109" s="532"/>
      <c r="FX109" s="1427"/>
      <c r="GB109" s="532"/>
      <c r="GF109" s="532"/>
      <c r="GJ109" s="1427"/>
      <c r="GN109" s="532"/>
      <c r="GR109" s="532"/>
      <c r="GV109" s="1427"/>
      <c r="GZ109" s="532"/>
    </row>
    <row r="110" spans="1:208">
      <c r="B110" s="1664" t="s">
        <v>1577</v>
      </c>
      <c r="M110" s="532"/>
      <c r="P110" s="532"/>
      <c r="Q110" s="1663"/>
      <c r="R110" s="1663"/>
      <c r="AG110" s="532"/>
      <c r="AM110" s="1427"/>
      <c r="AQ110" s="532"/>
      <c r="AW110" s="1427"/>
      <c r="BA110" s="532"/>
      <c r="BG110" s="1427"/>
      <c r="BK110" s="532"/>
      <c r="BQ110" s="1427"/>
      <c r="BU110" s="532"/>
      <c r="CA110" s="1427"/>
      <c r="CE110" s="532"/>
      <c r="CK110" s="1427"/>
      <c r="CO110" s="532"/>
      <c r="CU110" s="1427"/>
      <c r="CY110" s="532"/>
      <c r="DE110" s="1427"/>
      <c r="DI110" s="532"/>
      <c r="DO110" s="1427"/>
      <c r="DS110" s="532"/>
      <c r="DY110" s="1427"/>
      <c r="EC110" s="532"/>
      <c r="ER110" s="532"/>
      <c r="EV110" s="532"/>
      <c r="EZ110" s="1427"/>
      <c r="FD110" s="532"/>
      <c r="FH110" s="532"/>
      <c r="FL110" s="1427"/>
      <c r="FP110" s="532"/>
      <c r="FT110" s="532"/>
      <c r="FX110" s="1427"/>
      <c r="GB110" s="532"/>
      <c r="GF110" s="532"/>
      <c r="GJ110" s="1427"/>
      <c r="GN110" s="532"/>
      <c r="GR110" s="532"/>
      <c r="GV110" s="1427"/>
      <c r="GZ110" s="532"/>
    </row>
    <row r="111" spans="1:208">
      <c r="A111" s="1665" t="s">
        <v>2123</v>
      </c>
      <c r="B111" s="1145" t="s">
        <v>1576</v>
      </c>
      <c r="F111" s="532" t="s">
        <v>2122</v>
      </c>
      <c r="M111" s="532"/>
      <c r="P111" s="532"/>
      <c r="Q111" s="1663">
        <v>2160000</v>
      </c>
      <c r="R111" s="1663">
        <v>0</v>
      </c>
      <c r="X111" s="532">
        <v>0</v>
      </c>
      <c r="AG111" s="532"/>
      <c r="AH111" s="532">
        <v>0</v>
      </c>
      <c r="AM111" s="1427"/>
      <c r="AQ111" s="532"/>
      <c r="AR111" s="532">
        <v>0</v>
      </c>
      <c r="AW111" s="1427"/>
      <c r="BA111" s="532"/>
      <c r="BB111" s="532">
        <v>0</v>
      </c>
      <c r="BG111" s="1427"/>
      <c r="BK111" s="532"/>
      <c r="BL111" s="532">
        <v>0</v>
      </c>
      <c r="BQ111" s="1427"/>
      <c r="BU111" s="532"/>
      <c r="BV111" s="532">
        <v>0</v>
      </c>
      <c r="CA111" s="1427"/>
      <c r="CE111" s="532"/>
      <c r="CF111" s="532">
        <v>0</v>
      </c>
      <c r="CK111" s="1427"/>
      <c r="CO111" s="532"/>
      <c r="CP111" s="532">
        <v>0</v>
      </c>
      <c r="CU111" s="1427"/>
      <c r="CY111" s="532"/>
      <c r="CZ111" s="532">
        <v>0</v>
      </c>
      <c r="DE111" s="1427"/>
      <c r="DI111" s="532"/>
      <c r="DJ111" s="532">
        <v>175000</v>
      </c>
      <c r="DO111" s="1427"/>
      <c r="DS111" s="532"/>
      <c r="DT111" s="532">
        <v>0</v>
      </c>
      <c r="DY111" s="1427"/>
      <c r="EC111" s="532"/>
      <c r="ED111" s="532">
        <v>1200000</v>
      </c>
      <c r="ER111" s="532"/>
      <c r="ES111" s="532">
        <v>420000</v>
      </c>
      <c r="EV111" s="532"/>
      <c r="EZ111" s="1427"/>
      <c r="FD111" s="532"/>
      <c r="FE111" s="532">
        <v>821500</v>
      </c>
      <c r="FH111" s="532"/>
      <c r="FL111" s="1427"/>
      <c r="FP111" s="532"/>
      <c r="FQ111" s="532">
        <v>0</v>
      </c>
      <c r="FT111" s="532"/>
      <c r="FX111" s="1427"/>
      <c r="GB111" s="532"/>
      <c r="GC111" s="532">
        <v>0</v>
      </c>
      <c r="GF111" s="532"/>
      <c r="GJ111" s="1427"/>
      <c r="GN111" s="532"/>
      <c r="GO111" s="532">
        <v>0</v>
      </c>
      <c r="GR111" s="532"/>
      <c r="GV111" s="1427"/>
      <c r="GZ111" s="532"/>
    </row>
    <row r="112" spans="1:208" s="1666" customFormat="1">
      <c r="A112" s="1666" t="s">
        <v>2124</v>
      </c>
      <c r="B112" s="1667" t="s">
        <v>1580</v>
      </c>
      <c r="E112" s="1675" t="s">
        <v>2104</v>
      </c>
      <c r="F112" s="1666" t="s">
        <v>2125</v>
      </c>
      <c r="H112" s="1668"/>
      <c r="I112" s="1669"/>
      <c r="L112" s="1668"/>
      <c r="Q112" s="1670">
        <v>0</v>
      </c>
      <c r="R112" s="1670">
        <v>2160000</v>
      </c>
      <c r="Y112" s="1666">
        <v>0</v>
      </c>
      <c r="AI112" s="1666">
        <v>0</v>
      </c>
      <c r="AM112" s="1672"/>
      <c r="AS112" s="1666">
        <v>0</v>
      </c>
      <c r="AW112" s="1672"/>
      <c r="BC112" s="1666">
        <v>0</v>
      </c>
      <c r="BG112" s="1672"/>
      <c r="BM112" s="1666">
        <v>0</v>
      </c>
      <c r="BQ112" s="1672"/>
      <c r="BW112" s="1666">
        <v>0</v>
      </c>
      <c r="CA112" s="1672"/>
      <c r="CG112" s="1666">
        <v>0</v>
      </c>
      <c r="CK112" s="1672"/>
      <c r="CQ112" s="1666">
        <v>0</v>
      </c>
      <c r="CU112" s="1672"/>
      <c r="DA112" s="1666">
        <v>0</v>
      </c>
      <c r="DE112" s="1672"/>
      <c r="DK112" s="1666">
        <v>175000</v>
      </c>
      <c r="DO112" s="1672"/>
      <c r="DU112" s="1666">
        <v>0</v>
      </c>
      <c r="DY112" s="1672"/>
      <c r="EE112" s="1666">
        <v>1200000</v>
      </c>
      <c r="EJ112" s="1672"/>
      <c r="EN112" s="1672"/>
      <c r="ET112" s="1666">
        <v>420000</v>
      </c>
      <c r="EZ112" s="1672"/>
      <c r="FF112" s="1666">
        <v>821500</v>
      </c>
      <c r="FL112" s="1672"/>
      <c r="FR112" s="1666">
        <v>0</v>
      </c>
      <c r="FX112" s="1672"/>
      <c r="GD112" s="1666">
        <v>0</v>
      </c>
      <c r="GJ112" s="1672"/>
      <c r="GP112" s="1666">
        <v>0</v>
      </c>
      <c r="GV112" s="1672"/>
    </row>
    <row r="113" spans="1:208">
      <c r="M113" s="532"/>
      <c r="P113" s="532"/>
      <c r="Q113" s="1663"/>
      <c r="R113" s="1663"/>
      <c r="AG113" s="532"/>
      <c r="AM113" s="1427"/>
      <c r="AQ113" s="532"/>
      <c r="AW113" s="1427"/>
      <c r="BA113" s="532"/>
      <c r="BG113" s="1427"/>
      <c r="BK113" s="532"/>
      <c r="BQ113" s="1427"/>
      <c r="BU113" s="532"/>
      <c r="CA113" s="1427"/>
      <c r="CE113" s="532"/>
      <c r="CK113" s="1427"/>
      <c r="CO113" s="532"/>
      <c r="CU113" s="1427"/>
      <c r="CY113" s="532"/>
      <c r="DE113" s="1427"/>
      <c r="DI113" s="532"/>
      <c r="DO113" s="1427"/>
      <c r="DS113" s="532"/>
      <c r="DY113" s="1427"/>
      <c r="EC113" s="532"/>
      <c r="ER113" s="532"/>
      <c r="EV113" s="532"/>
      <c r="EZ113" s="1427"/>
      <c r="FD113" s="532"/>
      <c r="FH113" s="532"/>
      <c r="FL113" s="1427"/>
      <c r="FP113" s="532"/>
      <c r="FT113" s="532"/>
      <c r="FX113" s="1427"/>
      <c r="GB113" s="532"/>
      <c r="GF113" s="532"/>
      <c r="GJ113" s="1427"/>
      <c r="GN113" s="532"/>
      <c r="GR113" s="532"/>
      <c r="GV113" s="1427"/>
      <c r="GZ113" s="532"/>
    </row>
    <row r="114" spans="1:208">
      <c r="B114" s="1660" t="s">
        <v>1583</v>
      </c>
      <c r="M114" s="532"/>
      <c r="P114" s="532"/>
      <c r="Q114" s="1663">
        <v>0</v>
      </c>
      <c r="R114" s="1663">
        <v>0</v>
      </c>
      <c r="AG114" s="532"/>
      <c r="AM114" s="1427"/>
      <c r="AQ114" s="532"/>
      <c r="AW114" s="1427"/>
      <c r="BA114" s="532"/>
      <c r="BG114" s="1427"/>
      <c r="BK114" s="532"/>
      <c r="BQ114" s="1427"/>
      <c r="BU114" s="532"/>
      <c r="CA114" s="1427"/>
      <c r="CE114" s="532"/>
      <c r="CK114" s="1427"/>
      <c r="CO114" s="532"/>
      <c r="CU114" s="1427"/>
      <c r="CY114" s="532"/>
      <c r="DE114" s="1427"/>
      <c r="DI114" s="532"/>
      <c r="DO114" s="1427"/>
      <c r="DS114" s="532"/>
      <c r="DY114" s="1427"/>
      <c r="EC114" s="532"/>
      <c r="ER114" s="532"/>
      <c r="EV114" s="532"/>
      <c r="EZ114" s="1427"/>
      <c r="FD114" s="532"/>
      <c r="FH114" s="532"/>
      <c r="FL114" s="1427"/>
      <c r="FP114" s="532"/>
      <c r="FT114" s="532"/>
      <c r="FX114" s="1427"/>
      <c r="GB114" s="532"/>
      <c r="GF114" s="532"/>
      <c r="GJ114" s="1427"/>
      <c r="GN114" s="532"/>
      <c r="GR114" s="532"/>
      <c r="GV114" s="1427"/>
      <c r="GZ114" s="532"/>
    </row>
    <row r="115" spans="1:208">
      <c r="B115" s="1145" t="s">
        <v>1580</v>
      </c>
      <c r="F115" s="532" t="s">
        <v>2125</v>
      </c>
      <c r="M115" s="532"/>
      <c r="P115" s="532"/>
      <c r="Q115" s="1663">
        <v>2160000</v>
      </c>
      <c r="R115" s="1663">
        <v>0</v>
      </c>
      <c r="X115" s="532">
        <v>0</v>
      </c>
      <c r="Z115" s="533" t="s">
        <v>1586</v>
      </c>
      <c r="AG115" s="532"/>
      <c r="AH115" s="532">
        <v>0</v>
      </c>
      <c r="AJ115" s="533" t="s">
        <v>1586</v>
      </c>
      <c r="AM115" s="1427"/>
      <c r="AQ115" s="532"/>
      <c r="AR115" s="532">
        <v>0</v>
      </c>
      <c r="AT115" s="533" t="s">
        <v>1586</v>
      </c>
      <c r="AW115" s="1427"/>
      <c r="BA115" s="532"/>
      <c r="BB115" s="532">
        <v>0</v>
      </c>
      <c r="BD115" s="533" t="s">
        <v>1586</v>
      </c>
      <c r="BG115" s="1427"/>
      <c r="BK115" s="532"/>
      <c r="BL115" s="532">
        <v>0</v>
      </c>
      <c r="BN115" s="533" t="s">
        <v>1586</v>
      </c>
      <c r="BQ115" s="1427"/>
      <c r="BU115" s="532"/>
      <c r="BV115" s="532">
        <v>0</v>
      </c>
      <c r="BX115" s="533" t="s">
        <v>1586</v>
      </c>
      <c r="CA115" s="1427"/>
      <c r="CE115" s="532"/>
      <c r="CF115" s="532">
        <v>0</v>
      </c>
      <c r="CH115" s="533" t="s">
        <v>1586</v>
      </c>
      <c r="CK115" s="1427"/>
      <c r="CO115" s="532"/>
      <c r="CP115" s="532">
        <v>0</v>
      </c>
      <c r="CR115" s="533" t="s">
        <v>1586</v>
      </c>
      <c r="CU115" s="1427"/>
      <c r="CY115" s="532"/>
      <c r="CZ115" s="532">
        <v>0</v>
      </c>
      <c r="DB115" s="533" t="s">
        <v>1586</v>
      </c>
      <c r="DE115" s="1427"/>
      <c r="DI115" s="532"/>
      <c r="DJ115" s="532">
        <v>175000</v>
      </c>
      <c r="DL115" s="533" t="s">
        <v>1586</v>
      </c>
      <c r="DO115" s="1427"/>
      <c r="DS115" s="532"/>
      <c r="DT115" s="532">
        <v>0</v>
      </c>
      <c r="DV115" s="533" t="s">
        <v>1586</v>
      </c>
      <c r="DY115" s="1427"/>
      <c r="EC115" s="532"/>
      <c r="ED115" s="532">
        <v>1200000</v>
      </c>
      <c r="EF115" s="533" t="s">
        <v>1586</v>
      </c>
      <c r="ER115" s="532"/>
      <c r="ES115" s="532">
        <v>420000</v>
      </c>
      <c r="EU115" s="533" t="s">
        <v>1586</v>
      </c>
      <c r="EV115" s="532"/>
      <c r="EZ115" s="1427"/>
      <c r="FD115" s="532"/>
      <c r="FE115" s="532">
        <v>821500</v>
      </c>
      <c r="FG115" s="533" t="s">
        <v>1586</v>
      </c>
      <c r="FH115" s="532"/>
      <c r="FL115" s="1427"/>
      <c r="FP115" s="532"/>
      <c r="FQ115" s="532">
        <v>0</v>
      </c>
      <c r="FS115" s="533" t="s">
        <v>1586</v>
      </c>
      <c r="FT115" s="532"/>
      <c r="FX115" s="1427"/>
      <c r="GB115" s="532"/>
      <c r="GC115" s="532">
        <v>0</v>
      </c>
      <c r="GE115" s="533" t="s">
        <v>1586</v>
      </c>
      <c r="GF115" s="532"/>
      <c r="GJ115" s="1427"/>
      <c r="GN115" s="532"/>
      <c r="GO115" s="532">
        <v>0</v>
      </c>
      <c r="GQ115" s="533" t="s">
        <v>1586</v>
      </c>
      <c r="GR115" s="532"/>
      <c r="GV115" s="1427"/>
      <c r="GZ115" s="532"/>
    </row>
    <row r="116" spans="1:208">
      <c r="B116" s="1145" t="s">
        <v>1591</v>
      </c>
      <c r="F116" s="532" t="s">
        <v>2135</v>
      </c>
      <c r="M116" s="532"/>
      <c r="P116" s="532"/>
      <c r="Q116" s="1663">
        <v>0</v>
      </c>
      <c r="R116" s="1663">
        <v>2160000</v>
      </c>
      <c r="Y116" s="532">
        <v>0</v>
      </c>
      <c r="Z116" s="1676">
        <v>0</v>
      </c>
      <c r="AG116" s="532"/>
      <c r="AI116" s="532">
        <v>0</v>
      </c>
      <c r="AJ116" s="1676">
        <v>0</v>
      </c>
      <c r="AM116" s="1427"/>
      <c r="AQ116" s="532"/>
      <c r="AS116" s="532">
        <v>0</v>
      </c>
      <c r="AT116" s="1676">
        <v>0</v>
      </c>
      <c r="AW116" s="1427"/>
      <c r="BA116" s="532"/>
      <c r="BC116" s="532">
        <v>0</v>
      </c>
      <c r="BD116" s="1676">
        <v>0</v>
      </c>
      <c r="BG116" s="1427"/>
      <c r="BK116" s="532"/>
      <c r="BM116" s="532">
        <v>0</v>
      </c>
      <c r="BN116" s="1676">
        <v>0</v>
      </c>
      <c r="BQ116" s="1427"/>
      <c r="BU116" s="532"/>
      <c r="BW116" s="532">
        <v>0</v>
      </c>
      <c r="BX116" s="1676">
        <v>0</v>
      </c>
      <c r="CA116" s="1427"/>
      <c r="CE116" s="532"/>
      <c r="CG116" s="532">
        <v>0</v>
      </c>
      <c r="CH116" s="1676">
        <v>0</v>
      </c>
      <c r="CK116" s="1427"/>
      <c r="CO116" s="532"/>
      <c r="CQ116" s="532">
        <v>0</v>
      </c>
      <c r="CR116" s="1676">
        <v>0</v>
      </c>
      <c r="CU116" s="1427"/>
      <c r="CY116" s="532"/>
      <c r="DA116" s="532">
        <v>0</v>
      </c>
      <c r="DB116" s="1676">
        <v>0</v>
      </c>
      <c r="DE116" s="1427"/>
      <c r="DI116" s="532"/>
      <c r="DK116" s="532">
        <v>175000</v>
      </c>
      <c r="DL116" s="1676">
        <v>0</v>
      </c>
      <c r="DO116" s="1427"/>
      <c r="DS116" s="532"/>
      <c r="DU116" s="532">
        <v>0</v>
      </c>
      <c r="DV116" s="1676">
        <v>0</v>
      </c>
      <c r="DY116" s="1427"/>
      <c r="EC116" s="532"/>
      <c r="EE116" s="532">
        <v>1200000</v>
      </c>
      <c r="EF116" s="1676">
        <v>0</v>
      </c>
      <c r="ER116" s="532"/>
      <c r="ET116" s="532">
        <v>420000</v>
      </c>
      <c r="EU116" s="1676">
        <v>0</v>
      </c>
      <c r="EV116" s="532"/>
      <c r="EZ116" s="1427"/>
      <c r="FD116" s="532"/>
      <c r="FF116" s="532">
        <v>821500</v>
      </c>
      <c r="FG116" s="1676">
        <v>0</v>
      </c>
      <c r="FH116" s="532"/>
      <c r="FL116" s="1427"/>
      <c r="FP116" s="532"/>
      <c r="FR116" s="532">
        <v>0</v>
      </c>
      <c r="FS116" s="1676">
        <v>0</v>
      </c>
      <c r="FT116" s="532"/>
      <c r="FX116" s="1427"/>
      <c r="GB116" s="532"/>
      <c r="GD116" s="532">
        <v>0</v>
      </c>
      <c r="GE116" s="1676">
        <v>0</v>
      </c>
      <c r="GF116" s="532"/>
      <c r="GJ116" s="1427"/>
      <c r="GN116" s="532"/>
      <c r="GP116" s="532">
        <v>0</v>
      </c>
      <c r="GQ116" s="1676">
        <v>0</v>
      </c>
      <c r="GR116" s="532"/>
      <c r="GV116" s="1427"/>
      <c r="GZ116" s="532"/>
    </row>
    <row r="117" spans="1:208">
      <c r="M117" s="532"/>
      <c r="P117" s="532"/>
      <c r="Q117" s="1663"/>
      <c r="R117" s="1663"/>
      <c r="AG117" s="532"/>
      <c r="AM117" s="1427"/>
      <c r="AQ117" s="532"/>
      <c r="AW117" s="1427"/>
      <c r="BA117" s="532"/>
      <c r="BG117" s="1427"/>
      <c r="BK117" s="532"/>
      <c r="BQ117" s="1427"/>
      <c r="BU117" s="532"/>
      <c r="CA117" s="1427"/>
      <c r="CE117" s="532"/>
      <c r="CK117" s="1427"/>
      <c r="CO117" s="532"/>
      <c r="CU117" s="1427"/>
      <c r="CY117" s="532"/>
      <c r="DE117" s="1427"/>
      <c r="DI117" s="532"/>
      <c r="DO117" s="1427"/>
      <c r="DS117" s="532"/>
      <c r="DY117" s="1427"/>
      <c r="EC117" s="532"/>
      <c r="ER117" s="532"/>
      <c r="EV117" s="532"/>
      <c r="EZ117" s="1427"/>
      <c r="FD117" s="532"/>
      <c r="FH117" s="532"/>
      <c r="FL117" s="1427"/>
      <c r="FP117" s="532"/>
      <c r="FT117" s="532"/>
      <c r="FX117" s="1427"/>
      <c r="GB117" s="532"/>
      <c r="GF117" s="532"/>
      <c r="GJ117" s="1427"/>
      <c r="GN117" s="532"/>
      <c r="GR117" s="532"/>
      <c r="GV117" s="1427"/>
      <c r="GZ117" s="532"/>
    </row>
    <row r="118" spans="1:208" s="1677" customFormat="1">
      <c r="B118" s="1678" t="s">
        <v>2136</v>
      </c>
      <c r="L118" s="1679"/>
      <c r="Q118" s="1680">
        <v>0</v>
      </c>
      <c r="R118" s="1680">
        <v>0</v>
      </c>
      <c r="AM118" s="1681"/>
      <c r="AW118" s="1681"/>
      <c r="BG118" s="1681"/>
      <c r="BQ118" s="1681"/>
      <c r="CA118" s="1681"/>
      <c r="CK118" s="1681"/>
      <c r="CU118" s="1681"/>
      <c r="DE118" s="1681"/>
      <c r="DO118" s="1681"/>
      <c r="DY118" s="1681"/>
      <c r="EJ118" s="1681"/>
      <c r="EN118" s="1681"/>
      <c r="EZ118" s="1681"/>
      <c r="FL118" s="1681"/>
      <c r="FX118" s="1681"/>
      <c r="GJ118" s="1681"/>
      <c r="GV118" s="1681"/>
    </row>
    <row r="119" spans="1:208">
      <c r="B119" s="553" t="s">
        <v>1577</v>
      </c>
      <c r="M119" s="532"/>
      <c r="P119" s="532"/>
      <c r="Q119" s="1663">
        <v>0</v>
      </c>
      <c r="R119" s="1663">
        <v>0</v>
      </c>
      <c r="AG119" s="532"/>
      <c r="AM119" s="1427"/>
      <c r="AQ119" s="532"/>
      <c r="AW119" s="1427"/>
      <c r="BA119" s="532"/>
      <c r="BG119" s="1427"/>
      <c r="BK119" s="532"/>
      <c r="BQ119" s="1427"/>
      <c r="BU119" s="532"/>
      <c r="CA119" s="1427"/>
      <c r="CE119" s="532"/>
      <c r="CK119" s="1427"/>
      <c r="CO119" s="532"/>
      <c r="CU119" s="1427"/>
      <c r="CY119" s="532"/>
      <c r="DE119" s="1427"/>
      <c r="DI119" s="532"/>
      <c r="DO119" s="1427"/>
      <c r="DS119" s="532"/>
      <c r="DY119" s="1427"/>
      <c r="EC119" s="532"/>
      <c r="ER119" s="532"/>
      <c r="EV119" s="532"/>
      <c r="EZ119" s="1427"/>
      <c r="FD119" s="532"/>
      <c r="FH119" s="532"/>
      <c r="FL119" s="1427"/>
      <c r="FP119" s="532"/>
      <c r="FT119" s="532"/>
      <c r="FX119" s="1427"/>
      <c r="GB119" s="532"/>
      <c r="GF119" s="532"/>
      <c r="GJ119" s="1427"/>
      <c r="GN119" s="532"/>
      <c r="GR119" s="532"/>
      <c r="GV119" s="1427"/>
      <c r="GZ119" s="532"/>
    </row>
    <row r="120" spans="1:208" s="1666" customFormat="1">
      <c r="A120" s="1666" t="s">
        <v>2124</v>
      </c>
      <c r="B120" s="1667" t="s">
        <v>1592</v>
      </c>
      <c r="F120" s="1666" t="s">
        <v>2137</v>
      </c>
      <c r="G120" s="1666" t="s">
        <v>2138</v>
      </c>
      <c r="H120" s="1668"/>
      <c r="I120" s="1669"/>
      <c r="L120" s="1668"/>
      <c r="Q120" s="1670">
        <v>14626777</v>
      </c>
      <c r="R120" s="1670">
        <v>0</v>
      </c>
      <c r="X120" s="1666">
        <v>4109347</v>
      </c>
      <c r="AH120" s="1666">
        <v>3048287</v>
      </c>
      <c r="AM120" s="1672"/>
      <c r="AR120" s="1666">
        <v>4858603</v>
      </c>
      <c r="AW120" s="1672"/>
      <c r="BB120" s="1666">
        <v>3933252</v>
      </c>
      <c r="BG120" s="1672"/>
      <c r="BL120" s="1666">
        <v>3952699</v>
      </c>
      <c r="BQ120" s="1672"/>
      <c r="BV120" s="1666">
        <v>4355492</v>
      </c>
      <c r="CA120" s="1672"/>
      <c r="CF120" s="1666">
        <v>3843825</v>
      </c>
      <c r="CK120" s="1672"/>
      <c r="CP120" s="1666">
        <v>3769753</v>
      </c>
      <c r="CU120" s="1672"/>
      <c r="CZ120" s="1666">
        <v>3702944</v>
      </c>
      <c r="DE120" s="1672"/>
      <c r="DJ120" s="1666">
        <v>3789381</v>
      </c>
      <c r="DO120" s="1672"/>
      <c r="DT120" s="1666">
        <v>3942369</v>
      </c>
      <c r="DY120" s="1672"/>
      <c r="ED120" s="1666">
        <v>4638947</v>
      </c>
      <c r="EJ120" s="1672"/>
      <c r="EN120" s="1672"/>
      <c r="ES120" s="1666">
        <v>48841862</v>
      </c>
      <c r="EZ120" s="1672"/>
      <c r="FE120" s="1666">
        <v>52113715</v>
      </c>
      <c r="FL120" s="1672"/>
      <c r="FQ120" s="1666">
        <v>54778598</v>
      </c>
      <c r="FX120" s="1672"/>
      <c r="GC120" s="1666">
        <v>292114753</v>
      </c>
      <c r="GJ120" s="1672"/>
      <c r="GO120" s="1666">
        <v>292114753</v>
      </c>
      <c r="GV120" s="1672"/>
    </row>
    <row r="121" spans="1:208" s="1666" customFormat="1">
      <c r="A121" s="1666" t="s">
        <v>2124</v>
      </c>
      <c r="B121" s="1667" t="s">
        <v>1592</v>
      </c>
      <c r="F121" s="1666" t="s">
        <v>2137</v>
      </c>
      <c r="G121" s="1666" t="s">
        <v>2139</v>
      </c>
      <c r="H121" s="1668"/>
      <c r="I121" s="1669"/>
      <c r="L121" s="1668"/>
      <c r="Q121" s="1670">
        <v>298889</v>
      </c>
      <c r="R121" s="1670">
        <v>0</v>
      </c>
      <c r="X121" s="1666">
        <v>40972</v>
      </c>
      <c r="AH121" s="1666">
        <v>40972</v>
      </c>
      <c r="AM121" s="1672"/>
      <c r="AR121" s="1666">
        <v>40973</v>
      </c>
      <c r="AW121" s="1672"/>
      <c r="BB121" s="1666">
        <v>40972</v>
      </c>
      <c r="BG121" s="1672"/>
      <c r="BL121" s="1666">
        <v>440972</v>
      </c>
      <c r="BQ121" s="1672"/>
      <c r="BV121" s="1666">
        <v>40973</v>
      </c>
      <c r="CA121" s="1672"/>
      <c r="CF121" s="1666">
        <v>40972</v>
      </c>
      <c r="CK121" s="1672"/>
      <c r="CP121" s="1666">
        <v>40972</v>
      </c>
      <c r="CU121" s="1672"/>
      <c r="CZ121" s="1666">
        <v>40972</v>
      </c>
      <c r="DE121" s="1672"/>
      <c r="DJ121" s="1666">
        <v>130972</v>
      </c>
      <c r="DO121" s="1672"/>
      <c r="DT121" s="1666">
        <v>40972</v>
      </c>
      <c r="DY121" s="1672"/>
      <c r="ED121" s="1666">
        <v>40973</v>
      </c>
      <c r="EJ121" s="1672"/>
      <c r="EN121" s="1672"/>
      <c r="ES121" s="1666">
        <v>981667</v>
      </c>
      <c r="EZ121" s="1672"/>
      <c r="FE121" s="1666">
        <v>918750</v>
      </c>
      <c r="FL121" s="1672"/>
      <c r="FQ121" s="1666">
        <v>1000000</v>
      </c>
      <c r="FX121" s="1672"/>
      <c r="GC121" s="1666">
        <v>520000</v>
      </c>
      <c r="GJ121" s="1672"/>
      <c r="GO121" s="1666">
        <v>520000</v>
      </c>
      <c r="GV121" s="1672"/>
    </row>
    <row r="122" spans="1:208">
      <c r="A122" s="1682" t="s">
        <v>2140</v>
      </c>
      <c r="B122" s="1682" t="s">
        <v>1593</v>
      </c>
      <c r="F122" s="532" t="s">
        <v>2141</v>
      </c>
      <c r="M122" s="532"/>
      <c r="P122" s="532"/>
      <c r="Q122" s="1663">
        <v>0</v>
      </c>
      <c r="R122" s="1663">
        <v>14925666</v>
      </c>
      <c r="Y122" s="532">
        <v>4150319</v>
      </c>
      <c r="AG122" s="532"/>
      <c r="AI122" s="532">
        <v>3089259</v>
      </c>
      <c r="AM122" s="1427"/>
      <c r="AQ122" s="532"/>
      <c r="AS122" s="532">
        <v>4899576</v>
      </c>
      <c r="AW122" s="1427"/>
      <c r="BA122" s="532"/>
      <c r="BC122" s="532">
        <v>3974224</v>
      </c>
      <c r="BG122" s="1427"/>
      <c r="BK122" s="532"/>
      <c r="BM122" s="532">
        <v>4393671</v>
      </c>
      <c r="BQ122" s="1427"/>
      <c r="BU122" s="532"/>
      <c r="BW122" s="532">
        <v>4396465</v>
      </c>
      <c r="CA122" s="1427"/>
      <c r="CE122" s="532"/>
      <c r="CG122" s="532">
        <v>3884797</v>
      </c>
      <c r="CK122" s="1427"/>
      <c r="CO122" s="532"/>
      <c r="CQ122" s="532">
        <v>3810725</v>
      </c>
      <c r="CU122" s="1427"/>
      <c r="CY122" s="532"/>
      <c r="DA122" s="532">
        <v>3743916</v>
      </c>
      <c r="DE122" s="1427"/>
      <c r="DI122" s="532"/>
      <c r="DK122" s="532">
        <v>3920353</v>
      </c>
      <c r="DO122" s="1427"/>
      <c r="DS122" s="532"/>
      <c r="DU122" s="532">
        <v>3983341</v>
      </c>
      <c r="DY122" s="1427"/>
      <c r="EC122" s="532"/>
      <c r="EE122" s="532">
        <v>4679920</v>
      </c>
      <c r="ER122" s="532"/>
      <c r="ET122" s="532">
        <v>49823529</v>
      </c>
      <c r="EV122" s="532"/>
      <c r="EZ122" s="1427"/>
      <c r="FD122" s="532"/>
      <c r="FF122" s="532">
        <v>53032465</v>
      </c>
      <c r="FH122" s="532"/>
      <c r="FL122" s="1427"/>
      <c r="FP122" s="532"/>
      <c r="FR122" s="532">
        <v>55778598</v>
      </c>
      <c r="FT122" s="532"/>
      <c r="FX122" s="1427"/>
      <c r="GB122" s="532"/>
      <c r="GD122" s="532">
        <v>292634753</v>
      </c>
      <c r="GF122" s="532"/>
      <c r="GJ122" s="1427"/>
      <c r="GN122" s="532"/>
      <c r="GP122" s="532">
        <v>292634753</v>
      </c>
      <c r="GR122" s="532"/>
      <c r="GV122" s="1427"/>
      <c r="GZ122" s="532"/>
    </row>
    <row r="123" spans="1:208" s="1666" customFormat="1">
      <c r="A123" s="1666" t="s">
        <v>2124</v>
      </c>
      <c r="B123" s="1667" t="s">
        <v>1592</v>
      </c>
      <c r="F123" s="1666" t="s">
        <v>2142</v>
      </c>
      <c r="G123" s="1666" t="s">
        <v>2143</v>
      </c>
      <c r="H123" s="1668"/>
      <c r="I123" s="1669"/>
      <c r="L123" s="1668"/>
      <c r="Q123" s="1670">
        <v>800000</v>
      </c>
      <c r="R123" s="1670">
        <v>0</v>
      </c>
      <c r="X123" s="1666">
        <v>805000</v>
      </c>
      <c r="AH123" s="1666">
        <v>0</v>
      </c>
      <c r="AM123" s="1672"/>
      <c r="AR123" s="1666">
        <v>1127500</v>
      </c>
      <c r="AW123" s="1672"/>
      <c r="BB123" s="1666">
        <v>400000</v>
      </c>
      <c r="BG123" s="1672"/>
      <c r="BL123" s="1666">
        <v>0</v>
      </c>
      <c r="BQ123" s="1672"/>
      <c r="BV123" s="1666">
        <v>0</v>
      </c>
      <c r="CA123" s="1672"/>
      <c r="CF123" s="1666">
        <v>400000</v>
      </c>
      <c r="CK123" s="1672"/>
      <c r="CP123" s="1666">
        <v>0</v>
      </c>
      <c r="CU123" s="1672"/>
      <c r="CZ123" s="1666">
        <v>0</v>
      </c>
      <c r="DE123" s="1672"/>
      <c r="DJ123" s="1666">
        <v>400000</v>
      </c>
      <c r="DO123" s="1672"/>
      <c r="DT123" s="1666">
        <v>0</v>
      </c>
      <c r="DY123" s="1672"/>
      <c r="ED123" s="1666">
        <v>0</v>
      </c>
      <c r="EJ123" s="1672"/>
      <c r="EN123" s="1672"/>
      <c r="ES123" s="1666">
        <v>2000000</v>
      </c>
      <c r="EZ123" s="1672"/>
      <c r="FE123" s="1666">
        <v>1600000</v>
      </c>
      <c r="FL123" s="1672"/>
      <c r="FQ123" s="1666">
        <v>0</v>
      </c>
      <c r="FX123" s="1672"/>
      <c r="GC123" s="1666">
        <v>0</v>
      </c>
      <c r="GJ123" s="1672"/>
      <c r="GO123" s="1666">
        <v>0</v>
      </c>
      <c r="GV123" s="1672"/>
    </row>
    <row r="124" spans="1:208" s="1666" customFormat="1">
      <c r="A124" s="1666" t="s">
        <v>2124</v>
      </c>
      <c r="B124" s="1667" t="s">
        <v>1592</v>
      </c>
      <c r="F124" s="1666" t="s">
        <v>2142</v>
      </c>
      <c r="G124" s="1666" t="s">
        <v>2144</v>
      </c>
      <c r="H124" s="1668"/>
      <c r="I124" s="1669"/>
      <c r="L124" s="1668"/>
      <c r="Q124" s="1670">
        <v>0</v>
      </c>
      <c r="R124" s="1670">
        <v>0</v>
      </c>
      <c r="X124" s="1666">
        <v>0</v>
      </c>
      <c r="AH124" s="1666">
        <v>0</v>
      </c>
      <c r="AM124" s="1672"/>
      <c r="AR124" s="1666">
        <v>0</v>
      </c>
      <c r="AW124" s="1672"/>
      <c r="BB124" s="1666">
        <v>0</v>
      </c>
      <c r="BG124" s="1672"/>
      <c r="BL124" s="1666">
        <v>0</v>
      </c>
      <c r="BQ124" s="1672"/>
      <c r="BV124" s="1666">
        <v>0</v>
      </c>
      <c r="CA124" s="1672"/>
      <c r="CF124" s="1666">
        <v>0</v>
      </c>
      <c r="CK124" s="1672"/>
      <c r="CP124" s="1666">
        <v>0</v>
      </c>
      <c r="CU124" s="1672"/>
      <c r="CZ124" s="1666">
        <v>0</v>
      </c>
      <c r="DE124" s="1672"/>
      <c r="DJ124" s="1666">
        <v>0</v>
      </c>
      <c r="DO124" s="1672"/>
      <c r="DT124" s="1666">
        <v>0</v>
      </c>
      <c r="DY124" s="1672"/>
      <c r="ED124" s="1666">
        <v>0</v>
      </c>
      <c r="EJ124" s="1672"/>
      <c r="EN124" s="1672"/>
      <c r="ES124" s="1666">
        <v>0</v>
      </c>
      <c r="EZ124" s="1672"/>
      <c r="FE124" s="1666">
        <v>0</v>
      </c>
      <c r="FL124" s="1672"/>
      <c r="FQ124" s="1666">
        <v>0</v>
      </c>
      <c r="FX124" s="1672"/>
      <c r="GC124" s="1666">
        <v>0</v>
      </c>
      <c r="GJ124" s="1672"/>
      <c r="GO124" s="1666">
        <v>0</v>
      </c>
      <c r="GV124" s="1672"/>
    </row>
    <row r="125" spans="1:208">
      <c r="A125" s="532" t="s">
        <v>2131</v>
      </c>
      <c r="B125" s="1145" t="s">
        <v>1594</v>
      </c>
      <c r="F125" s="532" t="s">
        <v>2145</v>
      </c>
      <c r="M125" s="532"/>
      <c r="P125" s="532"/>
      <c r="Q125" s="1663">
        <v>40000</v>
      </c>
      <c r="R125" s="1663">
        <v>0</v>
      </c>
      <c r="X125" s="532">
        <v>40250</v>
      </c>
      <c r="Z125" s="533" t="s">
        <v>1586</v>
      </c>
      <c r="AG125" s="532"/>
      <c r="AH125" s="532">
        <v>0</v>
      </c>
      <c r="AJ125" s="533" t="s">
        <v>1586</v>
      </c>
      <c r="AM125" s="1427"/>
      <c r="AQ125" s="532"/>
      <c r="AR125" s="532">
        <v>56375</v>
      </c>
      <c r="AT125" s="533" t="s">
        <v>1586</v>
      </c>
      <c r="AW125" s="1427"/>
      <c r="BA125" s="532"/>
      <c r="BB125" s="532">
        <v>20000</v>
      </c>
      <c r="BD125" s="533" t="s">
        <v>1586</v>
      </c>
      <c r="BG125" s="1427"/>
      <c r="BK125" s="532"/>
      <c r="BL125" s="532">
        <v>0</v>
      </c>
      <c r="BN125" s="533" t="s">
        <v>1586</v>
      </c>
      <c r="BQ125" s="1427"/>
      <c r="BU125" s="532"/>
      <c r="BV125" s="532">
        <v>0</v>
      </c>
      <c r="BX125" s="533" t="s">
        <v>1586</v>
      </c>
      <c r="CA125" s="1427"/>
      <c r="CE125" s="532"/>
      <c r="CF125" s="532">
        <v>20000</v>
      </c>
      <c r="CH125" s="533" t="s">
        <v>1586</v>
      </c>
      <c r="CK125" s="1427"/>
      <c r="CO125" s="532"/>
      <c r="CP125" s="532">
        <v>0</v>
      </c>
      <c r="CR125" s="533" t="s">
        <v>1586</v>
      </c>
      <c r="CU125" s="1427"/>
      <c r="CY125" s="532"/>
      <c r="CZ125" s="532">
        <v>0</v>
      </c>
      <c r="DB125" s="533" t="s">
        <v>1586</v>
      </c>
      <c r="DE125" s="1427"/>
      <c r="DI125" s="532"/>
      <c r="DJ125" s="532">
        <v>20000</v>
      </c>
      <c r="DL125" s="533" t="s">
        <v>1586</v>
      </c>
      <c r="DO125" s="1427"/>
      <c r="DS125" s="532"/>
      <c r="DT125" s="532">
        <v>0</v>
      </c>
      <c r="DV125" s="533" t="s">
        <v>1586</v>
      </c>
      <c r="DY125" s="1427"/>
      <c r="EC125" s="532"/>
      <c r="ED125" s="532">
        <v>0</v>
      </c>
      <c r="EF125" s="533" t="s">
        <v>1586</v>
      </c>
      <c r="ER125" s="532"/>
      <c r="ES125" s="532">
        <v>100000</v>
      </c>
      <c r="EU125" s="533" t="s">
        <v>1586</v>
      </c>
      <c r="EV125" s="532"/>
      <c r="EZ125" s="1427"/>
      <c r="FD125" s="532"/>
      <c r="FE125" s="532">
        <v>80000</v>
      </c>
      <c r="FG125" s="533" t="s">
        <v>1586</v>
      </c>
      <c r="FH125" s="532"/>
      <c r="FL125" s="1427"/>
      <c r="FP125" s="532"/>
      <c r="FQ125" s="532">
        <v>0</v>
      </c>
      <c r="FS125" s="533" t="s">
        <v>1586</v>
      </c>
      <c r="FT125" s="532"/>
      <c r="FX125" s="1427"/>
      <c r="GB125" s="532"/>
      <c r="GC125" s="532">
        <v>0</v>
      </c>
      <c r="GE125" s="533" t="s">
        <v>1586</v>
      </c>
      <c r="GF125" s="532"/>
      <c r="GJ125" s="1427"/>
      <c r="GN125" s="532"/>
      <c r="GO125" s="532">
        <v>0</v>
      </c>
      <c r="GQ125" s="533" t="s">
        <v>1586</v>
      </c>
      <c r="GR125" s="532"/>
      <c r="GV125" s="1427"/>
      <c r="GZ125" s="532"/>
    </row>
    <row r="126" spans="1:208">
      <c r="A126" s="1145" t="s">
        <v>2146</v>
      </c>
      <c r="B126" s="1145" t="s">
        <v>1596</v>
      </c>
      <c r="F126" s="532" t="s">
        <v>2147</v>
      </c>
      <c r="M126" s="532"/>
      <c r="P126" s="532"/>
      <c r="Q126" s="1663">
        <v>0</v>
      </c>
      <c r="R126" s="1663">
        <v>840000</v>
      </c>
      <c r="Y126" s="532">
        <v>845250</v>
      </c>
      <c r="Z126" s="1676">
        <v>20613</v>
      </c>
      <c r="AG126" s="532"/>
      <c r="AI126" s="532">
        <v>0</v>
      </c>
      <c r="AJ126" s="1676">
        <v>8132</v>
      </c>
      <c r="AM126" s="1427"/>
      <c r="AQ126" s="532"/>
      <c r="AS126" s="532">
        <v>1183875</v>
      </c>
      <c r="AT126" s="1676">
        <v>9110</v>
      </c>
      <c r="AW126" s="1427"/>
      <c r="BA126" s="532"/>
      <c r="BC126" s="532">
        <v>420000</v>
      </c>
      <c r="BD126" s="1676">
        <v>22493</v>
      </c>
      <c r="BG126" s="1427"/>
      <c r="BK126" s="532"/>
      <c r="BM126" s="532">
        <v>0</v>
      </c>
      <c r="BN126" s="1676">
        <v>22492</v>
      </c>
      <c r="BQ126" s="1427"/>
      <c r="BU126" s="532"/>
      <c r="BW126" s="532">
        <v>0</v>
      </c>
      <c r="BX126" s="1676">
        <v>22493</v>
      </c>
      <c r="CA126" s="1427"/>
      <c r="CE126" s="532"/>
      <c r="CG126" s="532">
        <v>420000</v>
      </c>
      <c r="CH126" s="1676">
        <v>24118</v>
      </c>
      <c r="CK126" s="1427"/>
      <c r="CO126" s="532"/>
      <c r="CQ126" s="532">
        <v>0</v>
      </c>
      <c r="CR126" s="1676">
        <v>26937</v>
      </c>
      <c r="CU126" s="1427"/>
      <c r="CY126" s="532"/>
      <c r="DA126" s="532">
        <v>0</v>
      </c>
      <c r="DB126" s="1676">
        <v>26936</v>
      </c>
      <c r="DE126" s="1427"/>
      <c r="DI126" s="532"/>
      <c r="DK126" s="532">
        <v>420000</v>
      </c>
      <c r="DL126" s="1676">
        <v>27682</v>
      </c>
      <c r="DO126" s="1427"/>
      <c r="DS126" s="532"/>
      <c r="DU126" s="532">
        <v>0</v>
      </c>
      <c r="DV126" s="1676">
        <v>16810</v>
      </c>
      <c r="DY126" s="1427"/>
      <c r="EC126" s="532"/>
      <c r="EE126" s="532">
        <v>0</v>
      </c>
      <c r="EF126" s="1676">
        <v>-4160782</v>
      </c>
      <c r="ER126" s="532"/>
      <c r="ET126" s="532">
        <v>2100000</v>
      </c>
      <c r="EU126" s="1676">
        <v>-1024250</v>
      </c>
      <c r="EV126" s="532"/>
      <c r="EZ126" s="1427"/>
      <c r="FD126" s="532"/>
      <c r="FF126" s="532">
        <v>1680000</v>
      </c>
      <c r="FG126" s="1676">
        <v>-2547450</v>
      </c>
      <c r="FH126" s="532"/>
      <c r="FL126" s="1427"/>
      <c r="FP126" s="532"/>
      <c r="FR126" s="532">
        <v>0</v>
      </c>
      <c r="FS126" s="1676">
        <v>0</v>
      </c>
      <c r="FT126" s="532"/>
      <c r="FX126" s="1427"/>
      <c r="GB126" s="532"/>
      <c r="GD126" s="532">
        <v>0</v>
      </c>
      <c r="GE126" s="1676">
        <v>230568726</v>
      </c>
      <c r="GF126" s="532"/>
      <c r="GJ126" s="1427"/>
      <c r="GN126" s="532"/>
      <c r="GP126" s="532">
        <v>0</v>
      </c>
      <c r="GQ126" s="1676">
        <v>-7063523</v>
      </c>
      <c r="GR126" s="532"/>
      <c r="GV126" s="1427"/>
      <c r="GZ126" s="532"/>
    </row>
    <row r="127" spans="1:208">
      <c r="A127" s="1145"/>
      <c r="B127" s="1145"/>
      <c r="M127" s="532"/>
      <c r="P127" s="532"/>
      <c r="Q127" s="1663">
        <v>0</v>
      </c>
      <c r="R127" s="1663">
        <v>0</v>
      </c>
      <c r="Z127" s="1427"/>
      <c r="AG127" s="532"/>
      <c r="AM127" s="1427"/>
      <c r="AQ127" s="532"/>
      <c r="AW127" s="1427"/>
      <c r="BA127" s="532"/>
      <c r="BG127" s="1427"/>
      <c r="BK127" s="532"/>
      <c r="BQ127" s="1427"/>
      <c r="BU127" s="532"/>
      <c r="CA127" s="1427"/>
      <c r="CE127" s="532"/>
      <c r="CK127" s="1427"/>
      <c r="CO127" s="532"/>
      <c r="CU127" s="1427"/>
      <c r="CY127" s="532"/>
      <c r="DE127" s="1427"/>
      <c r="DI127" s="532"/>
      <c r="DO127" s="1427"/>
      <c r="DS127" s="532"/>
      <c r="DY127" s="1427"/>
      <c r="EC127" s="532"/>
      <c r="ER127" s="532"/>
      <c r="EV127" s="532"/>
      <c r="EZ127" s="1427"/>
      <c r="FD127" s="532"/>
      <c r="FH127" s="532"/>
      <c r="FL127" s="1427"/>
      <c r="FP127" s="532"/>
      <c r="FT127" s="532"/>
      <c r="FX127" s="1427"/>
      <c r="GB127" s="532"/>
      <c r="GF127" s="532"/>
      <c r="GJ127" s="1427"/>
      <c r="GN127" s="532"/>
      <c r="GR127" s="532"/>
      <c r="GV127" s="1427"/>
      <c r="GZ127" s="532"/>
    </row>
    <row r="128" spans="1:208">
      <c r="B128" s="1660" t="s">
        <v>1583</v>
      </c>
      <c r="M128" s="532"/>
      <c r="P128" s="532"/>
      <c r="Q128" s="1663">
        <v>0</v>
      </c>
      <c r="R128" s="1663">
        <v>0</v>
      </c>
      <c r="Z128" s="1427"/>
      <c r="AG128" s="532"/>
      <c r="AM128" s="1427"/>
      <c r="AQ128" s="532"/>
      <c r="AW128" s="1427"/>
      <c r="BA128" s="532"/>
      <c r="BG128" s="1427"/>
      <c r="BK128" s="532"/>
      <c r="BQ128" s="1427"/>
      <c r="BU128" s="532"/>
      <c r="CA128" s="1427"/>
      <c r="CE128" s="532"/>
      <c r="CK128" s="1427"/>
      <c r="CO128" s="532"/>
      <c r="CU128" s="1427"/>
      <c r="CY128" s="532"/>
      <c r="DE128" s="1427"/>
      <c r="DI128" s="532"/>
      <c r="DO128" s="1427"/>
      <c r="DS128" s="532"/>
      <c r="DY128" s="1427"/>
      <c r="EC128" s="532"/>
      <c r="ER128" s="532"/>
      <c r="EV128" s="532"/>
      <c r="EZ128" s="1427"/>
      <c r="FD128" s="532"/>
      <c r="FH128" s="532"/>
      <c r="FL128" s="1427"/>
      <c r="FP128" s="532"/>
      <c r="FT128" s="532"/>
      <c r="FX128" s="1427"/>
      <c r="GB128" s="532"/>
      <c r="GF128" s="532"/>
      <c r="GJ128" s="1427"/>
      <c r="GN128" s="532"/>
      <c r="GR128" s="532"/>
      <c r="GV128" s="1427"/>
      <c r="GZ128" s="532"/>
    </row>
    <row r="129" spans="1:208">
      <c r="B129" s="1145" t="s">
        <v>1593</v>
      </c>
      <c r="E129" s="641" t="s">
        <v>2118</v>
      </c>
      <c r="F129" s="532" t="s">
        <v>2141</v>
      </c>
      <c r="M129" s="532"/>
      <c r="P129" s="532"/>
      <c r="Q129" s="1663">
        <v>725578</v>
      </c>
      <c r="R129" s="1663">
        <v>0</v>
      </c>
      <c r="X129" s="532">
        <v>59561</v>
      </c>
      <c r="Z129" s="1427"/>
      <c r="AG129" s="532"/>
      <c r="AH129" s="532">
        <v>59561</v>
      </c>
      <c r="AM129" s="1427"/>
      <c r="AQ129" s="532"/>
      <c r="AR129" s="532">
        <v>59561</v>
      </c>
      <c r="AW129" s="1427"/>
      <c r="BA129" s="532"/>
      <c r="BB129" s="532">
        <v>59561</v>
      </c>
      <c r="BG129" s="1427"/>
      <c r="BK129" s="532"/>
      <c r="BL129" s="532">
        <v>59561</v>
      </c>
      <c r="BQ129" s="1427"/>
      <c r="BU129" s="532"/>
      <c r="BV129" s="532">
        <v>79561</v>
      </c>
      <c r="CA129" s="1427"/>
      <c r="CE129" s="532"/>
      <c r="CF129" s="532">
        <v>59561</v>
      </c>
      <c r="CK129" s="1427"/>
      <c r="CO129" s="532"/>
      <c r="CP129" s="532">
        <v>59561</v>
      </c>
      <c r="CU129" s="1427"/>
      <c r="CY129" s="532"/>
      <c r="CZ129" s="532">
        <v>59561</v>
      </c>
      <c r="DE129" s="1427"/>
      <c r="DI129" s="532"/>
      <c r="DJ129" s="532">
        <v>169914</v>
      </c>
      <c r="DO129" s="1427"/>
      <c r="DS129" s="532"/>
      <c r="DT129" s="532">
        <v>59561</v>
      </c>
      <c r="DY129" s="1427"/>
      <c r="EC129" s="532"/>
      <c r="ED129" s="532">
        <v>79561</v>
      </c>
      <c r="ER129" s="532"/>
      <c r="ES129" s="532">
        <v>300088</v>
      </c>
      <c r="EV129" s="532"/>
      <c r="EZ129" s="1427"/>
      <c r="FD129" s="532"/>
      <c r="FE129" s="532">
        <v>240431</v>
      </c>
      <c r="FH129" s="532"/>
      <c r="FL129" s="1427"/>
      <c r="FP129" s="532"/>
      <c r="FQ129" s="532">
        <v>0</v>
      </c>
      <c r="FT129" s="532"/>
      <c r="FX129" s="1427"/>
      <c r="GB129" s="532"/>
      <c r="GC129" s="532">
        <v>0</v>
      </c>
      <c r="GF129" s="532"/>
      <c r="GJ129" s="1427"/>
      <c r="GN129" s="532"/>
      <c r="GO129" s="532">
        <v>0</v>
      </c>
      <c r="GR129" s="532"/>
      <c r="GV129" s="1427"/>
      <c r="GZ129" s="532"/>
    </row>
    <row r="130" spans="1:208">
      <c r="B130" s="1145" t="s">
        <v>1592</v>
      </c>
      <c r="F130" s="532" t="s">
        <v>2137</v>
      </c>
      <c r="M130" s="532"/>
      <c r="P130" s="532"/>
      <c r="Q130" s="1663">
        <v>0</v>
      </c>
      <c r="R130" s="1663">
        <v>725578</v>
      </c>
      <c r="Y130" s="532">
        <v>59561</v>
      </c>
      <c r="Z130" s="1427"/>
      <c r="AG130" s="532"/>
      <c r="AI130" s="532">
        <v>59561</v>
      </c>
      <c r="AM130" s="1427"/>
      <c r="AQ130" s="532"/>
      <c r="AS130" s="532">
        <v>59561</v>
      </c>
      <c r="AW130" s="1427"/>
      <c r="BA130" s="532"/>
      <c r="BC130" s="532">
        <v>59561</v>
      </c>
      <c r="BG130" s="1427"/>
      <c r="BK130" s="532"/>
      <c r="BM130" s="532">
        <v>59561</v>
      </c>
      <c r="BQ130" s="1427"/>
      <c r="BU130" s="532"/>
      <c r="BW130" s="532">
        <v>79561</v>
      </c>
      <c r="CA130" s="1427"/>
      <c r="CE130" s="532"/>
      <c r="CG130" s="532">
        <v>59561</v>
      </c>
      <c r="CK130" s="1427"/>
      <c r="CO130" s="532"/>
      <c r="CQ130" s="532">
        <v>59561</v>
      </c>
      <c r="CU130" s="1427"/>
      <c r="CY130" s="532"/>
      <c r="DA130" s="532">
        <v>59561</v>
      </c>
      <c r="DE130" s="1427"/>
      <c r="DI130" s="532"/>
      <c r="DK130" s="532">
        <v>169914</v>
      </c>
      <c r="DO130" s="1427"/>
      <c r="DS130" s="532"/>
      <c r="DU130" s="532">
        <v>59561</v>
      </c>
      <c r="DY130" s="1427"/>
      <c r="EC130" s="532"/>
      <c r="EE130" s="532">
        <v>79561</v>
      </c>
      <c r="ER130" s="532"/>
      <c r="ET130" s="532">
        <v>300088</v>
      </c>
      <c r="EV130" s="532"/>
      <c r="EZ130" s="1427"/>
      <c r="FD130" s="532"/>
      <c r="FF130" s="532">
        <v>240431</v>
      </c>
      <c r="FH130" s="532"/>
      <c r="FL130" s="1427"/>
      <c r="FP130" s="532"/>
      <c r="FR130" s="532">
        <v>0</v>
      </c>
      <c r="FT130" s="532"/>
      <c r="FX130" s="1427"/>
      <c r="GB130" s="532"/>
      <c r="GD130" s="532">
        <v>0</v>
      </c>
      <c r="GF130" s="532"/>
      <c r="GJ130" s="1427"/>
      <c r="GN130" s="532"/>
      <c r="GP130" s="532">
        <v>0</v>
      </c>
      <c r="GR130" s="532"/>
      <c r="GV130" s="1427"/>
      <c r="GZ130" s="532"/>
    </row>
    <row r="131" spans="1:208">
      <c r="M131" s="532"/>
      <c r="P131" s="532"/>
      <c r="Q131" s="1663">
        <v>0</v>
      </c>
      <c r="R131" s="1663">
        <v>0</v>
      </c>
      <c r="Z131" s="1427"/>
      <c r="AG131" s="532"/>
      <c r="FT131" s="532"/>
      <c r="FX131" s="1427"/>
      <c r="GB131" s="532"/>
      <c r="GF131" s="532"/>
      <c r="GJ131" s="1427"/>
      <c r="GN131" s="532"/>
      <c r="GR131" s="532"/>
      <c r="GV131" s="1427"/>
      <c r="GZ131" s="532"/>
    </row>
    <row r="132" spans="1:208">
      <c r="M132" s="532"/>
      <c r="P132" s="532"/>
      <c r="Q132" s="1143">
        <v>87878719</v>
      </c>
      <c r="R132" s="1143">
        <v>87878719</v>
      </c>
      <c r="S132" s="532">
        <v>0</v>
      </c>
      <c r="X132" s="1143">
        <v>23142128</v>
      </c>
      <c r="Y132" s="1143">
        <v>23142128</v>
      </c>
      <c r="Z132" s="532">
        <v>0</v>
      </c>
      <c r="AG132" s="532"/>
      <c r="AH132" s="1143">
        <v>13770679</v>
      </c>
      <c r="AI132" s="1143">
        <v>13770679</v>
      </c>
      <c r="AJ132" s="532">
        <v>0</v>
      </c>
      <c r="AM132" s="1427"/>
      <c r="AQ132" s="532"/>
      <c r="AR132" s="1143">
        <v>27628105</v>
      </c>
      <c r="AS132" s="1143">
        <v>27628105</v>
      </c>
      <c r="AT132" s="532">
        <v>0</v>
      </c>
      <c r="AW132" s="1427"/>
      <c r="BA132" s="532"/>
      <c r="BB132" s="1143">
        <v>23406842</v>
      </c>
      <c r="BC132" s="1143">
        <v>23406842</v>
      </c>
      <c r="BD132" s="532">
        <v>0</v>
      </c>
      <c r="BG132" s="1427"/>
      <c r="BK132" s="532"/>
      <c r="BL132" s="1143">
        <v>20185602</v>
      </c>
      <c r="BM132" s="1143">
        <v>20185602</v>
      </c>
      <c r="BN132" s="532">
        <v>0</v>
      </c>
      <c r="BQ132" s="1427"/>
      <c r="BU132" s="532"/>
      <c r="BV132" s="1143">
        <v>20795662</v>
      </c>
      <c r="BW132" s="1143">
        <v>20795662</v>
      </c>
      <c r="BX132" s="532">
        <v>0</v>
      </c>
      <c r="CA132" s="1427"/>
      <c r="CE132" s="532"/>
      <c r="CF132" s="1143">
        <v>20051733</v>
      </c>
      <c r="CG132" s="1143">
        <v>20051733</v>
      </c>
      <c r="CH132" s="532">
        <v>0</v>
      </c>
      <c r="CK132" s="1427"/>
      <c r="CO132" s="532"/>
      <c r="CP132" s="1143">
        <v>15669581</v>
      </c>
      <c r="CQ132" s="1143">
        <v>15669581</v>
      </c>
      <c r="CR132" s="532">
        <v>0</v>
      </c>
      <c r="CU132" s="1427"/>
      <c r="CY132" s="532"/>
      <c r="CZ132" s="1143">
        <v>14839429</v>
      </c>
      <c r="DA132" s="1143">
        <v>14839429</v>
      </c>
      <c r="DB132" s="532">
        <v>0</v>
      </c>
      <c r="DE132" s="1427"/>
      <c r="DI132" s="532"/>
      <c r="DJ132" s="1143">
        <v>25386219</v>
      </c>
      <c r="DK132" s="1143">
        <v>25386219</v>
      </c>
      <c r="DL132" s="532">
        <v>0</v>
      </c>
      <c r="DO132" s="1427"/>
      <c r="DS132" s="532"/>
      <c r="DT132" s="1143">
        <v>18931313</v>
      </c>
      <c r="DU132" s="1143">
        <v>18931313</v>
      </c>
      <c r="DV132" s="532">
        <v>0</v>
      </c>
      <c r="DY132" s="1427"/>
      <c r="EC132" s="532"/>
      <c r="ED132" s="1143">
        <v>33983670</v>
      </c>
      <c r="EE132" s="1143">
        <v>33983670</v>
      </c>
      <c r="EF132" s="532">
        <v>0</v>
      </c>
      <c r="ER132" s="532"/>
      <c r="ES132" s="1143">
        <v>263024502</v>
      </c>
      <c r="ET132" s="1143">
        <v>263024502</v>
      </c>
      <c r="EU132" s="532">
        <v>0</v>
      </c>
      <c r="EV132" s="532"/>
      <c r="EZ132" s="1427"/>
      <c r="FD132" s="532"/>
      <c r="FE132" s="1143">
        <v>289454847</v>
      </c>
      <c r="FF132" s="1143">
        <v>289454847</v>
      </c>
      <c r="FG132" s="532">
        <v>0</v>
      </c>
      <c r="FH132" s="532"/>
      <c r="FL132" s="1427"/>
      <c r="FP132" s="532"/>
      <c r="FQ132" s="1143">
        <v>291544511</v>
      </c>
      <c r="FR132" s="1143">
        <v>291544511</v>
      </c>
      <c r="FS132" s="532">
        <v>0</v>
      </c>
      <c r="FT132" s="532"/>
      <c r="FX132" s="1427"/>
      <c r="GB132" s="532"/>
      <c r="GC132" s="1143">
        <v>549047018</v>
      </c>
      <c r="GD132" s="1143">
        <v>549047018</v>
      </c>
      <c r="GE132" s="532">
        <v>0</v>
      </c>
      <c r="GF132" s="532"/>
      <c r="GJ132" s="1427"/>
      <c r="GN132" s="532"/>
      <c r="GO132" s="1143">
        <v>1595554020</v>
      </c>
      <c r="GP132" s="1143">
        <v>1595554020</v>
      </c>
      <c r="GQ132" s="532">
        <v>0</v>
      </c>
      <c r="GR132" s="532"/>
      <c r="GV132" s="1427"/>
      <c r="GZ132" s="532"/>
    </row>
    <row r="133" spans="1:208">
      <c r="M133" s="532"/>
      <c r="P133" s="532"/>
      <c r="Q133" s="1294"/>
      <c r="R133" s="533"/>
      <c r="Z133" s="1427"/>
      <c r="AG133" s="532"/>
      <c r="AM133" s="1427"/>
      <c r="AQ133" s="532"/>
      <c r="AT133" s="1427"/>
      <c r="AW133" s="1427"/>
      <c r="BA133" s="532"/>
      <c r="BG133" s="1427"/>
      <c r="BK133" s="532"/>
      <c r="BQ133" s="1427"/>
      <c r="BU133" s="532"/>
      <c r="CA133" s="1427"/>
      <c r="CE133" s="532"/>
      <c r="CK133" s="1427"/>
      <c r="CO133" s="532"/>
      <c r="CU133" s="1427"/>
      <c r="CY133" s="532"/>
      <c r="DE133" s="1427"/>
      <c r="DI133" s="532"/>
      <c r="DO133" s="1427"/>
      <c r="DS133" s="532"/>
      <c r="DY133" s="1427"/>
      <c r="EC133" s="532"/>
      <c r="EF133" s="1427"/>
      <c r="ER133" s="532"/>
      <c r="EV133" s="532"/>
      <c r="EZ133" s="1427"/>
      <c r="FD133" s="532"/>
      <c r="FH133" s="532"/>
      <c r="FL133" s="1427"/>
      <c r="FP133" s="532"/>
      <c r="FT133" s="532"/>
      <c r="FX133" s="1427"/>
      <c r="GB133" s="532"/>
      <c r="GF133" s="532"/>
      <c r="GJ133" s="1427"/>
      <c r="GN133" s="532"/>
      <c r="GR133" s="532"/>
      <c r="GV133" s="1427"/>
      <c r="GZ133" s="532"/>
    </row>
    <row r="134" spans="1:208" s="1683" customFormat="1">
      <c r="B134" s="1684"/>
      <c r="L134" s="1685"/>
      <c r="Q134" s="1685"/>
      <c r="R134" s="1686"/>
      <c r="Z134" s="1687"/>
      <c r="AM134" s="1687"/>
      <c r="AT134" s="1687"/>
      <c r="AW134" s="1687"/>
      <c r="BG134" s="1687"/>
      <c r="BQ134" s="1687"/>
      <c r="CA134" s="1687"/>
      <c r="CK134" s="1687"/>
      <c r="CU134" s="1687"/>
      <c r="DE134" s="1687"/>
      <c r="DO134" s="1687"/>
      <c r="DY134" s="1687"/>
      <c r="EF134" s="1687"/>
      <c r="EJ134" s="1687"/>
      <c r="EN134" s="1687"/>
      <c r="EZ134" s="1687"/>
      <c r="FL134" s="1687"/>
      <c r="FX134" s="1687"/>
      <c r="GJ134" s="1687"/>
      <c r="GV134" s="1687"/>
    </row>
    <row r="135" spans="1:208">
      <c r="M135" s="532"/>
      <c r="P135" s="532"/>
      <c r="Q135" s="1294"/>
      <c r="R135" s="533"/>
      <c r="Z135" s="1427"/>
      <c r="AG135" s="532"/>
      <c r="AM135" s="1427"/>
      <c r="AQ135" s="532"/>
      <c r="AT135" s="1427"/>
      <c r="AW135" s="1427"/>
      <c r="BA135" s="532"/>
      <c r="BG135" s="1427"/>
      <c r="BK135" s="532"/>
      <c r="BQ135" s="1427"/>
      <c r="BU135" s="532"/>
      <c r="CA135" s="1427"/>
      <c r="CE135" s="532"/>
      <c r="CK135" s="1427"/>
      <c r="CO135" s="532"/>
      <c r="CU135" s="1427"/>
      <c r="CY135" s="532"/>
      <c r="DE135" s="1427"/>
      <c r="DI135" s="532"/>
      <c r="DO135" s="1427"/>
      <c r="DS135" s="532"/>
      <c r="DY135" s="1427"/>
      <c r="EC135" s="532"/>
      <c r="EF135" s="1427"/>
      <c r="ER135" s="532"/>
      <c r="EV135" s="532"/>
      <c r="EZ135" s="1427"/>
      <c r="FD135" s="532"/>
      <c r="FH135" s="532"/>
      <c r="FL135" s="1427"/>
      <c r="FP135" s="532"/>
      <c r="FT135" s="532"/>
      <c r="FX135" s="1427"/>
      <c r="GB135" s="532"/>
      <c r="GF135" s="532"/>
      <c r="GJ135" s="1427"/>
      <c r="GN135" s="532"/>
      <c r="GR135" s="532"/>
      <c r="GV135" s="1427"/>
      <c r="GZ135" s="532"/>
    </row>
    <row r="136" spans="1:208">
      <c r="B136" s="1145" t="s">
        <v>1597</v>
      </c>
      <c r="F136" s="532" t="s">
        <v>2148</v>
      </c>
      <c r="M136" s="532"/>
      <c r="P136" s="532"/>
      <c r="Q136" s="532">
        <v>21367000</v>
      </c>
      <c r="R136" s="532">
        <v>28306500</v>
      </c>
      <c r="Z136" s="1427"/>
      <c r="AG136" s="532"/>
      <c r="AM136" s="1427"/>
      <c r="AQ136" s="532"/>
      <c r="AT136" s="1427"/>
      <c r="AW136" s="1427"/>
      <c r="BA136" s="532"/>
      <c r="BG136" s="1427"/>
      <c r="BK136" s="532"/>
      <c r="BQ136" s="1427"/>
      <c r="BU136" s="532"/>
      <c r="CA136" s="1427"/>
      <c r="CE136" s="532"/>
      <c r="CK136" s="1427"/>
      <c r="CO136" s="532"/>
      <c r="CU136" s="1427"/>
      <c r="CV136" s="532">
        <v>3391174</v>
      </c>
      <c r="CW136" s="532">
        <v>4212536</v>
      </c>
      <c r="CX136" s="532">
        <v>821362</v>
      </c>
      <c r="CY136" s="532"/>
      <c r="DE136" s="1427"/>
      <c r="DF136" s="532">
        <v>6667315</v>
      </c>
      <c r="DG136" s="532">
        <v>7499703</v>
      </c>
      <c r="DH136" s="532">
        <v>832388</v>
      </c>
      <c r="DI136" s="532"/>
      <c r="DO136" s="1427"/>
      <c r="DP136" s="532">
        <v>4685660</v>
      </c>
      <c r="DQ136" s="532">
        <v>5477499</v>
      </c>
      <c r="DR136" s="532">
        <v>791839</v>
      </c>
      <c r="DS136" s="532"/>
      <c r="DY136" s="1427"/>
      <c r="DZ136" s="532">
        <v>7690079</v>
      </c>
      <c r="EA136" s="532">
        <v>13550986</v>
      </c>
      <c r="EB136" s="532">
        <v>5860907</v>
      </c>
      <c r="EC136" s="532"/>
      <c r="EF136" s="1427"/>
      <c r="ER136" s="532"/>
      <c r="EV136" s="532"/>
      <c r="EZ136" s="1427"/>
      <c r="FD136" s="532"/>
      <c r="FH136" s="532"/>
      <c r="FL136" s="1427"/>
      <c r="FP136" s="532"/>
      <c r="FT136" s="532"/>
      <c r="FX136" s="1427"/>
      <c r="GB136" s="532"/>
      <c r="GF136" s="532"/>
      <c r="GJ136" s="1427"/>
      <c r="GN136" s="532"/>
      <c r="GR136" s="532"/>
      <c r="GV136" s="1427"/>
      <c r="GZ136" s="532"/>
    </row>
    <row r="137" spans="1:208">
      <c r="B137" s="1145" t="s">
        <v>1592</v>
      </c>
      <c r="F137" s="532" t="s">
        <v>2149</v>
      </c>
      <c r="M137" s="532"/>
      <c r="P137" s="532"/>
      <c r="Q137" s="532">
        <v>15725666</v>
      </c>
      <c r="R137" s="532">
        <v>19932578</v>
      </c>
      <c r="Z137" s="1427"/>
      <c r="AG137" s="532"/>
      <c r="AM137" s="1427"/>
      <c r="AQ137" s="532"/>
      <c r="AT137" s="1427"/>
      <c r="AW137" s="1427"/>
      <c r="BA137" s="532"/>
      <c r="BG137" s="1427"/>
      <c r="BK137" s="532"/>
      <c r="BQ137" s="1427"/>
      <c r="BU137" s="532"/>
      <c r="CA137" s="1427"/>
      <c r="CE137" s="532"/>
      <c r="CK137" s="1427"/>
      <c r="CO137" s="532"/>
      <c r="CU137" s="1427"/>
      <c r="CV137" s="532">
        <v>3702944</v>
      </c>
      <c r="CW137" s="532">
        <v>3450735</v>
      </c>
      <c r="CX137" s="532">
        <v>-252209</v>
      </c>
      <c r="CY137" s="532"/>
      <c r="DE137" s="1427"/>
      <c r="DF137" s="532">
        <v>4189381</v>
      </c>
      <c r="DG137" s="532">
        <v>6662229</v>
      </c>
      <c r="DH137" s="532">
        <v>2472848</v>
      </c>
      <c r="DI137" s="532"/>
      <c r="DO137" s="1427"/>
      <c r="DP137" s="532">
        <v>3942369</v>
      </c>
      <c r="DQ137" s="532">
        <v>4745221</v>
      </c>
      <c r="DR137" s="532">
        <v>802852</v>
      </c>
      <c r="DS137" s="532"/>
      <c r="DY137" s="1427"/>
      <c r="DZ137" s="532">
        <v>4638947</v>
      </c>
      <c r="EA137" s="532">
        <v>6569640</v>
      </c>
      <c r="EB137" s="532">
        <v>1930693</v>
      </c>
      <c r="EC137" s="532"/>
      <c r="EF137" s="1427"/>
      <c r="ER137" s="532"/>
      <c r="EV137" s="532"/>
      <c r="EZ137" s="1427"/>
      <c r="FD137" s="532"/>
      <c r="FH137" s="532"/>
      <c r="FL137" s="1427"/>
      <c r="FP137" s="532"/>
      <c r="FT137" s="532"/>
      <c r="FX137" s="1427"/>
      <c r="GB137" s="532"/>
      <c r="GF137" s="532"/>
      <c r="GJ137" s="1427"/>
      <c r="GN137" s="532"/>
      <c r="GR137" s="532"/>
      <c r="GV137" s="1427"/>
      <c r="GZ137" s="532"/>
    </row>
    <row r="138" spans="1:208">
      <c r="B138" s="1145" t="s">
        <v>1593</v>
      </c>
      <c r="F138" s="532" t="s">
        <v>2150</v>
      </c>
      <c r="M138" s="532"/>
      <c r="P138" s="532"/>
      <c r="Q138" s="532">
        <v>725578</v>
      </c>
      <c r="R138" s="532">
        <v>17085666</v>
      </c>
      <c r="Z138" s="1427"/>
      <c r="AG138" s="532"/>
      <c r="AM138" s="1427"/>
      <c r="AQ138" s="532"/>
      <c r="AT138" s="1427"/>
      <c r="AW138" s="1427"/>
      <c r="BA138" s="532"/>
      <c r="BG138" s="1427"/>
      <c r="BK138" s="532"/>
      <c r="BQ138" s="1427"/>
      <c r="BU138" s="532"/>
      <c r="CA138" s="1427"/>
      <c r="CE138" s="532"/>
      <c r="CK138" s="1427"/>
      <c r="CO138" s="532"/>
      <c r="CU138" s="1427"/>
      <c r="CV138" s="532">
        <v>59561</v>
      </c>
      <c r="CW138" s="532">
        <v>3743916</v>
      </c>
      <c r="CX138" s="532">
        <v>3684355</v>
      </c>
      <c r="CY138" s="532"/>
      <c r="DE138" s="1427"/>
      <c r="DF138" s="532">
        <v>169914</v>
      </c>
      <c r="DG138" s="532">
        <v>4095353</v>
      </c>
      <c r="DH138" s="532">
        <v>3925439</v>
      </c>
      <c r="DI138" s="532"/>
      <c r="DO138" s="1427"/>
      <c r="DP138" s="532">
        <v>59561</v>
      </c>
      <c r="DQ138" s="532">
        <v>3983341</v>
      </c>
      <c r="DR138" s="532">
        <v>3923780</v>
      </c>
      <c r="DS138" s="532"/>
      <c r="DY138" s="1427"/>
      <c r="DZ138" s="532">
        <v>79561</v>
      </c>
      <c r="EA138" s="532">
        <v>5879920</v>
      </c>
      <c r="EB138" s="532">
        <v>5800359</v>
      </c>
      <c r="EC138" s="532"/>
      <c r="EF138" s="1427"/>
      <c r="ER138" s="532"/>
      <c r="EV138" s="532"/>
      <c r="EZ138" s="1427"/>
      <c r="FD138" s="532"/>
      <c r="FH138" s="532"/>
      <c r="FL138" s="1427"/>
      <c r="FP138" s="532"/>
      <c r="FT138" s="532"/>
      <c r="FX138" s="1427"/>
      <c r="GB138" s="532"/>
      <c r="GF138" s="532"/>
      <c r="GJ138" s="1427"/>
      <c r="GN138" s="532"/>
      <c r="GR138" s="532"/>
      <c r="GV138" s="1427"/>
      <c r="GZ138" s="532"/>
    </row>
    <row r="139" spans="1:208">
      <c r="M139" s="532"/>
      <c r="P139" s="532"/>
      <c r="Q139" s="1294"/>
      <c r="R139" s="533"/>
      <c r="Z139" s="1427"/>
      <c r="AG139" s="532"/>
      <c r="AM139" s="1427"/>
      <c r="AQ139" s="532"/>
      <c r="AT139" s="1427"/>
      <c r="AW139" s="1427"/>
      <c r="BA139" s="532"/>
      <c r="BG139" s="1427"/>
      <c r="BK139" s="532"/>
      <c r="BQ139" s="1427"/>
      <c r="BU139" s="532"/>
      <c r="CA139" s="1427"/>
      <c r="CE139" s="532"/>
      <c r="CK139" s="1427"/>
      <c r="CO139" s="532"/>
      <c r="CU139" s="1427"/>
      <c r="CY139" s="532"/>
      <c r="DE139" s="1427"/>
      <c r="DI139" s="532"/>
      <c r="DO139" s="1427"/>
      <c r="DS139" s="532"/>
      <c r="DY139" s="1427"/>
      <c r="EC139" s="532"/>
      <c r="EF139" s="1427"/>
      <c r="ER139" s="532"/>
      <c r="EV139" s="532"/>
      <c r="EZ139" s="1427"/>
      <c r="FD139" s="532"/>
      <c r="FH139" s="532"/>
      <c r="FL139" s="1427"/>
      <c r="FP139" s="532"/>
      <c r="FT139" s="532"/>
      <c r="FX139" s="1427"/>
      <c r="GB139" s="532"/>
      <c r="GF139" s="532"/>
      <c r="GJ139" s="1427"/>
      <c r="GN139" s="532"/>
      <c r="GR139" s="532"/>
      <c r="GV139" s="1427"/>
      <c r="GZ139" s="532"/>
    </row>
    <row r="140" spans="1:208" s="1683" customFormat="1">
      <c r="L140" s="1685"/>
      <c r="Q140" s="1685"/>
      <c r="R140" s="1686"/>
      <c r="Z140" s="1687"/>
      <c r="AM140" s="1687"/>
      <c r="AT140" s="1687"/>
      <c r="AW140" s="1687"/>
      <c r="BG140" s="1687"/>
      <c r="BQ140" s="1687"/>
      <c r="CA140" s="1687"/>
      <c r="CK140" s="1687"/>
      <c r="CU140" s="1687"/>
      <c r="DE140" s="1687"/>
      <c r="DO140" s="1687"/>
      <c r="DY140" s="1687"/>
      <c r="EF140" s="1687"/>
      <c r="EJ140" s="1687"/>
      <c r="EN140" s="1687"/>
      <c r="EZ140" s="1687"/>
      <c r="FL140" s="1687"/>
      <c r="FX140" s="1687"/>
      <c r="GJ140" s="1687"/>
      <c r="GV140" s="1687"/>
    </row>
    <row r="141" spans="1:208">
      <c r="M141" s="532"/>
      <c r="P141" s="532"/>
      <c r="Q141" s="1294"/>
      <c r="R141" s="533"/>
      <c r="Z141" s="1427"/>
      <c r="AG141" s="532"/>
      <c r="AM141" s="1427"/>
      <c r="AQ141" s="532"/>
      <c r="AT141" s="1427"/>
      <c r="AW141" s="1427"/>
      <c r="BA141" s="532"/>
      <c r="BG141" s="1427"/>
      <c r="BK141" s="532"/>
      <c r="BQ141" s="1427"/>
      <c r="BU141" s="532"/>
      <c r="CA141" s="1427"/>
      <c r="CE141" s="532"/>
      <c r="CK141" s="1427"/>
      <c r="CO141" s="532"/>
      <c r="CU141" s="1427"/>
      <c r="CY141" s="532"/>
      <c r="DE141" s="1427"/>
      <c r="DI141" s="532"/>
      <c r="DO141" s="1427"/>
      <c r="DS141" s="532"/>
      <c r="DY141" s="1427"/>
      <c r="EC141" s="532"/>
      <c r="EF141" s="1427"/>
      <c r="ER141" s="532"/>
      <c r="EV141" s="532"/>
      <c r="EZ141" s="1427"/>
      <c r="FD141" s="532"/>
      <c r="FH141" s="532"/>
      <c r="FL141" s="1427"/>
      <c r="FP141" s="532"/>
      <c r="FT141" s="532"/>
      <c r="FX141" s="1427"/>
      <c r="GB141" s="532"/>
      <c r="GF141" s="532"/>
      <c r="GJ141" s="1427"/>
      <c r="GN141" s="532"/>
      <c r="GR141" s="532"/>
      <c r="GV141" s="1427"/>
      <c r="GZ141" s="532"/>
    </row>
    <row r="142" spans="1:208">
      <c r="M142" s="532"/>
      <c r="P142" s="532"/>
      <c r="Q142" s="1294"/>
      <c r="R142" s="533"/>
      <c r="Z142" s="1427"/>
      <c r="AG142" s="532"/>
      <c r="AM142" s="1427"/>
      <c r="AQ142" s="532"/>
      <c r="AT142" s="1427"/>
      <c r="AW142" s="1427"/>
      <c r="BA142" s="532"/>
      <c r="BG142" s="1427"/>
      <c r="BK142" s="532"/>
      <c r="BQ142" s="1427"/>
      <c r="BU142" s="532"/>
      <c r="CA142" s="1427"/>
      <c r="CE142" s="532"/>
      <c r="CK142" s="1427"/>
      <c r="CO142" s="532"/>
      <c r="CU142" s="1427"/>
      <c r="CY142" s="532"/>
      <c r="DE142" s="1427"/>
      <c r="DI142" s="532"/>
      <c r="DO142" s="1427"/>
      <c r="DS142" s="532"/>
      <c r="DY142" s="1427"/>
      <c r="EC142" s="532"/>
      <c r="EF142" s="1427"/>
      <c r="ER142" s="532"/>
      <c r="EV142" s="532"/>
      <c r="EZ142" s="1427"/>
      <c r="FD142" s="532"/>
      <c r="FH142" s="532"/>
      <c r="FL142" s="1427"/>
      <c r="FP142" s="532"/>
      <c r="FT142" s="532"/>
      <c r="FX142" s="1427"/>
      <c r="GB142" s="532"/>
      <c r="GF142" s="532"/>
      <c r="GJ142" s="1427"/>
      <c r="GN142" s="532"/>
      <c r="GR142" s="532"/>
      <c r="GV142" s="1427"/>
      <c r="GZ142" s="532"/>
    </row>
    <row r="143" spans="1:208">
      <c r="M143" s="532"/>
      <c r="P143" s="532"/>
      <c r="Q143" s="1294"/>
      <c r="R143" s="533"/>
      <c r="Z143" s="1427"/>
      <c r="AG143" s="532"/>
      <c r="AM143" s="1427"/>
      <c r="AQ143" s="532"/>
      <c r="AT143" s="1427"/>
      <c r="AW143" s="1427"/>
      <c r="BA143" s="532"/>
      <c r="BG143" s="1427"/>
      <c r="BK143" s="532"/>
      <c r="BQ143" s="1427"/>
      <c r="BU143" s="532"/>
      <c r="CA143" s="1427"/>
      <c r="CE143" s="532"/>
      <c r="CK143" s="1427"/>
      <c r="CO143" s="532"/>
      <c r="CU143" s="1427"/>
      <c r="CY143" s="532"/>
      <c r="DE143" s="1427"/>
      <c r="DI143" s="532"/>
      <c r="DO143" s="1427"/>
      <c r="DS143" s="532"/>
      <c r="DY143" s="1427"/>
      <c r="EC143" s="532"/>
      <c r="EF143" s="1427"/>
      <c r="ER143" s="532"/>
      <c r="EV143" s="532"/>
      <c r="EZ143" s="1427"/>
      <c r="FD143" s="532"/>
      <c r="FH143" s="532"/>
      <c r="FL143" s="1427"/>
      <c r="FP143" s="532"/>
      <c r="FT143" s="532"/>
      <c r="FX143" s="1427"/>
      <c r="GB143" s="532"/>
      <c r="GF143" s="532"/>
      <c r="GJ143" s="1427"/>
      <c r="GN143" s="532"/>
      <c r="GR143" s="532"/>
      <c r="GV143" s="1427"/>
      <c r="GZ143" s="532"/>
    </row>
    <row r="144" spans="1:208" s="1688" customFormat="1" ht="18">
      <c r="A144" s="1385" t="s">
        <v>1904</v>
      </c>
      <c r="H144" s="1689"/>
      <c r="I144" s="1690"/>
      <c r="L144" s="1689"/>
      <c r="Q144" s="1690" t="s">
        <v>1598</v>
      </c>
      <c r="R144" s="1690"/>
      <c r="X144" s="1691">
        <v>46023</v>
      </c>
      <c r="Y144" s="1690"/>
      <c r="Z144" s="1692"/>
      <c r="AH144" s="1691">
        <v>46054</v>
      </c>
      <c r="AI144" s="1690"/>
      <c r="AM144" s="1692"/>
      <c r="AR144" s="1691">
        <v>46082</v>
      </c>
      <c r="AT144" s="1692"/>
      <c r="AW144" s="1692"/>
      <c r="BB144" s="1691">
        <v>46113</v>
      </c>
      <c r="BG144" s="1692"/>
      <c r="BL144" s="1691">
        <v>46143</v>
      </c>
      <c r="BQ144" s="1692"/>
      <c r="BV144" s="1691">
        <v>46174</v>
      </c>
      <c r="CA144" s="1692"/>
      <c r="CF144" s="1691">
        <v>46204</v>
      </c>
      <c r="CK144" s="1692"/>
      <c r="CP144" s="1691">
        <v>46235</v>
      </c>
      <c r="CU144" s="1692"/>
      <c r="CZ144" s="1691">
        <v>46266</v>
      </c>
      <c r="DE144" s="1692"/>
      <c r="DJ144" s="1691">
        <v>46296</v>
      </c>
      <c r="DO144" s="1692"/>
      <c r="DT144" s="1691">
        <v>46327</v>
      </c>
      <c r="DY144" s="1692"/>
      <c r="ED144" s="1691">
        <v>46357</v>
      </c>
      <c r="EF144" s="1692"/>
      <c r="EJ144" s="1692"/>
      <c r="EN144" s="1692"/>
      <c r="ES144" s="1691">
        <v>46722</v>
      </c>
      <c r="EU144" s="1692"/>
      <c r="EZ144" s="1692"/>
      <c r="FE144" s="1691">
        <v>47088</v>
      </c>
      <c r="FL144" s="1692"/>
      <c r="FQ144" s="1691">
        <v>47453</v>
      </c>
      <c r="FX144" s="1692"/>
      <c r="GC144" s="1691">
        <v>47818</v>
      </c>
      <c r="GJ144" s="1692"/>
      <c r="GO144" s="1691">
        <v>47818</v>
      </c>
      <c r="GV144" s="1692"/>
    </row>
    <row r="145" spans="1:208">
      <c r="A145" s="532" t="s">
        <v>1585</v>
      </c>
      <c r="M145" s="532"/>
      <c r="P145" s="532"/>
      <c r="Q145" s="532">
        <v>7286475</v>
      </c>
      <c r="R145" s="533"/>
      <c r="X145" s="532">
        <v>839389</v>
      </c>
      <c r="Y145" s="533"/>
      <c r="Z145" s="1427"/>
      <c r="AG145" s="532"/>
      <c r="AH145" s="532">
        <v>792116</v>
      </c>
      <c r="AI145" s="533"/>
      <c r="AM145" s="1427"/>
      <c r="AQ145" s="532"/>
      <c r="AR145" s="532">
        <v>1218362</v>
      </c>
      <c r="AS145" s="533"/>
      <c r="AT145" s="1427"/>
      <c r="AW145" s="1427"/>
      <c r="BA145" s="532"/>
      <c r="BB145" s="532">
        <v>896282</v>
      </c>
      <c r="BC145" s="533"/>
      <c r="BG145" s="1427"/>
      <c r="BK145" s="532"/>
      <c r="BL145" s="532">
        <v>940735</v>
      </c>
      <c r="BM145" s="533"/>
      <c r="BQ145" s="1427"/>
      <c r="BU145" s="532"/>
      <c r="BV145" s="532">
        <v>807998</v>
      </c>
      <c r="BW145" s="533"/>
      <c r="CA145" s="1427"/>
      <c r="CE145" s="532"/>
      <c r="CF145" s="532">
        <v>876717</v>
      </c>
      <c r="CG145" s="533"/>
      <c r="CK145" s="1427"/>
      <c r="CO145" s="532"/>
      <c r="CP145" s="532">
        <v>877960</v>
      </c>
      <c r="CQ145" s="533"/>
      <c r="CU145" s="1427"/>
      <c r="CY145" s="532"/>
      <c r="CZ145" s="532">
        <v>862430</v>
      </c>
      <c r="DA145" s="533"/>
      <c r="DE145" s="1427"/>
      <c r="DI145" s="532"/>
      <c r="DJ145" s="532">
        <v>874007</v>
      </c>
      <c r="DK145" s="533"/>
      <c r="DO145" s="1427"/>
      <c r="DS145" s="532"/>
      <c r="DT145" s="532">
        <v>831431</v>
      </c>
      <c r="DU145" s="533"/>
      <c r="DY145" s="1427"/>
      <c r="EC145" s="532"/>
      <c r="ED145" s="532">
        <v>6153952</v>
      </c>
      <c r="EE145" s="533"/>
      <c r="EF145" s="1427"/>
      <c r="ER145" s="532"/>
      <c r="ES145" s="532">
        <v>6181907</v>
      </c>
      <c r="ET145" s="533"/>
      <c r="EU145" s="1427"/>
      <c r="EV145" s="532"/>
      <c r="EZ145" s="1427"/>
      <c r="FD145" s="532"/>
      <c r="FE145" s="532">
        <v>5002635</v>
      </c>
      <c r="FF145" s="533"/>
      <c r="FH145" s="532"/>
      <c r="FL145" s="1427"/>
      <c r="FP145" s="532"/>
      <c r="FQ145" s="532">
        <v>3052790</v>
      </c>
      <c r="FR145" s="533"/>
      <c r="FT145" s="532"/>
      <c r="FX145" s="1427"/>
      <c r="GB145" s="532"/>
      <c r="GC145" s="532">
        <v>5097720</v>
      </c>
      <c r="GD145" s="533"/>
      <c r="GF145" s="532"/>
      <c r="GJ145" s="1427"/>
      <c r="GN145" s="532"/>
      <c r="GO145" s="532">
        <v>6332722</v>
      </c>
      <c r="GP145" s="533"/>
      <c r="GR145" s="532"/>
      <c r="GV145" s="1427"/>
      <c r="GZ145" s="532"/>
    </row>
    <row r="146" spans="1:208">
      <c r="A146" s="532" t="s">
        <v>1578</v>
      </c>
      <c r="M146" s="532"/>
      <c r="P146" s="532"/>
      <c r="Q146" s="532">
        <v>21367000</v>
      </c>
      <c r="R146" s="533"/>
      <c r="X146" s="532">
        <v>5749203</v>
      </c>
      <c r="Y146" s="533"/>
      <c r="Z146" s="1427"/>
      <c r="AG146" s="532"/>
      <c r="AH146" s="532">
        <v>3276581</v>
      </c>
      <c r="AI146" s="533"/>
      <c r="AM146" s="1427"/>
      <c r="AQ146" s="532"/>
      <c r="AR146" s="532">
        <v>6755577</v>
      </c>
      <c r="AS146" s="533"/>
      <c r="AT146" s="1427"/>
      <c r="AW146" s="1427"/>
      <c r="BA146" s="532"/>
      <c r="BB146" s="532">
        <v>6018925</v>
      </c>
      <c r="BC146" s="533"/>
      <c r="BG146" s="1427"/>
      <c r="BK146" s="532"/>
      <c r="BL146" s="532">
        <v>4930545</v>
      </c>
      <c r="BM146" s="533"/>
      <c r="BQ146" s="1427"/>
      <c r="BU146" s="532"/>
      <c r="BV146" s="532">
        <v>5170546</v>
      </c>
      <c r="BW146" s="533"/>
      <c r="CA146" s="1427"/>
      <c r="CE146" s="532"/>
      <c r="CF146" s="532">
        <v>4936886</v>
      </c>
      <c r="CG146" s="533"/>
      <c r="CK146" s="1427"/>
      <c r="CO146" s="532"/>
      <c r="CP146" s="532">
        <v>3640445</v>
      </c>
      <c r="CQ146" s="533"/>
      <c r="CU146" s="1427"/>
      <c r="CY146" s="532"/>
      <c r="CZ146" s="532">
        <v>3391174</v>
      </c>
      <c r="DA146" s="533"/>
      <c r="DE146" s="1427"/>
      <c r="DI146" s="532"/>
      <c r="DJ146" s="532">
        <v>6667315</v>
      </c>
      <c r="DK146" s="533"/>
      <c r="DO146" s="1427"/>
      <c r="DS146" s="532"/>
      <c r="DT146" s="532">
        <v>4685660</v>
      </c>
      <c r="DU146" s="533"/>
      <c r="DY146" s="1427"/>
      <c r="EC146" s="532"/>
      <c r="ED146" s="532">
        <v>7690079</v>
      </c>
      <c r="EE146" s="533"/>
      <c r="EF146" s="1427"/>
      <c r="ER146" s="532"/>
      <c r="ES146" s="532">
        <v>68206326</v>
      </c>
      <c r="ET146" s="533"/>
      <c r="EU146" s="1427"/>
      <c r="EV146" s="532"/>
      <c r="EZ146" s="1427"/>
      <c r="FD146" s="532"/>
      <c r="FE146" s="532">
        <v>76499772</v>
      </c>
      <c r="FF146" s="533"/>
      <c r="FH146" s="532"/>
      <c r="FL146" s="1427"/>
      <c r="FP146" s="532"/>
      <c r="FQ146" s="532">
        <v>77571041</v>
      </c>
      <c r="FR146" s="533"/>
      <c r="FT146" s="532"/>
      <c r="FX146" s="1427"/>
      <c r="GB146" s="532"/>
      <c r="GC146" s="532">
        <v>83771515</v>
      </c>
      <c r="GD146" s="533"/>
      <c r="GF146" s="532"/>
      <c r="GJ146" s="1427"/>
      <c r="GN146" s="532"/>
      <c r="GO146" s="532">
        <v>432195515</v>
      </c>
      <c r="GP146" s="533"/>
      <c r="GR146" s="532"/>
      <c r="GV146" s="1427"/>
      <c r="GZ146" s="532"/>
    </row>
    <row r="147" spans="1:208" ht="16.2">
      <c r="A147" s="532" t="s">
        <v>2151</v>
      </c>
      <c r="M147" s="532"/>
      <c r="P147" s="532"/>
      <c r="Q147" s="1143">
        <v>28653475</v>
      </c>
      <c r="R147" s="533"/>
      <c r="X147" s="1143">
        <v>6588592</v>
      </c>
      <c r="Y147" s="533"/>
      <c r="Z147" s="1427"/>
      <c r="AG147" s="532"/>
      <c r="AH147" s="1143">
        <v>4068697</v>
      </c>
      <c r="AI147" s="533"/>
      <c r="AM147" s="1427"/>
      <c r="AQ147" s="532"/>
      <c r="AR147" s="1143">
        <v>7973939</v>
      </c>
      <c r="AS147" s="533"/>
      <c r="AT147" s="1427"/>
      <c r="AW147" s="1427"/>
      <c r="BA147" s="532"/>
      <c r="BB147" s="1143">
        <v>6915207</v>
      </c>
      <c r="BC147" s="533"/>
      <c r="BG147" s="1427"/>
      <c r="BK147" s="532"/>
      <c r="BL147" s="1143">
        <v>5871280</v>
      </c>
      <c r="BM147" s="533"/>
      <c r="BQ147" s="1427"/>
      <c r="BU147" s="532"/>
      <c r="BV147" s="1143">
        <v>5978544</v>
      </c>
      <c r="BW147" s="533"/>
      <c r="CA147" s="1427"/>
      <c r="CE147" s="532"/>
      <c r="CF147" s="1143">
        <v>5813603</v>
      </c>
      <c r="CG147" s="533"/>
      <c r="CK147" s="1427"/>
      <c r="CO147" s="532"/>
      <c r="CP147" s="1143">
        <v>4518405</v>
      </c>
      <c r="CQ147" s="533"/>
      <c r="CU147" s="1427"/>
      <c r="CY147" s="532"/>
      <c r="CZ147" s="1143">
        <v>4253604</v>
      </c>
      <c r="DA147" s="533"/>
      <c r="DE147" s="1427"/>
      <c r="DI147" s="532"/>
      <c r="DJ147" s="1143">
        <v>7541322</v>
      </c>
      <c r="DK147" s="533"/>
      <c r="DO147" s="1427"/>
      <c r="DS147" s="532"/>
      <c r="DT147" s="1143">
        <v>5517091</v>
      </c>
      <c r="DU147" s="533"/>
      <c r="DY147" s="1427"/>
      <c r="EC147" s="532"/>
      <c r="ED147" s="1143">
        <v>13844031</v>
      </c>
      <c r="EE147" s="533"/>
      <c r="EF147" s="1427"/>
      <c r="ER147" s="532"/>
      <c r="ES147" s="1143">
        <v>74388233</v>
      </c>
      <c r="ET147" s="533"/>
      <c r="EU147" s="1427"/>
      <c r="EV147" s="532"/>
      <c r="EZ147" s="1427"/>
      <c r="FD147" s="532"/>
      <c r="FE147" s="1143">
        <v>81502407</v>
      </c>
      <c r="FF147" s="533"/>
      <c r="FH147" s="532"/>
      <c r="FL147" s="1427"/>
      <c r="FP147" s="532"/>
      <c r="FQ147" s="1143">
        <v>80623831</v>
      </c>
      <c r="FR147" s="533"/>
      <c r="FT147" s="532"/>
      <c r="FX147" s="1427"/>
      <c r="GB147" s="532"/>
      <c r="GC147" s="1143">
        <v>88869235</v>
      </c>
      <c r="GD147" s="533"/>
      <c r="GF147" s="532"/>
      <c r="GJ147" s="1427"/>
      <c r="GN147" s="532"/>
      <c r="GO147" s="1143">
        <v>438528237</v>
      </c>
      <c r="GP147" s="533"/>
      <c r="GR147" s="532"/>
      <c r="GV147" s="1427"/>
      <c r="GZ147" s="532"/>
    </row>
    <row r="148" spans="1:208">
      <c r="M148" s="532"/>
      <c r="P148" s="532"/>
      <c r="R148" s="533"/>
      <c r="Y148" s="533"/>
      <c r="Z148" s="1427"/>
      <c r="AG148" s="532"/>
      <c r="AI148" s="533"/>
      <c r="AM148" s="1427"/>
      <c r="AQ148" s="532"/>
      <c r="AS148" s="533"/>
      <c r="AT148" s="1427"/>
      <c r="AW148" s="1427"/>
      <c r="BA148" s="532"/>
      <c r="BC148" s="533"/>
      <c r="BG148" s="1427"/>
      <c r="BK148" s="532"/>
      <c r="BM148" s="533"/>
      <c r="BQ148" s="1427"/>
      <c r="BU148" s="532"/>
      <c r="BW148" s="533"/>
      <c r="CA148" s="1427"/>
      <c r="CE148" s="532"/>
      <c r="CG148" s="533"/>
      <c r="CK148" s="1427"/>
      <c r="CO148" s="532"/>
      <c r="CQ148" s="533"/>
      <c r="CU148" s="1427"/>
      <c r="CY148" s="532"/>
      <c r="DA148" s="533"/>
      <c r="DE148" s="1427"/>
      <c r="DI148" s="532"/>
      <c r="DK148" s="533"/>
      <c r="DO148" s="1427"/>
      <c r="DS148" s="532"/>
      <c r="DU148" s="533"/>
      <c r="DY148" s="1427"/>
      <c r="EC148" s="532"/>
      <c r="EE148" s="533"/>
      <c r="EF148" s="1427"/>
      <c r="ER148" s="532"/>
      <c r="ET148" s="533"/>
      <c r="EU148" s="1427"/>
      <c r="EV148" s="532"/>
      <c r="EZ148" s="1427"/>
      <c r="FD148" s="532"/>
      <c r="FF148" s="533"/>
      <c r="FH148" s="532"/>
      <c r="FL148" s="1427"/>
      <c r="FP148" s="532"/>
      <c r="FR148" s="533"/>
      <c r="FT148" s="532"/>
      <c r="FX148" s="1427"/>
      <c r="GB148" s="532"/>
      <c r="GD148" s="533"/>
      <c r="GF148" s="532"/>
      <c r="GJ148" s="1427"/>
      <c r="GN148" s="532"/>
      <c r="GP148" s="533"/>
      <c r="GR148" s="532"/>
      <c r="GV148" s="1427"/>
      <c r="GZ148" s="532"/>
    </row>
    <row r="149" spans="1:208">
      <c r="A149" s="532" t="s">
        <v>1595</v>
      </c>
      <c r="M149" s="532"/>
      <c r="P149" s="532"/>
      <c r="Q149" s="532">
        <v>15765666</v>
      </c>
      <c r="R149" s="533"/>
      <c r="X149" s="532">
        <v>4995569</v>
      </c>
      <c r="Y149" s="533"/>
      <c r="Z149" s="1427"/>
      <c r="AG149" s="532"/>
      <c r="AH149" s="532">
        <v>3089259</v>
      </c>
      <c r="AI149" s="533"/>
      <c r="AM149" s="1427"/>
      <c r="AQ149" s="532"/>
      <c r="AR149" s="532">
        <v>6083451</v>
      </c>
      <c r="AS149" s="533"/>
      <c r="AT149" s="1427"/>
      <c r="AW149" s="1427"/>
      <c r="BA149" s="532"/>
      <c r="BB149" s="532">
        <v>4394224</v>
      </c>
      <c r="BC149" s="533"/>
      <c r="BG149" s="1427"/>
      <c r="BK149" s="532"/>
      <c r="BL149" s="532">
        <v>4393671</v>
      </c>
      <c r="BM149" s="533"/>
      <c r="BQ149" s="1427"/>
      <c r="BU149" s="532"/>
      <c r="BV149" s="532">
        <v>4396465</v>
      </c>
      <c r="BW149" s="533"/>
      <c r="CA149" s="1427"/>
      <c r="CE149" s="532"/>
      <c r="CF149" s="532">
        <v>4304797</v>
      </c>
      <c r="CG149" s="533"/>
      <c r="CK149" s="1427"/>
      <c r="CO149" s="532"/>
      <c r="CP149" s="532">
        <v>3810725</v>
      </c>
      <c r="CQ149" s="533"/>
      <c r="CU149" s="1427"/>
      <c r="CY149" s="532"/>
      <c r="CZ149" s="532">
        <v>3743916</v>
      </c>
      <c r="DA149" s="533"/>
      <c r="DE149" s="1427"/>
      <c r="DI149" s="532"/>
      <c r="DJ149" s="532">
        <v>4340353</v>
      </c>
      <c r="DK149" s="533"/>
      <c r="DO149" s="1427"/>
      <c r="DS149" s="532"/>
      <c r="DT149" s="532">
        <v>3983341</v>
      </c>
      <c r="DU149" s="533"/>
      <c r="DY149" s="1427"/>
      <c r="EC149" s="532"/>
      <c r="ED149" s="532">
        <v>4679920</v>
      </c>
      <c r="EE149" s="533"/>
      <c r="EF149" s="1427"/>
      <c r="ER149" s="532"/>
      <c r="ES149" s="532">
        <v>51923529</v>
      </c>
      <c r="ET149" s="533"/>
      <c r="EU149" s="1427"/>
      <c r="EV149" s="532"/>
      <c r="EZ149" s="1427"/>
      <c r="FD149" s="532"/>
      <c r="FE149" s="532">
        <v>54712465</v>
      </c>
      <c r="FF149" s="533"/>
      <c r="FH149" s="532"/>
      <c r="FL149" s="1427"/>
      <c r="FP149" s="532"/>
      <c r="FQ149" s="532">
        <v>55778598</v>
      </c>
      <c r="FR149" s="533"/>
      <c r="FT149" s="532"/>
      <c r="FX149" s="1427"/>
      <c r="GB149" s="532"/>
      <c r="GC149" s="532">
        <v>292634753</v>
      </c>
      <c r="GD149" s="533"/>
      <c r="GF149" s="532"/>
      <c r="GJ149" s="1427"/>
      <c r="GN149" s="532"/>
      <c r="GO149" s="532">
        <v>292634753</v>
      </c>
      <c r="GP149" s="533"/>
      <c r="GR149" s="532"/>
      <c r="GV149" s="1427"/>
      <c r="GZ149" s="532"/>
    </row>
    <row r="150" spans="1:208">
      <c r="A150" s="1144" t="s">
        <v>1599</v>
      </c>
      <c r="M150" s="532"/>
      <c r="P150" s="532"/>
      <c r="Q150" s="532">
        <v>0</v>
      </c>
      <c r="R150" s="533"/>
      <c r="X150" s="532">
        <v>0</v>
      </c>
      <c r="Y150" s="533"/>
      <c r="Z150" s="1427"/>
      <c r="AG150" s="532"/>
      <c r="AH150" s="532">
        <v>0</v>
      </c>
      <c r="AI150" s="533"/>
      <c r="AM150" s="1427"/>
      <c r="AQ150" s="532"/>
      <c r="AR150" s="532">
        <v>0</v>
      </c>
      <c r="AS150" s="533"/>
      <c r="AT150" s="1427"/>
      <c r="AW150" s="1427"/>
      <c r="BA150" s="532"/>
      <c r="BB150" s="532">
        <v>0</v>
      </c>
      <c r="BC150" s="533"/>
      <c r="BG150" s="1427"/>
      <c r="BK150" s="532"/>
      <c r="BL150" s="532">
        <v>0</v>
      </c>
      <c r="BM150" s="533"/>
      <c r="BQ150" s="1427"/>
      <c r="BU150" s="532"/>
      <c r="BV150" s="532">
        <v>0</v>
      </c>
      <c r="BW150" s="533"/>
      <c r="CA150" s="1427"/>
      <c r="CE150" s="532"/>
      <c r="CF150" s="532">
        <v>0</v>
      </c>
      <c r="CG150" s="533"/>
      <c r="CK150" s="1427"/>
      <c r="CO150" s="532"/>
      <c r="CP150" s="532">
        <v>0</v>
      </c>
      <c r="CQ150" s="533"/>
      <c r="CU150" s="1427"/>
      <c r="CY150" s="532"/>
      <c r="CZ150" s="532">
        <v>0</v>
      </c>
      <c r="DA150" s="533"/>
      <c r="DE150" s="1427"/>
      <c r="DI150" s="532"/>
      <c r="DJ150" s="532">
        <v>0</v>
      </c>
      <c r="DK150" s="533"/>
      <c r="DO150" s="1427"/>
      <c r="DS150" s="532"/>
      <c r="DT150" s="532">
        <v>0</v>
      </c>
      <c r="DU150" s="533"/>
      <c r="DY150" s="1427"/>
      <c r="EC150" s="532"/>
      <c r="ED150" s="532">
        <v>0</v>
      </c>
      <c r="EE150" s="533"/>
      <c r="EF150" s="1427"/>
      <c r="ER150" s="532"/>
      <c r="ES150" s="532">
        <v>0</v>
      </c>
      <c r="ET150" s="533"/>
      <c r="EU150" s="1427"/>
      <c r="EV150" s="532"/>
      <c r="EZ150" s="1427"/>
      <c r="FD150" s="532"/>
      <c r="FE150" s="532">
        <v>0</v>
      </c>
      <c r="FF150" s="533"/>
      <c r="FH150" s="532"/>
      <c r="FL150" s="1427"/>
      <c r="FP150" s="532"/>
      <c r="FQ150" s="532">
        <v>0</v>
      </c>
      <c r="FR150" s="533"/>
      <c r="FT150" s="532"/>
      <c r="FX150" s="1427"/>
      <c r="GB150" s="532"/>
      <c r="GC150" s="532">
        <v>0</v>
      </c>
      <c r="GD150" s="533"/>
      <c r="GF150" s="532"/>
      <c r="GJ150" s="1427"/>
      <c r="GN150" s="532"/>
      <c r="GO150" s="532">
        <v>0</v>
      </c>
      <c r="GP150" s="533"/>
      <c r="GR150" s="532"/>
      <c r="GV150" s="1427"/>
      <c r="GZ150" s="532"/>
    </row>
    <row r="151" spans="1:208">
      <c r="A151" s="532" t="s">
        <v>1588</v>
      </c>
      <c r="M151" s="532"/>
      <c r="P151" s="532"/>
      <c r="Q151" s="532">
        <v>306975</v>
      </c>
      <c r="R151" s="533"/>
      <c r="X151" s="532">
        <v>-279</v>
      </c>
      <c r="Y151" s="533"/>
      <c r="Z151" s="1427"/>
      <c r="AG151" s="532"/>
      <c r="AH151" s="532">
        <v>37720</v>
      </c>
      <c r="AI151" s="533"/>
      <c r="AM151" s="1427"/>
      <c r="AQ151" s="532"/>
      <c r="AR151" s="532">
        <v>1642</v>
      </c>
      <c r="AS151" s="533"/>
      <c r="AT151" s="1427"/>
      <c r="AW151" s="1427"/>
      <c r="BA151" s="532"/>
      <c r="BB151" s="532">
        <v>22680</v>
      </c>
      <c r="BC151" s="533"/>
      <c r="BG151" s="1427"/>
      <c r="BK151" s="532"/>
      <c r="BL151" s="532">
        <v>44797</v>
      </c>
      <c r="BM151" s="533"/>
      <c r="BQ151" s="1427"/>
      <c r="BU151" s="532"/>
      <c r="BV151" s="532">
        <v>38476</v>
      </c>
      <c r="BW151" s="533"/>
      <c r="CA151" s="1427"/>
      <c r="CE151" s="532"/>
      <c r="CF151" s="532">
        <v>21748</v>
      </c>
      <c r="CG151" s="533"/>
      <c r="CK151" s="1427"/>
      <c r="CO151" s="532"/>
      <c r="CP151" s="532">
        <v>41808</v>
      </c>
      <c r="CQ151" s="533"/>
      <c r="CU151" s="1427"/>
      <c r="CY151" s="532"/>
      <c r="CZ151" s="532">
        <v>41068</v>
      </c>
      <c r="DA151" s="533"/>
      <c r="DE151" s="1427"/>
      <c r="DI151" s="532"/>
      <c r="DJ151" s="532">
        <v>21619</v>
      </c>
      <c r="DK151" s="533"/>
      <c r="DO151" s="1427"/>
      <c r="DS151" s="532"/>
      <c r="DT151" s="532">
        <v>39592</v>
      </c>
      <c r="DU151" s="533"/>
      <c r="DY151" s="1427"/>
      <c r="EC151" s="532"/>
      <c r="ED151" s="532">
        <v>293045</v>
      </c>
      <c r="EE151" s="533"/>
      <c r="EF151" s="1427"/>
      <c r="ER151" s="532"/>
      <c r="ES151" s="532">
        <v>194377</v>
      </c>
      <c r="ET151" s="533"/>
      <c r="EU151" s="1427"/>
      <c r="EV151" s="532"/>
      <c r="EZ151" s="1427"/>
      <c r="FD151" s="532"/>
      <c r="FE151" s="532">
        <v>158221</v>
      </c>
      <c r="FF151" s="533"/>
      <c r="FH151" s="532"/>
      <c r="FL151" s="1427"/>
      <c r="FP151" s="532"/>
      <c r="FQ151" s="532">
        <v>145371</v>
      </c>
      <c r="FR151" s="533"/>
      <c r="FT151" s="532"/>
      <c r="FX151" s="1427"/>
      <c r="GB151" s="532"/>
      <c r="GC151" s="532">
        <v>242749</v>
      </c>
      <c r="GD151" s="533"/>
      <c r="GF151" s="532"/>
      <c r="GJ151" s="1427"/>
      <c r="GN151" s="532"/>
      <c r="GO151" s="532">
        <v>301558</v>
      </c>
      <c r="GP151" s="533"/>
      <c r="GR151" s="532"/>
      <c r="GV151" s="1427"/>
      <c r="GZ151" s="532"/>
    </row>
    <row r="152" spans="1:208">
      <c r="A152" s="1145" t="s">
        <v>1579</v>
      </c>
      <c r="M152" s="532"/>
      <c r="P152" s="532"/>
      <c r="Q152" s="532">
        <v>12580834</v>
      </c>
      <c r="R152" s="533"/>
      <c r="X152" s="532">
        <v>1593302</v>
      </c>
      <c r="Y152" s="533"/>
      <c r="Z152" s="1427"/>
      <c r="AG152" s="532"/>
      <c r="AH152" s="532">
        <v>941718</v>
      </c>
      <c r="AI152" s="533"/>
      <c r="AM152" s="1427"/>
      <c r="AQ152" s="532"/>
      <c r="AR152" s="532">
        <v>1888846</v>
      </c>
      <c r="AS152" s="533"/>
      <c r="AT152" s="1427"/>
      <c r="AW152" s="1427"/>
      <c r="BA152" s="532"/>
      <c r="BB152" s="532">
        <v>2498303</v>
      </c>
      <c r="BC152" s="533"/>
      <c r="BG152" s="1427"/>
      <c r="BK152" s="532"/>
      <c r="BL152" s="532">
        <v>1432812</v>
      </c>
      <c r="BM152" s="533"/>
      <c r="BQ152" s="1427"/>
      <c r="BU152" s="532"/>
      <c r="BV152" s="532">
        <v>1543603</v>
      </c>
      <c r="BW152" s="533"/>
      <c r="CA152" s="1427"/>
      <c r="CE152" s="532"/>
      <c r="CF152" s="532">
        <v>1487058</v>
      </c>
      <c r="CG152" s="533"/>
      <c r="CK152" s="1427"/>
      <c r="CO152" s="532"/>
      <c r="CP152" s="532">
        <v>665872</v>
      </c>
      <c r="CQ152" s="533"/>
      <c r="CU152" s="1427"/>
      <c r="CY152" s="532"/>
      <c r="CZ152" s="532">
        <v>468620</v>
      </c>
      <c r="DA152" s="533"/>
      <c r="DE152" s="1427"/>
      <c r="DI152" s="532"/>
      <c r="DJ152" s="532">
        <v>3179350</v>
      </c>
      <c r="DK152" s="533"/>
      <c r="DO152" s="1427"/>
      <c r="DS152" s="532"/>
      <c r="DT152" s="532">
        <v>1494158</v>
      </c>
      <c r="DU152" s="533"/>
      <c r="DY152" s="1427"/>
      <c r="EC152" s="532"/>
      <c r="ED152" s="532">
        <v>8871066</v>
      </c>
      <c r="EE152" s="533"/>
      <c r="EF152" s="1427"/>
      <c r="ER152" s="532"/>
      <c r="ES152" s="532">
        <v>22270327</v>
      </c>
      <c r="ET152" s="533"/>
      <c r="EU152" s="1427"/>
      <c r="EV152" s="532"/>
      <c r="EZ152" s="1427"/>
      <c r="FD152" s="532"/>
      <c r="FE152" s="532">
        <v>26631721</v>
      </c>
      <c r="FF152" s="533"/>
      <c r="FH152" s="532"/>
      <c r="FL152" s="1427"/>
      <c r="FP152" s="532"/>
      <c r="FQ152" s="532">
        <v>24699862</v>
      </c>
      <c r="FR152" s="533"/>
      <c r="FT152" s="532"/>
      <c r="FX152" s="1427"/>
      <c r="GB152" s="532"/>
      <c r="GC152" s="532">
        <v>-204008267</v>
      </c>
      <c r="GD152" s="533"/>
      <c r="GF152" s="532"/>
      <c r="GJ152" s="1427"/>
      <c r="GN152" s="532"/>
      <c r="GO152" s="532">
        <v>145591926</v>
      </c>
      <c r="GP152" s="533"/>
      <c r="GR152" s="532"/>
      <c r="GV152" s="1427"/>
      <c r="GZ152" s="532"/>
    </row>
    <row r="153" spans="1:208" ht="16.2">
      <c r="A153" s="532" t="s">
        <v>2152</v>
      </c>
      <c r="M153" s="532"/>
      <c r="P153" s="532"/>
      <c r="Q153" s="1143">
        <v>28653475</v>
      </c>
      <c r="R153" s="533">
        <v>0</v>
      </c>
      <c r="X153" s="1143">
        <v>6588592</v>
      </c>
      <c r="Y153" s="533">
        <v>0</v>
      </c>
      <c r="Z153" s="1427"/>
      <c r="AG153" s="532"/>
      <c r="AH153" s="1143">
        <v>4068697</v>
      </c>
      <c r="AI153" s="533">
        <v>0</v>
      </c>
      <c r="AM153" s="1427"/>
      <c r="AQ153" s="532"/>
      <c r="AR153" s="1143">
        <v>7973939</v>
      </c>
      <c r="AS153" s="533">
        <v>0</v>
      </c>
      <c r="AT153" s="1427"/>
      <c r="AW153" s="1427"/>
      <c r="BA153" s="532"/>
      <c r="BB153" s="1143">
        <v>6915207</v>
      </c>
      <c r="BC153" s="533">
        <v>0</v>
      </c>
      <c r="BG153" s="1427"/>
      <c r="BK153" s="532"/>
      <c r="BL153" s="1143">
        <v>5871280</v>
      </c>
      <c r="BM153" s="533">
        <v>0</v>
      </c>
      <c r="BQ153" s="1427"/>
      <c r="BU153" s="532"/>
      <c r="BV153" s="1143">
        <v>5978544</v>
      </c>
      <c r="BW153" s="533">
        <v>0</v>
      </c>
      <c r="CA153" s="1427"/>
      <c r="CE153" s="532"/>
      <c r="CF153" s="1143">
        <v>5813603</v>
      </c>
      <c r="CG153" s="533">
        <v>0</v>
      </c>
      <c r="CK153" s="1427"/>
      <c r="CO153" s="532"/>
      <c r="CP153" s="1143">
        <v>4518405</v>
      </c>
      <c r="CQ153" s="533">
        <v>0</v>
      </c>
      <c r="CU153" s="1427"/>
      <c r="CY153" s="532"/>
      <c r="CZ153" s="1143">
        <v>4253604</v>
      </c>
      <c r="DA153" s="533">
        <v>0</v>
      </c>
      <c r="DE153" s="1427"/>
      <c r="DI153" s="532"/>
      <c r="DJ153" s="1143">
        <v>7541322</v>
      </c>
      <c r="DK153" s="533">
        <v>0</v>
      </c>
      <c r="DO153" s="1427"/>
      <c r="DS153" s="532"/>
      <c r="DT153" s="1143">
        <v>5517091</v>
      </c>
      <c r="DU153" s="533">
        <v>0</v>
      </c>
      <c r="DY153" s="1427"/>
      <c r="EC153" s="532"/>
      <c r="ED153" s="1143">
        <v>13844031</v>
      </c>
      <c r="EE153" s="533">
        <v>0</v>
      </c>
      <c r="EF153" s="1427"/>
      <c r="ER153" s="532"/>
      <c r="ES153" s="1143">
        <v>74388233</v>
      </c>
      <c r="ET153" s="533">
        <v>0</v>
      </c>
      <c r="EU153" s="1427"/>
      <c r="EV153" s="532"/>
      <c r="EZ153" s="1427"/>
      <c r="FD153" s="532"/>
      <c r="FE153" s="1143">
        <v>81502407</v>
      </c>
      <c r="FF153" s="533">
        <v>0</v>
      </c>
      <c r="FH153" s="532"/>
      <c r="FL153" s="1427"/>
      <c r="FP153" s="532"/>
      <c r="FQ153" s="1143">
        <v>80623831</v>
      </c>
      <c r="FR153" s="533">
        <v>0</v>
      </c>
      <c r="FT153" s="532"/>
      <c r="FX153" s="1427"/>
      <c r="GB153" s="532"/>
      <c r="GC153" s="1143">
        <v>88869235</v>
      </c>
      <c r="GD153" s="533">
        <v>0</v>
      </c>
      <c r="GF153" s="532"/>
      <c r="GJ153" s="1427"/>
      <c r="GN153" s="532"/>
      <c r="GO153" s="1143">
        <v>438528237</v>
      </c>
      <c r="GP153" s="533">
        <v>0</v>
      </c>
      <c r="GR153" s="532"/>
      <c r="GV153" s="1427"/>
      <c r="GZ153" s="532"/>
    </row>
    <row r="154" spans="1:208" s="1688" customFormat="1">
      <c r="H154" s="1689"/>
      <c r="I154" s="1690"/>
      <c r="L154" s="1689"/>
      <c r="Q154" s="1689"/>
      <c r="R154" s="1690"/>
      <c r="X154" s="1689"/>
      <c r="Y154" s="1690"/>
      <c r="Z154" s="1692"/>
      <c r="AM154" s="1692"/>
      <c r="AT154" s="1692"/>
      <c r="AW154" s="1692"/>
      <c r="BG154" s="1692"/>
      <c r="BQ154" s="1692"/>
      <c r="CA154" s="1692"/>
      <c r="CK154" s="1692"/>
      <c r="CU154" s="1692"/>
      <c r="DE154" s="1692"/>
      <c r="DO154" s="1692"/>
      <c r="DY154" s="1692"/>
      <c r="EF154" s="1692"/>
      <c r="EJ154" s="1692"/>
      <c r="EN154" s="1692"/>
      <c r="EZ154" s="1692"/>
      <c r="FL154" s="1692"/>
      <c r="FX154" s="1692"/>
      <c r="GJ154" s="1692"/>
      <c r="GV154" s="1692"/>
    </row>
    <row r="155" spans="1:208">
      <c r="M155" s="532"/>
      <c r="P155" s="532"/>
      <c r="Q155" s="1294"/>
      <c r="R155" s="533"/>
      <c r="Z155" s="1427"/>
      <c r="AG155" s="532"/>
      <c r="AM155" s="1427"/>
      <c r="AQ155" s="532"/>
      <c r="AT155" s="1427"/>
      <c r="AW155" s="1427"/>
      <c r="BA155" s="532"/>
      <c r="BG155" s="1427"/>
      <c r="BK155" s="532"/>
      <c r="BQ155" s="1427"/>
      <c r="BU155" s="532"/>
      <c r="CA155" s="1427"/>
      <c r="CE155" s="532"/>
      <c r="CK155" s="1427"/>
      <c r="CO155" s="532"/>
      <c r="CU155" s="1427"/>
      <c r="CY155" s="532"/>
      <c r="DE155" s="1427"/>
      <c r="DI155" s="532"/>
      <c r="DO155" s="1427"/>
      <c r="DS155" s="532"/>
      <c r="DY155" s="1427"/>
      <c r="EC155" s="532"/>
      <c r="EF155" s="1427"/>
      <c r="ER155" s="532"/>
      <c r="EV155" s="532"/>
      <c r="EZ155" s="1427"/>
      <c r="FD155" s="532"/>
      <c r="FH155" s="532"/>
      <c r="FL155" s="1427"/>
      <c r="FP155" s="532"/>
      <c r="FT155" s="532"/>
      <c r="FX155" s="1427"/>
      <c r="GB155" s="532"/>
      <c r="GF155" s="532"/>
      <c r="GJ155" s="1427"/>
      <c r="GN155" s="532"/>
      <c r="GR155" s="532"/>
      <c r="GV155" s="1427"/>
      <c r="GZ155" s="532"/>
    </row>
    <row r="156" spans="1:208">
      <c r="M156" s="532"/>
      <c r="P156" s="532"/>
      <c r="Q156" s="1294"/>
      <c r="R156" s="533"/>
      <c r="Z156" s="1427"/>
      <c r="AG156" s="532"/>
      <c r="AM156" s="1427"/>
      <c r="AQ156" s="532"/>
      <c r="AT156" s="1427"/>
      <c r="AW156" s="1427"/>
      <c r="BA156" s="532"/>
      <c r="BG156" s="1427"/>
      <c r="BK156" s="532"/>
      <c r="BQ156" s="1427"/>
      <c r="BU156" s="532"/>
      <c r="CA156" s="1427"/>
      <c r="CE156" s="532"/>
      <c r="CK156" s="1427"/>
      <c r="CO156" s="532"/>
      <c r="CU156" s="1427"/>
      <c r="CY156" s="532"/>
      <c r="DE156" s="1427"/>
      <c r="DI156" s="532"/>
      <c r="DO156" s="1427"/>
      <c r="DS156" s="532"/>
      <c r="DY156" s="1427"/>
      <c r="EC156" s="532"/>
      <c r="EF156" s="1427"/>
      <c r="ER156" s="532"/>
      <c r="EV156" s="532"/>
      <c r="EZ156" s="1427"/>
      <c r="FD156" s="532"/>
      <c r="FH156" s="532"/>
      <c r="FL156" s="1427"/>
      <c r="FP156" s="532"/>
      <c r="FT156" s="532"/>
      <c r="FX156" s="1427"/>
      <c r="GB156" s="532"/>
      <c r="GF156" s="532"/>
      <c r="GJ156" s="1427"/>
      <c r="GN156" s="532"/>
      <c r="GR156" s="532"/>
      <c r="GV156" s="1427"/>
      <c r="GZ156" s="532"/>
    </row>
    <row r="157" spans="1:208">
      <c r="M157" s="532"/>
      <c r="P157" s="532"/>
      <c r="Q157" s="1294"/>
      <c r="R157" s="533"/>
      <c r="Z157" s="1427"/>
      <c r="AG157" s="532"/>
      <c r="AM157" s="1427"/>
      <c r="AQ157" s="532"/>
      <c r="AT157" s="1427"/>
      <c r="AW157" s="1427"/>
      <c r="BA157" s="532"/>
      <c r="BG157" s="1427"/>
      <c r="BK157" s="532"/>
      <c r="BQ157" s="1427"/>
      <c r="BU157" s="532"/>
      <c r="CA157" s="1427"/>
      <c r="CE157" s="532"/>
      <c r="CK157" s="1427"/>
      <c r="CO157" s="532"/>
      <c r="CU157" s="1427"/>
      <c r="CY157" s="532"/>
      <c r="DE157" s="1427"/>
      <c r="DI157" s="532"/>
      <c r="DO157" s="1427"/>
      <c r="DS157" s="532"/>
      <c r="DY157" s="1427"/>
      <c r="EC157" s="532"/>
      <c r="EF157" s="1427"/>
      <c r="ER157" s="532"/>
      <c r="EV157" s="532"/>
      <c r="EZ157" s="1427"/>
      <c r="FD157" s="532"/>
      <c r="FH157" s="532"/>
      <c r="FL157" s="1427"/>
      <c r="FP157" s="532"/>
      <c r="FT157" s="532"/>
      <c r="FX157" s="1427"/>
      <c r="GB157" s="532"/>
      <c r="GF157" s="532"/>
      <c r="GJ157" s="1427"/>
      <c r="GN157" s="532"/>
      <c r="GR157" s="532"/>
      <c r="GV157" s="1427"/>
      <c r="GZ157" s="532"/>
    </row>
    <row r="158" spans="1:208">
      <c r="M158" s="532"/>
      <c r="P158" s="532"/>
      <c r="Q158" s="1294"/>
      <c r="R158" s="533"/>
      <c r="Z158" s="1427"/>
      <c r="AG158" s="532"/>
      <c r="AM158" s="1427"/>
      <c r="AQ158" s="532"/>
      <c r="AT158" s="1427"/>
      <c r="AW158" s="1427"/>
      <c r="BA158" s="532"/>
      <c r="BG158" s="1427"/>
      <c r="BK158" s="532"/>
      <c r="BQ158" s="1427"/>
      <c r="BU158" s="532"/>
      <c r="CA158" s="1427"/>
      <c r="CE158" s="532"/>
      <c r="CK158" s="1427"/>
      <c r="CO158" s="532"/>
      <c r="CU158" s="1427"/>
      <c r="CY158" s="532"/>
      <c r="DE158" s="1427"/>
      <c r="DI158" s="532"/>
      <c r="DO158" s="1427"/>
      <c r="DS158" s="532"/>
      <c r="DY158" s="1427"/>
      <c r="EC158" s="532"/>
      <c r="EF158" s="1427"/>
      <c r="ER158" s="532"/>
      <c r="EV158" s="532"/>
      <c r="EZ158" s="1427"/>
      <c r="FD158" s="532"/>
      <c r="FH158" s="532"/>
      <c r="FL158" s="1427"/>
      <c r="FP158" s="532"/>
      <c r="FT158" s="532"/>
      <c r="FX158" s="1427"/>
      <c r="GB158" s="532"/>
      <c r="GF158" s="532"/>
      <c r="GJ158" s="1427"/>
      <c r="GN158" s="532"/>
      <c r="GR158" s="532"/>
      <c r="GV158" s="1427"/>
      <c r="GZ158" s="532"/>
    </row>
    <row r="159" spans="1:208">
      <c r="M159" s="532"/>
      <c r="P159" s="532"/>
      <c r="Q159" s="1294"/>
      <c r="R159" s="533"/>
      <c r="Z159" s="1427"/>
      <c r="AG159" s="532"/>
      <c r="AM159" s="1427"/>
      <c r="AQ159" s="532"/>
      <c r="AT159" s="1427"/>
      <c r="AW159" s="1427"/>
      <c r="BA159" s="532"/>
      <c r="BG159" s="1427"/>
      <c r="BK159" s="532"/>
      <c r="BQ159" s="1427"/>
      <c r="BU159" s="532"/>
      <c r="CA159" s="1427"/>
      <c r="CE159" s="532"/>
      <c r="CK159" s="1427"/>
      <c r="CO159" s="532"/>
      <c r="CU159" s="1427"/>
      <c r="CY159" s="532"/>
      <c r="DE159" s="1427"/>
      <c r="DI159" s="532"/>
      <c r="DO159" s="1427"/>
      <c r="DS159" s="532"/>
      <c r="DY159" s="1427"/>
      <c r="EC159" s="532"/>
      <c r="EF159" s="1427"/>
      <c r="ER159" s="532"/>
      <c r="EV159" s="532"/>
      <c r="EZ159" s="1427"/>
      <c r="FD159" s="532"/>
      <c r="FH159" s="532"/>
      <c r="FL159" s="1427"/>
      <c r="FP159" s="532"/>
      <c r="FT159" s="532"/>
      <c r="FX159" s="1427"/>
      <c r="GB159" s="532"/>
      <c r="GF159" s="532"/>
      <c r="GJ159" s="1427"/>
      <c r="GN159" s="532"/>
      <c r="GR159" s="532"/>
      <c r="GV159" s="1427"/>
      <c r="GZ159" s="532"/>
    </row>
    <row r="160" spans="1:208">
      <c r="M160" s="532"/>
      <c r="P160" s="532"/>
      <c r="Q160" s="1294"/>
      <c r="R160" s="533"/>
      <c r="Z160" s="1427"/>
      <c r="AG160" s="532"/>
      <c r="AM160" s="1427"/>
      <c r="AQ160" s="532"/>
      <c r="AT160" s="1427"/>
      <c r="AW160" s="1427"/>
      <c r="BA160" s="532"/>
      <c r="BG160" s="1427"/>
      <c r="BK160" s="532"/>
      <c r="BQ160" s="1427"/>
      <c r="BU160" s="532"/>
      <c r="CA160" s="1427"/>
      <c r="CE160" s="532"/>
      <c r="CK160" s="1427"/>
      <c r="CO160" s="532"/>
      <c r="CU160" s="1427"/>
      <c r="CY160" s="532"/>
      <c r="DE160" s="1427"/>
      <c r="DI160" s="532"/>
      <c r="DO160" s="1427"/>
      <c r="DS160" s="532"/>
      <c r="DY160" s="1427"/>
      <c r="EC160" s="532"/>
      <c r="EF160" s="1427"/>
      <c r="ER160" s="532"/>
      <c r="EV160" s="532"/>
      <c r="EZ160" s="1427"/>
      <c r="FD160" s="532"/>
      <c r="FH160" s="532"/>
      <c r="FL160" s="1427"/>
      <c r="FP160" s="532"/>
      <c r="FT160" s="532"/>
      <c r="FX160" s="1427"/>
      <c r="GB160" s="532"/>
      <c r="GF160" s="532"/>
      <c r="GJ160" s="1427"/>
      <c r="GN160" s="532"/>
      <c r="GR160" s="532"/>
      <c r="GV160" s="1427"/>
      <c r="GZ160" s="532"/>
    </row>
    <row r="161" spans="1:208">
      <c r="B161" s="1658" t="s">
        <v>2153</v>
      </c>
      <c r="M161" s="532"/>
      <c r="P161" s="532"/>
      <c r="Q161" s="1294"/>
      <c r="R161" s="533"/>
      <c r="AC161" s="1427"/>
      <c r="AG161" s="532"/>
      <c r="AM161" s="1427"/>
      <c r="AQ161" s="532"/>
      <c r="AT161" s="1427"/>
      <c r="AW161" s="1427"/>
      <c r="BA161" s="532"/>
      <c r="BG161" s="1427"/>
      <c r="BK161" s="532"/>
      <c r="BQ161" s="1427"/>
      <c r="BU161" s="532"/>
      <c r="CA161" s="1427"/>
      <c r="CE161" s="532"/>
      <c r="CK161" s="1427"/>
      <c r="CO161" s="532"/>
      <c r="CU161" s="1427"/>
      <c r="CY161" s="532"/>
      <c r="DE161" s="1427"/>
      <c r="DI161" s="532"/>
      <c r="DO161" s="1427"/>
      <c r="DS161" s="532"/>
      <c r="DY161" s="1427"/>
      <c r="EC161" s="532"/>
      <c r="EF161" s="1427"/>
      <c r="ER161" s="532"/>
      <c r="EV161" s="532"/>
      <c r="EZ161" s="1427"/>
      <c r="FD161" s="532"/>
      <c r="FH161" s="532"/>
      <c r="FL161" s="1427"/>
      <c r="FP161" s="532"/>
      <c r="FT161" s="532"/>
      <c r="FX161" s="1427"/>
      <c r="GB161" s="532"/>
      <c r="GF161" s="532"/>
      <c r="GJ161" s="1427"/>
      <c r="GN161" s="532"/>
      <c r="GR161" s="532"/>
      <c r="GV161" s="1427"/>
      <c r="GZ161" s="532"/>
    </row>
    <row r="162" spans="1:208">
      <c r="M162" s="532"/>
      <c r="P162" s="532"/>
      <c r="Q162" s="1294"/>
      <c r="R162" s="533"/>
      <c r="AC162" s="1427"/>
      <c r="AG162" s="532"/>
      <c r="AM162" s="1427"/>
      <c r="AQ162" s="532"/>
      <c r="AT162" s="1427"/>
      <c r="AW162" s="1427"/>
      <c r="BA162" s="532"/>
      <c r="BG162" s="1427"/>
      <c r="BK162" s="532"/>
      <c r="BQ162" s="1427"/>
      <c r="BU162" s="532"/>
      <c r="CA162" s="1427"/>
      <c r="CE162" s="532"/>
      <c r="CK162" s="1427"/>
      <c r="CO162" s="532"/>
      <c r="CU162" s="1427"/>
      <c r="CY162" s="532"/>
      <c r="DE162" s="1427"/>
      <c r="DI162" s="532"/>
      <c r="DO162" s="1427"/>
      <c r="DS162" s="532"/>
      <c r="DY162" s="1427"/>
      <c r="EC162" s="532"/>
      <c r="EF162" s="1427"/>
      <c r="ER162" s="532"/>
      <c r="EV162" s="532"/>
      <c r="EZ162" s="1427"/>
      <c r="FD162" s="532"/>
      <c r="FH162" s="532"/>
      <c r="FL162" s="1427"/>
      <c r="FP162" s="532"/>
      <c r="FT162" s="532"/>
      <c r="FX162" s="1427"/>
      <c r="GB162" s="532"/>
      <c r="GF162" s="532"/>
      <c r="GJ162" s="1427"/>
      <c r="GN162" s="532"/>
      <c r="GR162" s="532"/>
      <c r="GV162" s="1427"/>
      <c r="GZ162" s="532"/>
    </row>
    <row r="163" spans="1:208">
      <c r="M163" s="532"/>
      <c r="P163" s="532"/>
      <c r="AC163" s="1427"/>
      <c r="AG163" s="532"/>
      <c r="AM163" s="1427"/>
      <c r="AQ163" s="532"/>
      <c r="AT163" s="1427"/>
      <c r="AW163" s="1427"/>
      <c r="BA163" s="532"/>
      <c r="BG163" s="1427"/>
      <c r="BK163" s="532"/>
      <c r="BQ163" s="1427"/>
      <c r="BU163" s="532"/>
      <c r="CA163" s="1427"/>
      <c r="CE163" s="532"/>
      <c r="CK163" s="1427"/>
      <c r="CO163" s="532"/>
      <c r="CU163" s="1427"/>
      <c r="CY163" s="532"/>
      <c r="DE163" s="1427"/>
      <c r="DI163" s="532"/>
      <c r="DO163" s="1427"/>
      <c r="DS163" s="532"/>
      <c r="DY163" s="1427"/>
      <c r="EC163" s="532"/>
      <c r="EF163" s="1427"/>
      <c r="ER163" s="532"/>
      <c r="EV163" s="532"/>
      <c r="EZ163" s="1427"/>
      <c r="FD163" s="532"/>
      <c r="FH163" s="532"/>
      <c r="FL163" s="1427"/>
      <c r="FP163" s="532"/>
      <c r="FT163" s="532"/>
      <c r="FX163" s="1427"/>
      <c r="GB163" s="532"/>
      <c r="GF163" s="532"/>
      <c r="GJ163" s="1427"/>
      <c r="GN163" s="532"/>
      <c r="GR163" s="532"/>
      <c r="GV163" s="1427"/>
      <c r="GZ163" s="532"/>
    </row>
    <row r="164" spans="1:208">
      <c r="A164" s="532" t="s">
        <v>2124</v>
      </c>
      <c r="F164" s="532" t="s">
        <v>2154</v>
      </c>
      <c r="M164" s="532"/>
      <c r="P164" s="532"/>
      <c r="Q164" s="1663"/>
      <c r="R164" s="1663"/>
      <c r="AC164" s="1427"/>
      <c r="AG164" s="532"/>
      <c r="AM164" s="1427"/>
      <c r="AQ164" s="532"/>
      <c r="AT164" s="1427"/>
      <c r="AW164" s="1427"/>
      <c r="BA164" s="532"/>
      <c r="BG164" s="1427"/>
      <c r="BK164" s="532"/>
      <c r="BQ164" s="1427"/>
      <c r="BU164" s="532"/>
      <c r="CA164" s="1427"/>
      <c r="CE164" s="532"/>
      <c r="CK164" s="1427"/>
      <c r="CO164" s="532"/>
      <c r="CU164" s="1427"/>
      <c r="CY164" s="532"/>
      <c r="DE164" s="1427"/>
      <c r="DI164" s="532"/>
      <c r="DO164" s="1427"/>
      <c r="DS164" s="532"/>
      <c r="DY164" s="1427"/>
      <c r="EC164" s="532"/>
      <c r="EF164" s="1427"/>
      <c r="ER164" s="532"/>
      <c r="EV164" s="532"/>
      <c r="EZ164" s="1427"/>
      <c r="FD164" s="532"/>
      <c r="FH164" s="532"/>
      <c r="FL164" s="1427"/>
      <c r="FP164" s="532"/>
      <c r="FT164" s="532"/>
      <c r="FX164" s="1427"/>
      <c r="GB164" s="532"/>
      <c r="GF164" s="532"/>
      <c r="GJ164" s="1427"/>
      <c r="GN164" s="532"/>
      <c r="GR164" s="532"/>
      <c r="GV164" s="1427"/>
      <c r="GZ164" s="532"/>
    </row>
    <row r="165" spans="1:208">
      <c r="A165" s="532" t="s">
        <v>2131</v>
      </c>
      <c r="F165" s="532" t="s">
        <v>2155</v>
      </c>
      <c r="M165" s="532"/>
      <c r="P165" s="532"/>
      <c r="Q165" s="1663"/>
      <c r="R165" s="1663"/>
      <c r="AC165" s="1427"/>
      <c r="AG165" s="532"/>
      <c r="AM165" s="1427"/>
      <c r="AQ165" s="532"/>
      <c r="AT165" s="1427"/>
      <c r="AW165" s="1427"/>
      <c r="BA165" s="532"/>
      <c r="BG165" s="1427"/>
      <c r="BK165" s="532"/>
      <c r="BQ165" s="1427"/>
      <c r="BU165" s="532"/>
      <c r="CA165" s="1427"/>
      <c r="CE165" s="532"/>
      <c r="CK165" s="1427"/>
      <c r="CO165" s="532"/>
      <c r="CU165" s="1427"/>
      <c r="CY165" s="532"/>
      <c r="DE165" s="1427"/>
      <c r="DI165" s="532"/>
      <c r="DO165" s="1427"/>
      <c r="DS165" s="532"/>
      <c r="DY165" s="1427"/>
      <c r="EC165" s="532"/>
      <c r="EF165" s="1427"/>
      <c r="ER165" s="532"/>
      <c r="EV165" s="532"/>
      <c r="EZ165" s="1427"/>
      <c r="FD165" s="532"/>
      <c r="FH165" s="532"/>
      <c r="FL165" s="1427"/>
      <c r="FP165" s="532"/>
      <c r="FT165" s="532"/>
      <c r="FX165" s="1427"/>
      <c r="GB165" s="532"/>
      <c r="GF165" s="532"/>
      <c r="GJ165" s="1427"/>
      <c r="GN165" s="532"/>
      <c r="GR165" s="532"/>
      <c r="GV165" s="1427"/>
      <c r="GZ165" s="532"/>
    </row>
    <row r="166" spans="1:208">
      <c r="A166" s="532" t="s">
        <v>1599</v>
      </c>
      <c r="F166" s="532" t="s">
        <v>2156</v>
      </c>
      <c r="M166" s="532"/>
      <c r="P166" s="532"/>
      <c r="Q166" s="1663"/>
      <c r="R166" s="1663"/>
      <c r="AC166" s="1427"/>
      <c r="AG166" s="532"/>
      <c r="AM166" s="1427"/>
      <c r="AQ166" s="532"/>
      <c r="AT166" s="1427"/>
      <c r="AW166" s="1427"/>
      <c r="BA166" s="532"/>
      <c r="BG166" s="1427"/>
      <c r="BK166" s="532"/>
      <c r="BQ166" s="1427"/>
      <c r="BU166" s="532"/>
      <c r="CA166" s="1427"/>
      <c r="CE166" s="532"/>
      <c r="CK166" s="1427"/>
      <c r="CO166" s="532"/>
      <c r="CU166" s="1427"/>
      <c r="CY166" s="532"/>
      <c r="DE166" s="1427"/>
      <c r="DI166" s="532"/>
      <c r="DO166" s="1427"/>
      <c r="DS166" s="532"/>
      <c r="DY166" s="1427"/>
      <c r="EC166" s="532"/>
      <c r="EF166" s="1427"/>
      <c r="ER166" s="532"/>
      <c r="EV166" s="532"/>
      <c r="EZ166" s="1427"/>
      <c r="FD166" s="532"/>
      <c r="FH166" s="532"/>
      <c r="FL166" s="1427"/>
      <c r="FP166" s="532"/>
      <c r="FT166" s="532"/>
      <c r="FX166" s="1427"/>
      <c r="GB166" s="532"/>
      <c r="GF166" s="532"/>
      <c r="GJ166" s="1427"/>
      <c r="GN166" s="532"/>
      <c r="GR166" s="532"/>
      <c r="GV166" s="1427"/>
      <c r="GZ166" s="532"/>
    </row>
    <row r="167" spans="1:208">
      <c r="A167" s="532" t="s">
        <v>2124</v>
      </c>
      <c r="F167" s="532" t="s">
        <v>2157</v>
      </c>
      <c r="M167" s="532"/>
      <c r="P167" s="532"/>
      <c r="Q167" s="1294"/>
      <c r="R167" s="533"/>
      <c r="AC167" s="1427"/>
      <c r="AG167" s="532"/>
      <c r="AM167" s="1427"/>
      <c r="AQ167" s="532"/>
      <c r="AT167" s="1427"/>
      <c r="AW167" s="1427"/>
      <c r="BA167" s="532"/>
      <c r="BG167" s="1427"/>
      <c r="BK167" s="532"/>
      <c r="BQ167" s="1427"/>
      <c r="BU167" s="532"/>
      <c r="CA167" s="1427"/>
      <c r="CE167" s="532"/>
      <c r="CK167" s="1427"/>
      <c r="CO167" s="532"/>
      <c r="CU167" s="1427"/>
      <c r="CY167" s="532"/>
      <c r="DE167" s="1427"/>
      <c r="DI167" s="532"/>
      <c r="DO167" s="1427"/>
      <c r="DS167" s="532"/>
      <c r="DY167" s="1427"/>
      <c r="EC167" s="532"/>
      <c r="EF167" s="1427"/>
      <c r="ER167" s="532"/>
      <c r="EV167" s="532"/>
      <c r="EZ167" s="1427"/>
      <c r="FD167" s="532"/>
      <c r="FH167" s="532"/>
      <c r="FL167" s="1427"/>
      <c r="FP167" s="532"/>
      <c r="FT167" s="532"/>
      <c r="FX167" s="1427"/>
      <c r="GB167" s="532"/>
      <c r="GF167" s="532"/>
      <c r="GJ167" s="1427"/>
      <c r="GN167" s="532"/>
      <c r="GR167" s="532"/>
      <c r="GV167" s="1427"/>
      <c r="GZ167" s="532"/>
    </row>
    <row r="168" spans="1:208">
      <c r="A168" s="532" t="s">
        <v>1599</v>
      </c>
      <c r="F168" s="532" t="s">
        <v>2156</v>
      </c>
      <c r="M168" s="532"/>
      <c r="P168" s="532"/>
      <c r="Q168" s="1294"/>
      <c r="R168" s="533"/>
      <c r="AC168" s="1427"/>
      <c r="AG168" s="532"/>
      <c r="AM168" s="1427"/>
      <c r="AQ168" s="532"/>
      <c r="AT168" s="1427"/>
      <c r="AW168" s="1427"/>
      <c r="BA168" s="532"/>
      <c r="BG168" s="1427"/>
      <c r="BK168" s="532"/>
      <c r="BQ168" s="1427"/>
      <c r="BU168" s="532"/>
      <c r="CA168" s="1427"/>
      <c r="CE168" s="532"/>
      <c r="CK168" s="1427"/>
      <c r="CO168" s="532"/>
      <c r="CU168" s="1427"/>
      <c r="CY168" s="532"/>
      <c r="DE168" s="1427"/>
      <c r="DI168" s="532"/>
      <c r="DO168" s="1427"/>
      <c r="DS168" s="532"/>
      <c r="DY168" s="1427"/>
      <c r="EC168" s="532"/>
      <c r="EF168" s="1427"/>
      <c r="ER168" s="532"/>
      <c r="EV168" s="532"/>
      <c r="EZ168" s="1427"/>
      <c r="FD168" s="532"/>
      <c r="FH168" s="532"/>
      <c r="FL168" s="1427"/>
      <c r="FP168" s="532"/>
      <c r="FT168" s="532"/>
      <c r="FX168" s="1427"/>
      <c r="GB168" s="532"/>
      <c r="GF168" s="532"/>
      <c r="GJ168" s="1427"/>
      <c r="GN168" s="532"/>
      <c r="GR168" s="532"/>
      <c r="GV168" s="1427"/>
      <c r="GZ168" s="532"/>
    </row>
    <row r="169" spans="1:208">
      <c r="A169" s="532" t="s">
        <v>2124</v>
      </c>
      <c r="F169" s="532" t="s">
        <v>2158</v>
      </c>
      <c r="M169" s="532"/>
      <c r="P169" s="532"/>
      <c r="Q169" s="1294"/>
      <c r="R169" s="533"/>
      <c r="AC169" s="1427"/>
      <c r="AG169" s="532"/>
      <c r="AM169" s="1427"/>
      <c r="AQ169" s="532"/>
      <c r="AT169" s="1427"/>
      <c r="AW169" s="1427"/>
      <c r="BA169" s="532"/>
      <c r="BG169" s="1427"/>
      <c r="BK169" s="532"/>
      <c r="BQ169" s="1427"/>
      <c r="BU169" s="532"/>
      <c r="CA169" s="1427"/>
      <c r="CE169" s="532"/>
      <c r="CK169" s="1427"/>
      <c r="CO169" s="532"/>
      <c r="CU169" s="1427"/>
      <c r="CY169" s="532"/>
      <c r="DE169" s="1427"/>
      <c r="DI169" s="532"/>
      <c r="DO169" s="1427"/>
      <c r="DS169" s="532"/>
      <c r="DY169" s="1427"/>
      <c r="EC169" s="532"/>
      <c r="EF169" s="1427"/>
      <c r="ER169" s="532"/>
      <c r="EV169" s="532"/>
      <c r="EZ169" s="1427"/>
      <c r="FD169" s="532"/>
      <c r="FH169" s="532"/>
      <c r="FL169" s="1427"/>
      <c r="FP169" s="532"/>
      <c r="FT169" s="532"/>
      <c r="FX169" s="1427"/>
      <c r="GB169" s="532"/>
      <c r="GF169" s="532"/>
      <c r="GJ169" s="1427"/>
      <c r="GN169" s="532"/>
      <c r="GR169" s="532"/>
      <c r="GV169" s="1427"/>
      <c r="GZ169" s="532"/>
    </row>
    <row r="170" spans="1:208">
      <c r="A170" s="532" t="s">
        <v>2159</v>
      </c>
      <c r="F170" s="532" t="s">
        <v>2160</v>
      </c>
      <c r="M170" s="532"/>
      <c r="P170" s="532"/>
      <c r="Q170" s="1294"/>
      <c r="R170" s="533"/>
      <c r="AC170" s="1427"/>
      <c r="AG170" s="532"/>
      <c r="AM170" s="1427"/>
      <c r="AQ170" s="532"/>
      <c r="AT170" s="1427"/>
      <c r="AW170" s="1427"/>
      <c r="BA170" s="532"/>
      <c r="BG170" s="1427"/>
      <c r="BK170" s="532"/>
      <c r="BQ170" s="1427"/>
      <c r="BU170" s="532"/>
      <c r="CA170" s="1427"/>
      <c r="CE170" s="532"/>
      <c r="CK170" s="1427"/>
      <c r="CO170" s="532"/>
      <c r="CU170" s="1427"/>
      <c r="CY170" s="532"/>
      <c r="DE170" s="1427"/>
      <c r="DI170" s="532"/>
      <c r="DO170" s="1427"/>
      <c r="DS170" s="532"/>
      <c r="DY170" s="1427"/>
      <c r="EC170" s="532"/>
      <c r="EF170" s="1427"/>
      <c r="ER170" s="532"/>
      <c r="EV170" s="532"/>
      <c r="EZ170" s="1427"/>
      <c r="FD170" s="532"/>
      <c r="FH170" s="532"/>
      <c r="FL170" s="1427"/>
      <c r="FP170" s="532"/>
      <c r="FT170" s="532"/>
      <c r="FX170" s="1427"/>
      <c r="GB170" s="532"/>
      <c r="GF170" s="532"/>
      <c r="GJ170" s="1427"/>
      <c r="GN170" s="532"/>
      <c r="GR170" s="532"/>
      <c r="GV170" s="1427"/>
      <c r="GZ170" s="532"/>
    </row>
    <row r="171" spans="1:208">
      <c r="A171" s="532" t="s">
        <v>1599</v>
      </c>
      <c r="F171" s="532" t="s">
        <v>2161</v>
      </c>
      <c r="M171" s="532"/>
      <c r="P171" s="532"/>
      <c r="Q171" s="1294"/>
      <c r="R171" s="533"/>
      <c r="AC171" s="1427"/>
      <c r="AG171" s="532"/>
      <c r="AM171" s="1427"/>
      <c r="AQ171" s="532"/>
      <c r="AT171" s="1427"/>
      <c r="AW171" s="1427"/>
      <c r="BA171" s="532"/>
      <c r="BG171" s="1427"/>
      <c r="BK171" s="532"/>
      <c r="BQ171" s="1427"/>
      <c r="BU171" s="532"/>
      <c r="CA171" s="1427"/>
      <c r="CE171" s="532"/>
      <c r="CK171" s="1427"/>
      <c r="CO171" s="532"/>
      <c r="CU171" s="1427"/>
      <c r="CY171" s="532"/>
      <c r="DE171" s="1427"/>
      <c r="DI171" s="532"/>
      <c r="DO171" s="1427"/>
      <c r="DS171" s="532"/>
      <c r="DY171" s="1427"/>
      <c r="EC171" s="532"/>
      <c r="EF171" s="1427"/>
      <c r="ER171" s="532"/>
      <c r="EV171" s="532"/>
      <c r="EZ171" s="1427"/>
      <c r="FD171" s="532"/>
      <c r="FH171" s="532"/>
      <c r="FL171" s="1427"/>
      <c r="FP171" s="532"/>
      <c r="FT171" s="532"/>
      <c r="FX171" s="1427"/>
      <c r="GB171" s="532"/>
      <c r="GF171" s="532"/>
      <c r="GJ171" s="1427"/>
      <c r="GN171" s="532"/>
      <c r="GR171" s="532"/>
      <c r="GV171" s="1427"/>
      <c r="GZ171" s="532"/>
    </row>
    <row r="172" spans="1:208">
      <c r="A172" s="532" t="s">
        <v>1599</v>
      </c>
      <c r="F172" s="532" t="s">
        <v>2156</v>
      </c>
      <c r="M172" s="532"/>
      <c r="P172" s="532"/>
      <c r="Q172" s="1294"/>
      <c r="R172" s="533"/>
      <c r="AC172" s="1427"/>
      <c r="AG172" s="532"/>
      <c r="AM172" s="1427"/>
      <c r="AQ172" s="532"/>
      <c r="AT172" s="1427"/>
      <c r="AW172" s="1427"/>
      <c r="BA172" s="532"/>
      <c r="BG172" s="1427"/>
      <c r="BK172" s="532"/>
      <c r="BQ172" s="1427"/>
      <c r="BU172" s="532"/>
      <c r="CA172" s="1427"/>
      <c r="CE172" s="532"/>
      <c r="CK172" s="1427"/>
      <c r="CO172" s="532"/>
      <c r="CU172" s="1427"/>
      <c r="CY172" s="532"/>
      <c r="DE172" s="1427"/>
      <c r="DI172" s="532"/>
      <c r="DO172" s="1427"/>
      <c r="DS172" s="532"/>
      <c r="DY172" s="1427"/>
      <c r="EC172" s="532"/>
      <c r="EF172" s="1427"/>
      <c r="ER172" s="532"/>
      <c r="EV172" s="532"/>
      <c r="EZ172" s="1427"/>
      <c r="FD172" s="532"/>
      <c r="FH172" s="532"/>
      <c r="FL172" s="1427"/>
      <c r="FP172" s="532"/>
      <c r="FT172" s="532"/>
      <c r="FX172" s="1427"/>
      <c r="GB172" s="532"/>
      <c r="GF172" s="532"/>
      <c r="GJ172" s="1427"/>
      <c r="GN172" s="532"/>
      <c r="GR172" s="532"/>
      <c r="GV172" s="1427"/>
      <c r="GZ172" s="532"/>
    </row>
    <row r="173" spans="1:208">
      <c r="A173" s="532" t="s">
        <v>2124</v>
      </c>
      <c r="F173" s="532" t="s">
        <v>2162</v>
      </c>
      <c r="M173" s="532"/>
      <c r="P173" s="532"/>
      <c r="Q173" s="1294"/>
      <c r="R173" s="533"/>
      <c r="AC173" s="1427"/>
      <c r="AG173" s="532"/>
      <c r="AM173" s="1427"/>
      <c r="AQ173" s="532"/>
      <c r="AT173" s="1427"/>
      <c r="AW173" s="1427"/>
      <c r="BA173" s="532"/>
      <c r="BG173" s="1427"/>
      <c r="BK173" s="532"/>
      <c r="BQ173" s="1427"/>
      <c r="BU173" s="532"/>
      <c r="CA173" s="1427"/>
      <c r="CE173" s="532"/>
      <c r="CK173" s="1427"/>
      <c r="CO173" s="532"/>
      <c r="CU173" s="1427"/>
      <c r="CY173" s="532"/>
      <c r="DE173" s="1427"/>
      <c r="DI173" s="532"/>
      <c r="DO173" s="1427"/>
      <c r="DS173" s="532"/>
      <c r="DY173" s="1427"/>
      <c r="EC173" s="532"/>
      <c r="EF173" s="1427"/>
      <c r="ER173" s="532"/>
      <c r="EV173" s="532"/>
      <c r="EZ173" s="1427"/>
      <c r="FD173" s="532"/>
      <c r="FH173" s="532"/>
      <c r="FL173" s="1427"/>
      <c r="FP173" s="532"/>
      <c r="FT173" s="532"/>
      <c r="FX173" s="1427"/>
      <c r="GB173" s="532"/>
      <c r="GF173" s="532"/>
      <c r="GJ173" s="1427"/>
      <c r="GN173" s="532"/>
      <c r="GR173" s="532"/>
      <c r="GV173" s="1427"/>
      <c r="GZ173" s="532"/>
    </row>
    <row r="174" spans="1:208">
      <c r="A174" s="532" t="s">
        <v>1599</v>
      </c>
      <c r="F174" s="532" t="s">
        <v>2156</v>
      </c>
      <c r="M174" s="532"/>
      <c r="P174" s="532"/>
      <c r="Q174" s="1294"/>
      <c r="R174" s="533"/>
      <c r="AC174" s="1427"/>
      <c r="AG174" s="532"/>
      <c r="AM174" s="1427"/>
      <c r="AQ174" s="532"/>
      <c r="AT174" s="1427"/>
      <c r="AW174" s="1427"/>
      <c r="BA174" s="532"/>
      <c r="BG174" s="1427"/>
      <c r="BK174" s="532"/>
      <c r="BQ174" s="1427"/>
      <c r="BU174" s="532"/>
      <c r="CA174" s="1427"/>
      <c r="CE174" s="532"/>
      <c r="CK174" s="1427"/>
      <c r="CO174" s="532"/>
      <c r="CU174" s="1427"/>
      <c r="CY174" s="532"/>
      <c r="DE174" s="1427"/>
      <c r="DI174" s="532"/>
      <c r="DO174" s="1427"/>
      <c r="DS174" s="532"/>
      <c r="DY174" s="1427"/>
      <c r="EC174" s="532"/>
      <c r="EF174" s="1427"/>
      <c r="ER174" s="532"/>
      <c r="EV174" s="532"/>
      <c r="EZ174" s="1427"/>
      <c r="FD174" s="532"/>
      <c r="FH174" s="532"/>
      <c r="FL174" s="1427"/>
      <c r="FP174" s="532"/>
      <c r="FT174" s="532"/>
      <c r="FX174" s="1427"/>
      <c r="GB174" s="532"/>
      <c r="GF174" s="532"/>
      <c r="GJ174" s="1427"/>
      <c r="GN174" s="532"/>
      <c r="GR174" s="532"/>
      <c r="GV174" s="1427"/>
      <c r="GZ174" s="532"/>
    </row>
    <row r="175" spans="1:208">
      <c r="A175" s="532" t="s">
        <v>2163</v>
      </c>
      <c r="F175" s="532" t="s">
        <v>2164</v>
      </c>
      <c r="M175" s="532"/>
      <c r="P175" s="532"/>
      <c r="Q175" s="1294"/>
      <c r="R175" s="533"/>
      <c r="AC175" s="1427"/>
      <c r="AG175" s="532"/>
      <c r="AM175" s="1427"/>
      <c r="AQ175" s="532"/>
      <c r="AT175" s="1427"/>
      <c r="AW175" s="1427"/>
      <c r="BA175" s="532"/>
      <c r="BG175" s="1427"/>
      <c r="BK175" s="532"/>
      <c r="BQ175" s="1427"/>
      <c r="BU175" s="532"/>
      <c r="CA175" s="1427"/>
      <c r="CE175" s="532"/>
      <c r="CK175" s="1427"/>
      <c r="CO175" s="532"/>
      <c r="CU175" s="1427"/>
      <c r="CY175" s="532"/>
      <c r="DE175" s="1427"/>
      <c r="DI175" s="532"/>
      <c r="DO175" s="1427"/>
      <c r="DS175" s="532"/>
      <c r="DY175" s="1427"/>
      <c r="EC175" s="532"/>
      <c r="EF175" s="1427"/>
      <c r="ER175" s="532"/>
      <c r="EV175" s="532"/>
      <c r="EZ175" s="1427"/>
      <c r="FD175" s="532"/>
      <c r="FH175" s="532"/>
      <c r="FL175" s="1427"/>
      <c r="FP175" s="532"/>
      <c r="FT175" s="532"/>
      <c r="FX175" s="1427"/>
      <c r="GB175" s="532"/>
      <c r="GF175" s="532"/>
      <c r="GJ175" s="1427"/>
      <c r="GN175" s="532"/>
      <c r="GR175" s="532"/>
      <c r="GV175" s="1427"/>
      <c r="GZ175" s="532"/>
    </row>
    <row r="176" spans="1:208">
      <c r="A176" s="532" t="s">
        <v>1599</v>
      </c>
      <c r="F176" s="532" t="s">
        <v>2156</v>
      </c>
      <c r="M176" s="532"/>
      <c r="P176" s="532"/>
      <c r="Q176" s="1294"/>
      <c r="R176" s="533"/>
      <c r="AC176" s="1427"/>
      <c r="AG176" s="532"/>
      <c r="AM176" s="1427"/>
      <c r="AQ176" s="532"/>
      <c r="AT176" s="1427"/>
      <c r="AW176" s="1427"/>
      <c r="BA176" s="532"/>
      <c r="BG176" s="1427"/>
      <c r="BK176" s="532"/>
      <c r="BQ176" s="1427"/>
      <c r="BU176" s="532"/>
      <c r="CA176" s="1427"/>
      <c r="CE176" s="532"/>
      <c r="CK176" s="1427"/>
      <c r="CO176" s="532"/>
      <c r="CU176" s="1427"/>
      <c r="CY176" s="532"/>
      <c r="DE176" s="1427"/>
      <c r="DI176" s="532"/>
      <c r="DO176" s="1427"/>
      <c r="DS176" s="532"/>
      <c r="DY176" s="1427"/>
      <c r="EC176" s="532"/>
      <c r="EF176" s="1427"/>
      <c r="ER176" s="532"/>
      <c r="EV176" s="532"/>
      <c r="EZ176" s="1427"/>
      <c r="FD176" s="532"/>
      <c r="FH176" s="532"/>
      <c r="FL176" s="1427"/>
      <c r="FP176" s="532"/>
      <c r="FT176" s="532"/>
      <c r="FX176" s="1427"/>
      <c r="GB176" s="532"/>
      <c r="GF176" s="532"/>
      <c r="GJ176" s="1427"/>
      <c r="GN176" s="532"/>
      <c r="GR176" s="532"/>
      <c r="GV176" s="1427"/>
      <c r="GZ176" s="532"/>
    </row>
    <row r="177" spans="1:208">
      <c r="A177" s="532" t="s">
        <v>2165</v>
      </c>
      <c r="F177" s="532" t="s">
        <v>2166</v>
      </c>
      <c r="M177" s="532"/>
      <c r="P177" s="532"/>
      <c r="Q177" s="1294"/>
      <c r="R177" s="533"/>
      <c r="AC177" s="1427"/>
      <c r="AG177" s="532"/>
      <c r="AM177" s="1427"/>
      <c r="AQ177" s="532"/>
      <c r="AT177" s="1427"/>
      <c r="AW177" s="1427"/>
      <c r="BA177" s="532"/>
      <c r="BG177" s="1427"/>
      <c r="BK177" s="532"/>
      <c r="BQ177" s="1427"/>
      <c r="BU177" s="532"/>
      <c r="CA177" s="1427"/>
      <c r="CE177" s="532"/>
      <c r="CK177" s="1427"/>
      <c r="CO177" s="532"/>
      <c r="CU177" s="1427"/>
      <c r="CY177" s="532"/>
      <c r="DE177" s="1427"/>
      <c r="DI177" s="532"/>
      <c r="DO177" s="1427"/>
      <c r="DS177" s="532"/>
      <c r="DY177" s="1427"/>
      <c r="EC177" s="532"/>
      <c r="EF177" s="1427"/>
      <c r="ER177" s="532"/>
      <c r="EV177" s="532"/>
      <c r="EZ177" s="1427"/>
      <c r="FD177" s="532"/>
      <c r="FH177" s="532"/>
      <c r="FL177" s="1427"/>
      <c r="FP177" s="532"/>
      <c r="FT177" s="532"/>
      <c r="FX177" s="1427"/>
      <c r="GB177" s="532"/>
      <c r="GF177" s="532"/>
      <c r="GJ177" s="1427"/>
      <c r="GN177" s="532"/>
      <c r="GR177" s="532"/>
      <c r="GV177" s="1427"/>
      <c r="GZ177" s="532"/>
    </row>
    <row r="178" spans="1:208">
      <c r="A178" s="532" t="s">
        <v>2167</v>
      </c>
      <c r="F178" s="532" t="s">
        <v>2168</v>
      </c>
      <c r="M178" s="532"/>
      <c r="P178" s="532"/>
      <c r="Q178" s="1294"/>
      <c r="R178" s="533"/>
      <c r="AC178" s="1427"/>
      <c r="AG178" s="532"/>
      <c r="AM178" s="1427"/>
      <c r="AQ178" s="532"/>
      <c r="AT178" s="1427"/>
      <c r="AW178" s="1427"/>
      <c r="BA178" s="532"/>
      <c r="BG178" s="1427"/>
      <c r="BK178" s="532"/>
      <c r="BQ178" s="1427"/>
      <c r="BU178" s="532"/>
      <c r="CA178" s="1427"/>
      <c r="CE178" s="532"/>
      <c r="CK178" s="1427"/>
      <c r="CO178" s="532"/>
      <c r="CU178" s="1427"/>
      <c r="CY178" s="532"/>
      <c r="DE178" s="1427"/>
      <c r="DI178" s="532"/>
      <c r="DO178" s="1427"/>
      <c r="DS178" s="532"/>
      <c r="DY178" s="1427"/>
      <c r="EC178" s="532"/>
      <c r="EF178" s="1427"/>
      <c r="ER178" s="532"/>
      <c r="EV178" s="532"/>
      <c r="EZ178" s="1427"/>
      <c r="FD178" s="532"/>
      <c r="FH178" s="532"/>
      <c r="FL178" s="1427"/>
      <c r="FP178" s="532"/>
      <c r="FT178" s="532"/>
      <c r="FX178" s="1427"/>
      <c r="GB178" s="532"/>
      <c r="GF178" s="532"/>
      <c r="GJ178" s="1427"/>
      <c r="GN178" s="532"/>
      <c r="GR178" s="532"/>
      <c r="GV178" s="1427"/>
      <c r="GZ178" s="532"/>
    </row>
    <row r="179" spans="1:208">
      <c r="A179" s="532" t="s">
        <v>2169</v>
      </c>
      <c r="F179" s="532" t="s">
        <v>2170</v>
      </c>
      <c r="M179" s="532"/>
      <c r="P179" s="532"/>
      <c r="Q179" s="1294"/>
      <c r="R179" s="533"/>
      <c r="AC179" s="1427"/>
      <c r="AG179" s="532"/>
      <c r="AM179" s="1427"/>
      <c r="AQ179" s="532"/>
      <c r="AT179" s="1427"/>
      <c r="AW179" s="1427"/>
      <c r="BA179" s="532"/>
      <c r="BG179" s="1427"/>
      <c r="BK179" s="532"/>
      <c r="BQ179" s="1427"/>
      <c r="BU179" s="532"/>
      <c r="CA179" s="1427"/>
      <c r="CE179" s="532"/>
      <c r="CK179" s="1427"/>
      <c r="CO179" s="532"/>
      <c r="CU179" s="1427"/>
      <c r="CY179" s="532"/>
      <c r="DE179" s="1427"/>
      <c r="DI179" s="532"/>
      <c r="DO179" s="1427"/>
      <c r="DS179" s="532"/>
      <c r="DY179" s="1427"/>
      <c r="EC179" s="532"/>
      <c r="EF179" s="1427"/>
      <c r="ER179" s="532"/>
      <c r="EV179" s="532"/>
      <c r="EZ179" s="1427"/>
      <c r="FD179" s="532"/>
      <c r="FH179" s="532"/>
      <c r="FL179" s="1427"/>
      <c r="FP179" s="532"/>
      <c r="FT179" s="532"/>
      <c r="FX179" s="1427"/>
      <c r="GB179" s="532"/>
      <c r="GF179" s="532"/>
      <c r="GJ179" s="1427"/>
      <c r="GN179" s="532"/>
      <c r="GR179" s="532"/>
      <c r="GV179" s="1427"/>
      <c r="GZ179" s="532"/>
    </row>
    <row r="180" spans="1:208">
      <c r="A180" s="532" t="s">
        <v>1599</v>
      </c>
      <c r="F180" s="532" t="s">
        <v>2156</v>
      </c>
      <c r="M180" s="532"/>
      <c r="P180" s="532"/>
      <c r="Q180" s="1294"/>
      <c r="R180" s="533"/>
      <c r="AC180" s="1427"/>
      <c r="AG180" s="532"/>
      <c r="AM180" s="1427"/>
      <c r="AQ180" s="532"/>
      <c r="AT180" s="1427"/>
      <c r="AW180" s="1427"/>
      <c r="BA180" s="532"/>
      <c r="BG180" s="1427"/>
      <c r="BK180" s="532"/>
      <c r="BQ180" s="1427"/>
      <c r="BU180" s="532"/>
      <c r="CA180" s="1427"/>
      <c r="CE180" s="532"/>
      <c r="CK180" s="1427"/>
      <c r="CO180" s="532"/>
      <c r="CU180" s="1427"/>
      <c r="CY180" s="532"/>
      <c r="DE180" s="1427"/>
      <c r="DI180" s="532"/>
      <c r="DO180" s="1427"/>
      <c r="DS180" s="532"/>
      <c r="DY180" s="1427"/>
      <c r="EC180" s="532"/>
      <c r="EF180" s="1427"/>
      <c r="ER180" s="532"/>
      <c r="EV180" s="532"/>
      <c r="EZ180" s="1427"/>
      <c r="FD180" s="532"/>
      <c r="FH180" s="532"/>
      <c r="FL180" s="1427"/>
      <c r="FP180" s="532"/>
      <c r="FT180" s="532"/>
      <c r="FX180" s="1427"/>
      <c r="GB180" s="532"/>
      <c r="GF180" s="532"/>
      <c r="GJ180" s="1427"/>
      <c r="GN180" s="532"/>
      <c r="GR180" s="532"/>
      <c r="GV180" s="1427"/>
      <c r="GZ180" s="532"/>
    </row>
    <row r="181" spans="1:208">
      <c r="A181" s="532" t="s">
        <v>2171</v>
      </c>
      <c r="F181" s="532" t="s">
        <v>2172</v>
      </c>
      <c r="M181" s="532"/>
      <c r="P181" s="532"/>
      <c r="Q181" s="1294"/>
      <c r="R181" s="533"/>
      <c r="AC181" s="1427"/>
      <c r="AG181" s="532"/>
      <c r="AM181" s="1427"/>
      <c r="AQ181" s="532"/>
      <c r="AT181" s="1427"/>
      <c r="AW181" s="1427"/>
      <c r="BA181" s="532"/>
      <c r="BG181" s="1427"/>
      <c r="BK181" s="532"/>
      <c r="BQ181" s="1427"/>
      <c r="BU181" s="532"/>
      <c r="CA181" s="1427"/>
      <c r="CE181" s="532"/>
      <c r="CK181" s="1427"/>
      <c r="CO181" s="532"/>
      <c r="CU181" s="1427"/>
      <c r="CY181" s="532"/>
      <c r="DE181" s="1427"/>
      <c r="DI181" s="532"/>
      <c r="DO181" s="1427"/>
      <c r="DS181" s="532"/>
      <c r="DY181" s="1427"/>
      <c r="EC181" s="532"/>
      <c r="EF181" s="1427"/>
      <c r="ER181" s="532"/>
      <c r="EV181" s="532"/>
      <c r="EZ181" s="1427"/>
      <c r="FD181" s="532"/>
      <c r="FH181" s="532"/>
      <c r="FL181" s="1427"/>
      <c r="FP181" s="532"/>
      <c r="FT181" s="532"/>
      <c r="FX181" s="1427"/>
      <c r="GB181" s="532"/>
      <c r="GF181" s="532"/>
      <c r="GJ181" s="1427"/>
      <c r="GN181" s="532"/>
      <c r="GR181" s="532"/>
      <c r="GV181" s="1427"/>
      <c r="GZ181" s="532"/>
    </row>
    <row r="182" spans="1:208">
      <c r="A182" s="532" t="s">
        <v>1599</v>
      </c>
      <c r="F182" s="532" t="s">
        <v>2173</v>
      </c>
      <c r="M182" s="532"/>
      <c r="P182" s="532"/>
      <c r="Q182" s="1294"/>
      <c r="R182" s="533"/>
      <c r="AC182" s="1427"/>
      <c r="AG182" s="532"/>
      <c r="AM182" s="1427"/>
      <c r="AQ182" s="532"/>
      <c r="AT182" s="1427"/>
      <c r="AW182" s="1427"/>
      <c r="BA182" s="532"/>
      <c r="BG182" s="1427"/>
      <c r="BK182" s="532"/>
      <c r="BQ182" s="1427"/>
      <c r="BU182" s="532"/>
      <c r="CA182" s="1427"/>
      <c r="CE182" s="532"/>
      <c r="CK182" s="1427"/>
      <c r="CO182" s="532"/>
      <c r="CU182" s="1427"/>
      <c r="CY182" s="532"/>
      <c r="DE182" s="1427"/>
      <c r="DI182" s="532"/>
      <c r="DO182" s="1427"/>
      <c r="DS182" s="532"/>
      <c r="DY182" s="1427"/>
      <c r="EC182" s="532"/>
      <c r="EF182" s="1427"/>
      <c r="ER182" s="532"/>
      <c r="EV182" s="532"/>
      <c r="EZ182" s="1427"/>
      <c r="FD182" s="532"/>
      <c r="FH182" s="532"/>
      <c r="FL182" s="1427"/>
      <c r="FP182" s="532"/>
      <c r="FT182" s="532"/>
      <c r="FX182" s="1427"/>
      <c r="GB182" s="532"/>
      <c r="GF182" s="532"/>
      <c r="GJ182" s="1427"/>
      <c r="GN182" s="532"/>
      <c r="GR182" s="532"/>
      <c r="GV182" s="1427"/>
      <c r="GZ182" s="532"/>
    </row>
    <row r="183" spans="1:208">
      <c r="A183" s="532" t="s">
        <v>2124</v>
      </c>
      <c r="F183" s="532" t="s">
        <v>2174</v>
      </c>
      <c r="M183" s="532"/>
      <c r="P183" s="532"/>
      <c r="Q183" s="1294"/>
      <c r="R183" s="533"/>
      <c r="AC183" s="1427"/>
      <c r="AG183" s="532"/>
      <c r="AM183" s="1427"/>
      <c r="AQ183" s="532"/>
      <c r="AT183" s="1427"/>
      <c r="AW183" s="1427"/>
      <c r="BA183" s="532"/>
      <c r="BG183" s="1427"/>
      <c r="BK183" s="532"/>
      <c r="BQ183" s="1427"/>
      <c r="BU183" s="532"/>
      <c r="CA183" s="1427"/>
      <c r="CE183" s="532"/>
      <c r="CK183" s="1427"/>
      <c r="CO183" s="532"/>
      <c r="CU183" s="1427"/>
      <c r="CY183" s="532"/>
      <c r="DE183" s="1427"/>
      <c r="DI183" s="532"/>
      <c r="DO183" s="1427"/>
      <c r="DS183" s="532"/>
      <c r="DY183" s="1427"/>
      <c r="EC183" s="532"/>
      <c r="EF183" s="1427"/>
      <c r="ER183" s="532"/>
      <c r="EV183" s="532"/>
      <c r="EZ183" s="1427"/>
      <c r="FD183" s="532"/>
      <c r="FH183" s="532"/>
      <c r="FL183" s="1427"/>
      <c r="FP183" s="532"/>
      <c r="FT183" s="532"/>
      <c r="FX183" s="1427"/>
      <c r="GB183" s="532"/>
      <c r="GF183" s="532"/>
      <c r="GJ183" s="1427"/>
      <c r="GN183" s="532"/>
      <c r="GR183" s="532"/>
      <c r="GV183" s="1427"/>
      <c r="GZ183" s="532"/>
    </row>
    <row r="184" spans="1:208">
      <c r="A184" s="532" t="s">
        <v>2175</v>
      </c>
      <c r="F184" s="532" t="s">
        <v>2176</v>
      </c>
      <c r="M184" s="532"/>
      <c r="P184" s="532"/>
      <c r="Q184" s="1294"/>
      <c r="R184" s="533"/>
      <c r="AC184" s="1427"/>
      <c r="AG184" s="532"/>
      <c r="AM184" s="1427"/>
      <c r="AQ184" s="532"/>
      <c r="AT184" s="1427"/>
      <c r="AW184" s="1427"/>
      <c r="BA184" s="532"/>
      <c r="BG184" s="1427"/>
      <c r="BK184" s="532"/>
      <c r="BQ184" s="1427"/>
      <c r="BU184" s="532"/>
      <c r="CA184" s="1427"/>
      <c r="CE184" s="532"/>
      <c r="CK184" s="1427"/>
      <c r="CO184" s="532"/>
      <c r="CU184" s="1427"/>
      <c r="CY184" s="532"/>
      <c r="DE184" s="1427"/>
      <c r="DI184" s="532"/>
      <c r="DO184" s="1427"/>
      <c r="DS184" s="532"/>
      <c r="DY184" s="1427"/>
      <c r="EC184" s="532"/>
      <c r="EF184" s="1427"/>
      <c r="ER184" s="532"/>
      <c r="EV184" s="532"/>
      <c r="EZ184" s="1427"/>
      <c r="FD184" s="532"/>
      <c r="FH184" s="532"/>
      <c r="FL184" s="1427"/>
      <c r="FP184" s="532"/>
      <c r="FT184" s="532"/>
      <c r="FX184" s="1427"/>
      <c r="GB184" s="532"/>
      <c r="GF184" s="532"/>
      <c r="GJ184" s="1427"/>
      <c r="GN184" s="532"/>
      <c r="GR184" s="532"/>
      <c r="GV184" s="1427"/>
      <c r="GZ184" s="532"/>
    </row>
    <row r="185" spans="1:208">
      <c r="A185" s="532" t="s">
        <v>2146</v>
      </c>
      <c r="F185" s="532" t="s">
        <v>2177</v>
      </c>
      <c r="M185" s="532"/>
      <c r="P185" s="532"/>
      <c r="Q185" s="1294"/>
      <c r="R185" s="533"/>
      <c r="AC185" s="1427"/>
      <c r="AG185" s="532"/>
      <c r="AM185" s="1427"/>
      <c r="AQ185" s="532"/>
      <c r="AT185" s="1427"/>
      <c r="AW185" s="1427"/>
      <c r="BA185" s="532"/>
      <c r="BG185" s="1427"/>
      <c r="BK185" s="532"/>
      <c r="BQ185" s="1427"/>
      <c r="BU185" s="532"/>
      <c r="CA185" s="1427"/>
      <c r="CE185" s="532"/>
      <c r="CK185" s="1427"/>
      <c r="CO185" s="532"/>
      <c r="CU185" s="1427"/>
      <c r="CY185" s="532"/>
      <c r="DE185" s="1427"/>
      <c r="DI185" s="532"/>
      <c r="DO185" s="1427"/>
      <c r="DS185" s="532"/>
      <c r="DY185" s="1427"/>
      <c r="EC185" s="532"/>
      <c r="EF185" s="1427"/>
      <c r="ER185" s="532"/>
      <c r="EV185" s="532"/>
      <c r="EZ185" s="1427"/>
      <c r="FD185" s="532"/>
      <c r="FH185" s="532"/>
      <c r="FL185" s="1427"/>
      <c r="FP185" s="532"/>
      <c r="FT185" s="532"/>
      <c r="FX185" s="1427"/>
      <c r="GB185" s="532"/>
      <c r="GF185" s="532"/>
      <c r="GJ185" s="1427"/>
      <c r="GN185" s="532"/>
      <c r="GR185" s="532"/>
      <c r="GV185" s="1427"/>
      <c r="GZ185" s="532"/>
    </row>
    <row r="186" spans="1:208">
      <c r="A186" s="532" t="s">
        <v>2175</v>
      </c>
      <c r="F186" s="532" t="s">
        <v>2176</v>
      </c>
      <c r="M186" s="532"/>
      <c r="P186" s="532"/>
      <c r="Q186" s="1294"/>
      <c r="R186" s="533"/>
      <c r="AC186" s="1427"/>
      <c r="AG186" s="532"/>
      <c r="AM186" s="1427"/>
      <c r="AQ186" s="532"/>
      <c r="AT186" s="1427"/>
      <c r="AW186" s="1427"/>
      <c r="BA186" s="532"/>
      <c r="BG186" s="1427"/>
      <c r="BK186" s="532"/>
      <c r="BQ186" s="1427"/>
      <c r="BU186" s="532"/>
      <c r="CA186" s="1427"/>
      <c r="CE186" s="532"/>
      <c r="CK186" s="1427"/>
      <c r="CO186" s="532"/>
      <c r="CU186" s="1427"/>
      <c r="CY186" s="532"/>
      <c r="DE186" s="1427"/>
      <c r="DI186" s="532"/>
      <c r="DO186" s="1427"/>
      <c r="DS186" s="532"/>
      <c r="DY186" s="1427"/>
      <c r="EC186" s="532"/>
      <c r="EF186" s="1427"/>
      <c r="ER186" s="532"/>
      <c r="EV186" s="532"/>
      <c r="EZ186" s="1427"/>
      <c r="FD186" s="532"/>
      <c r="FH186" s="532"/>
      <c r="FL186" s="1427"/>
      <c r="FP186" s="532"/>
      <c r="FT186" s="532"/>
      <c r="FX186" s="1427"/>
      <c r="GB186" s="532"/>
      <c r="GF186" s="532"/>
      <c r="GJ186" s="1427"/>
      <c r="GN186" s="532"/>
      <c r="GR186" s="532"/>
      <c r="GV186" s="1427"/>
      <c r="GZ186" s="532"/>
    </row>
    <row r="187" spans="1:208">
      <c r="A187" s="532" t="s">
        <v>2146</v>
      </c>
      <c r="F187" s="532" t="s">
        <v>2178</v>
      </c>
      <c r="M187" s="532"/>
      <c r="P187" s="532"/>
      <c r="Q187" s="1294"/>
      <c r="R187" s="533"/>
      <c r="AC187" s="1427"/>
      <c r="AG187" s="532"/>
      <c r="AM187" s="1427"/>
      <c r="AQ187" s="532"/>
      <c r="AT187" s="1427"/>
      <c r="AW187" s="1427"/>
      <c r="BA187" s="532"/>
      <c r="BG187" s="1427"/>
      <c r="BK187" s="532"/>
      <c r="BQ187" s="1427"/>
      <c r="BU187" s="532"/>
      <c r="CA187" s="1427"/>
      <c r="CE187" s="532"/>
      <c r="CK187" s="1427"/>
      <c r="CO187" s="532"/>
      <c r="CU187" s="1427"/>
      <c r="CY187" s="532"/>
      <c r="DE187" s="1427"/>
      <c r="DI187" s="532"/>
      <c r="DO187" s="1427"/>
      <c r="DS187" s="532"/>
      <c r="DY187" s="1427"/>
      <c r="EC187" s="532"/>
      <c r="EF187" s="1427"/>
      <c r="ER187" s="532"/>
      <c r="EV187" s="532"/>
      <c r="EZ187" s="1427"/>
      <c r="FD187" s="532"/>
      <c r="FH187" s="532"/>
      <c r="FL187" s="1427"/>
      <c r="FP187" s="532"/>
      <c r="FT187" s="532"/>
      <c r="FX187" s="1427"/>
      <c r="GB187" s="532"/>
      <c r="GF187" s="532"/>
      <c r="GJ187" s="1427"/>
      <c r="GN187" s="532"/>
      <c r="GR187" s="532"/>
      <c r="GV187" s="1427"/>
      <c r="GZ187" s="532"/>
    </row>
    <row r="188" spans="1:208">
      <c r="A188" s="532" t="s">
        <v>2131</v>
      </c>
      <c r="F188" s="532" t="s">
        <v>2179</v>
      </c>
      <c r="M188" s="532"/>
      <c r="P188" s="532"/>
      <c r="Q188" s="1294"/>
      <c r="R188" s="533"/>
      <c r="AC188" s="1427"/>
      <c r="AG188" s="532"/>
      <c r="AM188" s="1427"/>
      <c r="AQ188" s="532"/>
      <c r="AT188" s="1427"/>
      <c r="AW188" s="1427"/>
      <c r="BA188" s="532"/>
      <c r="BG188" s="1427"/>
      <c r="BK188" s="532"/>
      <c r="BQ188" s="1427"/>
      <c r="BU188" s="532"/>
      <c r="CA188" s="1427"/>
      <c r="CE188" s="532"/>
      <c r="CK188" s="1427"/>
      <c r="CO188" s="532"/>
      <c r="CU188" s="1427"/>
      <c r="CY188" s="532"/>
      <c r="DE188" s="1427"/>
      <c r="DI188" s="532"/>
      <c r="DO188" s="1427"/>
      <c r="DS188" s="532"/>
      <c r="DY188" s="1427"/>
      <c r="EC188" s="532"/>
      <c r="EF188" s="1427"/>
      <c r="ER188" s="532"/>
      <c r="EV188" s="532"/>
      <c r="EZ188" s="1427"/>
      <c r="FD188" s="532"/>
      <c r="FH188" s="532"/>
      <c r="FL188" s="1427"/>
      <c r="FP188" s="532"/>
      <c r="FT188" s="532"/>
      <c r="FX188" s="1427"/>
      <c r="GB188" s="532"/>
      <c r="GF188" s="532"/>
      <c r="GJ188" s="1427"/>
      <c r="GN188" s="532"/>
      <c r="GR188" s="532"/>
      <c r="GV188" s="1427"/>
      <c r="GZ188" s="532"/>
    </row>
    <row r="189" spans="1:208">
      <c r="A189" s="532" t="s">
        <v>2124</v>
      </c>
      <c r="F189" s="532" t="s">
        <v>2180</v>
      </c>
      <c r="M189" s="532"/>
      <c r="P189" s="532"/>
      <c r="Q189" s="1294"/>
      <c r="R189" s="533"/>
      <c r="AC189" s="1427"/>
      <c r="AG189" s="532"/>
      <c r="AM189" s="1427"/>
      <c r="AQ189" s="532"/>
      <c r="AT189" s="1427"/>
      <c r="AW189" s="1427"/>
      <c r="BA189" s="532"/>
      <c r="BG189" s="1427"/>
      <c r="BK189" s="532"/>
      <c r="BQ189" s="1427"/>
      <c r="BU189" s="532"/>
      <c r="CA189" s="1427"/>
      <c r="CE189" s="532"/>
      <c r="CK189" s="1427"/>
      <c r="CO189" s="532"/>
      <c r="CU189" s="1427"/>
      <c r="CY189" s="532"/>
      <c r="DE189" s="1427"/>
      <c r="DI189" s="532"/>
      <c r="DO189" s="1427"/>
      <c r="DS189" s="532"/>
      <c r="DY189" s="1427"/>
      <c r="EC189" s="532"/>
      <c r="EF189" s="1427"/>
      <c r="ER189" s="532"/>
      <c r="EV189" s="532"/>
      <c r="EZ189" s="1427"/>
      <c r="FD189" s="532"/>
      <c r="FH189" s="532"/>
      <c r="FL189" s="1427"/>
      <c r="FP189" s="532"/>
      <c r="FT189" s="532"/>
      <c r="FX189" s="1427"/>
      <c r="GB189" s="532"/>
      <c r="GF189" s="532"/>
      <c r="GJ189" s="1427"/>
      <c r="GN189" s="532"/>
      <c r="GR189" s="532"/>
      <c r="GV189" s="1427"/>
      <c r="GZ189" s="532"/>
    </row>
    <row r="190" spans="1:208">
      <c r="A190" s="532" t="s">
        <v>2181</v>
      </c>
      <c r="F190" s="532" t="s">
        <v>2182</v>
      </c>
      <c r="M190" s="532"/>
      <c r="P190" s="532"/>
      <c r="Q190" s="1294"/>
      <c r="R190" s="533"/>
      <c r="AC190" s="1427"/>
      <c r="AG190" s="532"/>
      <c r="AM190" s="1427"/>
      <c r="AQ190" s="532"/>
      <c r="AT190" s="1427"/>
      <c r="AW190" s="1427"/>
      <c r="BA190" s="532"/>
      <c r="BG190" s="1427"/>
      <c r="BK190" s="532"/>
      <c r="BQ190" s="1427"/>
      <c r="BU190" s="532"/>
      <c r="CA190" s="1427"/>
      <c r="CE190" s="532"/>
      <c r="CK190" s="1427"/>
      <c r="CO190" s="532"/>
      <c r="CU190" s="1427"/>
      <c r="CY190" s="532"/>
      <c r="DE190" s="1427"/>
      <c r="DI190" s="532"/>
      <c r="DO190" s="1427"/>
      <c r="DS190" s="532"/>
      <c r="DY190" s="1427"/>
      <c r="EC190" s="532"/>
      <c r="EF190" s="1427"/>
      <c r="ER190" s="532"/>
      <c r="EV190" s="532"/>
      <c r="EZ190" s="1427"/>
      <c r="FD190" s="532"/>
      <c r="FH190" s="532"/>
      <c r="FL190" s="1427"/>
      <c r="FP190" s="532"/>
      <c r="FT190" s="532"/>
      <c r="FX190" s="1427"/>
      <c r="GB190" s="532"/>
      <c r="GF190" s="532"/>
      <c r="GJ190" s="1427"/>
      <c r="GN190" s="532"/>
      <c r="GR190" s="532"/>
      <c r="GV190" s="1427"/>
      <c r="GZ190" s="532"/>
    </row>
    <row r="191" spans="1:208">
      <c r="A191" s="532" t="s">
        <v>2124</v>
      </c>
      <c r="F191" s="532" t="s">
        <v>2183</v>
      </c>
      <c r="M191" s="532"/>
      <c r="P191" s="532"/>
      <c r="Q191" s="1294"/>
      <c r="R191" s="533"/>
      <c r="AC191" s="1427"/>
      <c r="AG191" s="532"/>
      <c r="AM191" s="1427"/>
      <c r="AQ191" s="532"/>
      <c r="AT191" s="1427"/>
      <c r="AW191" s="1427"/>
      <c r="BA191" s="532"/>
      <c r="BG191" s="1427"/>
      <c r="BK191" s="532"/>
      <c r="BQ191" s="1427"/>
      <c r="BU191" s="532"/>
      <c r="CA191" s="1427"/>
      <c r="CE191" s="532"/>
      <c r="CK191" s="1427"/>
      <c r="CO191" s="532"/>
      <c r="CU191" s="1427"/>
      <c r="CY191" s="532"/>
      <c r="DE191" s="1427"/>
      <c r="DI191" s="532"/>
      <c r="DO191" s="1427"/>
      <c r="DS191" s="532"/>
      <c r="DY191" s="1427"/>
      <c r="EC191" s="532"/>
      <c r="EF191" s="1427"/>
      <c r="ER191" s="532"/>
      <c r="EV191" s="532"/>
      <c r="EZ191" s="1427"/>
      <c r="FD191" s="532"/>
      <c r="FH191" s="532"/>
      <c r="FL191" s="1427"/>
      <c r="FP191" s="532"/>
      <c r="FT191" s="532"/>
      <c r="FX191" s="1427"/>
      <c r="GB191" s="532"/>
      <c r="GF191" s="532"/>
      <c r="GJ191" s="1427"/>
      <c r="GN191" s="532"/>
      <c r="GR191" s="532"/>
      <c r="GV191" s="1427"/>
      <c r="GZ191" s="532"/>
    </row>
    <row r="192" spans="1:208">
      <c r="A192" s="532" t="s">
        <v>2175</v>
      </c>
      <c r="F192" s="532" t="s">
        <v>2176</v>
      </c>
      <c r="M192" s="532"/>
      <c r="P192" s="532"/>
      <c r="Q192" s="1294"/>
      <c r="R192" s="533"/>
      <c r="AC192" s="1427"/>
      <c r="AG192" s="532"/>
      <c r="AM192" s="1427"/>
      <c r="AQ192" s="532"/>
      <c r="AT192" s="1427"/>
      <c r="AW192" s="1427"/>
      <c r="BA192" s="532"/>
      <c r="BG192" s="1427"/>
      <c r="BK192" s="532"/>
      <c r="BQ192" s="1427"/>
      <c r="BU192" s="532"/>
      <c r="CA192" s="1427"/>
      <c r="CE192" s="532"/>
      <c r="CK192" s="1427"/>
      <c r="CO192" s="532"/>
      <c r="CU192" s="1427"/>
      <c r="CY192" s="532"/>
      <c r="DE192" s="1427"/>
      <c r="DI192" s="532"/>
      <c r="DO192" s="1427"/>
      <c r="DS192" s="532"/>
      <c r="DY192" s="1427"/>
      <c r="EC192" s="532"/>
      <c r="EF192" s="1427"/>
      <c r="ER192" s="532"/>
      <c r="EV192" s="532"/>
      <c r="EZ192" s="1427"/>
      <c r="FD192" s="532"/>
      <c r="FH192" s="532"/>
      <c r="FL192" s="1427"/>
      <c r="FP192" s="532"/>
      <c r="FT192" s="532"/>
      <c r="FX192" s="1427"/>
      <c r="GB192" s="532"/>
      <c r="GF192" s="532"/>
      <c r="GJ192" s="1427"/>
      <c r="GN192" s="532"/>
      <c r="GR192" s="532"/>
      <c r="GV192" s="1427"/>
      <c r="GZ192" s="532"/>
    </row>
    <row r="193" spans="1:208">
      <c r="A193" s="532" t="s">
        <v>2124</v>
      </c>
      <c r="F193" s="532" t="s">
        <v>2184</v>
      </c>
      <c r="M193" s="532"/>
      <c r="P193" s="532"/>
      <c r="Q193" s="1294"/>
      <c r="R193" s="533"/>
      <c r="AC193" s="1427"/>
      <c r="AG193" s="532"/>
      <c r="AM193" s="1427"/>
      <c r="AQ193" s="532"/>
      <c r="AT193" s="1427"/>
      <c r="AW193" s="1427"/>
      <c r="BA193" s="532"/>
      <c r="BG193" s="1427"/>
      <c r="BK193" s="532"/>
      <c r="BQ193" s="1427"/>
      <c r="BU193" s="532"/>
      <c r="CA193" s="1427"/>
      <c r="CE193" s="532"/>
      <c r="CK193" s="1427"/>
      <c r="CO193" s="532"/>
      <c r="CU193" s="1427"/>
      <c r="CY193" s="532"/>
      <c r="DE193" s="1427"/>
      <c r="DI193" s="532"/>
      <c r="DO193" s="1427"/>
      <c r="DS193" s="532"/>
      <c r="DY193" s="1427"/>
      <c r="EC193" s="532"/>
      <c r="EF193" s="1427"/>
      <c r="ER193" s="532"/>
      <c r="EV193" s="532"/>
      <c r="EZ193" s="1427"/>
      <c r="FD193" s="532"/>
      <c r="FH193" s="532"/>
      <c r="FL193" s="1427"/>
      <c r="FP193" s="532"/>
      <c r="FT193" s="532"/>
      <c r="FX193" s="1427"/>
      <c r="GB193" s="532"/>
      <c r="GF193" s="532"/>
      <c r="GJ193" s="1427"/>
      <c r="GN193" s="532"/>
      <c r="GR193" s="532"/>
      <c r="GV193" s="1427"/>
      <c r="GZ193" s="532"/>
    </row>
    <row r="194" spans="1:208">
      <c r="A194" s="532" t="s">
        <v>1599</v>
      </c>
      <c r="F194" s="532" t="s">
        <v>2156</v>
      </c>
      <c r="M194" s="532"/>
      <c r="P194" s="532"/>
      <c r="Q194" s="1294"/>
      <c r="R194" s="533"/>
      <c r="AC194" s="1427"/>
      <c r="AG194" s="532"/>
      <c r="AM194" s="1427"/>
      <c r="AQ194" s="532"/>
      <c r="AT194" s="1427"/>
      <c r="AW194" s="1427"/>
      <c r="BA194" s="532"/>
      <c r="BG194" s="1427"/>
      <c r="BK194" s="532"/>
      <c r="BQ194" s="1427"/>
      <c r="BU194" s="532"/>
      <c r="CA194" s="1427"/>
      <c r="CE194" s="532"/>
      <c r="CK194" s="1427"/>
      <c r="CO194" s="532"/>
      <c r="CU194" s="1427"/>
      <c r="CY194" s="532"/>
      <c r="DE194" s="1427"/>
      <c r="DI194" s="532"/>
      <c r="DO194" s="1427"/>
      <c r="DS194" s="532"/>
      <c r="DY194" s="1427"/>
      <c r="EC194" s="532"/>
      <c r="EF194" s="1427"/>
      <c r="ER194" s="532"/>
      <c r="EV194" s="532"/>
      <c r="EZ194" s="1427"/>
      <c r="FD194" s="532"/>
      <c r="FH194" s="532"/>
      <c r="FL194" s="1427"/>
      <c r="FP194" s="532"/>
      <c r="FT194" s="532"/>
      <c r="FX194" s="1427"/>
      <c r="GB194" s="532"/>
      <c r="GF194" s="532"/>
      <c r="GJ194" s="1427"/>
      <c r="GN194" s="532"/>
      <c r="GR194" s="532"/>
      <c r="GV194" s="1427"/>
      <c r="GZ194" s="532"/>
    </row>
    <row r="195" spans="1:208">
      <c r="A195" s="532" t="s">
        <v>2124</v>
      </c>
      <c r="F195" s="532" t="s">
        <v>2185</v>
      </c>
      <c r="M195" s="532"/>
      <c r="P195" s="532"/>
      <c r="Q195" s="1294"/>
      <c r="R195" s="533"/>
      <c r="AC195" s="1427"/>
      <c r="AG195" s="532"/>
      <c r="AM195" s="1427"/>
      <c r="AQ195" s="532"/>
      <c r="AT195" s="1427"/>
      <c r="AW195" s="1427"/>
      <c r="BA195" s="532"/>
      <c r="BG195" s="1427"/>
      <c r="BK195" s="532"/>
      <c r="BQ195" s="1427"/>
      <c r="BU195" s="532"/>
      <c r="CA195" s="1427"/>
      <c r="CE195" s="532"/>
      <c r="CK195" s="1427"/>
      <c r="CO195" s="532"/>
      <c r="CU195" s="1427"/>
      <c r="CY195" s="532"/>
      <c r="DE195" s="1427"/>
      <c r="DI195" s="532"/>
      <c r="DO195" s="1427"/>
      <c r="DS195" s="532"/>
      <c r="DY195" s="1427"/>
      <c r="EC195" s="532"/>
      <c r="EF195" s="1427"/>
      <c r="ER195" s="532"/>
      <c r="EV195" s="532"/>
      <c r="EZ195" s="1427"/>
      <c r="FD195" s="532"/>
      <c r="FH195" s="532"/>
      <c r="FL195" s="1427"/>
      <c r="FP195" s="532"/>
      <c r="FT195" s="532"/>
      <c r="FX195" s="1427"/>
      <c r="GB195" s="532"/>
      <c r="GF195" s="532"/>
      <c r="GJ195" s="1427"/>
      <c r="GN195" s="532"/>
      <c r="GR195" s="532"/>
      <c r="GV195" s="1427"/>
      <c r="GZ195" s="532"/>
    </row>
    <row r="196" spans="1:208">
      <c r="A196" s="532" t="s">
        <v>2175</v>
      </c>
      <c r="F196" s="532" t="s">
        <v>2185</v>
      </c>
      <c r="M196" s="532"/>
      <c r="P196" s="532"/>
      <c r="Q196" s="1294"/>
      <c r="R196" s="533"/>
      <c r="AC196" s="1427"/>
      <c r="AG196" s="532"/>
      <c r="AM196" s="1427"/>
      <c r="AQ196" s="532"/>
      <c r="AT196" s="1427"/>
      <c r="AW196" s="1427"/>
      <c r="BA196" s="532"/>
      <c r="BG196" s="1427"/>
      <c r="BK196" s="532"/>
      <c r="BQ196" s="1427"/>
      <c r="BU196" s="532"/>
      <c r="CA196" s="1427"/>
      <c r="CE196" s="532"/>
      <c r="CK196" s="1427"/>
      <c r="CO196" s="532"/>
      <c r="CU196" s="1427"/>
      <c r="CY196" s="532"/>
      <c r="DE196" s="1427"/>
      <c r="DI196" s="532"/>
      <c r="DO196" s="1427"/>
      <c r="DS196" s="532"/>
      <c r="DY196" s="1427"/>
      <c r="EC196" s="532"/>
      <c r="EF196" s="1427"/>
      <c r="ER196" s="532"/>
      <c r="EV196" s="532"/>
      <c r="EZ196" s="1427"/>
      <c r="FD196" s="532"/>
      <c r="FH196" s="532"/>
      <c r="FL196" s="1427"/>
      <c r="FP196" s="532"/>
      <c r="FT196" s="532"/>
      <c r="FX196" s="1427"/>
      <c r="GB196" s="532"/>
      <c r="GF196" s="532"/>
      <c r="GJ196" s="1427"/>
      <c r="GN196" s="532"/>
      <c r="GR196" s="532"/>
      <c r="GV196" s="1427"/>
      <c r="GZ196" s="532"/>
    </row>
    <row r="197" spans="1:208">
      <c r="M197" s="532"/>
      <c r="P197" s="532"/>
      <c r="Q197" s="1294"/>
      <c r="R197" s="533"/>
      <c r="AC197" s="1427"/>
      <c r="AG197" s="532"/>
      <c r="AM197" s="1427"/>
      <c r="AQ197" s="532"/>
      <c r="AT197" s="1427"/>
      <c r="AW197" s="1427"/>
      <c r="BA197" s="532"/>
      <c r="BG197" s="1427"/>
      <c r="BK197" s="532"/>
      <c r="BQ197" s="1427"/>
      <c r="BU197" s="532"/>
      <c r="CA197" s="1427"/>
      <c r="CE197" s="532"/>
      <c r="CK197" s="1427"/>
      <c r="CO197" s="532"/>
      <c r="CU197" s="1427"/>
      <c r="CY197" s="532"/>
      <c r="DE197" s="1427"/>
      <c r="DI197" s="532"/>
      <c r="DO197" s="1427"/>
      <c r="DS197" s="532"/>
      <c r="DY197" s="1427"/>
      <c r="EC197" s="532"/>
      <c r="EF197" s="1427"/>
      <c r="ER197" s="532"/>
      <c r="EV197" s="532"/>
      <c r="EZ197" s="1427"/>
      <c r="FD197" s="532"/>
      <c r="FH197" s="532"/>
      <c r="FL197" s="1427"/>
      <c r="FP197" s="532"/>
      <c r="FT197" s="532"/>
      <c r="FX197" s="1427"/>
      <c r="GB197" s="532"/>
      <c r="GF197" s="532"/>
      <c r="GJ197" s="1427"/>
      <c r="GN197" s="532"/>
      <c r="GR197" s="532"/>
      <c r="GV197" s="1427"/>
      <c r="GZ197" s="532"/>
    </row>
    <row r="198" spans="1:208">
      <c r="M198" s="532"/>
      <c r="P198" s="532"/>
      <c r="Q198" s="1294"/>
      <c r="R198" s="533"/>
      <c r="AC198" s="1427"/>
      <c r="AG198" s="532"/>
      <c r="AM198" s="1427"/>
      <c r="AQ198" s="532"/>
      <c r="AT198" s="1427"/>
      <c r="AW198" s="1427"/>
      <c r="BA198" s="532"/>
      <c r="BG198" s="1427"/>
      <c r="BK198" s="532"/>
      <c r="BQ198" s="1427"/>
      <c r="BU198" s="532"/>
      <c r="CA198" s="1427"/>
      <c r="CE198" s="532"/>
      <c r="CK198" s="1427"/>
      <c r="CO198" s="532"/>
      <c r="CU198" s="1427"/>
      <c r="CY198" s="532"/>
      <c r="DE198" s="1427"/>
      <c r="DI198" s="532"/>
      <c r="DO198" s="1427"/>
      <c r="DS198" s="532"/>
      <c r="DY198" s="1427"/>
      <c r="EC198" s="532"/>
      <c r="EF198" s="1427"/>
      <c r="ER198" s="532"/>
      <c r="EV198" s="532"/>
      <c r="EZ198" s="1427"/>
      <c r="FD198" s="532"/>
      <c r="FH198" s="532"/>
      <c r="FL198" s="1427"/>
      <c r="FP198" s="532"/>
      <c r="FT198" s="532"/>
      <c r="FX198" s="1427"/>
      <c r="GB198" s="532"/>
      <c r="GF198" s="532"/>
      <c r="GJ198" s="1427"/>
      <c r="GN198" s="532"/>
      <c r="GR198" s="532"/>
      <c r="GV198" s="1427"/>
      <c r="GZ198" s="532"/>
    </row>
    <row r="199" spans="1:208">
      <c r="M199" s="532"/>
      <c r="P199" s="532"/>
      <c r="Q199" s="1294"/>
      <c r="R199" s="533"/>
      <c r="AC199" s="1427"/>
      <c r="AG199" s="532"/>
      <c r="AM199" s="1427"/>
      <c r="AQ199" s="532"/>
      <c r="AT199" s="1427"/>
      <c r="AW199" s="1427"/>
      <c r="BA199" s="532"/>
      <c r="BG199" s="1427"/>
      <c r="BK199" s="532"/>
      <c r="BQ199" s="1427"/>
      <c r="BU199" s="532"/>
      <c r="CA199" s="1427"/>
      <c r="CE199" s="532"/>
      <c r="CK199" s="1427"/>
      <c r="CO199" s="532"/>
      <c r="CU199" s="1427"/>
      <c r="CY199" s="532"/>
      <c r="DE199" s="1427"/>
      <c r="DI199" s="532"/>
      <c r="DO199" s="1427"/>
      <c r="DS199" s="532"/>
      <c r="DY199" s="1427"/>
      <c r="EC199" s="532"/>
      <c r="EF199" s="1427"/>
      <c r="ER199" s="532"/>
      <c r="EV199" s="532"/>
      <c r="EZ199" s="1427"/>
      <c r="FD199" s="532"/>
      <c r="FH199" s="532"/>
      <c r="FL199" s="1427"/>
      <c r="FP199" s="532"/>
      <c r="FT199" s="532"/>
      <c r="FX199" s="1427"/>
      <c r="GB199" s="532"/>
      <c r="GF199" s="532"/>
      <c r="GJ199" s="1427"/>
      <c r="GN199" s="532"/>
      <c r="GR199" s="532"/>
      <c r="GV199" s="1427"/>
      <c r="GZ199" s="532"/>
    </row>
    <row r="200" spans="1:208">
      <c r="B200" s="1658" t="s">
        <v>2186</v>
      </c>
      <c r="C200" s="532" t="s">
        <v>2187</v>
      </c>
      <c r="M200" s="532"/>
      <c r="P200" s="532"/>
      <c r="Q200" s="2623" t="s">
        <v>1600</v>
      </c>
      <c r="R200" s="2623"/>
      <c r="AC200" s="1427"/>
      <c r="AG200" s="532"/>
      <c r="AM200" s="1427"/>
      <c r="AQ200" s="532"/>
      <c r="AT200" s="1427"/>
      <c r="AW200" s="1427"/>
      <c r="BA200" s="532"/>
      <c r="BG200" s="1427"/>
      <c r="BK200" s="532"/>
      <c r="BQ200" s="1427"/>
      <c r="BU200" s="532"/>
      <c r="CA200" s="1427"/>
      <c r="CE200" s="532"/>
      <c r="CK200" s="1427"/>
      <c r="CO200" s="532"/>
      <c r="CU200" s="1427"/>
      <c r="CY200" s="532"/>
      <c r="DE200" s="1427"/>
      <c r="DI200" s="532"/>
      <c r="DO200" s="1427"/>
      <c r="DS200" s="532"/>
      <c r="DY200" s="1427"/>
      <c r="EC200" s="532"/>
      <c r="EF200" s="1427"/>
      <c r="ER200" s="532"/>
      <c r="EV200" s="532"/>
      <c r="EZ200" s="1427"/>
      <c r="FD200" s="532"/>
      <c r="FH200" s="532"/>
      <c r="FL200" s="1427"/>
      <c r="FP200" s="532"/>
      <c r="FT200" s="532"/>
      <c r="FX200" s="1427"/>
      <c r="GB200" s="532"/>
      <c r="GF200" s="532"/>
      <c r="GJ200" s="1427"/>
      <c r="GN200" s="532"/>
      <c r="GR200" s="532"/>
      <c r="GV200" s="1427"/>
      <c r="GZ200" s="532"/>
    </row>
    <row r="201" spans="1:208">
      <c r="M201" s="532"/>
      <c r="P201" s="532"/>
      <c r="Q201" s="1661" t="s">
        <v>1573</v>
      </c>
      <c r="R201" s="1662" t="s">
        <v>1574</v>
      </c>
      <c r="AC201" s="1427"/>
      <c r="AG201" s="532"/>
      <c r="AM201" s="1427"/>
      <c r="AQ201" s="532"/>
      <c r="AT201" s="1427"/>
      <c r="AW201" s="1427"/>
      <c r="BA201" s="532"/>
      <c r="BG201" s="1427"/>
      <c r="BK201" s="532"/>
      <c r="BQ201" s="1427"/>
      <c r="BU201" s="532"/>
      <c r="CA201" s="1427"/>
      <c r="CE201" s="532"/>
      <c r="CK201" s="1427"/>
      <c r="CO201" s="532"/>
      <c r="CU201" s="1427"/>
      <c r="CY201" s="532"/>
      <c r="DE201" s="1427"/>
      <c r="DI201" s="532"/>
      <c r="DO201" s="1427"/>
      <c r="DS201" s="532"/>
      <c r="DY201" s="1427"/>
      <c r="EC201" s="532"/>
      <c r="EF201" s="1427"/>
      <c r="ER201" s="532"/>
      <c r="EV201" s="532"/>
      <c r="EZ201" s="1427"/>
      <c r="FD201" s="532"/>
      <c r="FH201" s="532"/>
      <c r="FL201" s="1427"/>
      <c r="FP201" s="532"/>
      <c r="FT201" s="532"/>
      <c r="FX201" s="1427"/>
      <c r="GB201" s="532"/>
      <c r="GF201" s="532"/>
      <c r="GJ201" s="1427"/>
      <c r="GN201" s="532"/>
      <c r="GR201" s="532"/>
      <c r="GV201" s="1427"/>
      <c r="GZ201" s="532"/>
    </row>
    <row r="202" spans="1:208" ht="15.75" customHeight="1">
      <c r="A202" s="532" t="s">
        <v>2159</v>
      </c>
      <c r="F202" s="532" t="s">
        <v>2188</v>
      </c>
      <c r="M202" s="532"/>
      <c r="P202" s="532"/>
      <c r="Q202" s="532">
        <v>0</v>
      </c>
      <c r="R202" s="1294"/>
      <c r="AC202" s="1427"/>
      <c r="AG202" s="532"/>
      <c r="AM202" s="1427"/>
      <c r="AQ202" s="532"/>
      <c r="AT202" s="1427"/>
      <c r="AW202" s="1427"/>
      <c r="BA202" s="532"/>
      <c r="BG202" s="1427"/>
      <c r="BK202" s="532"/>
      <c r="BQ202" s="1427"/>
      <c r="BU202" s="532"/>
      <c r="CA202" s="1427"/>
      <c r="CE202" s="532"/>
      <c r="CK202" s="1427"/>
      <c r="CO202" s="532"/>
      <c r="CU202" s="1427"/>
      <c r="CY202" s="532"/>
      <c r="DE202" s="1427"/>
      <c r="DI202" s="532"/>
      <c r="DO202" s="1427"/>
      <c r="DS202" s="532"/>
      <c r="DY202" s="1427"/>
      <c r="EC202" s="532"/>
      <c r="EF202" s="1427"/>
      <c r="ER202" s="532"/>
      <c r="EV202" s="532"/>
      <c r="EZ202" s="1427"/>
      <c r="FD202" s="532"/>
      <c r="FH202" s="532"/>
      <c r="FL202" s="1427"/>
      <c r="FP202" s="532"/>
      <c r="FT202" s="532"/>
      <c r="FX202" s="1427"/>
      <c r="GB202" s="532"/>
      <c r="GF202" s="532"/>
      <c r="GJ202" s="1427"/>
      <c r="GN202" s="532"/>
      <c r="GR202" s="532"/>
      <c r="GV202" s="1427"/>
      <c r="GZ202" s="532"/>
    </row>
    <row r="203" spans="1:208">
      <c r="A203" s="532" t="s">
        <v>1601</v>
      </c>
      <c r="F203" s="532" t="s">
        <v>2189</v>
      </c>
      <c r="M203" s="532"/>
      <c r="P203" s="532"/>
      <c r="R203" s="1294">
        <v>0</v>
      </c>
      <c r="AC203" s="1427"/>
      <c r="AG203" s="532"/>
      <c r="AM203" s="1427"/>
      <c r="AQ203" s="532"/>
      <c r="AT203" s="1427"/>
      <c r="AW203" s="1427"/>
      <c r="BA203" s="532"/>
      <c r="BG203" s="1427"/>
      <c r="BK203" s="532"/>
      <c r="BQ203" s="1427"/>
      <c r="BU203" s="532"/>
      <c r="CA203" s="1427"/>
      <c r="CE203" s="532"/>
      <c r="CK203" s="1427"/>
      <c r="CO203" s="532"/>
      <c r="CU203" s="1427"/>
      <c r="CY203" s="532"/>
      <c r="DE203" s="1427"/>
      <c r="DI203" s="532"/>
      <c r="DO203" s="1427"/>
      <c r="DS203" s="532"/>
      <c r="DY203" s="1427"/>
      <c r="EC203" s="532"/>
      <c r="EF203" s="1427"/>
      <c r="ER203" s="532"/>
      <c r="EV203" s="532"/>
      <c r="EZ203" s="1427"/>
      <c r="FD203" s="532"/>
      <c r="FH203" s="532"/>
      <c r="FL203" s="1427"/>
      <c r="FP203" s="532"/>
      <c r="FT203" s="532"/>
      <c r="FX203" s="1427"/>
      <c r="GB203" s="532"/>
      <c r="GF203" s="532"/>
      <c r="GJ203" s="1427"/>
      <c r="GN203" s="532"/>
      <c r="GR203" s="532"/>
      <c r="GV203" s="1427"/>
      <c r="GZ203" s="532"/>
    </row>
    <row r="204" spans="1:208">
      <c r="F204" s="532" t="s">
        <v>2190</v>
      </c>
      <c r="M204" s="532"/>
      <c r="P204" s="532"/>
      <c r="R204" s="1294"/>
      <c r="AC204" s="1427"/>
      <c r="AG204" s="532"/>
      <c r="AM204" s="1427"/>
      <c r="AQ204" s="532"/>
      <c r="AT204" s="1427"/>
      <c r="AW204" s="1427"/>
      <c r="BA204" s="532"/>
      <c r="BG204" s="1427"/>
      <c r="BK204" s="532"/>
      <c r="BQ204" s="1427"/>
      <c r="BU204" s="532"/>
      <c r="CA204" s="1427"/>
      <c r="CE204" s="532"/>
      <c r="CK204" s="1427"/>
      <c r="CO204" s="532"/>
      <c r="CU204" s="1427"/>
      <c r="CY204" s="532"/>
      <c r="DE204" s="1427"/>
      <c r="DI204" s="532"/>
      <c r="DO204" s="1427"/>
      <c r="DS204" s="532"/>
      <c r="DY204" s="1427"/>
      <c r="EC204" s="532"/>
      <c r="EF204" s="1427"/>
      <c r="ER204" s="532"/>
      <c r="EV204" s="532"/>
      <c r="EZ204" s="1427"/>
      <c r="FD204" s="532"/>
      <c r="FH204" s="532"/>
      <c r="FL204" s="1427"/>
      <c r="FP204" s="532"/>
      <c r="FT204" s="532"/>
      <c r="FX204" s="1427"/>
      <c r="GB204" s="532"/>
      <c r="GF204" s="532"/>
      <c r="GJ204" s="1427"/>
      <c r="GN204" s="532"/>
      <c r="GR204" s="532"/>
      <c r="GV204" s="1427"/>
      <c r="GZ204" s="532"/>
    </row>
    <row r="205" spans="1:208">
      <c r="M205" s="532"/>
      <c r="P205" s="532"/>
      <c r="R205" s="1294"/>
      <c r="AC205" s="1427"/>
      <c r="AG205" s="532"/>
      <c r="AM205" s="1427"/>
      <c r="AQ205" s="532"/>
      <c r="AT205" s="1427"/>
      <c r="AW205" s="1427"/>
      <c r="BA205" s="532"/>
      <c r="BG205" s="1427"/>
      <c r="BK205" s="532"/>
      <c r="BQ205" s="1427"/>
      <c r="BU205" s="532"/>
      <c r="CA205" s="1427"/>
      <c r="CE205" s="532"/>
      <c r="CK205" s="1427"/>
      <c r="CO205" s="532"/>
      <c r="CU205" s="1427"/>
      <c r="CY205" s="532"/>
      <c r="DE205" s="1427"/>
      <c r="DI205" s="532"/>
      <c r="DO205" s="1427"/>
      <c r="DS205" s="532"/>
      <c r="DY205" s="1427"/>
      <c r="EC205" s="532"/>
      <c r="EF205" s="1427"/>
      <c r="ER205" s="532"/>
      <c r="EV205" s="532"/>
      <c r="EZ205" s="1427"/>
      <c r="FD205" s="532"/>
      <c r="FH205" s="532"/>
      <c r="FL205" s="1427"/>
      <c r="FP205" s="532"/>
      <c r="FT205" s="532"/>
      <c r="FX205" s="1427"/>
      <c r="GB205" s="532"/>
      <c r="GF205" s="532"/>
      <c r="GJ205" s="1427"/>
      <c r="GN205" s="532"/>
      <c r="GR205" s="532"/>
      <c r="GV205" s="1427"/>
      <c r="GZ205" s="532"/>
    </row>
    <row r="206" spans="1:208" ht="46.8">
      <c r="A206" s="532" t="s">
        <v>2124</v>
      </c>
      <c r="F206" s="1693" t="s">
        <v>2191</v>
      </c>
      <c r="M206" s="532"/>
      <c r="P206" s="532"/>
      <c r="Q206" s="532">
        <v>0</v>
      </c>
      <c r="R206" s="1294"/>
      <c r="AC206" s="1427"/>
      <c r="AG206" s="532"/>
      <c r="AM206" s="1427"/>
      <c r="AQ206" s="532"/>
      <c r="AT206" s="1427"/>
      <c r="AW206" s="1427"/>
      <c r="BA206" s="532"/>
      <c r="BG206" s="1427"/>
      <c r="BK206" s="532"/>
      <c r="BQ206" s="1427"/>
      <c r="BU206" s="532"/>
      <c r="CA206" s="1427"/>
      <c r="CE206" s="532"/>
      <c r="CK206" s="1427"/>
      <c r="CO206" s="532"/>
      <c r="CU206" s="1427"/>
      <c r="CY206" s="532"/>
      <c r="DE206" s="1427"/>
      <c r="DI206" s="532"/>
      <c r="DO206" s="1427"/>
      <c r="DS206" s="532"/>
      <c r="DY206" s="1427"/>
      <c r="EC206" s="532"/>
      <c r="EF206" s="1427"/>
      <c r="ER206" s="532"/>
      <c r="EV206" s="532"/>
      <c r="EZ206" s="1427"/>
      <c r="FD206" s="532"/>
      <c r="FH206" s="532"/>
      <c r="FL206" s="1427"/>
      <c r="FP206" s="532"/>
      <c r="FT206" s="532"/>
      <c r="FX206" s="1427"/>
      <c r="GB206" s="532"/>
      <c r="GF206" s="532"/>
      <c r="GJ206" s="1427"/>
      <c r="GN206" s="532"/>
      <c r="GR206" s="532"/>
      <c r="GV206" s="1427"/>
      <c r="GZ206" s="532"/>
    </row>
    <row r="207" spans="1:208" ht="46.8">
      <c r="A207" s="532" t="s">
        <v>2165</v>
      </c>
      <c r="F207" s="1693" t="s">
        <v>2192</v>
      </c>
      <c r="M207" s="532"/>
      <c r="P207" s="532"/>
      <c r="R207" s="1294">
        <v>0</v>
      </c>
      <c r="AC207" s="1427"/>
      <c r="AG207" s="532"/>
      <c r="AM207" s="1427"/>
      <c r="AQ207" s="532"/>
      <c r="AT207" s="1427"/>
      <c r="AW207" s="1427"/>
      <c r="BA207" s="532"/>
      <c r="BG207" s="1427"/>
      <c r="BK207" s="532"/>
      <c r="BQ207" s="1427"/>
      <c r="BU207" s="532"/>
      <c r="CA207" s="1427"/>
      <c r="CE207" s="532"/>
      <c r="CK207" s="1427"/>
      <c r="CO207" s="532"/>
      <c r="CU207" s="1427"/>
      <c r="CY207" s="532"/>
      <c r="DE207" s="1427"/>
      <c r="DI207" s="532"/>
      <c r="DO207" s="1427"/>
      <c r="DS207" s="532"/>
      <c r="DY207" s="1427"/>
      <c r="EC207" s="532"/>
      <c r="EF207" s="1427"/>
      <c r="ER207" s="532"/>
      <c r="EV207" s="532"/>
      <c r="EZ207" s="1427"/>
      <c r="FD207" s="532"/>
      <c r="FH207" s="532"/>
      <c r="FL207" s="1427"/>
      <c r="FP207" s="532"/>
      <c r="FT207" s="532"/>
      <c r="FX207" s="1427"/>
      <c r="GB207" s="532"/>
      <c r="GF207" s="532"/>
      <c r="GJ207" s="1427"/>
      <c r="GN207" s="532"/>
      <c r="GR207" s="532"/>
      <c r="GV207" s="1427"/>
      <c r="GZ207" s="532"/>
    </row>
    <row r="208" spans="1:208">
      <c r="M208" s="532"/>
      <c r="P208" s="532"/>
      <c r="R208" s="1294"/>
      <c r="AC208" s="1427"/>
      <c r="AG208" s="532"/>
      <c r="AM208" s="1427"/>
      <c r="AQ208" s="532"/>
      <c r="AT208" s="1427"/>
      <c r="AW208" s="1427"/>
      <c r="BA208" s="532"/>
      <c r="BG208" s="1427"/>
      <c r="BK208" s="532"/>
      <c r="BQ208" s="1427"/>
      <c r="BU208" s="532"/>
      <c r="CA208" s="1427"/>
      <c r="CE208" s="532"/>
      <c r="CK208" s="1427"/>
      <c r="CO208" s="532"/>
      <c r="CU208" s="1427"/>
      <c r="CY208" s="532"/>
      <c r="DE208" s="1427"/>
      <c r="DI208" s="532"/>
      <c r="DO208" s="1427"/>
      <c r="DS208" s="532"/>
      <c r="DY208" s="1427"/>
      <c r="EC208" s="532"/>
      <c r="EF208" s="1427"/>
      <c r="ER208" s="532"/>
      <c r="EV208" s="532"/>
      <c r="EZ208" s="1427"/>
      <c r="FD208" s="532"/>
      <c r="FH208" s="532"/>
      <c r="FL208" s="1427"/>
      <c r="FP208" s="532"/>
      <c r="FT208" s="532"/>
      <c r="FX208" s="1427"/>
      <c r="GB208" s="532"/>
      <c r="GF208" s="532"/>
      <c r="GJ208" s="1427"/>
      <c r="GN208" s="532"/>
      <c r="GR208" s="532"/>
      <c r="GV208" s="1427"/>
      <c r="GZ208" s="532"/>
    </row>
    <row r="209" spans="1:208">
      <c r="A209" s="532" t="s">
        <v>2124</v>
      </c>
      <c r="F209" s="532" t="s">
        <v>2193</v>
      </c>
      <c r="M209" s="532"/>
      <c r="P209" s="532"/>
      <c r="Q209" s="532">
        <v>0</v>
      </c>
      <c r="R209" s="1294"/>
      <c r="AC209" s="1427"/>
      <c r="AG209" s="532"/>
      <c r="AM209" s="1427"/>
      <c r="AQ209" s="532"/>
      <c r="AT209" s="1427"/>
      <c r="AW209" s="1427"/>
      <c r="BA209" s="532"/>
      <c r="BG209" s="1427"/>
      <c r="BK209" s="532"/>
      <c r="BQ209" s="1427"/>
      <c r="BU209" s="532"/>
      <c r="CA209" s="1427"/>
      <c r="CE209" s="532"/>
      <c r="CK209" s="1427"/>
      <c r="CO209" s="532"/>
      <c r="CU209" s="1427"/>
      <c r="CY209" s="532"/>
      <c r="DE209" s="1427"/>
      <c r="DI209" s="532"/>
      <c r="DO209" s="1427"/>
      <c r="DS209" s="532"/>
      <c r="DY209" s="1427"/>
      <c r="EC209" s="532"/>
      <c r="EF209" s="1427"/>
      <c r="ER209" s="532"/>
      <c r="EV209" s="532"/>
      <c r="EZ209" s="1427"/>
      <c r="FD209" s="532"/>
      <c r="FH209" s="532"/>
      <c r="FL209" s="1427"/>
      <c r="FP209" s="532"/>
      <c r="FT209" s="532"/>
      <c r="FX209" s="1427"/>
      <c r="GB209" s="532"/>
      <c r="GF209" s="532"/>
      <c r="GJ209" s="1427"/>
      <c r="GN209" s="532"/>
      <c r="GR209" s="532"/>
      <c r="GV209" s="1427"/>
      <c r="GZ209" s="532"/>
    </row>
    <row r="210" spans="1:208">
      <c r="A210" s="532" t="s">
        <v>2159</v>
      </c>
      <c r="F210" s="532" t="s">
        <v>2188</v>
      </c>
      <c r="M210" s="532"/>
      <c r="P210" s="532"/>
      <c r="R210" s="1294">
        <v>0</v>
      </c>
      <c r="AC210" s="1427"/>
      <c r="AG210" s="532"/>
      <c r="AM210" s="1427"/>
      <c r="AQ210" s="532"/>
      <c r="AT210" s="1427"/>
      <c r="AW210" s="1427"/>
      <c r="BA210" s="532"/>
      <c r="BG210" s="1427"/>
      <c r="BK210" s="532"/>
      <c r="BQ210" s="1427"/>
      <c r="BU210" s="532"/>
      <c r="CA210" s="1427"/>
      <c r="CE210" s="532"/>
      <c r="CK210" s="1427"/>
      <c r="CO210" s="532"/>
      <c r="CU210" s="1427"/>
      <c r="CY210" s="532"/>
      <c r="DE210" s="1427"/>
      <c r="DI210" s="532"/>
      <c r="DO210" s="1427"/>
      <c r="DS210" s="532"/>
      <c r="DY210" s="1427"/>
      <c r="EC210" s="532"/>
      <c r="EF210" s="1427"/>
      <c r="ER210" s="532"/>
      <c r="EV210" s="532"/>
      <c r="EZ210" s="1427"/>
      <c r="FD210" s="532"/>
      <c r="FH210" s="532"/>
      <c r="FL210" s="1427"/>
      <c r="FP210" s="532"/>
      <c r="FT210" s="532"/>
      <c r="FX210" s="1427"/>
      <c r="GB210" s="532"/>
      <c r="GF210" s="532"/>
      <c r="GJ210" s="1427"/>
      <c r="GN210" s="532"/>
      <c r="GR210" s="532"/>
      <c r="GV210" s="1427"/>
      <c r="GZ210" s="532"/>
    </row>
    <row r="211" spans="1:208">
      <c r="M211" s="532"/>
      <c r="P211" s="532"/>
      <c r="Q211" s="1294"/>
      <c r="R211" s="533"/>
      <c r="AC211" s="1427"/>
      <c r="AG211" s="532"/>
      <c r="AM211" s="1427"/>
      <c r="AQ211" s="532"/>
      <c r="AT211" s="1427"/>
      <c r="AW211" s="1427"/>
      <c r="BA211" s="532"/>
      <c r="BG211" s="1427"/>
      <c r="BK211" s="532"/>
      <c r="BQ211" s="1427"/>
      <c r="BU211" s="532"/>
      <c r="CA211" s="1427"/>
      <c r="CE211" s="532"/>
      <c r="CK211" s="1427"/>
      <c r="CO211" s="532"/>
      <c r="CU211" s="1427"/>
      <c r="CY211" s="532"/>
      <c r="DE211" s="1427"/>
      <c r="DI211" s="532"/>
      <c r="DO211" s="1427"/>
      <c r="DS211" s="532"/>
      <c r="DY211" s="1427"/>
      <c r="EC211" s="532"/>
      <c r="EF211" s="1427"/>
      <c r="ER211" s="532"/>
      <c r="EV211" s="532"/>
      <c r="EZ211" s="1427"/>
      <c r="FD211" s="532"/>
      <c r="FH211" s="532"/>
      <c r="FL211" s="1427"/>
      <c r="FP211" s="532"/>
      <c r="FT211" s="532"/>
      <c r="FX211" s="1427"/>
      <c r="GB211" s="532"/>
      <c r="GF211" s="532"/>
      <c r="GJ211" s="1427"/>
      <c r="GN211" s="532"/>
      <c r="GR211" s="532"/>
      <c r="GV211" s="1427"/>
      <c r="GZ211" s="532"/>
    </row>
    <row r="212" spans="1:208">
      <c r="M212" s="532"/>
      <c r="P212" s="532"/>
      <c r="AC212" s="1427"/>
      <c r="AG212" s="532"/>
      <c r="AM212" s="1427"/>
      <c r="AQ212" s="532"/>
      <c r="AT212" s="1427"/>
      <c r="AW212" s="1427"/>
      <c r="BA212" s="532"/>
      <c r="BG212" s="1427"/>
      <c r="BK212" s="532"/>
      <c r="BQ212" s="1427"/>
      <c r="BU212" s="532"/>
      <c r="CA212" s="1427"/>
      <c r="CE212" s="532"/>
      <c r="CK212" s="1427"/>
      <c r="CO212" s="532"/>
      <c r="CU212" s="1427"/>
      <c r="CY212" s="532"/>
      <c r="DE212" s="1427"/>
      <c r="DI212" s="532"/>
      <c r="DO212" s="1427"/>
      <c r="DS212" s="532"/>
      <c r="DY212" s="1427"/>
      <c r="EC212" s="532"/>
      <c r="EF212" s="1427"/>
      <c r="ER212" s="532"/>
      <c r="EV212" s="532"/>
      <c r="EZ212" s="1427"/>
      <c r="FD212" s="532"/>
      <c r="FH212" s="532"/>
      <c r="FL212" s="1427"/>
      <c r="FP212" s="532"/>
      <c r="FT212" s="532"/>
      <c r="FX212" s="1427"/>
      <c r="GB212" s="532"/>
      <c r="GF212" s="532"/>
      <c r="GJ212" s="1427"/>
      <c r="GN212" s="532"/>
      <c r="GR212" s="532"/>
      <c r="GV212" s="1427"/>
      <c r="GZ212" s="532"/>
    </row>
    <row r="213" spans="1:208">
      <c r="M213" s="532"/>
      <c r="P213" s="532"/>
      <c r="AC213" s="1427"/>
      <c r="AG213" s="532"/>
      <c r="AM213" s="1427"/>
      <c r="AQ213" s="532"/>
      <c r="AT213" s="1427"/>
      <c r="AW213" s="1427"/>
      <c r="BA213" s="532"/>
      <c r="BG213" s="1427"/>
      <c r="BK213" s="532"/>
      <c r="BQ213" s="1427"/>
      <c r="BU213" s="532"/>
      <c r="CA213" s="1427"/>
      <c r="CE213" s="532"/>
      <c r="CK213" s="1427"/>
      <c r="CO213" s="532"/>
      <c r="CU213" s="1427"/>
      <c r="CY213" s="532"/>
      <c r="DE213" s="1427"/>
      <c r="DI213" s="532"/>
      <c r="DO213" s="1427"/>
      <c r="DS213" s="532"/>
      <c r="DY213" s="1427"/>
      <c r="EC213" s="532"/>
      <c r="EF213" s="1427"/>
      <c r="ER213" s="532"/>
      <c r="EV213" s="532"/>
      <c r="EZ213" s="1427"/>
      <c r="FD213" s="532"/>
      <c r="FH213" s="532"/>
      <c r="FL213" s="1427"/>
      <c r="FP213" s="532"/>
      <c r="FT213" s="532"/>
      <c r="FX213" s="1427"/>
      <c r="GB213" s="532"/>
      <c r="GF213" s="532"/>
      <c r="GJ213" s="1427"/>
      <c r="GN213" s="532"/>
      <c r="GR213" s="532"/>
      <c r="GV213" s="1427"/>
      <c r="GZ213" s="532"/>
    </row>
    <row r="214" spans="1:208">
      <c r="M214" s="532"/>
      <c r="P214" s="532"/>
      <c r="AC214" s="1427"/>
      <c r="AG214" s="532"/>
      <c r="AM214" s="1427"/>
      <c r="AQ214" s="532"/>
      <c r="AT214" s="1427"/>
      <c r="AW214" s="1427"/>
      <c r="BA214" s="532"/>
      <c r="BG214" s="1427"/>
      <c r="BK214" s="532"/>
      <c r="BQ214" s="1427"/>
      <c r="BU214" s="532"/>
      <c r="CA214" s="1427"/>
      <c r="CE214" s="532"/>
      <c r="CK214" s="1427"/>
      <c r="CO214" s="532"/>
      <c r="CU214" s="1427"/>
      <c r="CY214" s="532"/>
      <c r="DE214" s="1427"/>
      <c r="DI214" s="532"/>
      <c r="DO214" s="1427"/>
      <c r="DS214" s="532"/>
      <c r="DY214" s="1427"/>
      <c r="EC214" s="532"/>
      <c r="EF214" s="1427"/>
      <c r="ER214" s="532"/>
      <c r="EV214" s="532"/>
      <c r="EZ214" s="1427"/>
      <c r="FD214" s="532"/>
      <c r="FH214" s="532"/>
      <c r="FL214" s="1427"/>
      <c r="FP214" s="532"/>
      <c r="FT214" s="532"/>
      <c r="FX214" s="1427"/>
      <c r="GB214" s="532"/>
      <c r="GF214" s="532"/>
      <c r="GJ214" s="1427"/>
      <c r="GN214" s="532"/>
      <c r="GR214" s="532"/>
      <c r="GV214" s="1427"/>
      <c r="GZ214" s="532"/>
    </row>
    <row r="215" spans="1:208">
      <c r="M215" s="532"/>
      <c r="P215" s="532"/>
      <c r="AC215" s="1427"/>
      <c r="AG215" s="532"/>
      <c r="AM215" s="1427"/>
      <c r="AQ215" s="532"/>
      <c r="AT215" s="1427"/>
      <c r="AW215" s="1427"/>
      <c r="BA215" s="532"/>
      <c r="BG215" s="1427"/>
      <c r="BK215" s="532"/>
      <c r="BQ215" s="1427"/>
      <c r="BU215" s="532"/>
      <c r="CA215" s="1427"/>
      <c r="CE215" s="532"/>
      <c r="CK215" s="1427"/>
      <c r="CO215" s="532"/>
      <c r="CU215" s="1427"/>
      <c r="CY215" s="532"/>
      <c r="DE215" s="1427"/>
      <c r="DI215" s="532"/>
      <c r="DO215" s="1427"/>
      <c r="DS215" s="532"/>
      <c r="DY215" s="1427"/>
      <c r="EC215" s="532"/>
      <c r="EF215" s="1427"/>
      <c r="ER215" s="532"/>
      <c r="EV215" s="532"/>
      <c r="EZ215" s="1427"/>
      <c r="FD215" s="532"/>
      <c r="FH215" s="532"/>
      <c r="FL215" s="1427"/>
      <c r="FP215" s="532"/>
      <c r="FT215" s="532"/>
      <c r="FX215" s="1427"/>
      <c r="GB215" s="532"/>
      <c r="GF215" s="532"/>
      <c r="GJ215" s="1427"/>
      <c r="GN215" s="532"/>
      <c r="GR215" s="532"/>
      <c r="GV215" s="1427"/>
      <c r="GZ215" s="532"/>
    </row>
    <row r="216" spans="1:208">
      <c r="M216" s="532"/>
      <c r="P216" s="532"/>
      <c r="AC216" s="1427"/>
      <c r="AG216" s="532"/>
      <c r="AM216" s="1427"/>
      <c r="AQ216" s="532"/>
      <c r="AT216" s="1427"/>
      <c r="AW216" s="1427"/>
      <c r="BA216" s="532"/>
      <c r="BG216" s="1427"/>
      <c r="BK216" s="532"/>
      <c r="BQ216" s="1427"/>
      <c r="BU216" s="532"/>
      <c r="CA216" s="1427"/>
      <c r="CE216" s="532"/>
      <c r="CK216" s="1427"/>
      <c r="CO216" s="532"/>
      <c r="CU216" s="1427"/>
      <c r="CY216" s="532"/>
      <c r="DE216" s="1427"/>
      <c r="DI216" s="532"/>
      <c r="DO216" s="1427"/>
      <c r="DS216" s="532"/>
      <c r="DY216" s="1427"/>
      <c r="EC216" s="532"/>
      <c r="EF216" s="1427"/>
      <c r="ER216" s="532"/>
      <c r="EV216" s="532"/>
      <c r="EZ216" s="1427"/>
      <c r="FD216" s="532"/>
      <c r="FH216" s="532"/>
      <c r="FL216" s="1427"/>
      <c r="FP216" s="532"/>
      <c r="FT216" s="532"/>
      <c r="FX216" s="1427"/>
      <c r="GB216" s="532"/>
      <c r="GF216" s="532"/>
      <c r="GJ216" s="1427"/>
      <c r="GN216" s="532"/>
      <c r="GR216" s="532"/>
      <c r="GV216" s="1427"/>
      <c r="GZ216" s="532"/>
    </row>
    <row r="217" spans="1:208">
      <c r="M217" s="532"/>
      <c r="P217" s="532"/>
      <c r="AC217" s="1427"/>
      <c r="AG217" s="532"/>
      <c r="AM217" s="1427"/>
      <c r="AQ217" s="532"/>
      <c r="AT217" s="1427"/>
      <c r="AW217" s="1427"/>
      <c r="BA217" s="532"/>
      <c r="BG217" s="1427"/>
      <c r="BK217" s="532"/>
      <c r="BQ217" s="1427"/>
      <c r="BU217" s="532"/>
      <c r="CA217" s="1427"/>
      <c r="CE217" s="532"/>
      <c r="CK217" s="1427"/>
      <c r="CO217" s="532"/>
      <c r="CU217" s="1427"/>
      <c r="CY217" s="532"/>
      <c r="DE217" s="1427"/>
      <c r="DI217" s="532"/>
      <c r="DO217" s="1427"/>
      <c r="DS217" s="532"/>
      <c r="DY217" s="1427"/>
      <c r="EC217" s="532"/>
      <c r="EF217" s="1427"/>
      <c r="ER217" s="532"/>
      <c r="EV217" s="532"/>
      <c r="EZ217" s="1427"/>
      <c r="FD217" s="532"/>
      <c r="FH217" s="532"/>
      <c r="FL217" s="1427"/>
      <c r="FP217" s="532"/>
      <c r="FT217" s="532"/>
      <c r="FX217" s="1427"/>
      <c r="GB217" s="532"/>
      <c r="GF217" s="532"/>
      <c r="GJ217" s="1427"/>
      <c r="GN217" s="532"/>
      <c r="GR217" s="532"/>
      <c r="GV217" s="1427"/>
      <c r="GZ217" s="532"/>
    </row>
  </sheetData>
  <mergeCells count="49">
    <mergeCell ref="Q4:S4"/>
    <mergeCell ref="F3:I3"/>
    <mergeCell ref="J3:M3"/>
    <mergeCell ref="F4:I4"/>
    <mergeCell ref="J4:M4"/>
    <mergeCell ref="N4:P4"/>
    <mergeCell ref="DZ4:EB4"/>
    <mergeCell ref="U4:W4"/>
    <mergeCell ref="AD4:AF4"/>
    <mergeCell ref="AN4:AP4"/>
    <mergeCell ref="AX4:AZ4"/>
    <mergeCell ref="BH4:BJ4"/>
    <mergeCell ref="BR4:BT4"/>
    <mergeCell ref="CB4:CD4"/>
    <mergeCell ref="CL4:CN4"/>
    <mergeCell ref="CV4:CX4"/>
    <mergeCell ref="DF4:DH4"/>
    <mergeCell ref="DP4:DR4"/>
    <mergeCell ref="GW4:GZ4"/>
    <mergeCell ref="EK4:EM4"/>
    <mergeCell ref="EO4:ER4"/>
    <mergeCell ref="EW4:EY4"/>
    <mergeCell ref="FA4:FD4"/>
    <mergeCell ref="FI4:FK4"/>
    <mergeCell ref="FM4:FP4"/>
    <mergeCell ref="FU4:FW4"/>
    <mergeCell ref="FY4:GB4"/>
    <mergeCell ref="GG4:GI4"/>
    <mergeCell ref="GK4:GN4"/>
    <mergeCell ref="GS4:GU4"/>
    <mergeCell ref="GC86:GD86"/>
    <mergeCell ref="GO86:GP86"/>
    <mergeCell ref="BV86:BW86"/>
    <mergeCell ref="CF86:CG86"/>
    <mergeCell ref="CP86:CQ86"/>
    <mergeCell ref="CZ86:DA86"/>
    <mergeCell ref="DJ86:DK86"/>
    <mergeCell ref="DT86:DU86"/>
    <mergeCell ref="Q200:R200"/>
    <mergeCell ref="ED86:EE86"/>
    <mergeCell ref="ES86:ET86"/>
    <mergeCell ref="FE86:FF86"/>
    <mergeCell ref="FQ86:FR86"/>
    <mergeCell ref="Q86:R86"/>
    <mergeCell ref="X86:Y86"/>
    <mergeCell ref="AH86:AI86"/>
    <mergeCell ref="AR86:AS86"/>
    <mergeCell ref="BB86:BC86"/>
    <mergeCell ref="BL86:BM86"/>
  </mergeCells>
  <phoneticPr fontId="10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0140-31BF-41EA-981C-EC0736D9BB2B}">
  <sheetPr>
    <tabColor rgb="FFFFC000"/>
  </sheetPr>
  <dimension ref="A1:BV279"/>
  <sheetViews>
    <sheetView zoomScale="85" zoomScaleNormal="85" workbookViewId="0">
      <selection sqref="A1:XFD1048576"/>
    </sheetView>
  </sheetViews>
  <sheetFormatPr defaultRowHeight="16.2" outlineLevelCol="1"/>
  <cols>
    <col min="1" max="1" width="19.6640625" style="743" customWidth="1"/>
    <col min="2" max="2" width="30.109375" style="529" customWidth="1"/>
    <col min="3" max="3" width="14.44140625" style="529" customWidth="1"/>
    <col min="4" max="5" width="14.44140625" style="533" customWidth="1"/>
    <col min="6" max="8" width="14.88671875" style="533" customWidth="1"/>
    <col min="9" max="9" width="13.44140625" style="533" customWidth="1"/>
    <col min="10" max="11" width="14.44140625" style="533" customWidth="1"/>
    <col min="12" max="12" width="8" style="691" customWidth="1"/>
    <col min="13" max="13" width="15.33203125" style="1427" customWidth="1"/>
    <col min="14" max="15" width="15.33203125" style="533" customWidth="1"/>
    <col min="16" max="18" width="15.6640625" style="533" hidden="1" customWidth="1"/>
    <col min="19" max="21" width="17" style="533" hidden="1" customWidth="1"/>
    <col min="22" max="22" width="8.6640625" style="1298" hidden="1" customWidth="1" outlineLevel="1"/>
    <col min="23" max="24" width="8.6640625" style="1291" hidden="1" customWidth="1" outlineLevel="1"/>
    <col min="25" max="25" width="18.33203125" style="532" hidden="1" customWidth="1" collapsed="1"/>
    <col min="26" max="26" width="18.33203125" style="529" hidden="1" customWidth="1"/>
    <col min="27" max="27" width="15" style="532" hidden="1" customWidth="1"/>
    <col min="28" max="28" width="18.44140625" style="532" hidden="1" customWidth="1"/>
    <col min="29" max="29" width="18.44140625" style="533" hidden="1" customWidth="1"/>
    <col min="30" max="30" width="11.44140625" style="532" hidden="1" customWidth="1"/>
    <col min="31" max="31" width="4.44140625" style="529" hidden="1" customWidth="1"/>
    <col min="32" max="32" width="18.33203125" style="532" hidden="1" customWidth="1" outlineLevel="1"/>
    <col min="33" max="33" width="20.33203125" style="532" hidden="1" customWidth="1" outlineLevel="1"/>
    <col min="34" max="34" width="13" style="533" hidden="1" customWidth="1" outlineLevel="1"/>
    <col min="35" max="35" width="7.21875" style="533" hidden="1" customWidth="1" outlineLevel="1"/>
    <col min="36" max="36" width="14.21875" style="533" hidden="1" customWidth="1" outlineLevel="1"/>
    <col min="37" max="37" width="5.88671875" style="532" hidden="1" customWidth="1" outlineLevel="1"/>
    <col min="38" max="38" width="16" style="532" hidden="1" customWidth="1" outlineLevel="1"/>
    <col min="39" max="39" width="12" style="533" hidden="1" customWidth="1" outlineLevel="1"/>
    <col min="40" max="40" width="29.6640625" style="532" hidden="1" customWidth="1" outlineLevel="1"/>
    <col min="41" max="41" width="15" style="1294" hidden="1" customWidth="1" outlineLevel="1"/>
    <col min="42" max="42" width="15.109375" style="532" hidden="1" customWidth="1" outlineLevel="1"/>
    <col min="43" max="43" width="14.44140625" style="532" hidden="1" customWidth="1" outlineLevel="1"/>
    <col min="44" max="44" width="8.44140625" style="1298" hidden="1" customWidth="1" outlineLevel="1"/>
    <col min="45" max="45" width="15.21875" style="1296" hidden="1" customWidth="1" outlineLevel="1"/>
    <col min="46" max="46" width="15" style="1297" hidden="1" customWidth="1" outlineLevel="1"/>
    <col min="47" max="47" width="13.33203125" style="1297" hidden="1" customWidth="1" outlineLevel="1"/>
    <col min="48" max="48" width="16" style="1297" hidden="1" customWidth="1" outlineLevel="1"/>
    <col min="49" max="51" width="16.88671875" style="1297" hidden="1" customWidth="1" outlineLevel="1"/>
    <col min="52" max="53" width="16.88671875" style="532" hidden="1" customWidth="1" outlineLevel="1"/>
    <col min="54" max="56" width="15" style="532" hidden="1" customWidth="1" outlineLevel="1"/>
    <col min="57" max="59" width="15.21875" style="532" hidden="1" customWidth="1" outlineLevel="1"/>
    <col min="60" max="60" width="10.21875" style="532" hidden="1" customWidth="1" outlineLevel="1"/>
    <col min="61" max="61" width="16.88671875" style="532" hidden="1" customWidth="1" outlineLevel="1"/>
    <col min="62" max="62" width="14.109375" style="529" hidden="1" customWidth="1" outlineLevel="1"/>
    <col min="63" max="64" width="16.88671875" style="532" hidden="1" customWidth="1" outlineLevel="1"/>
    <col min="65" max="65" width="10.88671875" style="532" hidden="1" customWidth="1" outlineLevel="1"/>
    <col min="66" max="66" width="0" hidden="1" customWidth="1" collapsed="1"/>
    <col min="67" max="67" width="0" hidden="1" customWidth="1"/>
    <col min="69" max="74" width="12.21875" style="956" customWidth="1"/>
  </cols>
  <sheetData>
    <row r="1" spans="1:74" ht="18.600000000000001" thickBot="1">
      <c r="A1" s="2260" t="s">
        <v>1769</v>
      </c>
      <c r="B1" s="528" t="s">
        <v>1770</v>
      </c>
      <c r="C1" s="2261">
        <v>3</v>
      </c>
      <c r="D1" s="2261">
        <v>4</v>
      </c>
      <c r="E1" s="2261">
        <v>5</v>
      </c>
      <c r="F1" s="2261">
        <v>6</v>
      </c>
      <c r="G1" s="2261">
        <v>7</v>
      </c>
      <c r="H1" s="2262" t="s">
        <v>1771</v>
      </c>
      <c r="I1" s="2261">
        <v>9</v>
      </c>
      <c r="J1" s="2261">
        <v>10</v>
      </c>
      <c r="K1" s="2261">
        <v>11</v>
      </c>
      <c r="L1" s="2263">
        <v>12</v>
      </c>
      <c r="M1" s="2261">
        <v>13</v>
      </c>
      <c r="N1" s="2261">
        <v>14</v>
      </c>
      <c r="O1" s="2261">
        <v>15</v>
      </c>
      <c r="P1" s="2261">
        <v>16</v>
      </c>
      <c r="Q1" s="2261">
        <v>17</v>
      </c>
      <c r="R1" s="2261">
        <v>18</v>
      </c>
      <c r="S1" s="2261">
        <v>19</v>
      </c>
      <c r="T1" s="2261">
        <v>20</v>
      </c>
      <c r="U1" s="2261">
        <v>21</v>
      </c>
      <c r="V1" s="2261">
        <v>22</v>
      </c>
      <c r="W1" s="2261">
        <v>23</v>
      </c>
      <c r="X1" s="2261">
        <v>24</v>
      </c>
      <c r="Y1" s="2261">
        <v>25</v>
      </c>
      <c r="Z1" s="2261">
        <v>26</v>
      </c>
      <c r="AA1" s="2261">
        <v>27</v>
      </c>
      <c r="AB1" s="2261">
        <v>28</v>
      </c>
      <c r="AC1" s="2261">
        <v>29</v>
      </c>
      <c r="AD1" s="2261"/>
      <c r="AM1" s="2260" t="s">
        <v>1952</v>
      </c>
      <c r="AN1" s="528" t="s">
        <v>1770</v>
      </c>
      <c r="AO1" s="533">
        <v>3</v>
      </c>
      <c r="AP1" s="533">
        <v>4</v>
      </c>
      <c r="AQ1" s="533">
        <v>5</v>
      </c>
      <c r="AR1" s="533">
        <v>6</v>
      </c>
      <c r="AS1" s="533">
        <v>7</v>
      </c>
      <c r="AT1" s="533">
        <v>8</v>
      </c>
      <c r="AU1" s="533">
        <v>9</v>
      </c>
      <c r="AV1" s="533">
        <v>10</v>
      </c>
      <c r="AW1" s="533">
        <v>11</v>
      </c>
      <c r="AX1" s="533">
        <v>12</v>
      </c>
      <c r="AY1" s="533">
        <v>13</v>
      </c>
      <c r="AZ1" s="533">
        <v>14</v>
      </c>
      <c r="BA1" s="533">
        <v>15</v>
      </c>
      <c r="BB1" s="533">
        <v>16</v>
      </c>
      <c r="BC1" s="533">
        <v>17</v>
      </c>
      <c r="BD1" s="533">
        <v>18</v>
      </c>
      <c r="BE1" s="533">
        <v>19</v>
      </c>
      <c r="BF1" s="533">
        <v>20</v>
      </c>
      <c r="BG1" s="533">
        <v>21</v>
      </c>
      <c r="BH1" s="533">
        <v>22</v>
      </c>
      <c r="BI1" s="533">
        <v>23</v>
      </c>
      <c r="BJ1" s="533">
        <v>24</v>
      </c>
      <c r="BK1" s="533">
        <v>25</v>
      </c>
      <c r="BL1" s="533">
        <v>26</v>
      </c>
      <c r="BM1" s="533">
        <v>27</v>
      </c>
      <c r="BQ1" s="2649" t="s">
        <v>2436</v>
      </c>
      <c r="BR1" s="2649"/>
      <c r="BS1" s="2649"/>
      <c r="BT1" s="2649"/>
      <c r="BU1" s="2649"/>
      <c r="BV1" s="2649"/>
    </row>
    <row r="2" spans="1:74" ht="16.5" customHeight="1">
      <c r="A2" s="2592" t="s">
        <v>991</v>
      </c>
      <c r="B2" s="2593" t="s">
        <v>992</v>
      </c>
      <c r="C2" s="2671" t="s">
        <v>993</v>
      </c>
      <c r="D2" s="2596" t="s">
        <v>1772</v>
      </c>
      <c r="E2" s="2671" t="s">
        <v>1773</v>
      </c>
      <c r="F2" s="2589" t="s">
        <v>1774</v>
      </c>
      <c r="G2" s="2589"/>
      <c r="H2" s="2589"/>
      <c r="I2" s="2690" t="s">
        <v>1775</v>
      </c>
      <c r="J2" s="2589"/>
      <c r="K2" s="2589"/>
      <c r="L2" s="2691" t="s">
        <v>1776</v>
      </c>
      <c r="M2" s="2692" t="s">
        <v>1952</v>
      </c>
      <c r="N2" s="2692"/>
      <c r="O2" s="2692"/>
      <c r="P2" s="2692" t="s">
        <v>1001</v>
      </c>
      <c r="Q2" s="2692"/>
      <c r="R2" s="2692"/>
      <c r="S2" s="2692" t="s">
        <v>1002</v>
      </c>
      <c r="T2" s="2692"/>
      <c r="U2" s="2692"/>
      <c r="V2" s="2693" t="s">
        <v>1542</v>
      </c>
      <c r="W2" s="2693"/>
      <c r="X2" s="2693"/>
      <c r="Y2" s="2628" t="s">
        <v>1777</v>
      </c>
      <c r="Z2" s="2629"/>
      <c r="AA2" s="2629"/>
      <c r="AB2" s="2630"/>
      <c r="AC2" s="2694" t="s">
        <v>1778</v>
      </c>
      <c r="AD2" s="551" t="s">
        <v>1003</v>
      </c>
      <c r="AE2" s="553" t="s">
        <v>1779</v>
      </c>
      <c r="AF2" s="553"/>
      <c r="AG2" s="553"/>
      <c r="AH2" s="552"/>
      <c r="AI2" s="552"/>
      <c r="AJ2" s="553"/>
      <c r="AK2" s="553"/>
      <c r="AL2" s="552"/>
      <c r="AM2" s="2696" t="s">
        <v>1004</v>
      </c>
      <c r="AN2" s="2698" t="s">
        <v>1005</v>
      </c>
      <c r="AO2" s="2700" t="s">
        <v>1006</v>
      </c>
      <c r="AP2" s="2688" t="s">
        <v>1007</v>
      </c>
      <c r="AQ2" s="2676" t="s">
        <v>1008</v>
      </c>
      <c r="AR2" s="2678" t="s">
        <v>1009</v>
      </c>
      <c r="AS2" s="2680" t="s">
        <v>1780</v>
      </c>
      <c r="AT2" s="2681"/>
      <c r="AU2" s="2682"/>
      <c r="AV2" s="2683" t="s">
        <v>1011</v>
      </c>
      <c r="AW2" s="2681"/>
      <c r="AX2" s="2682"/>
      <c r="AY2" s="2684" t="s">
        <v>1953</v>
      </c>
      <c r="AZ2" s="2685"/>
      <c r="BA2" s="2686"/>
      <c r="BB2" s="2684" t="s">
        <v>1013</v>
      </c>
      <c r="BC2" s="2685"/>
      <c r="BD2" s="2687"/>
      <c r="BE2" s="2669" t="s">
        <v>1781</v>
      </c>
      <c r="BF2" s="2669"/>
      <c r="BG2" s="2669"/>
      <c r="BH2" s="2670"/>
      <c r="BI2" s="1161" t="s">
        <v>1782</v>
      </c>
      <c r="BJ2" s="1162"/>
      <c r="BK2" s="1163" t="s">
        <v>1954</v>
      </c>
      <c r="BL2" s="1164" t="s">
        <v>1657</v>
      </c>
      <c r="BM2" s="1165" t="s">
        <v>1783</v>
      </c>
      <c r="BQ2" s="2006"/>
      <c r="BR2" s="2007" t="s">
        <v>2437</v>
      </c>
      <c r="BS2" s="2009"/>
      <c r="BT2" s="2006"/>
      <c r="BU2" s="2264" t="s">
        <v>2438</v>
      </c>
      <c r="BV2" s="2009"/>
    </row>
    <row r="3" spans="1:74" ht="31.8" thickBot="1">
      <c r="A3" s="2592"/>
      <c r="B3" s="2593"/>
      <c r="C3" s="2672"/>
      <c r="D3" s="2597"/>
      <c r="E3" s="2671"/>
      <c r="F3" s="550" t="s">
        <v>1020</v>
      </c>
      <c r="G3" s="550" t="s">
        <v>1021</v>
      </c>
      <c r="H3" s="550" t="s">
        <v>1022</v>
      </c>
      <c r="I3" s="550" t="s">
        <v>1020</v>
      </c>
      <c r="J3" s="550" t="s">
        <v>1021</v>
      </c>
      <c r="K3" s="550" t="s">
        <v>1022</v>
      </c>
      <c r="L3" s="2691"/>
      <c r="M3" s="1160" t="s">
        <v>1020</v>
      </c>
      <c r="N3" s="1160" t="s">
        <v>1021</v>
      </c>
      <c r="O3" s="1160" t="s">
        <v>1022</v>
      </c>
      <c r="P3" s="1160" t="s">
        <v>1020</v>
      </c>
      <c r="Q3" s="1160" t="s">
        <v>1021</v>
      </c>
      <c r="R3" s="1160" t="s">
        <v>1022</v>
      </c>
      <c r="S3" s="1160" t="s">
        <v>1020</v>
      </c>
      <c r="T3" s="1160" t="s">
        <v>1021</v>
      </c>
      <c r="U3" s="1160" t="s">
        <v>1022</v>
      </c>
      <c r="V3" s="1166" t="s">
        <v>1784</v>
      </c>
      <c r="W3" s="1166" t="s">
        <v>1785</v>
      </c>
      <c r="X3" s="1166" t="s">
        <v>1786</v>
      </c>
      <c r="Y3" s="550" t="s">
        <v>1787</v>
      </c>
      <c r="Z3" s="550" t="s">
        <v>1785</v>
      </c>
      <c r="AA3" s="550" t="s">
        <v>1785</v>
      </c>
      <c r="AB3" s="550" t="s">
        <v>1788</v>
      </c>
      <c r="AC3" s="2695"/>
      <c r="AD3" s="559" t="s">
        <v>1023</v>
      </c>
      <c r="AE3" s="560" t="s">
        <v>1789</v>
      </c>
      <c r="AF3" s="560" t="s">
        <v>1790</v>
      </c>
      <c r="AG3" s="560" t="s">
        <v>1791</v>
      </c>
      <c r="AH3" s="560" t="s">
        <v>1792</v>
      </c>
      <c r="AI3" s="561" t="s">
        <v>1793</v>
      </c>
      <c r="AJ3" s="553"/>
      <c r="AK3" s="553"/>
      <c r="AL3" s="552"/>
      <c r="AM3" s="2697"/>
      <c r="AN3" s="2699"/>
      <c r="AO3" s="2701"/>
      <c r="AP3" s="2689"/>
      <c r="AQ3" s="2677"/>
      <c r="AR3" s="2679"/>
      <c r="AS3" s="2265" t="s">
        <v>1016</v>
      </c>
      <c r="AT3" s="2266" t="s">
        <v>1017</v>
      </c>
      <c r="AU3" s="2267" t="s">
        <v>1008</v>
      </c>
      <c r="AV3" s="2268" t="s">
        <v>1016</v>
      </c>
      <c r="AW3" s="2266" t="s">
        <v>1017</v>
      </c>
      <c r="AX3" s="2267" t="s">
        <v>1008</v>
      </c>
      <c r="AY3" s="1167" t="s">
        <v>1024</v>
      </c>
      <c r="AZ3" s="1146" t="s">
        <v>1025</v>
      </c>
      <c r="BA3" s="1168" t="s">
        <v>1026</v>
      </c>
      <c r="BB3" s="1167" t="s">
        <v>1024</v>
      </c>
      <c r="BC3" s="1146" t="s">
        <v>1025</v>
      </c>
      <c r="BD3" s="1169" t="s">
        <v>1026</v>
      </c>
      <c r="BE3" s="1170" t="s">
        <v>1024</v>
      </c>
      <c r="BF3" s="1146" t="s">
        <v>1025</v>
      </c>
      <c r="BG3" s="1168" t="s">
        <v>1026</v>
      </c>
      <c r="BH3" s="1169" t="s">
        <v>1794</v>
      </c>
      <c r="BI3" s="1171" t="s">
        <v>1795</v>
      </c>
      <c r="BJ3" s="1172" t="s">
        <v>1027</v>
      </c>
      <c r="BK3" s="1173" t="s">
        <v>1028</v>
      </c>
      <c r="BL3" s="1173" t="s">
        <v>1008</v>
      </c>
      <c r="BM3" s="1174" t="s">
        <v>1796</v>
      </c>
      <c r="BQ3" s="1727" t="s">
        <v>2439</v>
      </c>
      <c r="BR3" s="1727" t="s">
        <v>2440</v>
      </c>
      <c r="BS3" s="1727" t="s">
        <v>2441</v>
      </c>
      <c r="BT3" s="1727" t="s">
        <v>2439</v>
      </c>
      <c r="BU3" s="1727" t="s">
        <v>2440</v>
      </c>
      <c r="BV3" s="1727" t="s">
        <v>2441</v>
      </c>
    </row>
    <row r="4" spans="1:74">
      <c r="A4" s="574" t="s">
        <v>1029</v>
      </c>
      <c r="B4" s="575" t="s">
        <v>1030</v>
      </c>
      <c r="C4" s="2269">
        <v>1632393</v>
      </c>
      <c r="D4" s="2269">
        <v>1966785</v>
      </c>
      <c r="E4" s="2269">
        <v>-334392</v>
      </c>
      <c r="F4" s="2269">
        <v>1547393</v>
      </c>
      <c r="G4" s="2269">
        <v>749808</v>
      </c>
      <c r="H4" s="2269">
        <v>797585</v>
      </c>
      <c r="I4" s="2269"/>
      <c r="J4" s="2269"/>
      <c r="K4" s="2269"/>
      <c r="L4" s="2270">
        <v>0.39615209593321099</v>
      </c>
      <c r="M4" s="2269">
        <v>-900717</v>
      </c>
      <c r="N4" s="2271">
        <v>29338</v>
      </c>
      <c r="O4" s="2269">
        <v>-930055</v>
      </c>
      <c r="P4" s="2269">
        <v>-900717</v>
      </c>
      <c r="Q4" s="2269">
        <v>29338</v>
      </c>
      <c r="R4" s="2269">
        <v>-930055</v>
      </c>
      <c r="S4" s="2269">
        <v>646676</v>
      </c>
      <c r="T4" s="2269">
        <v>779146</v>
      </c>
      <c r="U4" s="2269">
        <v>-132470</v>
      </c>
      <c r="V4" s="2272">
        <v>1.2567510105837905</v>
      </c>
      <c r="W4" s="2272">
        <v>1.2567510105837905</v>
      </c>
      <c r="X4" s="2272">
        <v>-0.20484772968274184</v>
      </c>
      <c r="Y4" s="2269">
        <v>0</v>
      </c>
      <c r="Z4" s="2269">
        <v>201922</v>
      </c>
      <c r="AA4" s="2269">
        <v>201922</v>
      </c>
      <c r="AB4" s="2269">
        <v>201922</v>
      </c>
      <c r="AC4" s="1175" t="s">
        <v>1037</v>
      </c>
      <c r="AD4" s="2273" t="s">
        <v>1192</v>
      </c>
      <c r="AE4" s="532">
        <v>0</v>
      </c>
      <c r="AF4" s="532">
        <v>0</v>
      </c>
      <c r="AG4" s="532">
        <v>0</v>
      </c>
      <c r="AH4" s="533" t="s">
        <v>630</v>
      </c>
      <c r="AI4" s="533">
        <v>0</v>
      </c>
      <c r="AJ4" s="532"/>
      <c r="AK4" s="663"/>
      <c r="AL4" s="533"/>
      <c r="AM4" s="1176" t="s">
        <v>620</v>
      </c>
      <c r="AN4" s="1177" t="s">
        <v>1032</v>
      </c>
      <c r="AO4" s="1178">
        <v>1632393</v>
      </c>
      <c r="AP4" s="1179">
        <v>1966785</v>
      </c>
      <c r="AQ4" s="1179">
        <v>-334392</v>
      </c>
      <c r="AR4" s="1180">
        <v>-0.20484772968274184</v>
      </c>
      <c r="AS4" s="585"/>
      <c r="AT4" s="588"/>
      <c r="AU4" s="586">
        <v>0</v>
      </c>
      <c r="AV4" s="1181">
        <v>0</v>
      </c>
      <c r="AW4" s="1179">
        <v>968625</v>
      </c>
      <c r="AX4" s="1177">
        <v>-968625</v>
      </c>
      <c r="AY4" s="1176">
        <v>-900717</v>
      </c>
      <c r="AZ4" s="1179">
        <v>231260</v>
      </c>
      <c r="BA4" s="1182">
        <v>-1131977</v>
      </c>
      <c r="BB4" s="1176">
        <v>-900717</v>
      </c>
      <c r="BC4" s="1179">
        <v>231260</v>
      </c>
      <c r="BD4" s="1177">
        <v>-1131977</v>
      </c>
      <c r="BE4" s="1183">
        <v>646676</v>
      </c>
      <c r="BF4" s="1179">
        <v>981068</v>
      </c>
      <c r="BG4" s="1182">
        <v>-334392</v>
      </c>
      <c r="BH4" s="2274">
        <v>0.39615215208592541</v>
      </c>
      <c r="BI4" s="542"/>
      <c r="BJ4" s="1184">
        <v>985717</v>
      </c>
      <c r="BK4" s="1185">
        <v>985717</v>
      </c>
      <c r="BL4" s="1185">
        <v>0</v>
      </c>
      <c r="BM4" s="2275">
        <v>0.60384784791407453</v>
      </c>
      <c r="BQ4" s="2001">
        <v>24349.964960074434</v>
      </c>
      <c r="BR4" s="2001">
        <v>29338</v>
      </c>
      <c r="BS4" s="2001">
        <v>-4988.0350399255658</v>
      </c>
      <c r="BT4" s="2001">
        <v>-925066.9649600744</v>
      </c>
      <c r="BU4" s="2001">
        <v>0</v>
      </c>
      <c r="BV4" s="2001">
        <v>-925066.9649600744</v>
      </c>
    </row>
    <row r="5" spans="1:74">
      <c r="A5" s="574" t="s">
        <v>622</v>
      </c>
      <c r="B5" s="575" t="s">
        <v>1033</v>
      </c>
      <c r="C5" s="2269">
        <v>24780000</v>
      </c>
      <c r="D5" s="2269">
        <v>16733307</v>
      </c>
      <c r="E5" s="2269">
        <v>8046693</v>
      </c>
      <c r="F5" s="2269">
        <v>16428000</v>
      </c>
      <c r="G5" s="2269">
        <v>9173068</v>
      </c>
      <c r="H5" s="2269">
        <v>7254932</v>
      </c>
      <c r="I5" s="2269"/>
      <c r="J5" s="2269"/>
      <c r="K5" s="2269"/>
      <c r="L5" s="2270">
        <v>0.62147398598495796</v>
      </c>
      <c r="M5" s="2269">
        <v>-1027875</v>
      </c>
      <c r="N5" s="2271">
        <v>1226247</v>
      </c>
      <c r="O5" s="2269">
        <v>-2254122</v>
      </c>
      <c r="P5" s="2269">
        <v>-1027875</v>
      </c>
      <c r="Q5" s="2269">
        <v>1226247</v>
      </c>
      <c r="R5" s="2269">
        <v>-2254122</v>
      </c>
      <c r="S5" s="2269">
        <v>15400125</v>
      </c>
      <c r="T5" s="2269">
        <v>10399315</v>
      </c>
      <c r="U5" s="2269">
        <v>5000810</v>
      </c>
      <c r="V5" s="2272">
        <v>2.1929923385625685</v>
      </c>
      <c r="W5" s="2272">
        <v>2.1929923385625685</v>
      </c>
      <c r="X5" s="2272">
        <v>0.32472530266343824</v>
      </c>
      <c r="Y5" s="2269"/>
      <c r="Z5" s="2269"/>
      <c r="AA5" s="2269"/>
      <c r="AB5" s="2269"/>
      <c r="AC5" s="1175" t="s">
        <v>1037</v>
      </c>
      <c r="AD5" s="2273" t="s">
        <v>1192</v>
      </c>
      <c r="AE5" s="532">
        <v>0</v>
      </c>
      <c r="AF5" s="532">
        <v>0</v>
      </c>
      <c r="AG5" s="532">
        <v>0</v>
      </c>
      <c r="AH5" s="533" t="s">
        <v>630</v>
      </c>
      <c r="AI5" s="533" t="s">
        <v>630</v>
      </c>
      <c r="AJ5" s="532"/>
      <c r="AK5" s="663"/>
      <c r="AL5" s="533"/>
      <c r="AM5" s="1176" t="s">
        <v>622</v>
      </c>
      <c r="AN5" s="1177" t="s">
        <v>1034</v>
      </c>
      <c r="AO5" s="1178">
        <v>24780000</v>
      </c>
      <c r="AP5" s="1179">
        <v>16733307</v>
      </c>
      <c r="AQ5" s="1179">
        <v>8046693</v>
      </c>
      <c r="AR5" s="1180">
        <v>0.32472530266343824</v>
      </c>
      <c r="AS5" s="585"/>
      <c r="AT5" s="588"/>
      <c r="AU5" s="586">
        <v>0</v>
      </c>
      <c r="AV5" s="1181">
        <v>0</v>
      </c>
      <c r="AW5" s="1179">
        <v>4602142</v>
      </c>
      <c r="AX5" s="1177">
        <v>-4602142</v>
      </c>
      <c r="AY5" s="1176">
        <v>-1027875</v>
      </c>
      <c r="AZ5" s="1179">
        <v>1226247</v>
      </c>
      <c r="BA5" s="1182">
        <v>-2254122</v>
      </c>
      <c r="BB5" s="1176">
        <v>-1027875</v>
      </c>
      <c r="BC5" s="1179">
        <v>1226247</v>
      </c>
      <c r="BD5" s="1177">
        <v>-2254122</v>
      </c>
      <c r="BE5" s="1183">
        <v>15400125</v>
      </c>
      <c r="BF5" s="1179">
        <v>10399315</v>
      </c>
      <c r="BG5" s="1182">
        <v>5000810</v>
      </c>
      <c r="BH5" s="2274">
        <v>0.62147397094430989</v>
      </c>
      <c r="BI5" s="542"/>
      <c r="BJ5" s="1184">
        <v>9379875</v>
      </c>
      <c r="BK5" s="1185">
        <v>6333992</v>
      </c>
      <c r="BL5" s="1185">
        <v>3045883</v>
      </c>
      <c r="BM5" s="2275">
        <v>0.37852602905569011</v>
      </c>
      <c r="BQ5" s="2001">
        <v>1815923.215895101</v>
      </c>
      <c r="BR5" s="2001">
        <v>1226247</v>
      </c>
      <c r="BS5" s="2001">
        <v>589676.21589510096</v>
      </c>
      <c r="BT5" s="2001">
        <v>-2843798.215895101</v>
      </c>
      <c r="BU5" s="2001">
        <v>0</v>
      </c>
      <c r="BV5" s="2001">
        <v>-2843798.215895101</v>
      </c>
    </row>
    <row r="6" spans="1:74">
      <c r="A6" s="574" t="s">
        <v>1035</v>
      </c>
      <c r="B6" s="575" t="s">
        <v>1036</v>
      </c>
      <c r="C6" s="2269">
        <v>11380550</v>
      </c>
      <c r="D6" s="2269">
        <v>8457888</v>
      </c>
      <c r="E6" s="2269">
        <v>2922662</v>
      </c>
      <c r="F6" s="2269">
        <v>6771518</v>
      </c>
      <c r="G6" s="2269">
        <v>4287014</v>
      </c>
      <c r="H6" s="2269">
        <v>2484504</v>
      </c>
      <c r="I6" s="2269"/>
      <c r="J6" s="2269"/>
      <c r="K6" s="2269"/>
      <c r="L6" s="2270">
        <v>0.59082645691217495</v>
      </c>
      <c r="M6" s="2269">
        <v>-47588</v>
      </c>
      <c r="N6" s="2271">
        <v>710130</v>
      </c>
      <c r="O6" s="2269">
        <v>-757718</v>
      </c>
      <c r="P6" s="2269">
        <v>-47588</v>
      </c>
      <c r="Q6" s="2269">
        <v>710130</v>
      </c>
      <c r="R6" s="2269">
        <v>-757718</v>
      </c>
      <c r="S6" s="2269">
        <v>6723930</v>
      </c>
      <c r="T6" s="2269">
        <v>4997144</v>
      </c>
      <c r="U6" s="2269">
        <v>1726786</v>
      </c>
      <c r="V6" s="2272">
        <v>15.9224594435572</v>
      </c>
      <c r="W6" s="2272">
        <v>15.9224594435572</v>
      </c>
      <c r="X6" s="2272">
        <v>0.25681201699390627</v>
      </c>
      <c r="Y6" s="2269"/>
      <c r="Z6" s="2269"/>
      <c r="AA6" s="2269"/>
      <c r="AB6" s="2269"/>
      <c r="AC6" s="1175" t="s">
        <v>1037</v>
      </c>
      <c r="AD6" s="2273" t="s">
        <v>1192</v>
      </c>
      <c r="AE6" s="532">
        <v>0</v>
      </c>
      <c r="AF6" s="532">
        <v>0</v>
      </c>
      <c r="AG6" s="532">
        <v>0</v>
      </c>
      <c r="AH6" s="533" t="s">
        <v>630</v>
      </c>
      <c r="AI6" s="533" t="s">
        <v>630</v>
      </c>
      <c r="AJ6" s="532"/>
      <c r="AK6" s="663"/>
      <c r="AL6" s="533"/>
      <c r="AM6" s="1176" t="s">
        <v>624</v>
      </c>
      <c r="AN6" s="1177" t="s">
        <v>1038</v>
      </c>
      <c r="AO6" s="1178">
        <v>11380550</v>
      </c>
      <c r="AP6" s="1179">
        <v>8457888</v>
      </c>
      <c r="AQ6" s="1179">
        <v>2922662</v>
      </c>
      <c r="AR6" s="1180">
        <v>0.25681201699390627</v>
      </c>
      <c r="AS6" s="585"/>
      <c r="AT6" s="588"/>
      <c r="AU6" s="586">
        <v>0</v>
      </c>
      <c r="AV6" s="1181">
        <v>0</v>
      </c>
      <c r="AW6" s="1179">
        <v>-422662</v>
      </c>
      <c r="AX6" s="1177">
        <v>422662</v>
      </c>
      <c r="AY6" s="1176">
        <v>-47588</v>
      </c>
      <c r="AZ6" s="1179">
        <v>710130</v>
      </c>
      <c r="BA6" s="1182">
        <v>-757718</v>
      </c>
      <c r="BB6" s="1176">
        <v>-47588</v>
      </c>
      <c r="BC6" s="1179">
        <v>710130</v>
      </c>
      <c r="BD6" s="1177">
        <v>-757718</v>
      </c>
      <c r="BE6" s="1183">
        <v>6723930</v>
      </c>
      <c r="BF6" s="1179">
        <v>4997144</v>
      </c>
      <c r="BG6" s="1182">
        <v>1726786</v>
      </c>
      <c r="BH6" s="2274">
        <v>0.5908264539060063</v>
      </c>
      <c r="BI6" s="542"/>
      <c r="BJ6" s="1184">
        <v>4656620</v>
      </c>
      <c r="BK6" s="1185">
        <v>3460744</v>
      </c>
      <c r="BL6" s="1185">
        <v>1195876</v>
      </c>
      <c r="BM6" s="2275">
        <v>0.4091735460939937</v>
      </c>
      <c r="BQ6" s="2001">
        <v>955518.67930859327</v>
      </c>
      <c r="BR6" s="2001">
        <v>710130</v>
      </c>
      <c r="BS6" s="2001">
        <v>245388.67930859327</v>
      </c>
      <c r="BT6" s="2001">
        <v>-1003106.6793085933</v>
      </c>
      <c r="BU6" s="2001">
        <v>0</v>
      </c>
      <c r="BV6" s="2001">
        <v>-1003106.6793085933</v>
      </c>
    </row>
    <row r="7" spans="1:74">
      <c r="A7" s="574" t="s">
        <v>1040</v>
      </c>
      <c r="B7" s="575" t="s">
        <v>1041</v>
      </c>
      <c r="C7" s="2269">
        <v>1950000</v>
      </c>
      <c r="D7" s="2269">
        <v>1258917</v>
      </c>
      <c r="E7" s="2269">
        <v>691083</v>
      </c>
      <c r="F7" s="2269">
        <v>1950000</v>
      </c>
      <c r="G7" s="2269">
        <v>1242342</v>
      </c>
      <c r="H7" s="2269">
        <v>707658</v>
      </c>
      <c r="I7" s="2269"/>
      <c r="J7" s="2269"/>
      <c r="K7" s="2269"/>
      <c r="L7" s="2270">
        <v>1</v>
      </c>
      <c r="M7" s="2269">
        <v>0</v>
      </c>
      <c r="N7" s="2271">
        <v>16575</v>
      </c>
      <c r="O7" s="2269">
        <v>-16575</v>
      </c>
      <c r="P7" s="2269">
        <v>0</v>
      </c>
      <c r="Q7" s="2269">
        <v>16575</v>
      </c>
      <c r="R7" s="2269">
        <v>-16575</v>
      </c>
      <c r="S7" s="2269">
        <v>1950000</v>
      </c>
      <c r="T7" s="2269">
        <v>1258917</v>
      </c>
      <c r="U7" s="2269">
        <v>691083</v>
      </c>
      <c r="V7" s="2272" t="s">
        <v>630</v>
      </c>
      <c r="W7" s="2272" t="s">
        <v>630</v>
      </c>
      <c r="X7" s="2272">
        <v>0.35440153846153843</v>
      </c>
      <c r="Y7" s="2269"/>
      <c r="Z7" s="752"/>
      <c r="AA7" s="752"/>
      <c r="AB7" s="752"/>
      <c r="AC7" s="1175" t="s">
        <v>1037</v>
      </c>
      <c r="AD7" s="2273" t="s">
        <v>1192</v>
      </c>
      <c r="AE7" s="532">
        <v>0</v>
      </c>
      <c r="AF7" s="532">
        <v>0</v>
      </c>
      <c r="AG7" s="532">
        <v>0</v>
      </c>
      <c r="AH7" s="533" t="s">
        <v>630</v>
      </c>
      <c r="AI7" s="533" t="s">
        <v>630</v>
      </c>
      <c r="AJ7" s="532"/>
      <c r="AK7" s="663"/>
      <c r="AL7" s="533"/>
      <c r="AM7" s="1176" t="s">
        <v>626</v>
      </c>
      <c r="AN7" s="1177" t="s">
        <v>1042</v>
      </c>
      <c r="AO7" s="1178">
        <v>1950000</v>
      </c>
      <c r="AP7" s="1179">
        <v>1258917</v>
      </c>
      <c r="AQ7" s="1179">
        <v>691083</v>
      </c>
      <c r="AR7" s="1180">
        <v>0.35440153846153843</v>
      </c>
      <c r="AS7" s="585"/>
      <c r="AT7" s="588"/>
      <c r="AU7" s="586">
        <v>0</v>
      </c>
      <c r="AV7" s="1181">
        <v>0</v>
      </c>
      <c r="AW7" s="1179">
        <v>-91083</v>
      </c>
      <c r="AX7" s="1177">
        <v>91083</v>
      </c>
      <c r="AY7" s="1176">
        <v>0</v>
      </c>
      <c r="AZ7" s="1179">
        <v>16575</v>
      </c>
      <c r="BA7" s="1182">
        <v>-16575</v>
      </c>
      <c r="BB7" s="1176">
        <v>0</v>
      </c>
      <c r="BC7" s="1179">
        <v>16575</v>
      </c>
      <c r="BD7" s="1177">
        <v>-16575</v>
      </c>
      <c r="BE7" s="1183">
        <v>1950000</v>
      </c>
      <c r="BF7" s="1179">
        <v>1258917</v>
      </c>
      <c r="BG7" s="1182">
        <v>691083</v>
      </c>
      <c r="BH7" s="2274">
        <v>1</v>
      </c>
      <c r="BI7" s="542"/>
      <c r="BJ7" s="1184">
        <v>0</v>
      </c>
      <c r="BK7" s="1185">
        <v>0</v>
      </c>
      <c r="BL7" s="1185">
        <v>0</v>
      </c>
      <c r="BM7" s="2275">
        <v>0</v>
      </c>
      <c r="BQ7" s="2001">
        <v>25673.853002223339</v>
      </c>
      <c r="BR7" s="2001">
        <v>16575</v>
      </c>
      <c r="BS7" s="2001">
        <v>9098.853002223339</v>
      </c>
      <c r="BT7" s="2001">
        <v>-25673.853002223339</v>
      </c>
      <c r="BU7" s="2001">
        <v>0</v>
      </c>
      <c r="BV7" s="2001">
        <v>-25673.853002223339</v>
      </c>
    </row>
    <row r="8" spans="1:74">
      <c r="A8" s="574" t="s">
        <v>1043</v>
      </c>
      <c r="B8" s="575" t="s">
        <v>1044</v>
      </c>
      <c r="C8" s="2269">
        <v>18000000</v>
      </c>
      <c r="D8" s="2269">
        <v>16145608</v>
      </c>
      <c r="E8" s="2269">
        <v>1854392</v>
      </c>
      <c r="F8" s="2269">
        <v>10350000</v>
      </c>
      <c r="G8" s="2269">
        <v>7388807</v>
      </c>
      <c r="H8" s="2269">
        <v>2961193</v>
      </c>
      <c r="I8" s="2269"/>
      <c r="J8" s="2269"/>
      <c r="K8" s="2269"/>
      <c r="L8" s="2270">
        <v>0.52235481005113005</v>
      </c>
      <c r="M8" s="2269">
        <v>-947613</v>
      </c>
      <c r="N8" s="2271">
        <v>1044929</v>
      </c>
      <c r="O8" s="2269">
        <v>-1992542</v>
      </c>
      <c r="P8" s="2269">
        <v>-947613</v>
      </c>
      <c r="Q8" s="2269">
        <v>1044929</v>
      </c>
      <c r="R8" s="2269">
        <v>-1992542</v>
      </c>
      <c r="S8" s="2269">
        <v>9402387</v>
      </c>
      <c r="T8" s="2269">
        <v>8433736</v>
      </c>
      <c r="U8" s="2269">
        <v>968651</v>
      </c>
      <c r="V8" s="2272">
        <v>2.1026959317780571</v>
      </c>
      <c r="W8" s="2272">
        <v>2.1026959317780571</v>
      </c>
      <c r="X8" s="2272">
        <v>0.10302177777777778</v>
      </c>
      <c r="Y8" s="2269"/>
      <c r="Z8" s="2269"/>
      <c r="AA8" s="2269"/>
      <c r="AB8" s="2269"/>
      <c r="AC8" s="1175" t="s">
        <v>1037</v>
      </c>
      <c r="AD8" s="2273" t="s">
        <v>1192</v>
      </c>
      <c r="AE8" s="532">
        <v>0</v>
      </c>
      <c r="AF8" s="532">
        <v>0</v>
      </c>
      <c r="AG8" s="532">
        <v>0</v>
      </c>
      <c r="AH8" s="533" t="s">
        <v>630</v>
      </c>
      <c r="AI8" s="533" t="s">
        <v>630</v>
      </c>
      <c r="AJ8" s="532"/>
      <c r="AK8" s="663"/>
      <c r="AL8" s="533"/>
      <c r="AM8" s="1176" t="s">
        <v>628</v>
      </c>
      <c r="AN8" s="1177" t="s">
        <v>1045</v>
      </c>
      <c r="AO8" s="1178">
        <v>18000000</v>
      </c>
      <c r="AP8" s="1179">
        <v>16145608</v>
      </c>
      <c r="AQ8" s="1179">
        <v>1854392</v>
      </c>
      <c r="AR8" s="1180">
        <v>0.10302177777777778</v>
      </c>
      <c r="AS8" s="585"/>
      <c r="AT8" s="588"/>
      <c r="AU8" s="586">
        <v>0</v>
      </c>
      <c r="AV8" s="1181">
        <v>0</v>
      </c>
      <c r="AW8" s="1179">
        <v>1823608</v>
      </c>
      <c r="AX8" s="1177">
        <v>-1823608</v>
      </c>
      <c r="AY8" s="1176">
        <v>-947613</v>
      </c>
      <c r="AZ8" s="1179">
        <v>1044929</v>
      </c>
      <c r="BA8" s="1182">
        <v>-1992542</v>
      </c>
      <c r="BB8" s="1176">
        <v>-947613</v>
      </c>
      <c r="BC8" s="1179">
        <v>1044929</v>
      </c>
      <c r="BD8" s="1177">
        <v>-1992542</v>
      </c>
      <c r="BE8" s="1183">
        <v>9402387</v>
      </c>
      <c r="BF8" s="1179">
        <v>8433736</v>
      </c>
      <c r="BG8" s="1182">
        <v>968651</v>
      </c>
      <c r="BH8" s="2274">
        <v>0.52235483333333332</v>
      </c>
      <c r="BI8" s="542"/>
      <c r="BJ8" s="1184">
        <v>8597613</v>
      </c>
      <c r="BK8" s="1185">
        <v>7711872</v>
      </c>
      <c r="BL8" s="1185">
        <v>885741</v>
      </c>
      <c r="BM8" s="2275">
        <v>0.47764516666666668</v>
      </c>
      <c r="BQ8" s="2001">
        <v>1164943.5561671015</v>
      </c>
      <c r="BR8" s="2001">
        <v>1044929</v>
      </c>
      <c r="BS8" s="2001">
        <v>120014.55616710149</v>
      </c>
      <c r="BT8" s="2001">
        <v>-2112556.5561671015</v>
      </c>
      <c r="BU8" s="2001">
        <v>0</v>
      </c>
      <c r="BV8" s="2001">
        <v>-2112556.5561671015</v>
      </c>
    </row>
    <row r="9" spans="1:74">
      <c r="A9" s="574" t="s">
        <v>1047</v>
      </c>
      <c r="B9" s="575" t="s">
        <v>1048</v>
      </c>
      <c r="C9" s="2269">
        <v>4380000</v>
      </c>
      <c r="D9" s="2269">
        <v>4575503</v>
      </c>
      <c r="E9" s="2269">
        <v>-195503</v>
      </c>
      <c r="F9" s="2269">
        <v>3615000</v>
      </c>
      <c r="G9" s="2269">
        <v>2704224</v>
      </c>
      <c r="H9" s="2269">
        <v>910776</v>
      </c>
      <c r="I9" s="2269"/>
      <c r="J9" s="2269"/>
      <c r="K9" s="2269"/>
      <c r="L9" s="2270">
        <v>0.79697117453534605</v>
      </c>
      <c r="M9" s="2269">
        <v>-124266</v>
      </c>
      <c r="N9" s="2271">
        <v>942320</v>
      </c>
      <c r="O9" s="2269">
        <v>-1066586</v>
      </c>
      <c r="P9" s="2269">
        <v>-124266</v>
      </c>
      <c r="Q9" s="2269">
        <v>942320</v>
      </c>
      <c r="R9" s="2269">
        <v>-1066586</v>
      </c>
      <c r="S9" s="2269">
        <v>3490734</v>
      </c>
      <c r="T9" s="2269">
        <v>3646544</v>
      </c>
      <c r="U9" s="2269">
        <v>-155810</v>
      </c>
      <c r="V9" s="2272">
        <v>8.9025075241819973</v>
      </c>
      <c r="W9" s="2272">
        <v>8.9025075241819973</v>
      </c>
      <c r="X9" s="2272">
        <v>-4.4635388127853878E-2</v>
      </c>
      <c r="Y9" s="2269">
        <v>0</v>
      </c>
      <c r="Z9" s="2269">
        <v>39693</v>
      </c>
      <c r="AA9" s="2269">
        <v>39693</v>
      </c>
      <c r="AB9" s="2269">
        <v>39693</v>
      </c>
      <c r="AC9" s="1175" t="s">
        <v>1037</v>
      </c>
      <c r="AD9" s="2273" t="s">
        <v>1192</v>
      </c>
      <c r="AE9" s="532">
        <v>0</v>
      </c>
      <c r="AF9" s="532">
        <v>0</v>
      </c>
      <c r="AG9" s="532">
        <v>0</v>
      </c>
      <c r="AH9" s="533" t="s">
        <v>630</v>
      </c>
      <c r="AI9" s="533">
        <v>0</v>
      </c>
      <c r="AJ9" s="532"/>
      <c r="AK9" s="663"/>
      <c r="AL9" s="533"/>
      <c r="AM9" s="1176" t="s">
        <v>631</v>
      </c>
      <c r="AN9" s="1177" t="s">
        <v>1049</v>
      </c>
      <c r="AO9" s="1178">
        <v>4380000</v>
      </c>
      <c r="AP9" s="1179">
        <v>4575503</v>
      </c>
      <c r="AQ9" s="1179">
        <v>-195503</v>
      </c>
      <c r="AR9" s="1180">
        <v>-4.4635388127853878E-2</v>
      </c>
      <c r="AS9" s="585"/>
      <c r="AT9" s="588"/>
      <c r="AU9" s="586">
        <v>0</v>
      </c>
      <c r="AV9" s="1181">
        <v>0</v>
      </c>
      <c r="AW9" s="1179">
        <v>-554087</v>
      </c>
      <c r="AX9" s="1177">
        <v>554087</v>
      </c>
      <c r="AY9" s="1176">
        <v>-124266</v>
      </c>
      <c r="AZ9" s="1179">
        <v>982013</v>
      </c>
      <c r="BA9" s="1182">
        <v>-1106279</v>
      </c>
      <c r="BB9" s="1176">
        <v>-124266</v>
      </c>
      <c r="BC9" s="1179">
        <v>982013</v>
      </c>
      <c r="BD9" s="1177">
        <v>-1106279</v>
      </c>
      <c r="BE9" s="1183">
        <v>3490734</v>
      </c>
      <c r="BF9" s="1179">
        <v>3686237</v>
      </c>
      <c r="BG9" s="1182">
        <v>-195503</v>
      </c>
      <c r="BH9" s="2274">
        <v>0.79697123287671234</v>
      </c>
      <c r="BI9" s="542"/>
      <c r="BJ9" s="1184">
        <v>889266</v>
      </c>
      <c r="BK9" s="1185">
        <v>889266</v>
      </c>
      <c r="BL9" s="1185">
        <v>0</v>
      </c>
      <c r="BM9" s="2275">
        <v>0.20302876712328766</v>
      </c>
      <c r="BQ9" s="2001">
        <v>902056.3640762557</v>
      </c>
      <c r="BR9" s="2001">
        <v>942320</v>
      </c>
      <c r="BS9" s="2001">
        <v>-40263.635923744296</v>
      </c>
      <c r="BT9" s="2001">
        <v>-1026322.3640762557</v>
      </c>
      <c r="BU9" s="2001">
        <v>0</v>
      </c>
      <c r="BV9" s="2001">
        <v>-1026322.3640762557</v>
      </c>
    </row>
    <row r="10" spans="1:74" s="1196" customFormat="1">
      <c r="A10" s="599" t="s">
        <v>1051</v>
      </c>
      <c r="B10" s="629" t="s">
        <v>1052</v>
      </c>
      <c r="C10" s="2276">
        <v>3525000</v>
      </c>
      <c r="D10" s="2276">
        <v>2838696</v>
      </c>
      <c r="E10" s="2276">
        <v>686304</v>
      </c>
      <c r="F10" s="2276">
        <v>0</v>
      </c>
      <c r="G10" s="2276">
        <v>493498</v>
      </c>
      <c r="H10" s="2276">
        <v>-493498</v>
      </c>
      <c r="I10" s="2276"/>
      <c r="J10" s="2276"/>
      <c r="K10" s="2276"/>
      <c r="L10" s="2270">
        <v>0.44478767715880801</v>
      </c>
      <c r="M10" s="2276">
        <v>1567877</v>
      </c>
      <c r="N10" s="2277">
        <v>769119</v>
      </c>
      <c r="O10" s="2276">
        <v>798758</v>
      </c>
      <c r="P10" s="2276">
        <v>1567877</v>
      </c>
      <c r="Q10" s="2276">
        <v>769119</v>
      </c>
      <c r="R10" s="2276">
        <v>798758</v>
      </c>
      <c r="S10" s="2276">
        <v>1567877</v>
      </c>
      <c r="T10" s="2276">
        <v>1262617</v>
      </c>
      <c r="U10" s="2276">
        <v>305260</v>
      </c>
      <c r="V10" s="2272">
        <v>0.50945195318255199</v>
      </c>
      <c r="W10" s="2272">
        <v>0.50945195318255199</v>
      </c>
      <c r="X10" s="2272">
        <v>0.19469617021276595</v>
      </c>
      <c r="Y10" s="2276"/>
      <c r="Z10" s="2276"/>
      <c r="AA10" s="2276"/>
      <c r="AB10" s="2276"/>
      <c r="AC10" s="1200" t="s">
        <v>1245</v>
      </c>
      <c r="AD10" s="2278" t="s">
        <v>1192</v>
      </c>
      <c r="AE10" s="611">
        <v>0</v>
      </c>
      <c r="AF10" s="611">
        <v>0</v>
      </c>
      <c r="AG10" s="611">
        <v>0</v>
      </c>
      <c r="AH10" s="612" t="s">
        <v>630</v>
      </c>
      <c r="AI10" s="612" t="s">
        <v>630</v>
      </c>
      <c r="AJ10" s="611"/>
      <c r="AK10" s="611"/>
      <c r="AL10" s="612"/>
      <c r="AM10" s="1186" t="s">
        <v>633</v>
      </c>
      <c r="AN10" s="1187" t="s">
        <v>1054</v>
      </c>
      <c r="AO10" s="1188">
        <v>3525000</v>
      </c>
      <c r="AP10" s="1189">
        <v>2838696</v>
      </c>
      <c r="AQ10" s="1189">
        <v>686304</v>
      </c>
      <c r="AR10" s="1190">
        <v>0.19469617021276595</v>
      </c>
      <c r="AS10" s="615"/>
      <c r="AT10" s="616"/>
      <c r="AU10" s="614">
        <v>0</v>
      </c>
      <c r="AV10" s="1191">
        <v>0</v>
      </c>
      <c r="AW10" s="1189">
        <v>218934</v>
      </c>
      <c r="AX10" s="1187">
        <v>-218934</v>
      </c>
      <c r="AY10" s="1186">
        <v>1567877</v>
      </c>
      <c r="AZ10" s="1189">
        <v>769119</v>
      </c>
      <c r="BA10" s="1192">
        <v>798758</v>
      </c>
      <c r="BB10" s="1186">
        <v>1567877</v>
      </c>
      <c r="BC10" s="1189">
        <v>769119</v>
      </c>
      <c r="BD10" s="1187">
        <v>798758</v>
      </c>
      <c r="BE10" s="1193">
        <v>1567877</v>
      </c>
      <c r="BF10" s="1189">
        <v>1262617</v>
      </c>
      <c r="BG10" s="1192">
        <v>305260</v>
      </c>
      <c r="BH10" s="2279">
        <v>0.44478780141843971</v>
      </c>
      <c r="BI10" s="624"/>
      <c r="BJ10" s="1194">
        <v>1957123</v>
      </c>
      <c r="BK10" s="1195">
        <v>1576079</v>
      </c>
      <c r="BL10" s="1195">
        <v>381044</v>
      </c>
      <c r="BM10" s="2280">
        <v>0.55521219858156035</v>
      </c>
      <c r="BQ10" s="2281">
        <v>955066.85992441594</v>
      </c>
      <c r="BR10" s="2281">
        <v>769119</v>
      </c>
      <c r="BS10" s="2281">
        <v>185947.85992441594</v>
      </c>
      <c r="BT10" s="2281">
        <v>612810.14007558406</v>
      </c>
      <c r="BU10" s="2281">
        <v>0</v>
      </c>
      <c r="BV10" s="2281">
        <v>612810.14007558406</v>
      </c>
    </row>
    <row r="11" spans="1:74">
      <c r="A11" s="574" t="s">
        <v>1057</v>
      </c>
      <c r="B11" s="574" t="s">
        <v>1058</v>
      </c>
      <c r="C11" s="2269">
        <v>7800000</v>
      </c>
      <c r="D11" s="2269">
        <v>7041372</v>
      </c>
      <c r="E11" s="2269">
        <v>758628</v>
      </c>
      <c r="F11" s="2269">
        <v>4185000</v>
      </c>
      <c r="G11" s="2269">
        <v>3329499</v>
      </c>
      <c r="H11" s="2269">
        <v>855501</v>
      </c>
      <c r="I11" s="2269"/>
      <c r="J11" s="2269"/>
      <c r="K11" s="2269"/>
      <c r="L11" s="2270">
        <v>0.69445556917032603</v>
      </c>
      <c r="M11" s="2269">
        <v>1231753</v>
      </c>
      <c r="N11" s="2271">
        <v>1560421</v>
      </c>
      <c r="O11" s="2269">
        <v>-328668</v>
      </c>
      <c r="P11" s="2269">
        <v>1231753</v>
      </c>
      <c r="Q11" s="2269">
        <v>1560421</v>
      </c>
      <c r="R11" s="2269">
        <v>-328668</v>
      </c>
      <c r="S11" s="2269">
        <v>5416753</v>
      </c>
      <c r="T11" s="2269">
        <v>4889920</v>
      </c>
      <c r="U11" s="2269">
        <v>526833</v>
      </c>
      <c r="V11" s="2272">
        <v>-0.26682946986936507</v>
      </c>
      <c r="W11" s="2272">
        <v>-0.26682946986936507</v>
      </c>
      <c r="X11" s="2272">
        <v>9.7259999999999999E-2</v>
      </c>
      <c r="Y11" s="2269"/>
      <c r="Z11" s="2269"/>
      <c r="AA11" s="2269"/>
      <c r="AB11" s="2269"/>
      <c r="AC11" s="1198" t="s">
        <v>1037</v>
      </c>
      <c r="AD11" s="2273" t="s">
        <v>1192</v>
      </c>
      <c r="AE11" s="532">
        <v>0</v>
      </c>
      <c r="AF11" s="532">
        <v>0</v>
      </c>
      <c r="AG11" s="532">
        <v>0</v>
      </c>
      <c r="AH11" s="533" t="s">
        <v>630</v>
      </c>
      <c r="AI11" s="533" t="s">
        <v>630</v>
      </c>
      <c r="AJ11" s="532"/>
      <c r="AL11" s="533"/>
      <c r="AM11" s="1176" t="s">
        <v>634</v>
      </c>
      <c r="AN11" s="1177" t="s">
        <v>1059</v>
      </c>
      <c r="AO11" s="1178">
        <v>7800000</v>
      </c>
      <c r="AP11" s="1179">
        <v>7041372</v>
      </c>
      <c r="AQ11" s="1179">
        <v>758628</v>
      </c>
      <c r="AR11" s="1180">
        <v>9.7259999999999999E-2</v>
      </c>
      <c r="AS11" s="585"/>
      <c r="AT11" s="588"/>
      <c r="AU11" s="586">
        <v>0</v>
      </c>
      <c r="AV11" s="1181">
        <v>0</v>
      </c>
      <c r="AW11" s="1179">
        <v>1404164</v>
      </c>
      <c r="AX11" s="1177">
        <v>-1404164</v>
      </c>
      <c r="AY11" s="1176">
        <v>1231753</v>
      </c>
      <c r="AZ11" s="1179">
        <v>1560421</v>
      </c>
      <c r="BA11" s="1182">
        <v>-328668</v>
      </c>
      <c r="BB11" s="1176">
        <v>1231753</v>
      </c>
      <c r="BC11" s="1179">
        <v>1560421</v>
      </c>
      <c r="BD11" s="1177">
        <v>-328668</v>
      </c>
      <c r="BE11" s="1183">
        <v>5416753</v>
      </c>
      <c r="BF11" s="1179">
        <v>4889920</v>
      </c>
      <c r="BG11" s="1182">
        <v>526833</v>
      </c>
      <c r="BH11" s="2274">
        <v>0.69445551282051277</v>
      </c>
      <c r="BI11" s="542"/>
      <c r="BJ11" s="1184">
        <v>2383247</v>
      </c>
      <c r="BK11" s="1185">
        <v>2151452</v>
      </c>
      <c r="BL11" s="1185">
        <v>231795</v>
      </c>
      <c r="BM11" s="2275">
        <v>0.30554448717948723</v>
      </c>
      <c r="BQ11" s="2001">
        <v>1728538.6711567007</v>
      </c>
      <c r="BR11" s="2001">
        <v>1560421</v>
      </c>
      <c r="BS11" s="2001">
        <v>168117.6711567007</v>
      </c>
      <c r="BT11" s="2001">
        <v>-496785.6711567007</v>
      </c>
      <c r="BU11" s="2001">
        <v>0</v>
      </c>
      <c r="BV11" s="2001">
        <v>-496785.6711567007</v>
      </c>
    </row>
    <row r="12" spans="1:74">
      <c r="A12" s="574" t="s">
        <v>1061</v>
      </c>
      <c r="B12" s="574" t="s">
        <v>1062</v>
      </c>
      <c r="C12" s="2269">
        <v>40013400</v>
      </c>
      <c r="D12" s="2269">
        <v>26960687</v>
      </c>
      <c r="E12" s="2269">
        <v>13052713</v>
      </c>
      <c r="F12" s="2269">
        <v>6018000</v>
      </c>
      <c r="G12" s="2269">
        <v>1531375</v>
      </c>
      <c r="H12" s="2269">
        <v>4486625</v>
      </c>
      <c r="I12" s="2269"/>
      <c r="J12" s="2269"/>
      <c r="K12" s="2269"/>
      <c r="L12" s="2270">
        <v>0.151210649787967</v>
      </c>
      <c r="M12" s="2269">
        <v>32452</v>
      </c>
      <c r="N12" s="2271">
        <v>2545368</v>
      </c>
      <c r="O12" s="2269">
        <v>-2512916</v>
      </c>
      <c r="P12" s="2269">
        <v>32452</v>
      </c>
      <c r="Q12" s="2269">
        <v>2545368</v>
      </c>
      <c r="R12" s="2269">
        <v>-2512916</v>
      </c>
      <c r="S12" s="2269">
        <v>6050452</v>
      </c>
      <c r="T12" s="2269">
        <v>4076743</v>
      </c>
      <c r="U12" s="2269">
        <v>1973709</v>
      </c>
      <c r="V12" s="2272">
        <v>-77.43485763589301</v>
      </c>
      <c r="W12" s="2272">
        <v>-77.43485763589301</v>
      </c>
      <c r="X12" s="2272">
        <v>0.32620854513737896</v>
      </c>
      <c r="Y12" s="2269"/>
      <c r="Z12" s="2269"/>
      <c r="AA12" s="2269"/>
      <c r="AB12" s="2269"/>
      <c r="AC12" s="1198" t="s">
        <v>1037</v>
      </c>
      <c r="AD12" s="2273" t="s">
        <v>1192</v>
      </c>
      <c r="AE12" s="532">
        <v>0</v>
      </c>
      <c r="AF12" s="532">
        <v>0</v>
      </c>
      <c r="AG12" s="532">
        <v>0</v>
      </c>
      <c r="AH12" s="533" t="s">
        <v>630</v>
      </c>
      <c r="AI12" s="533" t="s">
        <v>630</v>
      </c>
      <c r="AJ12" s="532"/>
      <c r="AL12" s="533"/>
      <c r="AM12" s="1176" t="s">
        <v>636</v>
      </c>
      <c r="AN12" s="1177" t="s">
        <v>1063</v>
      </c>
      <c r="AO12" s="1178">
        <v>40013400</v>
      </c>
      <c r="AP12" s="1179">
        <v>26960687</v>
      </c>
      <c r="AQ12" s="1179">
        <v>13052713</v>
      </c>
      <c r="AR12" s="1180">
        <v>0.32620854513737896</v>
      </c>
      <c r="AS12" s="585"/>
      <c r="AT12" s="588"/>
      <c r="AU12" s="586">
        <v>0</v>
      </c>
      <c r="AV12" s="1181">
        <v>0</v>
      </c>
      <c r="AW12" s="1179">
        <v>-170931</v>
      </c>
      <c r="AX12" s="1177">
        <v>170931</v>
      </c>
      <c r="AY12" s="1176">
        <v>32452</v>
      </c>
      <c r="AZ12" s="1179">
        <v>2545368</v>
      </c>
      <c r="BA12" s="1182">
        <v>-2512916</v>
      </c>
      <c r="BB12" s="1176">
        <v>32452</v>
      </c>
      <c r="BC12" s="1179">
        <v>2545368</v>
      </c>
      <c r="BD12" s="1177">
        <v>-2512916</v>
      </c>
      <c r="BE12" s="1183">
        <v>6050452</v>
      </c>
      <c r="BF12" s="1179">
        <v>4076743</v>
      </c>
      <c r="BG12" s="1179">
        <v>1973709</v>
      </c>
      <c r="BH12" s="2282">
        <v>0.15121064443411458</v>
      </c>
      <c r="BI12" s="542"/>
      <c r="BJ12" s="1184">
        <v>33962948</v>
      </c>
      <c r="BK12" s="1185">
        <v>22883944</v>
      </c>
      <c r="BL12" s="1185">
        <v>11079004</v>
      </c>
      <c r="BM12" s="2275">
        <v>0.84878935556588542</v>
      </c>
      <c r="BQ12" s="2001">
        <v>3777679.2531733336</v>
      </c>
      <c r="BR12" s="2001">
        <v>2545368</v>
      </c>
      <c r="BS12" s="2001">
        <v>1232311.2531733336</v>
      </c>
      <c r="BT12" s="2001">
        <v>-3745227.2531733336</v>
      </c>
      <c r="BU12" s="2001">
        <v>0</v>
      </c>
      <c r="BV12" s="2001">
        <v>-3745227.2531733336</v>
      </c>
    </row>
    <row r="13" spans="1:74">
      <c r="A13" s="574" t="s">
        <v>1065</v>
      </c>
      <c r="B13" s="574" t="s">
        <v>1066</v>
      </c>
      <c r="C13" s="2269">
        <v>49477750</v>
      </c>
      <c r="D13" s="2269">
        <v>33486571</v>
      </c>
      <c r="E13" s="2269">
        <v>15991179</v>
      </c>
      <c r="F13" s="2269">
        <v>1486250</v>
      </c>
      <c r="G13" s="2269">
        <v>695517</v>
      </c>
      <c r="H13" s="2269">
        <v>790733</v>
      </c>
      <c r="I13" s="2269"/>
      <c r="J13" s="2269"/>
      <c r="K13" s="2269"/>
      <c r="L13" s="2270">
        <v>0.109887901033522</v>
      </c>
      <c r="M13" s="2269">
        <v>3950756</v>
      </c>
      <c r="N13" s="2271">
        <v>2984252</v>
      </c>
      <c r="O13" s="2269">
        <v>966504</v>
      </c>
      <c r="P13" s="2269">
        <v>3950756</v>
      </c>
      <c r="Q13" s="2269">
        <v>2984252</v>
      </c>
      <c r="R13" s="2269">
        <v>966504</v>
      </c>
      <c r="S13" s="2269">
        <v>5437006</v>
      </c>
      <c r="T13" s="2269">
        <v>3679769</v>
      </c>
      <c r="U13" s="2269">
        <v>1757237</v>
      </c>
      <c r="V13" s="2272">
        <v>0.24463773515752429</v>
      </c>
      <c r="W13" s="2272">
        <v>0.24463773515752429</v>
      </c>
      <c r="X13" s="2272">
        <v>0.32319939770907125</v>
      </c>
      <c r="Y13" s="2269"/>
      <c r="Z13" s="2269"/>
      <c r="AA13" s="2269"/>
      <c r="AB13" s="2269"/>
      <c r="AC13" s="1198" t="s">
        <v>1037</v>
      </c>
      <c r="AD13" s="2273" t="s">
        <v>1192</v>
      </c>
      <c r="AE13" s="532">
        <v>0</v>
      </c>
      <c r="AF13" s="532">
        <v>0</v>
      </c>
      <c r="AG13" s="532">
        <v>0</v>
      </c>
      <c r="AH13" s="533" t="s">
        <v>630</v>
      </c>
      <c r="AI13" s="533" t="s">
        <v>630</v>
      </c>
      <c r="AJ13" s="532"/>
      <c r="AL13" s="533"/>
      <c r="AM13" s="1176" t="s">
        <v>638</v>
      </c>
      <c r="AN13" s="1177" t="s">
        <v>1797</v>
      </c>
      <c r="AO13" s="1178">
        <v>49477750</v>
      </c>
      <c r="AP13" s="1179">
        <v>33486571</v>
      </c>
      <c r="AQ13" s="1179">
        <v>15991179</v>
      </c>
      <c r="AR13" s="1180">
        <v>0.32319939770907125</v>
      </c>
      <c r="AS13" s="585"/>
      <c r="AT13" s="588"/>
      <c r="AU13" s="586">
        <v>0</v>
      </c>
      <c r="AV13" s="1181">
        <v>0</v>
      </c>
      <c r="AW13" s="1179">
        <v>-519639</v>
      </c>
      <c r="AX13" s="1177">
        <v>519639</v>
      </c>
      <c r="AY13" s="1176">
        <v>3950756</v>
      </c>
      <c r="AZ13" s="1179">
        <v>2984252</v>
      </c>
      <c r="BA13" s="1182">
        <v>966504</v>
      </c>
      <c r="BB13" s="1176">
        <v>3950756</v>
      </c>
      <c r="BC13" s="1179">
        <v>2984252</v>
      </c>
      <c r="BD13" s="1177">
        <v>966504</v>
      </c>
      <c r="BE13" s="1183">
        <v>5437006</v>
      </c>
      <c r="BF13" s="1179">
        <v>3679769</v>
      </c>
      <c r="BG13" s="1179">
        <v>1757237</v>
      </c>
      <c r="BH13" s="2282">
        <v>0.10988789910616388</v>
      </c>
      <c r="BI13" s="542"/>
      <c r="BJ13" s="1184">
        <v>44040744</v>
      </c>
      <c r="BK13" s="1185">
        <v>29806802</v>
      </c>
      <c r="BL13" s="1185">
        <v>14233942</v>
      </c>
      <c r="BM13" s="2275">
        <v>0.89011210089383608</v>
      </c>
      <c r="BQ13" s="2001">
        <v>4409351.8680368913</v>
      </c>
      <c r="BR13" s="2001">
        <v>2984252</v>
      </c>
      <c r="BS13" s="2001">
        <v>1425099.8680368913</v>
      </c>
      <c r="BT13" s="2001">
        <v>-458595.86803689133</v>
      </c>
      <c r="BU13" s="2001">
        <v>0</v>
      </c>
      <c r="BV13" s="2001">
        <v>-458595.86803689133</v>
      </c>
    </row>
    <row r="14" spans="1:74" s="1196" customFormat="1">
      <c r="A14" s="599" t="s">
        <v>1069</v>
      </c>
      <c r="B14" s="599" t="s">
        <v>1070</v>
      </c>
      <c r="C14" s="2276">
        <v>5000000</v>
      </c>
      <c r="D14" s="2276">
        <v>2812703</v>
      </c>
      <c r="E14" s="2276">
        <v>2187297</v>
      </c>
      <c r="F14" s="2276">
        <v>3200000</v>
      </c>
      <c r="G14" s="2276">
        <v>1085615</v>
      </c>
      <c r="H14" s="2276">
        <v>2114385</v>
      </c>
      <c r="I14" s="2276"/>
      <c r="J14" s="2276"/>
      <c r="K14" s="2276"/>
      <c r="L14" s="2270">
        <v>0.63672630917661799</v>
      </c>
      <c r="M14" s="2276">
        <v>-16368</v>
      </c>
      <c r="N14" s="2277">
        <v>705307</v>
      </c>
      <c r="O14" s="2276">
        <v>-721675</v>
      </c>
      <c r="P14" s="2276">
        <v>-16368</v>
      </c>
      <c r="Q14" s="2276">
        <v>705307</v>
      </c>
      <c r="R14" s="2276">
        <v>-721675</v>
      </c>
      <c r="S14" s="2276">
        <v>3183632</v>
      </c>
      <c r="T14" s="2276">
        <v>1790922</v>
      </c>
      <c r="U14" s="2276">
        <v>1392710</v>
      </c>
      <c r="V14" s="2272">
        <v>44.090603616813297</v>
      </c>
      <c r="W14" s="2272">
        <v>44.090603616813297</v>
      </c>
      <c r="X14" s="2272">
        <v>0.4374594</v>
      </c>
      <c r="Y14" s="2276"/>
      <c r="Z14" s="2276"/>
      <c r="AA14" s="2276"/>
      <c r="AB14" s="2276"/>
      <c r="AC14" s="1199" t="s">
        <v>1245</v>
      </c>
      <c r="AD14" s="2278" t="s">
        <v>1192</v>
      </c>
      <c r="AE14" s="611">
        <v>0</v>
      </c>
      <c r="AF14" s="611">
        <v>0</v>
      </c>
      <c r="AG14" s="611">
        <v>0</v>
      </c>
      <c r="AH14" s="612" t="s">
        <v>630</v>
      </c>
      <c r="AI14" s="612" t="s">
        <v>630</v>
      </c>
      <c r="AJ14" s="611"/>
      <c r="AK14" s="611"/>
      <c r="AL14" s="612"/>
      <c r="AM14" s="1186" t="s">
        <v>640</v>
      </c>
      <c r="AN14" s="1187" t="s">
        <v>1798</v>
      </c>
      <c r="AO14" s="1188">
        <v>5000000</v>
      </c>
      <c r="AP14" s="1189">
        <v>2812703</v>
      </c>
      <c r="AQ14" s="1189">
        <v>2187297</v>
      </c>
      <c r="AR14" s="1190">
        <v>0.4374594</v>
      </c>
      <c r="AS14" s="613"/>
      <c r="AT14" s="616"/>
      <c r="AU14" s="614">
        <v>0</v>
      </c>
      <c r="AV14" s="1181">
        <v>0</v>
      </c>
      <c r="AW14" s="1179">
        <v>-524300</v>
      </c>
      <c r="AX14" s="1187">
        <v>524300</v>
      </c>
      <c r="AY14" s="1186">
        <v>-16368</v>
      </c>
      <c r="AZ14" s="1189">
        <v>705307</v>
      </c>
      <c r="BA14" s="1192">
        <v>-721675</v>
      </c>
      <c r="BB14" s="1186">
        <v>-16368</v>
      </c>
      <c r="BC14" s="1189">
        <v>705307</v>
      </c>
      <c r="BD14" s="1187">
        <v>-721675</v>
      </c>
      <c r="BE14" s="1193">
        <v>3183632</v>
      </c>
      <c r="BF14" s="1189">
        <v>1790922</v>
      </c>
      <c r="BG14" s="1189">
        <v>1392710</v>
      </c>
      <c r="BH14" s="2283">
        <v>0.63672640000000003</v>
      </c>
      <c r="BI14" s="624"/>
      <c r="BJ14" s="1194">
        <v>1816368</v>
      </c>
      <c r="BK14" s="1195">
        <v>1021781</v>
      </c>
      <c r="BL14" s="1195">
        <v>794587</v>
      </c>
      <c r="BM14" s="2280">
        <v>0.36327359999999997</v>
      </c>
      <c r="BQ14" s="2281">
        <v>1253788.6154350459</v>
      </c>
      <c r="BR14" s="2281">
        <v>705307</v>
      </c>
      <c r="BS14" s="2281">
        <v>548481.61543504591</v>
      </c>
      <c r="BT14" s="2281">
        <v>-1270156.6154350459</v>
      </c>
      <c r="BU14" s="2281">
        <v>0</v>
      </c>
      <c r="BV14" s="2281">
        <v>-1270156.6154350459</v>
      </c>
    </row>
    <row r="15" spans="1:74" s="1196" customFormat="1">
      <c r="A15" s="599" t="s">
        <v>1073</v>
      </c>
      <c r="B15" s="599" t="s">
        <v>1074</v>
      </c>
      <c r="C15" s="2276">
        <v>11400000</v>
      </c>
      <c r="D15" s="2276">
        <v>8045334</v>
      </c>
      <c r="E15" s="2276">
        <v>3354666</v>
      </c>
      <c r="F15" s="2276">
        <v>2280000</v>
      </c>
      <c r="G15" s="2276">
        <v>30554</v>
      </c>
      <c r="H15" s="2276">
        <v>2249446</v>
      </c>
      <c r="I15" s="2276"/>
      <c r="J15" s="2276"/>
      <c r="K15" s="2276"/>
      <c r="L15" s="2270">
        <v>5.4663485692452302E-2</v>
      </c>
      <c r="M15" s="2276">
        <v>-1656836</v>
      </c>
      <c r="N15" s="2277">
        <v>409232</v>
      </c>
      <c r="O15" s="2276">
        <v>-2066068</v>
      </c>
      <c r="P15" s="2276">
        <v>-1656836</v>
      </c>
      <c r="Q15" s="2276">
        <v>409232</v>
      </c>
      <c r="R15" s="2276">
        <v>-2066068</v>
      </c>
      <c r="S15" s="2276">
        <v>623164</v>
      </c>
      <c r="T15" s="2276">
        <v>439786</v>
      </c>
      <c r="U15" s="2276">
        <v>183378</v>
      </c>
      <c r="V15" s="2272">
        <v>1.24699608168823</v>
      </c>
      <c r="W15" s="2272">
        <v>1.24699608168823</v>
      </c>
      <c r="X15" s="2272">
        <v>0.29426894736842107</v>
      </c>
      <c r="Y15" s="2276"/>
      <c r="Z15" s="2276"/>
      <c r="AA15" s="2276"/>
      <c r="AB15" s="2276"/>
      <c r="AC15" s="1199" t="s">
        <v>1245</v>
      </c>
      <c r="AD15" s="2278" t="s">
        <v>1192</v>
      </c>
      <c r="AE15" s="611">
        <v>0</v>
      </c>
      <c r="AF15" s="611">
        <v>0</v>
      </c>
      <c r="AG15" s="611">
        <v>0</v>
      </c>
      <c r="AH15" s="612" t="s">
        <v>630</v>
      </c>
      <c r="AI15" s="612" t="s">
        <v>630</v>
      </c>
      <c r="AJ15" s="611"/>
      <c r="AK15" s="611"/>
      <c r="AL15" s="612"/>
      <c r="AM15" s="1186" t="s">
        <v>641</v>
      </c>
      <c r="AN15" s="1187" t="s">
        <v>1799</v>
      </c>
      <c r="AO15" s="1188">
        <v>11400000</v>
      </c>
      <c r="AP15" s="1189">
        <v>8045334</v>
      </c>
      <c r="AQ15" s="1189">
        <v>3354666</v>
      </c>
      <c r="AR15" s="1190">
        <v>0.29426894736842107</v>
      </c>
      <c r="AS15" s="613"/>
      <c r="AT15" s="616"/>
      <c r="AU15" s="614">
        <v>0</v>
      </c>
      <c r="AV15" s="1181">
        <v>0</v>
      </c>
      <c r="AW15" s="1179">
        <v>796535</v>
      </c>
      <c r="AX15" s="1187">
        <v>-796535</v>
      </c>
      <c r="AY15" s="1186">
        <v>-1656836</v>
      </c>
      <c r="AZ15" s="1189">
        <v>409232</v>
      </c>
      <c r="BA15" s="1192">
        <v>-2066068</v>
      </c>
      <c r="BB15" s="1186">
        <v>-1656836</v>
      </c>
      <c r="BC15" s="1189">
        <v>409232</v>
      </c>
      <c r="BD15" s="1187">
        <v>-2066068</v>
      </c>
      <c r="BE15" s="1193">
        <v>623164</v>
      </c>
      <c r="BF15" s="1189">
        <v>439786</v>
      </c>
      <c r="BG15" s="1189">
        <v>183378</v>
      </c>
      <c r="BH15" s="2283">
        <v>5.4663508771929825E-2</v>
      </c>
      <c r="BI15" s="624"/>
      <c r="BJ15" s="1194">
        <v>10776836</v>
      </c>
      <c r="BK15" s="1195">
        <v>7605548</v>
      </c>
      <c r="BL15" s="1195">
        <v>3171288</v>
      </c>
      <c r="BM15" s="2280">
        <v>0.94533649122807017</v>
      </c>
      <c r="BQ15" s="2281">
        <v>579869.62380927883</v>
      </c>
      <c r="BR15" s="2281">
        <v>409232</v>
      </c>
      <c r="BS15" s="2281">
        <v>170637.62380927883</v>
      </c>
      <c r="BT15" s="2281">
        <v>-2236705.6238092789</v>
      </c>
      <c r="BU15" s="2281">
        <v>0</v>
      </c>
      <c r="BV15" s="2281">
        <v>-2236705.6238092789</v>
      </c>
    </row>
    <row r="16" spans="1:74" s="1196" customFormat="1">
      <c r="A16" s="599" t="s">
        <v>1321</v>
      </c>
      <c r="B16" s="629" t="s">
        <v>1077</v>
      </c>
      <c r="C16" s="2276">
        <v>9400000</v>
      </c>
      <c r="D16" s="2276">
        <v>6304845</v>
      </c>
      <c r="E16" s="2276">
        <v>3095155</v>
      </c>
      <c r="F16" s="2276">
        <v>0</v>
      </c>
      <c r="G16" s="2276">
        <v>195311</v>
      </c>
      <c r="H16" s="2276">
        <v>-195311</v>
      </c>
      <c r="I16" s="2276"/>
      <c r="J16" s="2276"/>
      <c r="K16" s="2276"/>
      <c r="L16" s="2270">
        <v>0.40933282261498899</v>
      </c>
      <c r="M16" s="2276">
        <v>3847729</v>
      </c>
      <c r="N16" s="2277">
        <v>2385469</v>
      </c>
      <c r="O16" s="2276">
        <v>1462260</v>
      </c>
      <c r="P16" s="2276">
        <v>3847729</v>
      </c>
      <c r="Q16" s="2276">
        <v>2385469</v>
      </c>
      <c r="R16" s="2276">
        <v>1462260</v>
      </c>
      <c r="S16" s="2276">
        <v>3847729</v>
      </c>
      <c r="T16" s="2276">
        <v>2580780</v>
      </c>
      <c r="U16" s="2276">
        <v>1266949</v>
      </c>
      <c r="V16" s="2272">
        <v>0.3800319617104011</v>
      </c>
      <c r="W16" s="2272">
        <v>0.3800319617104011</v>
      </c>
      <c r="X16" s="2272">
        <v>0.32927180851063831</v>
      </c>
      <c r="Y16" s="2276"/>
      <c r="Z16" s="2276"/>
      <c r="AA16" s="2276"/>
      <c r="AB16" s="2276"/>
      <c r="AC16" s="1200" t="s">
        <v>1245</v>
      </c>
      <c r="AD16" s="2278" t="s">
        <v>1192</v>
      </c>
      <c r="AE16" s="611">
        <v>0</v>
      </c>
      <c r="AF16" s="611">
        <v>0</v>
      </c>
      <c r="AG16" s="611">
        <v>0</v>
      </c>
      <c r="AH16" s="612" t="s">
        <v>630</v>
      </c>
      <c r="AI16" s="612" t="s">
        <v>630</v>
      </c>
      <c r="AJ16" s="611"/>
      <c r="AK16" s="611"/>
      <c r="AL16" s="612"/>
      <c r="AM16" s="1186" t="s">
        <v>642</v>
      </c>
      <c r="AN16" s="1187" t="s">
        <v>1078</v>
      </c>
      <c r="AO16" s="1188">
        <v>9400000</v>
      </c>
      <c r="AP16" s="1189">
        <v>6304845</v>
      </c>
      <c r="AQ16" s="1189">
        <v>3095155</v>
      </c>
      <c r="AR16" s="1190">
        <v>0.32927180851063831</v>
      </c>
      <c r="AS16" s="613"/>
      <c r="AT16" s="616"/>
      <c r="AU16" s="614">
        <v>0</v>
      </c>
      <c r="AV16" s="1181">
        <v>0</v>
      </c>
      <c r="AW16" s="1179">
        <v>-58310</v>
      </c>
      <c r="AX16" s="1187">
        <v>58310</v>
      </c>
      <c r="AY16" s="1186">
        <v>3847729</v>
      </c>
      <c r="AZ16" s="1189">
        <v>2385469</v>
      </c>
      <c r="BA16" s="1192">
        <v>1462260</v>
      </c>
      <c r="BB16" s="1186">
        <v>3847729</v>
      </c>
      <c r="BC16" s="1189">
        <v>2385469</v>
      </c>
      <c r="BD16" s="1187">
        <v>1462260</v>
      </c>
      <c r="BE16" s="1193">
        <v>3847729</v>
      </c>
      <c r="BF16" s="1189">
        <v>2580780</v>
      </c>
      <c r="BG16" s="1189">
        <v>1266949</v>
      </c>
      <c r="BH16" s="2283">
        <v>0.40933287234042554</v>
      </c>
      <c r="BI16" s="624"/>
      <c r="BJ16" s="1194">
        <v>5552271</v>
      </c>
      <c r="BK16" s="1195">
        <v>3724065</v>
      </c>
      <c r="BL16" s="1195">
        <v>1828206</v>
      </c>
      <c r="BM16" s="2280">
        <v>0.59066712765957452</v>
      </c>
      <c r="BQ16" s="2281">
        <v>3556536.0607596221</v>
      </c>
      <c r="BR16" s="2281">
        <v>2385469</v>
      </c>
      <c r="BS16" s="2281">
        <v>1171067.0607596221</v>
      </c>
      <c r="BT16" s="2281">
        <v>291192.93924037786</v>
      </c>
      <c r="BU16" s="2281">
        <v>0</v>
      </c>
      <c r="BV16" s="2281">
        <v>291192.93924037786</v>
      </c>
    </row>
    <row r="17" spans="1:74" s="1196" customFormat="1">
      <c r="A17" s="630" t="s">
        <v>1080</v>
      </c>
      <c r="B17" s="862" t="s">
        <v>1233</v>
      </c>
      <c r="C17" s="2276">
        <v>1330000</v>
      </c>
      <c r="D17" s="2276">
        <v>575468</v>
      </c>
      <c r="E17" s="2276">
        <v>754532</v>
      </c>
      <c r="F17" s="2276">
        <v>0</v>
      </c>
      <c r="G17" s="2276">
        <v>0</v>
      </c>
      <c r="H17" s="2276">
        <v>0</v>
      </c>
      <c r="I17" s="2276"/>
      <c r="J17" s="2276"/>
      <c r="K17" s="2276"/>
      <c r="L17" s="2270">
        <v>1</v>
      </c>
      <c r="M17" s="2276">
        <v>1330000</v>
      </c>
      <c r="N17" s="2277">
        <v>575468</v>
      </c>
      <c r="O17" s="2276">
        <v>754532</v>
      </c>
      <c r="P17" s="2276">
        <v>1330000</v>
      </c>
      <c r="Q17" s="2276">
        <v>575468</v>
      </c>
      <c r="R17" s="2276">
        <v>754532</v>
      </c>
      <c r="S17" s="2276">
        <v>1330000</v>
      </c>
      <c r="T17" s="2276">
        <v>575468</v>
      </c>
      <c r="U17" s="2276">
        <v>754532</v>
      </c>
      <c r="V17" s="2272">
        <v>0.56731729323308266</v>
      </c>
      <c r="W17" s="2272">
        <v>0.56731729323308266</v>
      </c>
      <c r="X17" s="2272">
        <v>0.56731729323308266</v>
      </c>
      <c r="Y17" s="2276"/>
      <c r="Z17" s="2276"/>
      <c r="AA17" s="2276"/>
      <c r="AB17" s="2276"/>
      <c r="AC17" s="1201" t="s">
        <v>1245</v>
      </c>
      <c r="AD17" s="2278" t="s">
        <v>1192</v>
      </c>
      <c r="AE17" s="611">
        <v>0</v>
      </c>
      <c r="AF17" s="611">
        <v>0</v>
      </c>
      <c r="AG17" s="611">
        <v>0</v>
      </c>
      <c r="AH17" s="612" t="s">
        <v>630</v>
      </c>
      <c r="AI17" s="612" t="s">
        <v>630</v>
      </c>
      <c r="AJ17" s="611"/>
      <c r="AK17" s="611"/>
      <c r="AL17" s="612"/>
      <c r="AM17" s="1186" t="s">
        <v>643</v>
      </c>
      <c r="AN17" s="1187" t="s">
        <v>1800</v>
      </c>
      <c r="AO17" s="1188">
        <v>1330000</v>
      </c>
      <c r="AP17" s="1189">
        <v>575468</v>
      </c>
      <c r="AQ17" s="1189">
        <v>754532</v>
      </c>
      <c r="AR17" s="1190">
        <v>0.56731729323308266</v>
      </c>
      <c r="AS17" s="615">
        <v>1330000</v>
      </c>
      <c r="AT17" s="616">
        <v>575468</v>
      </c>
      <c r="AU17" s="614">
        <v>754532</v>
      </c>
      <c r="AV17" s="1181">
        <v>0</v>
      </c>
      <c r="AW17" s="1179">
        <v>0</v>
      </c>
      <c r="AX17" s="1187">
        <v>0</v>
      </c>
      <c r="AY17" s="1186">
        <v>1330000</v>
      </c>
      <c r="AZ17" s="1189">
        <v>575468</v>
      </c>
      <c r="BA17" s="1192">
        <v>754532</v>
      </c>
      <c r="BB17" s="1186">
        <v>1330000</v>
      </c>
      <c r="BC17" s="1189">
        <v>575468</v>
      </c>
      <c r="BD17" s="1187">
        <v>754532</v>
      </c>
      <c r="BE17" s="1193">
        <v>1330000</v>
      </c>
      <c r="BF17" s="1189">
        <v>575468</v>
      </c>
      <c r="BG17" s="1189">
        <v>754532</v>
      </c>
      <c r="BH17" s="2283">
        <v>1</v>
      </c>
      <c r="BI17" s="624"/>
      <c r="BJ17" s="1194">
        <v>0</v>
      </c>
      <c r="BK17" s="1195">
        <v>0</v>
      </c>
      <c r="BL17" s="1195">
        <v>0</v>
      </c>
      <c r="BM17" s="2280">
        <v>0</v>
      </c>
      <c r="BQ17" s="2281">
        <v>1330000</v>
      </c>
      <c r="BR17" s="2281">
        <v>575468</v>
      </c>
      <c r="BS17" s="2281">
        <v>754532</v>
      </c>
      <c r="BT17" s="2281">
        <v>0</v>
      </c>
      <c r="BU17" s="2281">
        <v>0</v>
      </c>
      <c r="BV17" s="2281">
        <v>0</v>
      </c>
    </row>
    <row r="18" spans="1:74" s="1196" customFormat="1">
      <c r="A18" s="630" t="s">
        <v>1082</v>
      </c>
      <c r="B18" s="862" t="s">
        <v>1234</v>
      </c>
      <c r="C18" s="2276">
        <v>15000000</v>
      </c>
      <c r="D18" s="2276">
        <v>10227649</v>
      </c>
      <c r="E18" s="2276">
        <v>4772351</v>
      </c>
      <c r="F18" s="2276">
        <v>0</v>
      </c>
      <c r="G18" s="2276">
        <v>0</v>
      </c>
      <c r="H18" s="2276">
        <v>0</v>
      </c>
      <c r="I18" s="2276"/>
      <c r="J18" s="2276"/>
      <c r="K18" s="2276"/>
      <c r="L18" s="2270">
        <v>2.3573354932301602E-3</v>
      </c>
      <c r="M18" s="2276">
        <v>35360</v>
      </c>
      <c r="N18" s="2277">
        <v>24110</v>
      </c>
      <c r="O18" s="2276">
        <v>11250</v>
      </c>
      <c r="P18" s="2276">
        <v>35360</v>
      </c>
      <c r="Q18" s="2276">
        <v>24110</v>
      </c>
      <c r="R18" s="2276">
        <v>11250</v>
      </c>
      <c r="S18" s="2276">
        <v>35360</v>
      </c>
      <c r="T18" s="2276">
        <v>24110</v>
      </c>
      <c r="U18" s="2276">
        <v>11250</v>
      </c>
      <c r="V18" s="2272">
        <v>0.31815610859728505</v>
      </c>
      <c r="W18" s="2272">
        <v>0.31815610859728505</v>
      </c>
      <c r="X18" s="2272">
        <v>0.31815673333333333</v>
      </c>
      <c r="Y18" s="2276"/>
      <c r="Z18" s="2276"/>
      <c r="AA18" s="2276"/>
      <c r="AB18" s="2276"/>
      <c r="AC18" s="1201" t="s">
        <v>1245</v>
      </c>
      <c r="AD18" s="2278" t="s">
        <v>1192</v>
      </c>
      <c r="AE18" s="611">
        <v>0</v>
      </c>
      <c r="AF18" s="611">
        <v>0</v>
      </c>
      <c r="AG18" s="611">
        <v>0</v>
      </c>
      <c r="AH18" s="612" t="s">
        <v>630</v>
      </c>
      <c r="AI18" s="612" t="s">
        <v>630</v>
      </c>
      <c r="AJ18" s="611"/>
      <c r="AK18" s="611"/>
      <c r="AL18" s="612"/>
      <c r="AM18" s="1186" t="s">
        <v>644</v>
      </c>
      <c r="AN18" s="1187" t="s">
        <v>1801</v>
      </c>
      <c r="AO18" s="1188">
        <v>15000000</v>
      </c>
      <c r="AP18" s="1189">
        <v>10227649</v>
      </c>
      <c r="AQ18" s="1189">
        <v>4772351</v>
      </c>
      <c r="AR18" s="1190">
        <v>0.31815673333333333</v>
      </c>
      <c r="AS18" s="615">
        <v>15000000</v>
      </c>
      <c r="AT18" s="616">
        <v>10227649</v>
      </c>
      <c r="AU18" s="614">
        <v>4772351</v>
      </c>
      <c r="AV18" s="1181">
        <v>0</v>
      </c>
      <c r="AW18" s="1179">
        <v>0</v>
      </c>
      <c r="AX18" s="1187">
        <v>0</v>
      </c>
      <c r="AY18" s="1186">
        <v>35360</v>
      </c>
      <c r="AZ18" s="1189">
        <v>24110</v>
      </c>
      <c r="BA18" s="1192">
        <v>11250</v>
      </c>
      <c r="BB18" s="1186">
        <v>35360</v>
      </c>
      <c r="BC18" s="1189">
        <v>24110</v>
      </c>
      <c r="BD18" s="1187">
        <v>11250</v>
      </c>
      <c r="BE18" s="1193">
        <v>35360</v>
      </c>
      <c r="BF18" s="1189">
        <v>24110</v>
      </c>
      <c r="BG18" s="1189">
        <v>11250</v>
      </c>
      <c r="BH18" s="2283">
        <v>2.3573333333333332E-3</v>
      </c>
      <c r="BI18" s="624"/>
      <c r="BJ18" s="1194">
        <v>14964640</v>
      </c>
      <c r="BK18" s="1195">
        <v>10203539</v>
      </c>
      <c r="BL18" s="1195">
        <v>4761101</v>
      </c>
      <c r="BM18" s="2280">
        <v>0.99764266666666668</v>
      </c>
      <c r="BQ18" s="2281">
        <v>35360.032398452466</v>
      </c>
      <c r="BR18" s="2281">
        <v>24110</v>
      </c>
      <c r="BS18" s="2281">
        <v>11250.032398452466</v>
      </c>
      <c r="BT18" s="2281">
        <v>-3.239845246571349E-2</v>
      </c>
      <c r="BU18" s="2281">
        <v>0</v>
      </c>
      <c r="BV18" s="2281">
        <v>-3.239845246571349E-2</v>
      </c>
    </row>
    <row r="19" spans="1:74" s="1212" customFormat="1">
      <c r="A19" s="630" t="s">
        <v>1084</v>
      </c>
      <c r="B19" s="630" t="s">
        <v>1085</v>
      </c>
      <c r="C19" s="961">
        <v>14840000</v>
      </c>
      <c r="D19" s="961">
        <v>9953304</v>
      </c>
      <c r="E19" s="961">
        <v>4886696</v>
      </c>
      <c r="F19" s="961">
        <v>0</v>
      </c>
      <c r="G19" s="961">
        <v>0</v>
      </c>
      <c r="H19" s="961">
        <v>0</v>
      </c>
      <c r="I19" s="961"/>
      <c r="J19" s="961"/>
      <c r="K19" s="961"/>
      <c r="L19" s="2270">
        <v>2.3518120214152002E-2</v>
      </c>
      <c r="M19" s="961">
        <v>349009</v>
      </c>
      <c r="N19" s="2284">
        <v>234083</v>
      </c>
      <c r="O19" s="961">
        <v>114926</v>
      </c>
      <c r="P19" s="961">
        <v>349009</v>
      </c>
      <c r="Q19" s="961">
        <v>234083</v>
      </c>
      <c r="R19" s="961">
        <v>114926</v>
      </c>
      <c r="S19" s="961">
        <v>349009</v>
      </c>
      <c r="T19" s="961">
        <v>234083</v>
      </c>
      <c r="U19" s="961">
        <v>114926</v>
      </c>
      <c r="V19" s="2272">
        <v>0.32929236781859494</v>
      </c>
      <c r="W19" s="2272">
        <v>0.32929236781859494</v>
      </c>
      <c r="X19" s="2272">
        <v>0.3292921832884097</v>
      </c>
      <c r="Y19" s="961"/>
      <c r="Z19" s="961"/>
      <c r="AA19" s="961"/>
      <c r="AB19" s="961"/>
      <c r="AC19" s="1202" t="s">
        <v>1037</v>
      </c>
      <c r="AD19" s="2285" t="s">
        <v>1192</v>
      </c>
      <c r="AE19" s="640">
        <v>0</v>
      </c>
      <c r="AF19" s="640">
        <v>0</v>
      </c>
      <c r="AG19" s="640">
        <v>0</v>
      </c>
      <c r="AH19" s="641" t="s">
        <v>630</v>
      </c>
      <c r="AI19" s="641" t="s">
        <v>630</v>
      </c>
      <c r="AJ19" s="640"/>
      <c r="AK19" s="640"/>
      <c r="AL19" s="641"/>
      <c r="AM19" s="1203" t="s">
        <v>645</v>
      </c>
      <c r="AN19" s="1204" t="s">
        <v>1802</v>
      </c>
      <c r="AO19" s="1205">
        <v>14840000</v>
      </c>
      <c r="AP19" s="1206">
        <v>9953304</v>
      </c>
      <c r="AQ19" s="1206">
        <v>4886696</v>
      </c>
      <c r="AR19" s="1207">
        <v>0.3292921832884097</v>
      </c>
      <c r="AS19" s="644">
        <v>14840000</v>
      </c>
      <c r="AT19" s="645">
        <v>9953304</v>
      </c>
      <c r="AU19" s="643">
        <v>4886696</v>
      </c>
      <c r="AV19" s="1181">
        <v>0</v>
      </c>
      <c r="AW19" s="1179">
        <v>0</v>
      </c>
      <c r="AX19" s="1204">
        <v>0</v>
      </c>
      <c r="AY19" s="1203">
        <v>349009</v>
      </c>
      <c r="AZ19" s="1206">
        <v>234083</v>
      </c>
      <c r="BA19" s="1208">
        <v>114926</v>
      </c>
      <c r="BB19" s="1203">
        <v>349009</v>
      </c>
      <c r="BC19" s="1206">
        <v>234083</v>
      </c>
      <c r="BD19" s="1204">
        <v>114926</v>
      </c>
      <c r="BE19" s="1209">
        <v>349009</v>
      </c>
      <c r="BF19" s="1206">
        <v>234083</v>
      </c>
      <c r="BG19" s="1206">
        <v>114926</v>
      </c>
      <c r="BH19" s="2286">
        <v>2.3518126684636119E-2</v>
      </c>
      <c r="BI19" s="653"/>
      <c r="BJ19" s="1210">
        <v>14490991</v>
      </c>
      <c r="BK19" s="1211">
        <v>9719221</v>
      </c>
      <c r="BL19" s="1211">
        <v>4771770</v>
      </c>
      <c r="BM19" s="2287">
        <v>0.97648187331536385</v>
      </c>
      <c r="BQ19" s="2001">
        <v>349008.90397801576</v>
      </c>
      <c r="BR19" s="2001">
        <v>234083</v>
      </c>
      <c r="BS19" s="2001">
        <v>114925.90397801576</v>
      </c>
      <c r="BT19" s="2001">
        <v>9.6021984238177538E-2</v>
      </c>
      <c r="BU19" s="2001">
        <v>0</v>
      </c>
      <c r="BV19" s="2001">
        <v>9.6021984238177538E-2</v>
      </c>
    </row>
    <row r="20" spans="1:74">
      <c r="A20" s="574" t="s">
        <v>647</v>
      </c>
      <c r="B20" s="575" t="s">
        <v>1088</v>
      </c>
      <c r="C20" s="2269"/>
      <c r="D20" s="2269"/>
      <c r="E20" s="2269">
        <v>0</v>
      </c>
      <c r="F20" s="2269"/>
      <c r="G20" s="2269"/>
      <c r="H20" s="2269"/>
      <c r="I20" s="2269"/>
      <c r="J20" s="2269"/>
      <c r="K20" s="2269"/>
      <c r="L20" s="2270" t="s">
        <v>1099</v>
      </c>
      <c r="M20" s="2288">
        <v>787500</v>
      </c>
      <c r="N20" s="2271">
        <v>845522</v>
      </c>
      <c r="O20" s="2269">
        <v>-58022</v>
      </c>
      <c r="P20" s="2269">
        <v>787500</v>
      </c>
      <c r="Q20" s="2269">
        <v>845522</v>
      </c>
      <c r="R20" s="2269">
        <v>-58022</v>
      </c>
      <c r="S20" s="2288">
        <v>787500</v>
      </c>
      <c r="T20" s="2269">
        <v>845522</v>
      </c>
      <c r="U20" s="2269">
        <v>-58022</v>
      </c>
      <c r="V20" s="2272">
        <v>-7.3678730158730152E-2</v>
      </c>
      <c r="W20" s="2272">
        <v>-7.3678730158730152E-2</v>
      </c>
      <c r="X20" s="2272" t="s">
        <v>630</v>
      </c>
      <c r="Y20" s="2269"/>
      <c r="Z20" s="2269"/>
      <c r="AA20" s="2269"/>
      <c r="AB20" s="2269"/>
      <c r="AC20" s="1175" t="s">
        <v>1205</v>
      </c>
      <c r="AD20" s="2273" t="s">
        <v>1228</v>
      </c>
      <c r="AE20" s="1213"/>
      <c r="AF20" s="1213"/>
      <c r="AG20" s="1213"/>
      <c r="AH20" s="1214"/>
      <c r="AI20" s="1214"/>
      <c r="AJ20" s="532"/>
      <c r="AL20" s="533"/>
      <c r="AM20" s="1176" t="s">
        <v>647</v>
      </c>
      <c r="AN20" s="1177" t="s">
        <v>1090</v>
      </c>
      <c r="AO20" s="1215" t="s">
        <v>1734</v>
      </c>
      <c r="AP20" s="1216" t="s">
        <v>1734</v>
      </c>
      <c r="AQ20" s="1216" t="s">
        <v>1734</v>
      </c>
      <c r="AR20" s="1180" t="s">
        <v>1734</v>
      </c>
      <c r="AS20" s="1215" t="s">
        <v>1734</v>
      </c>
      <c r="AT20" s="1216" t="s">
        <v>1734</v>
      </c>
      <c r="AU20" s="1217" t="s">
        <v>1734</v>
      </c>
      <c r="AV20" s="1218" t="s">
        <v>1734</v>
      </c>
      <c r="AW20" s="1216" t="s">
        <v>1734</v>
      </c>
      <c r="AX20" s="1217" t="s">
        <v>1734</v>
      </c>
      <c r="AY20" s="1176">
        <v>787500</v>
      </c>
      <c r="AZ20" s="1179">
        <v>845522</v>
      </c>
      <c r="BA20" s="1182">
        <v>-58022</v>
      </c>
      <c r="BB20" s="1176">
        <v>787500</v>
      </c>
      <c r="BC20" s="1179">
        <v>845522</v>
      </c>
      <c r="BD20" s="1177">
        <v>-58022</v>
      </c>
      <c r="BE20" s="1183">
        <v>787500</v>
      </c>
      <c r="BF20" s="1179">
        <v>845522</v>
      </c>
      <c r="BG20" s="1179">
        <v>-58022</v>
      </c>
      <c r="BH20" s="2282"/>
      <c r="BI20" s="696" t="s">
        <v>1803</v>
      </c>
      <c r="BJ20" s="1219" t="s">
        <v>1734</v>
      </c>
      <c r="BK20" s="1220" t="s">
        <v>1734</v>
      </c>
      <c r="BL20" s="1220" t="s">
        <v>1734</v>
      </c>
      <c r="BM20" s="2275">
        <v>1</v>
      </c>
      <c r="BQ20" s="2021">
        <v>787500</v>
      </c>
      <c r="BR20" s="2001">
        <v>845522</v>
      </c>
      <c r="BS20" s="2001">
        <v>-58022</v>
      </c>
      <c r="BT20" s="2001">
        <v>0</v>
      </c>
      <c r="BU20" s="2001">
        <v>0</v>
      </c>
      <c r="BV20" s="2001">
        <v>0</v>
      </c>
    </row>
    <row r="21" spans="1:74" s="1196" customFormat="1">
      <c r="A21" s="599" t="s">
        <v>1092</v>
      </c>
      <c r="B21" s="864" t="s">
        <v>1235</v>
      </c>
      <c r="C21" s="2276"/>
      <c r="D21" s="2276"/>
      <c r="E21" s="2276">
        <v>0</v>
      </c>
      <c r="F21" s="2276"/>
      <c r="G21" s="2276"/>
      <c r="H21" s="2276"/>
      <c r="I21" s="2276"/>
      <c r="J21" s="2276"/>
      <c r="K21" s="2276"/>
      <c r="L21" s="2270" t="s">
        <v>1099</v>
      </c>
      <c r="M21" s="2289">
        <v>52500</v>
      </c>
      <c r="N21" s="2277">
        <v>39200</v>
      </c>
      <c r="O21" s="2276">
        <v>13300</v>
      </c>
      <c r="P21" s="2276">
        <v>52500</v>
      </c>
      <c r="Q21" s="2276">
        <v>39200</v>
      </c>
      <c r="R21" s="2276">
        <v>13300</v>
      </c>
      <c r="S21" s="2289">
        <v>52500</v>
      </c>
      <c r="T21" s="2276">
        <v>39200</v>
      </c>
      <c r="U21" s="2276">
        <v>13300</v>
      </c>
      <c r="V21" s="2272">
        <v>0.25333333333333335</v>
      </c>
      <c r="W21" s="2272">
        <v>0.25333333333333335</v>
      </c>
      <c r="X21" s="2272" t="s">
        <v>630</v>
      </c>
      <c r="Y21" s="2276"/>
      <c r="Z21" s="2276"/>
      <c r="AA21" s="2276"/>
      <c r="AB21" s="2276"/>
      <c r="AC21" s="1221" t="s">
        <v>1245</v>
      </c>
      <c r="AD21" s="2278" t="s">
        <v>1228</v>
      </c>
      <c r="AE21" s="1222"/>
      <c r="AF21" s="1222"/>
      <c r="AG21" s="1222"/>
      <c r="AH21" s="1223"/>
      <c r="AI21" s="1223"/>
      <c r="AJ21" s="611"/>
      <c r="AK21" s="611"/>
      <c r="AL21" s="612"/>
      <c r="AM21" s="1186" t="s">
        <v>649</v>
      </c>
      <c r="AN21" s="1187" t="s">
        <v>1090</v>
      </c>
      <c r="AO21" s="1215" t="s">
        <v>1734</v>
      </c>
      <c r="AP21" s="1216" t="s">
        <v>1734</v>
      </c>
      <c r="AQ21" s="1216" t="s">
        <v>1734</v>
      </c>
      <c r="AR21" s="1180" t="s">
        <v>1734</v>
      </c>
      <c r="AS21" s="1215" t="s">
        <v>1734</v>
      </c>
      <c r="AT21" s="1216" t="s">
        <v>1734</v>
      </c>
      <c r="AU21" s="1217" t="s">
        <v>1734</v>
      </c>
      <c r="AV21" s="1218" t="s">
        <v>1734</v>
      </c>
      <c r="AW21" s="1216" t="s">
        <v>1734</v>
      </c>
      <c r="AX21" s="1217" t="s">
        <v>1734</v>
      </c>
      <c r="AY21" s="1186">
        <v>52500</v>
      </c>
      <c r="AZ21" s="1189">
        <v>39200</v>
      </c>
      <c r="BA21" s="1192">
        <v>13300</v>
      </c>
      <c r="BB21" s="1186">
        <v>52500</v>
      </c>
      <c r="BC21" s="1189">
        <v>39200</v>
      </c>
      <c r="BD21" s="1187">
        <v>13300</v>
      </c>
      <c r="BE21" s="1193">
        <v>52500</v>
      </c>
      <c r="BF21" s="1189">
        <v>39200</v>
      </c>
      <c r="BG21" s="1189">
        <v>13300</v>
      </c>
      <c r="BH21" s="2283"/>
      <c r="BI21" s="696" t="s">
        <v>1803</v>
      </c>
      <c r="BJ21" s="1224" t="s">
        <v>1734</v>
      </c>
      <c r="BK21" s="1225" t="s">
        <v>1734</v>
      </c>
      <c r="BL21" s="1225" t="s">
        <v>1734</v>
      </c>
      <c r="BM21" s="2280">
        <v>1</v>
      </c>
      <c r="BQ21" s="2290">
        <v>52500</v>
      </c>
      <c r="BR21" s="2281">
        <v>39200</v>
      </c>
      <c r="BS21" s="2281">
        <v>13300</v>
      </c>
      <c r="BT21" s="2281">
        <v>0</v>
      </c>
      <c r="BU21" s="2281">
        <v>0</v>
      </c>
      <c r="BV21" s="2281">
        <v>0</v>
      </c>
    </row>
    <row r="22" spans="1:74">
      <c r="A22" s="574" t="s">
        <v>651</v>
      </c>
      <c r="B22" s="575" t="s">
        <v>1094</v>
      </c>
      <c r="C22" s="2269"/>
      <c r="D22" s="2269"/>
      <c r="E22" s="2269">
        <v>0</v>
      </c>
      <c r="F22" s="2269"/>
      <c r="G22" s="2269"/>
      <c r="H22" s="2269"/>
      <c r="I22" s="2269"/>
      <c r="J22" s="2269"/>
      <c r="K22" s="2269"/>
      <c r="L22" s="2270" t="s">
        <v>1099</v>
      </c>
      <c r="M22" s="2288">
        <v>1200000</v>
      </c>
      <c r="N22" s="2271">
        <v>479490</v>
      </c>
      <c r="O22" s="2269">
        <v>720510</v>
      </c>
      <c r="P22" s="2269">
        <v>1200000</v>
      </c>
      <c r="Q22" s="2269">
        <v>479490</v>
      </c>
      <c r="R22" s="2269">
        <v>720510</v>
      </c>
      <c r="S22" s="2288">
        <v>1200000</v>
      </c>
      <c r="T22" s="2269">
        <v>479490</v>
      </c>
      <c r="U22" s="2269">
        <v>720510</v>
      </c>
      <c r="V22" s="2272">
        <v>0.60042499999999999</v>
      </c>
      <c r="W22" s="2272">
        <v>0.60042499999999999</v>
      </c>
      <c r="X22" s="2272" t="s">
        <v>630</v>
      </c>
      <c r="Y22" s="2269"/>
      <c r="Z22" s="2269"/>
      <c r="AA22" s="2269"/>
      <c r="AB22" s="2269"/>
      <c r="AC22" s="1175" t="s">
        <v>1095</v>
      </c>
      <c r="AD22" s="2273" t="s">
        <v>1228</v>
      </c>
      <c r="AE22" s="1213"/>
      <c r="AF22" s="1213"/>
      <c r="AG22" s="1213"/>
      <c r="AH22" s="1214"/>
      <c r="AI22" s="1214"/>
      <c r="AJ22" s="532"/>
      <c r="AL22" s="533"/>
      <c r="AM22" s="1176" t="s">
        <v>651</v>
      </c>
      <c r="AN22" s="1177" t="s">
        <v>1096</v>
      </c>
      <c r="AO22" s="1215" t="s">
        <v>1734</v>
      </c>
      <c r="AP22" s="1216" t="s">
        <v>1734</v>
      </c>
      <c r="AQ22" s="1216" t="s">
        <v>1734</v>
      </c>
      <c r="AR22" s="1180" t="s">
        <v>1734</v>
      </c>
      <c r="AS22" s="1215" t="s">
        <v>1734</v>
      </c>
      <c r="AT22" s="1216" t="s">
        <v>1734</v>
      </c>
      <c r="AU22" s="1217" t="s">
        <v>1734</v>
      </c>
      <c r="AV22" s="1218" t="s">
        <v>1734</v>
      </c>
      <c r="AW22" s="1216" t="s">
        <v>1734</v>
      </c>
      <c r="AX22" s="1217" t="s">
        <v>1734</v>
      </c>
      <c r="AY22" s="1176">
        <v>1200000</v>
      </c>
      <c r="AZ22" s="1179">
        <v>479490</v>
      </c>
      <c r="BA22" s="1182">
        <v>720510</v>
      </c>
      <c r="BB22" s="1176">
        <v>1200000</v>
      </c>
      <c r="BC22" s="1179">
        <v>479490</v>
      </c>
      <c r="BD22" s="1177">
        <v>720510</v>
      </c>
      <c r="BE22" s="1183">
        <v>1200000</v>
      </c>
      <c r="BF22" s="1179">
        <v>479490</v>
      </c>
      <c r="BG22" s="1179">
        <v>720510</v>
      </c>
      <c r="BH22" s="2282"/>
      <c r="BI22" s="696" t="s">
        <v>1803</v>
      </c>
      <c r="BJ22" s="1219" t="s">
        <v>1734</v>
      </c>
      <c r="BK22" s="1220" t="s">
        <v>1734</v>
      </c>
      <c r="BL22" s="1220" t="s">
        <v>1734</v>
      </c>
      <c r="BM22" s="2275" t="s">
        <v>1734</v>
      </c>
      <c r="BQ22" s="2021">
        <v>1200000</v>
      </c>
      <c r="BR22" s="2001">
        <v>479490</v>
      </c>
      <c r="BS22" s="2001">
        <v>720510</v>
      </c>
      <c r="BT22" s="2001">
        <v>0</v>
      </c>
      <c r="BU22" s="2001">
        <v>0</v>
      </c>
      <c r="BV22" s="2001">
        <v>0</v>
      </c>
    </row>
    <row r="23" spans="1:74">
      <c r="A23" s="574" t="s">
        <v>1804</v>
      </c>
      <c r="B23" s="575" t="s">
        <v>1805</v>
      </c>
      <c r="C23" s="2269"/>
      <c r="D23" s="2269"/>
      <c r="E23" s="2269">
        <v>0</v>
      </c>
      <c r="F23" s="2269"/>
      <c r="G23" s="2269"/>
      <c r="H23" s="2269"/>
      <c r="I23" s="2269"/>
      <c r="J23" s="2269"/>
      <c r="K23" s="2269"/>
      <c r="L23" s="2270"/>
      <c r="M23" s="2288"/>
      <c r="N23" s="2288">
        <v>241615</v>
      </c>
      <c r="O23" s="2269">
        <v>-241615</v>
      </c>
      <c r="P23" s="2269">
        <v>0</v>
      </c>
      <c r="Q23" s="2269">
        <v>241615</v>
      </c>
      <c r="R23" s="2269">
        <v>-241615</v>
      </c>
      <c r="S23" s="2288">
        <v>0</v>
      </c>
      <c r="T23" s="2269">
        <v>241615</v>
      </c>
      <c r="U23" s="2269">
        <v>-241615</v>
      </c>
      <c r="V23" s="2272" t="s">
        <v>630</v>
      </c>
      <c r="W23" s="2272" t="s">
        <v>630</v>
      </c>
      <c r="X23" s="2272" t="s">
        <v>630</v>
      </c>
      <c r="Y23" s="2269"/>
      <c r="Z23" s="2269"/>
      <c r="AA23" s="2269"/>
      <c r="AB23" s="2269"/>
      <c r="AC23" s="1175"/>
      <c r="AD23" s="2291" t="s">
        <v>1955</v>
      </c>
      <c r="AE23" s="1213"/>
      <c r="AF23" s="1213"/>
      <c r="AG23" s="1213"/>
      <c r="AH23" s="1214"/>
      <c r="AI23" s="1214"/>
      <c r="AJ23" s="532"/>
      <c r="AL23" s="533"/>
      <c r="AM23" s="1176" t="s">
        <v>653</v>
      </c>
      <c r="AN23" s="1177" t="s">
        <v>1956</v>
      </c>
      <c r="AO23" s="1215" t="s">
        <v>1734</v>
      </c>
      <c r="AP23" s="1216" t="s">
        <v>1734</v>
      </c>
      <c r="AQ23" s="1216" t="s">
        <v>1734</v>
      </c>
      <c r="AR23" s="1180" t="s">
        <v>1734</v>
      </c>
      <c r="AS23" s="1215" t="s">
        <v>1734</v>
      </c>
      <c r="AT23" s="1216" t="s">
        <v>1734</v>
      </c>
      <c r="AU23" s="1217" t="s">
        <v>1734</v>
      </c>
      <c r="AV23" s="1218" t="s">
        <v>1734</v>
      </c>
      <c r="AW23" s="1216" t="s">
        <v>1734</v>
      </c>
      <c r="AX23" s="1217" t="s">
        <v>1734</v>
      </c>
      <c r="AY23" s="1218" t="s">
        <v>1734</v>
      </c>
      <c r="AZ23" s="1216" t="s">
        <v>1734</v>
      </c>
      <c r="BA23" s="1217" t="s">
        <v>1734</v>
      </c>
      <c r="BB23" s="1218" t="s">
        <v>1734</v>
      </c>
      <c r="BC23" s="1216" t="s">
        <v>1734</v>
      </c>
      <c r="BD23" s="1217" t="s">
        <v>1734</v>
      </c>
      <c r="BE23" s="1218" t="s">
        <v>1734</v>
      </c>
      <c r="BF23" s="1216" t="s">
        <v>1734</v>
      </c>
      <c r="BG23" s="1216" t="s">
        <v>1734</v>
      </c>
      <c r="BH23" s="2282"/>
      <c r="BI23" s="696" t="s">
        <v>1803</v>
      </c>
      <c r="BJ23" s="1219" t="s">
        <v>1734</v>
      </c>
      <c r="BK23" s="1220" t="s">
        <v>1734</v>
      </c>
      <c r="BL23" s="1220" t="s">
        <v>1734</v>
      </c>
      <c r="BM23" s="2275" t="s">
        <v>1734</v>
      </c>
      <c r="BQ23" s="2001">
        <v>0</v>
      </c>
      <c r="BR23" s="2001">
        <v>-4988.0350399255658</v>
      </c>
      <c r="BS23" s="2001">
        <v>4988.0350399255658</v>
      </c>
      <c r="BT23" s="2001">
        <v>0</v>
      </c>
      <c r="BU23" s="2001">
        <v>246603.03503992557</v>
      </c>
      <c r="BV23" s="2001">
        <v>-246603.03503992557</v>
      </c>
    </row>
    <row r="24" spans="1:74">
      <c r="A24" s="574" t="s">
        <v>654</v>
      </c>
      <c r="B24" s="575" t="s">
        <v>1432</v>
      </c>
      <c r="C24" s="2269"/>
      <c r="D24" s="2269"/>
      <c r="E24" s="2269">
        <v>0</v>
      </c>
      <c r="F24" s="2269"/>
      <c r="G24" s="2269"/>
      <c r="H24" s="2269"/>
      <c r="I24" s="2269"/>
      <c r="J24" s="2269"/>
      <c r="K24" s="2269"/>
      <c r="L24" s="2270">
        <v>0</v>
      </c>
      <c r="M24" s="2269">
        <v>0</v>
      </c>
      <c r="N24" s="2271">
        <v>0</v>
      </c>
      <c r="O24" s="2269">
        <v>0</v>
      </c>
      <c r="P24" s="2269">
        <v>0</v>
      </c>
      <c r="Q24" s="2269">
        <v>0</v>
      </c>
      <c r="R24" s="2269">
        <v>0</v>
      </c>
      <c r="S24" s="2269">
        <v>0</v>
      </c>
      <c r="T24" s="2269">
        <v>0</v>
      </c>
      <c r="U24" s="2269">
        <v>0</v>
      </c>
      <c r="V24" s="2272" t="s">
        <v>630</v>
      </c>
      <c r="W24" s="2272" t="s">
        <v>630</v>
      </c>
      <c r="X24" s="2272" t="s">
        <v>630</v>
      </c>
      <c r="Y24" s="2269"/>
      <c r="Z24" s="2269"/>
      <c r="AA24" s="2269"/>
      <c r="AB24" s="2269"/>
      <c r="AC24" s="1198" t="s">
        <v>1037</v>
      </c>
      <c r="AD24" s="2273" t="s">
        <v>1228</v>
      </c>
      <c r="AE24" s="532">
        <v>0</v>
      </c>
      <c r="AF24" s="532">
        <v>0</v>
      </c>
      <c r="AG24" s="532">
        <v>0</v>
      </c>
      <c r="AH24" s="533" t="s">
        <v>630</v>
      </c>
      <c r="AI24" s="533" t="s">
        <v>630</v>
      </c>
      <c r="AJ24" s="532"/>
      <c r="AL24" s="533"/>
      <c r="AM24" s="1176" t="s">
        <v>654</v>
      </c>
      <c r="AN24" s="1177" t="s">
        <v>1432</v>
      </c>
      <c r="AO24" s="1178">
        <v>0</v>
      </c>
      <c r="AP24" s="1179">
        <v>0</v>
      </c>
      <c r="AQ24" s="1179">
        <v>0</v>
      </c>
      <c r="AR24" s="1180" t="e">
        <v>#DIV/0!</v>
      </c>
      <c r="AS24" s="585"/>
      <c r="AT24" s="588"/>
      <c r="AU24" s="586">
        <v>0</v>
      </c>
      <c r="AV24" s="1181">
        <v>0</v>
      </c>
      <c r="AW24" s="1179">
        <v>0</v>
      </c>
      <c r="AX24" s="1177">
        <v>0</v>
      </c>
      <c r="AY24" s="1176">
        <v>0</v>
      </c>
      <c r="AZ24" s="1179">
        <v>0</v>
      </c>
      <c r="BA24" s="1182">
        <v>0</v>
      </c>
      <c r="BB24" s="1176">
        <v>0</v>
      </c>
      <c r="BC24" s="1179">
        <v>0</v>
      </c>
      <c r="BD24" s="1177">
        <v>0</v>
      </c>
      <c r="BE24" s="1183">
        <v>0</v>
      </c>
      <c r="BF24" s="1179">
        <v>0</v>
      </c>
      <c r="BG24" s="1179">
        <v>0</v>
      </c>
      <c r="BH24" s="2282" t="e">
        <v>#DIV/0!</v>
      </c>
      <c r="BI24" s="696" t="s">
        <v>1803</v>
      </c>
      <c r="BJ24" s="1219" t="s">
        <v>1734</v>
      </c>
      <c r="BK24" s="1220" t="s">
        <v>1734</v>
      </c>
      <c r="BL24" s="1220" t="s">
        <v>1734</v>
      </c>
      <c r="BM24" s="2275" t="s">
        <v>1734</v>
      </c>
      <c r="BQ24" s="2001">
        <v>0</v>
      </c>
      <c r="BR24" s="2001">
        <v>0</v>
      </c>
      <c r="BS24" s="2001">
        <v>0</v>
      </c>
      <c r="BT24" s="2001">
        <v>0</v>
      </c>
      <c r="BU24" s="2001">
        <v>0</v>
      </c>
      <c r="BV24" s="2001">
        <v>0</v>
      </c>
    </row>
    <row r="25" spans="1:74">
      <c r="A25" s="574" t="s">
        <v>656</v>
      </c>
      <c r="B25" s="575" t="s">
        <v>1432</v>
      </c>
      <c r="C25" s="2292">
        <v>0</v>
      </c>
      <c r="D25" s="2292">
        <v>0</v>
      </c>
      <c r="E25" s="2292">
        <v>0</v>
      </c>
      <c r="F25" s="2269"/>
      <c r="G25" s="2269"/>
      <c r="H25" s="2269"/>
      <c r="I25" s="2269"/>
      <c r="J25" s="2269"/>
      <c r="K25" s="2269"/>
      <c r="L25" s="2270">
        <v>0</v>
      </c>
      <c r="M25" s="2269">
        <v>0</v>
      </c>
      <c r="N25" s="2271">
        <v>0</v>
      </c>
      <c r="O25" s="2269">
        <v>0</v>
      </c>
      <c r="P25" s="2269">
        <v>0</v>
      </c>
      <c r="Q25" s="2269">
        <v>0</v>
      </c>
      <c r="R25" s="2269">
        <v>0</v>
      </c>
      <c r="S25" s="2269">
        <v>0</v>
      </c>
      <c r="T25" s="2269">
        <v>0</v>
      </c>
      <c r="U25" s="2269">
        <v>0</v>
      </c>
      <c r="V25" s="2272" t="s">
        <v>630</v>
      </c>
      <c r="W25" s="2272" t="s">
        <v>630</v>
      </c>
      <c r="X25" s="2272" t="s">
        <v>630</v>
      </c>
      <c r="Y25" s="2269"/>
      <c r="Z25" s="2269"/>
      <c r="AA25" s="2269"/>
      <c r="AB25" s="2269"/>
      <c r="AC25" s="1198" t="s">
        <v>1037</v>
      </c>
      <c r="AD25" s="2273" t="s">
        <v>1228</v>
      </c>
      <c r="AE25" s="532">
        <v>0</v>
      </c>
      <c r="AF25" s="532">
        <v>0</v>
      </c>
      <c r="AG25" s="532">
        <v>0</v>
      </c>
      <c r="AH25" s="533" t="s">
        <v>630</v>
      </c>
      <c r="AI25" s="533" t="s">
        <v>630</v>
      </c>
      <c r="AJ25" s="532"/>
      <c r="AL25" s="533"/>
      <c r="AM25" s="1176" t="s">
        <v>656</v>
      </c>
      <c r="AN25" s="1177" t="s">
        <v>1432</v>
      </c>
      <c r="AO25" s="1178">
        <v>0</v>
      </c>
      <c r="AP25" s="1179">
        <v>0</v>
      </c>
      <c r="AQ25" s="1179">
        <v>0</v>
      </c>
      <c r="AR25" s="1180" t="e">
        <v>#DIV/0!</v>
      </c>
      <c r="AS25" s="585"/>
      <c r="AT25" s="588"/>
      <c r="AU25" s="586">
        <v>0</v>
      </c>
      <c r="AV25" s="1181">
        <v>0</v>
      </c>
      <c r="AW25" s="1179">
        <v>0</v>
      </c>
      <c r="AX25" s="1177">
        <v>0</v>
      </c>
      <c r="AY25" s="1176">
        <v>0</v>
      </c>
      <c r="AZ25" s="1179">
        <v>0</v>
      </c>
      <c r="BA25" s="1182">
        <v>0</v>
      </c>
      <c r="BB25" s="1176">
        <v>0</v>
      </c>
      <c r="BC25" s="1179">
        <v>0</v>
      </c>
      <c r="BD25" s="1177">
        <v>0</v>
      </c>
      <c r="BE25" s="1183">
        <v>0</v>
      </c>
      <c r="BF25" s="1179">
        <v>0</v>
      </c>
      <c r="BG25" s="1179">
        <v>0</v>
      </c>
      <c r="BH25" s="2282" t="e">
        <v>#DIV/0!</v>
      </c>
      <c r="BI25" s="542"/>
      <c r="BJ25" s="1184">
        <v>0</v>
      </c>
      <c r="BK25" s="1185">
        <v>0</v>
      </c>
      <c r="BL25" s="1185">
        <v>0</v>
      </c>
      <c r="BM25" s="2275" t="e">
        <v>#DIV/0!</v>
      </c>
      <c r="BQ25" s="2001">
        <v>0</v>
      </c>
      <c r="BR25" s="2001">
        <v>0</v>
      </c>
      <c r="BS25" s="2001">
        <v>0</v>
      </c>
      <c r="BT25" s="2001">
        <v>0</v>
      </c>
      <c r="BU25" s="2001">
        <v>0</v>
      </c>
      <c r="BV25" s="2001">
        <v>0</v>
      </c>
    </row>
    <row r="26" spans="1:74">
      <c r="A26" s="574" t="s">
        <v>657</v>
      </c>
      <c r="B26" s="575" t="s">
        <v>1806</v>
      </c>
      <c r="C26" s="2269"/>
      <c r="D26" s="2269"/>
      <c r="E26" s="2269">
        <v>0</v>
      </c>
      <c r="F26" s="2269"/>
      <c r="G26" s="2269"/>
      <c r="H26" s="2269"/>
      <c r="I26" s="2269"/>
      <c r="J26" s="2269"/>
      <c r="K26" s="2269"/>
      <c r="L26" s="2270">
        <v>0</v>
      </c>
      <c r="M26" s="2269">
        <v>0</v>
      </c>
      <c r="N26" s="2271">
        <v>0</v>
      </c>
      <c r="O26" s="2269">
        <v>0</v>
      </c>
      <c r="P26" s="2269">
        <v>0</v>
      </c>
      <c r="Q26" s="2269">
        <v>0</v>
      </c>
      <c r="R26" s="2269">
        <v>0</v>
      </c>
      <c r="S26" s="2269">
        <v>0</v>
      </c>
      <c r="T26" s="2269">
        <v>0</v>
      </c>
      <c r="U26" s="2269">
        <v>0</v>
      </c>
      <c r="V26" s="2272" t="s">
        <v>630</v>
      </c>
      <c r="W26" s="2272" t="s">
        <v>630</v>
      </c>
      <c r="X26" s="2272" t="s">
        <v>630</v>
      </c>
      <c r="Y26" s="2269"/>
      <c r="Z26" s="2269"/>
      <c r="AA26" s="2269"/>
      <c r="AB26" s="2269"/>
      <c r="AC26" s="1198" t="s">
        <v>1037</v>
      </c>
      <c r="AD26" s="2273" t="s">
        <v>1228</v>
      </c>
      <c r="AE26" s="532">
        <v>0</v>
      </c>
      <c r="AF26" s="532">
        <v>0</v>
      </c>
      <c r="AG26" s="532">
        <v>0</v>
      </c>
      <c r="AH26" s="533" t="s">
        <v>630</v>
      </c>
      <c r="AI26" s="533" t="s">
        <v>630</v>
      </c>
      <c r="AJ26" s="532"/>
      <c r="AL26" s="533"/>
      <c r="AM26" s="1176" t="s">
        <v>657</v>
      </c>
      <c r="AN26" s="1177" t="s">
        <v>1806</v>
      </c>
      <c r="AO26" s="1178">
        <v>0</v>
      </c>
      <c r="AP26" s="1179">
        <v>0</v>
      </c>
      <c r="AQ26" s="1179">
        <v>0</v>
      </c>
      <c r="AR26" s="1180" t="e">
        <v>#DIV/0!</v>
      </c>
      <c r="AS26" s="585"/>
      <c r="AT26" s="588"/>
      <c r="AU26" s="586">
        <v>0</v>
      </c>
      <c r="AV26" s="1181">
        <v>0</v>
      </c>
      <c r="AW26" s="1179">
        <v>0</v>
      </c>
      <c r="AX26" s="1177">
        <v>0</v>
      </c>
      <c r="AY26" s="1176">
        <v>0</v>
      </c>
      <c r="AZ26" s="1179">
        <v>0</v>
      </c>
      <c r="BA26" s="1182">
        <v>0</v>
      </c>
      <c r="BB26" s="1176">
        <v>0</v>
      </c>
      <c r="BC26" s="1179">
        <v>0</v>
      </c>
      <c r="BD26" s="1177">
        <v>0</v>
      </c>
      <c r="BE26" s="1183">
        <v>0</v>
      </c>
      <c r="BF26" s="1179">
        <v>0</v>
      </c>
      <c r="BG26" s="1179">
        <v>0</v>
      </c>
      <c r="BH26" s="2282" t="e">
        <v>#DIV/0!</v>
      </c>
      <c r="BI26" s="542"/>
      <c r="BJ26" s="1184">
        <v>0</v>
      </c>
      <c r="BK26" s="1185">
        <v>0</v>
      </c>
      <c r="BL26" s="1185">
        <v>0</v>
      </c>
      <c r="BM26" s="2275" t="e">
        <v>#DIV/0!</v>
      </c>
      <c r="BQ26" s="2001">
        <v>0</v>
      </c>
      <c r="BR26" s="2001">
        <v>0</v>
      </c>
      <c r="BS26" s="2001">
        <v>0</v>
      </c>
      <c r="BT26" s="2001">
        <v>0</v>
      </c>
      <c r="BU26" s="2001">
        <v>0</v>
      </c>
      <c r="BV26" s="2001">
        <v>0</v>
      </c>
    </row>
    <row r="27" spans="1:74">
      <c r="A27" s="574" t="s">
        <v>659</v>
      </c>
      <c r="B27" s="575" t="s">
        <v>1807</v>
      </c>
      <c r="C27" s="2269"/>
      <c r="D27" s="2269"/>
      <c r="E27" s="2269">
        <v>0</v>
      </c>
      <c r="F27" s="2269"/>
      <c r="G27" s="2269"/>
      <c r="H27" s="2269"/>
      <c r="I27" s="2269"/>
      <c r="J27" s="2269"/>
      <c r="K27" s="2269"/>
      <c r="L27" s="2270">
        <v>0</v>
      </c>
      <c r="M27" s="2269">
        <v>0</v>
      </c>
      <c r="N27" s="2271">
        <v>0</v>
      </c>
      <c r="O27" s="2269">
        <v>0</v>
      </c>
      <c r="P27" s="2269">
        <v>0</v>
      </c>
      <c r="Q27" s="2269">
        <v>0</v>
      </c>
      <c r="R27" s="2269">
        <v>0</v>
      </c>
      <c r="S27" s="2269">
        <v>0</v>
      </c>
      <c r="T27" s="2269">
        <v>0</v>
      </c>
      <c r="U27" s="2269">
        <v>0</v>
      </c>
      <c r="V27" s="2272" t="s">
        <v>630</v>
      </c>
      <c r="W27" s="2272" t="s">
        <v>630</v>
      </c>
      <c r="X27" s="2272" t="s">
        <v>630</v>
      </c>
      <c r="Y27" s="2269"/>
      <c r="Z27" s="2269"/>
      <c r="AA27" s="2269"/>
      <c r="AB27" s="2269"/>
      <c r="AC27" s="1198" t="s">
        <v>1037</v>
      </c>
      <c r="AD27" s="2273" t="s">
        <v>1228</v>
      </c>
      <c r="AE27" s="532">
        <v>0</v>
      </c>
      <c r="AF27" s="532">
        <v>0</v>
      </c>
      <c r="AG27" s="532">
        <v>0</v>
      </c>
      <c r="AH27" s="533" t="s">
        <v>630</v>
      </c>
      <c r="AI27" s="533" t="s">
        <v>630</v>
      </c>
      <c r="AJ27" s="532"/>
      <c r="AL27" s="533"/>
      <c r="AM27" s="1176" t="s">
        <v>659</v>
      </c>
      <c r="AN27" s="1177" t="s">
        <v>1807</v>
      </c>
      <c r="AO27" s="1178">
        <v>0</v>
      </c>
      <c r="AP27" s="1179">
        <v>0</v>
      </c>
      <c r="AQ27" s="1179">
        <v>0</v>
      </c>
      <c r="AR27" s="1180" t="e">
        <v>#DIV/0!</v>
      </c>
      <c r="AS27" s="585"/>
      <c r="AT27" s="588"/>
      <c r="AU27" s="586">
        <v>0</v>
      </c>
      <c r="AV27" s="1181">
        <v>0</v>
      </c>
      <c r="AW27" s="1179">
        <v>0</v>
      </c>
      <c r="AX27" s="1177">
        <v>0</v>
      </c>
      <c r="AY27" s="1176">
        <v>0</v>
      </c>
      <c r="AZ27" s="1179">
        <v>0</v>
      </c>
      <c r="BA27" s="1182">
        <v>0</v>
      </c>
      <c r="BB27" s="1176">
        <v>0</v>
      </c>
      <c r="BC27" s="1179">
        <v>0</v>
      </c>
      <c r="BD27" s="1177">
        <v>0</v>
      </c>
      <c r="BE27" s="1183">
        <v>0</v>
      </c>
      <c r="BF27" s="1179">
        <v>0</v>
      </c>
      <c r="BG27" s="1179">
        <v>0</v>
      </c>
      <c r="BH27" s="2282" t="e">
        <v>#DIV/0!</v>
      </c>
      <c r="BI27" s="542"/>
      <c r="BJ27" s="1184">
        <v>0</v>
      </c>
      <c r="BK27" s="1185">
        <v>0</v>
      </c>
      <c r="BL27" s="1185">
        <v>0</v>
      </c>
      <c r="BM27" s="2275" t="e">
        <v>#DIV/0!</v>
      </c>
      <c r="BQ27" s="2001">
        <v>0</v>
      </c>
      <c r="BR27" s="2001">
        <v>0</v>
      </c>
      <c r="BS27" s="2001">
        <v>0</v>
      </c>
      <c r="BT27" s="2001">
        <v>0</v>
      </c>
      <c r="BU27" s="2001">
        <v>0</v>
      </c>
      <c r="BV27" s="2001">
        <v>0</v>
      </c>
    </row>
    <row r="28" spans="1:74">
      <c r="A28" s="574" t="s">
        <v>661</v>
      </c>
      <c r="B28" s="575" t="s">
        <v>1808</v>
      </c>
      <c r="C28" s="2269"/>
      <c r="D28" s="2269"/>
      <c r="E28" s="2269">
        <v>0</v>
      </c>
      <c r="F28" s="2269"/>
      <c r="G28" s="2269"/>
      <c r="H28" s="2269"/>
      <c r="I28" s="2269"/>
      <c r="J28" s="2269"/>
      <c r="K28" s="2269"/>
      <c r="L28" s="2270">
        <v>0</v>
      </c>
      <c r="M28" s="2269">
        <v>0</v>
      </c>
      <c r="N28" s="2271">
        <v>0</v>
      </c>
      <c r="O28" s="2269">
        <v>0</v>
      </c>
      <c r="P28" s="2269">
        <v>0</v>
      </c>
      <c r="Q28" s="2269">
        <v>0</v>
      </c>
      <c r="R28" s="2269">
        <v>0</v>
      </c>
      <c r="S28" s="2269">
        <v>0</v>
      </c>
      <c r="T28" s="2269">
        <v>0</v>
      </c>
      <c r="U28" s="2269">
        <v>0</v>
      </c>
      <c r="V28" s="2272" t="s">
        <v>630</v>
      </c>
      <c r="W28" s="2272" t="s">
        <v>630</v>
      </c>
      <c r="X28" s="2272" t="s">
        <v>630</v>
      </c>
      <c r="Y28" s="2269"/>
      <c r="Z28" s="2269"/>
      <c r="AA28" s="2269"/>
      <c r="AB28" s="2269"/>
      <c r="AC28" s="1198" t="s">
        <v>1037</v>
      </c>
      <c r="AD28" s="2273" t="s">
        <v>1228</v>
      </c>
      <c r="AE28" s="532">
        <v>0</v>
      </c>
      <c r="AF28" s="532">
        <v>0</v>
      </c>
      <c r="AG28" s="532">
        <v>0</v>
      </c>
      <c r="AH28" s="533" t="s">
        <v>630</v>
      </c>
      <c r="AI28" s="533" t="s">
        <v>630</v>
      </c>
      <c r="AJ28" s="532"/>
      <c r="AL28" s="533"/>
      <c r="AM28" s="1176" t="s">
        <v>661</v>
      </c>
      <c r="AN28" s="1177" t="s">
        <v>1808</v>
      </c>
      <c r="AO28" s="1178">
        <v>0</v>
      </c>
      <c r="AP28" s="1179">
        <v>0</v>
      </c>
      <c r="AQ28" s="1179">
        <v>0</v>
      </c>
      <c r="AR28" s="1180" t="e">
        <v>#DIV/0!</v>
      </c>
      <c r="AS28" s="585"/>
      <c r="AT28" s="588"/>
      <c r="AU28" s="586">
        <v>0</v>
      </c>
      <c r="AV28" s="1181">
        <v>0</v>
      </c>
      <c r="AW28" s="1179">
        <v>0</v>
      </c>
      <c r="AX28" s="1177">
        <v>0</v>
      </c>
      <c r="AY28" s="1176">
        <v>0</v>
      </c>
      <c r="AZ28" s="1179">
        <v>0</v>
      </c>
      <c r="BA28" s="1182">
        <v>0</v>
      </c>
      <c r="BB28" s="1176">
        <v>0</v>
      </c>
      <c r="BC28" s="1179">
        <v>0</v>
      </c>
      <c r="BD28" s="1177">
        <v>0</v>
      </c>
      <c r="BE28" s="1183">
        <v>0</v>
      </c>
      <c r="BF28" s="1179">
        <v>0</v>
      </c>
      <c r="BG28" s="1179">
        <v>0</v>
      </c>
      <c r="BH28" s="2282" t="e">
        <v>#DIV/0!</v>
      </c>
      <c r="BI28" s="542"/>
      <c r="BJ28" s="1184">
        <v>0</v>
      </c>
      <c r="BK28" s="1185">
        <v>0</v>
      </c>
      <c r="BL28" s="1185">
        <v>0</v>
      </c>
      <c r="BM28" s="2275" t="e">
        <v>#DIV/0!</v>
      </c>
      <c r="BQ28" s="2001">
        <v>0</v>
      </c>
      <c r="BR28" s="2001">
        <v>0</v>
      </c>
      <c r="BS28" s="2001">
        <v>0</v>
      </c>
      <c r="BT28" s="2001">
        <v>0</v>
      </c>
      <c r="BU28" s="2001">
        <v>0</v>
      </c>
      <c r="BV28" s="2001">
        <v>0</v>
      </c>
    </row>
    <row r="29" spans="1:74">
      <c r="A29" s="574" t="s">
        <v>663</v>
      </c>
      <c r="B29" s="575" t="s">
        <v>1809</v>
      </c>
      <c r="C29" s="2269"/>
      <c r="D29" s="2269"/>
      <c r="E29" s="2269">
        <v>0</v>
      </c>
      <c r="F29" s="2269"/>
      <c r="G29" s="2269"/>
      <c r="H29" s="2269"/>
      <c r="I29" s="2269"/>
      <c r="J29" s="2269"/>
      <c r="K29" s="2269"/>
      <c r="L29" s="2270">
        <v>0</v>
      </c>
      <c r="M29" s="2269">
        <v>0</v>
      </c>
      <c r="N29" s="2271">
        <v>0</v>
      </c>
      <c r="O29" s="2269">
        <v>0</v>
      </c>
      <c r="P29" s="2269">
        <v>0</v>
      </c>
      <c r="Q29" s="2269">
        <v>0</v>
      </c>
      <c r="R29" s="2269">
        <v>0</v>
      </c>
      <c r="S29" s="2269">
        <v>0</v>
      </c>
      <c r="T29" s="2269">
        <v>0</v>
      </c>
      <c r="U29" s="2269">
        <v>0</v>
      </c>
      <c r="V29" s="2272" t="s">
        <v>630</v>
      </c>
      <c r="W29" s="2272" t="s">
        <v>630</v>
      </c>
      <c r="X29" s="2272" t="s">
        <v>630</v>
      </c>
      <c r="Y29" s="2269"/>
      <c r="Z29" s="2269"/>
      <c r="AA29" s="2269"/>
      <c r="AB29" s="2269"/>
      <c r="AC29" s="1198" t="s">
        <v>1037</v>
      </c>
      <c r="AD29" s="2273" t="s">
        <v>1228</v>
      </c>
      <c r="AE29" s="532">
        <v>0</v>
      </c>
      <c r="AF29" s="532">
        <v>0</v>
      </c>
      <c r="AG29" s="532">
        <v>0</v>
      </c>
      <c r="AH29" s="533" t="s">
        <v>630</v>
      </c>
      <c r="AI29" s="533" t="s">
        <v>630</v>
      </c>
      <c r="AJ29" s="532"/>
      <c r="AL29" s="533"/>
      <c r="AM29" s="1176" t="s">
        <v>663</v>
      </c>
      <c r="AN29" s="1177" t="s">
        <v>1809</v>
      </c>
      <c r="AO29" s="1178">
        <v>0</v>
      </c>
      <c r="AP29" s="1179">
        <v>0</v>
      </c>
      <c r="AQ29" s="1179">
        <v>0</v>
      </c>
      <c r="AR29" s="1180" t="e">
        <v>#DIV/0!</v>
      </c>
      <c r="AS29" s="585"/>
      <c r="AT29" s="588"/>
      <c r="AU29" s="586">
        <v>0</v>
      </c>
      <c r="AV29" s="1181">
        <v>0</v>
      </c>
      <c r="AW29" s="1179">
        <v>0</v>
      </c>
      <c r="AX29" s="1177">
        <v>0</v>
      </c>
      <c r="AY29" s="1176">
        <v>0</v>
      </c>
      <c r="AZ29" s="1179">
        <v>0</v>
      </c>
      <c r="BA29" s="1182">
        <v>0</v>
      </c>
      <c r="BB29" s="1176">
        <v>0</v>
      </c>
      <c r="BC29" s="1179">
        <v>0</v>
      </c>
      <c r="BD29" s="1177">
        <v>0</v>
      </c>
      <c r="BE29" s="1183">
        <v>0</v>
      </c>
      <c r="BF29" s="1179">
        <v>0</v>
      </c>
      <c r="BG29" s="1179">
        <v>0</v>
      </c>
      <c r="BH29" s="2282" t="e">
        <v>#DIV/0!</v>
      </c>
      <c r="BI29" s="542"/>
      <c r="BJ29" s="1184">
        <v>0</v>
      </c>
      <c r="BK29" s="1185">
        <v>0</v>
      </c>
      <c r="BL29" s="1185">
        <v>0</v>
      </c>
      <c r="BM29" s="2275" t="e">
        <v>#DIV/0!</v>
      </c>
      <c r="BQ29" s="2001">
        <v>0</v>
      </c>
      <c r="BR29" s="2001">
        <v>0</v>
      </c>
      <c r="BS29" s="2001">
        <v>0</v>
      </c>
      <c r="BT29" s="2001">
        <v>0</v>
      </c>
      <c r="BU29" s="2001">
        <v>0</v>
      </c>
      <c r="BV29" s="2001">
        <v>0</v>
      </c>
    </row>
    <row r="30" spans="1:74">
      <c r="A30" s="574" t="s">
        <v>665</v>
      </c>
      <c r="B30" s="575" t="s">
        <v>1810</v>
      </c>
      <c r="C30" s="2269"/>
      <c r="D30" s="2269"/>
      <c r="E30" s="2269">
        <v>0</v>
      </c>
      <c r="F30" s="2269"/>
      <c r="G30" s="2269"/>
      <c r="H30" s="2269"/>
      <c r="I30" s="2269"/>
      <c r="J30" s="2269"/>
      <c r="K30" s="2269"/>
      <c r="L30" s="2270">
        <v>0</v>
      </c>
      <c r="M30" s="2269">
        <v>0</v>
      </c>
      <c r="N30" s="2271">
        <v>0</v>
      </c>
      <c r="O30" s="2269">
        <v>0</v>
      </c>
      <c r="P30" s="2269">
        <v>0</v>
      </c>
      <c r="Q30" s="2269">
        <v>0</v>
      </c>
      <c r="R30" s="2269">
        <v>0</v>
      </c>
      <c r="S30" s="2269">
        <v>0</v>
      </c>
      <c r="T30" s="2269">
        <v>0</v>
      </c>
      <c r="U30" s="2269">
        <v>0</v>
      </c>
      <c r="V30" s="2272" t="s">
        <v>630</v>
      </c>
      <c r="W30" s="2272" t="s">
        <v>630</v>
      </c>
      <c r="X30" s="2272" t="s">
        <v>630</v>
      </c>
      <c r="Y30" s="2269"/>
      <c r="Z30" s="2269"/>
      <c r="AA30" s="2269"/>
      <c r="AB30" s="2269"/>
      <c r="AC30" s="1198" t="s">
        <v>1037</v>
      </c>
      <c r="AD30" s="2273" t="s">
        <v>1228</v>
      </c>
      <c r="AE30" s="532">
        <v>0</v>
      </c>
      <c r="AF30" s="532">
        <v>0</v>
      </c>
      <c r="AG30" s="532">
        <v>0</v>
      </c>
      <c r="AH30" s="533" t="s">
        <v>630</v>
      </c>
      <c r="AI30" s="533" t="s">
        <v>630</v>
      </c>
      <c r="AJ30" s="532"/>
      <c r="AL30" s="533"/>
      <c r="AM30" s="1176" t="s">
        <v>665</v>
      </c>
      <c r="AN30" s="1177" t="s">
        <v>1810</v>
      </c>
      <c r="AO30" s="1178">
        <v>0</v>
      </c>
      <c r="AP30" s="1179">
        <v>0</v>
      </c>
      <c r="AQ30" s="1179">
        <v>0</v>
      </c>
      <c r="AR30" s="1180" t="e">
        <v>#DIV/0!</v>
      </c>
      <c r="AS30" s="585"/>
      <c r="AT30" s="588"/>
      <c r="AU30" s="586">
        <v>0</v>
      </c>
      <c r="AV30" s="1181">
        <v>0</v>
      </c>
      <c r="AW30" s="1179">
        <v>0</v>
      </c>
      <c r="AX30" s="1177">
        <v>0</v>
      </c>
      <c r="AY30" s="1176">
        <v>0</v>
      </c>
      <c r="AZ30" s="1179">
        <v>0</v>
      </c>
      <c r="BA30" s="1182">
        <v>0</v>
      </c>
      <c r="BB30" s="1176">
        <v>0</v>
      </c>
      <c r="BC30" s="1179">
        <v>0</v>
      </c>
      <c r="BD30" s="1177">
        <v>0</v>
      </c>
      <c r="BE30" s="1183">
        <v>0</v>
      </c>
      <c r="BF30" s="1179">
        <v>0</v>
      </c>
      <c r="BG30" s="1179">
        <v>0</v>
      </c>
      <c r="BH30" s="2282" t="e">
        <v>#DIV/0!</v>
      </c>
      <c r="BI30" s="542"/>
      <c r="BJ30" s="1184">
        <v>0</v>
      </c>
      <c r="BK30" s="1185">
        <v>0</v>
      </c>
      <c r="BL30" s="1185">
        <v>0</v>
      </c>
      <c r="BM30" s="2275" t="e">
        <v>#DIV/0!</v>
      </c>
      <c r="BQ30" s="2001">
        <v>0</v>
      </c>
      <c r="BR30" s="2001">
        <v>0</v>
      </c>
      <c r="BS30" s="2001">
        <v>0</v>
      </c>
      <c r="BT30" s="2001">
        <v>0</v>
      </c>
      <c r="BU30" s="2001">
        <v>0</v>
      </c>
      <c r="BV30" s="2001">
        <v>0</v>
      </c>
    </row>
    <row r="31" spans="1:74">
      <c r="A31" s="1108"/>
      <c r="B31" s="1108" t="s">
        <v>1098</v>
      </c>
      <c r="C31" s="1226">
        <v>219909093</v>
      </c>
      <c r="D31" s="1226">
        <v>157384637</v>
      </c>
      <c r="E31" s="1226">
        <v>62524456</v>
      </c>
      <c r="F31" s="1227">
        <v>57831161</v>
      </c>
      <c r="G31" s="1227">
        <v>32906632</v>
      </c>
      <c r="H31" s="1227">
        <v>24924529</v>
      </c>
      <c r="I31" s="1227">
        <v>0</v>
      </c>
      <c r="J31" s="1227">
        <v>0</v>
      </c>
      <c r="K31" s="1226">
        <v>0</v>
      </c>
      <c r="L31" s="2293"/>
      <c r="M31" s="1226">
        <v>9663673</v>
      </c>
      <c r="N31" s="1226">
        <v>17768195</v>
      </c>
      <c r="O31" s="1226">
        <v>-8104522</v>
      </c>
      <c r="P31" s="1226">
        <v>9663673</v>
      </c>
      <c r="Q31" s="1226">
        <v>17768195</v>
      </c>
      <c r="R31" s="1226">
        <v>-8104522</v>
      </c>
      <c r="S31" s="1226">
        <v>67494834</v>
      </c>
      <c r="T31" s="1226">
        <v>50674827</v>
      </c>
      <c r="U31" s="1226">
        <v>16820007</v>
      </c>
      <c r="V31" s="1228">
        <v>1.142285864276811</v>
      </c>
      <c r="W31" s="1228">
        <v>1.142285864276811</v>
      </c>
      <c r="X31" s="1228">
        <v>4.0066079968791666</v>
      </c>
      <c r="Y31" s="1226">
        <v>0</v>
      </c>
      <c r="Z31" s="1226">
        <v>241615</v>
      </c>
      <c r="AA31" s="1226">
        <v>241615</v>
      </c>
      <c r="AB31" s="1226">
        <v>241615</v>
      </c>
      <c r="AC31" s="1229"/>
      <c r="AD31" s="2273"/>
      <c r="AE31" s="1213"/>
      <c r="AF31" s="1213"/>
      <c r="AG31" s="1213"/>
      <c r="AH31" s="1214"/>
      <c r="AI31" s="1214"/>
      <c r="AJ31" s="532"/>
      <c r="AL31" s="533"/>
      <c r="AM31" s="2294" t="s">
        <v>1100</v>
      </c>
      <c r="AN31" s="1230"/>
      <c r="AO31" s="1231">
        <v>219909093</v>
      </c>
      <c r="AP31" s="1231">
        <v>157384637</v>
      </c>
      <c r="AQ31" s="1231">
        <v>62524456</v>
      </c>
      <c r="AR31" s="1232" t="e">
        <v>#DIV/0!</v>
      </c>
      <c r="AS31" s="1233">
        <v>31170000</v>
      </c>
      <c r="AT31" s="1231">
        <v>20756421</v>
      </c>
      <c r="AU31" s="1234">
        <v>10413579</v>
      </c>
      <c r="AV31" s="1235">
        <v>0</v>
      </c>
      <c r="AW31" s="1231">
        <v>7472996</v>
      </c>
      <c r="AX31" s="1231">
        <v>-7472996</v>
      </c>
      <c r="AY31" s="1231">
        <v>9663673</v>
      </c>
      <c r="AZ31" s="1231">
        <v>17768195</v>
      </c>
      <c r="BA31" s="1236">
        <v>-8104522</v>
      </c>
      <c r="BB31" s="1233">
        <v>9663673</v>
      </c>
      <c r="BC31" s="1231">
        <v>17768195</v>
      </c>
      <c r="BD31" s="1234">
        <v>-8104522</v>
      </c>
      <c r="BE31" s="1235">
        <v>67494834</v>
      </c>
      <c r="BF31" s="1231">
        <v>50674827</v>
      </c>
      <c r="BG31" s="1231">
        <v>16820007</v>
      </c>
      <c r="BH31" s="1237"/>
      <c r="BI31" s="696"/>
      <c r="BJ31" s="1238">
        <v>154454259</v>
      </c>
      <c r="BK31" s="673">
        <v>108074022</v>
      </c>
      <c r="BL31" s="673">
        <v>46380237</v>
      </c>
      <c r="BM31" s="1239"/>
      <c r="BQ31" s="1226">
        <v>24903665.522081103</v>
      </c>
      <c r="BR31" s="1226">
        <v>17521591.964960076</v>
      </c>
      <c r="BS31" s="1226">
        <v>7382073.557121031</v>
      </c>
      <c r="BT31" s="1226">
        <v>-15239992.522081105</v>
      </c>
      <c r="BU31" s="1226">
        <v>246603.03503992557</v>
      </c>
      <c r="BV31" s="1226">
        <v>-15486595.557121031</v>
      </c>
    </row>
    <row r="32" spans="1:74" s="1196" customFormat="1">
      <c r="A32" s="1240" t="s">
        <v>667</v>
      </c>
      <c r="B32" s="1241" t="s">
        <v>1811</v>
      </c>
      <c r="C32" s="2276">
        <v>11112000</v>
      </c>
      <c r="D32" s="2276">
        <v>7070420</v>
      </c>
      <c r="E32" s="2276">
        <v>4041580</v>
      </c>
      <c r="F32" s="2276">
        <v>11112000</v>
      </c>
      <c r="G32" s="2276">
        <v>7070420</v>
      </c>
      <c r="H32" s="2276">
        <v>4041580</v>
      </c>
      <c r="I32" s="2276"/>
      <c r="J32" s="2276"/>
      <c r="K32" s="2276"/>
      <c r="L32" s="2270">
        <v>1</v>
      </c>
      <c r="M32" s="2276">
        <v>0</v>
      </c>
      <c r="N32" s="2277">
        <v>0</v>
      </c>
      <c r="O32" s="2276">
        <v>0</v>
      </c>
      <c r="P32" s="2276">
        <v>0</v>
      </c>
      <c r="Q32" s="2276">
        <v>0</v>
      </c>
      <c r="R32" s="2276">
        <v>0</v>
      </c>
      <c r="S32" s="2276">
        <v>11112000</v>
      </c>
      <c r="T32" s="2276">
        <v>7070420</v>
      </c>
      <c r="U32" s="2276">
        <v>4041580</v>
      </c>
      <c r="V32" s="2272" t="s">
        <v>630</v>
      </c>
      <c r="W32" s="2272" t="s">
        <v>630</v>
      </c>
      <c r="X32" s="2272">
        <v>0.36371310295176384</v>
      </c>
      <c r="Y32" s="2276"/>
      <c r="Z32" s="2276"/>
      <c r="AA32" s="2276"/>
      <c r="AB32" s="2276"/>
      <c r="AC32" s="1242" t="s">
        <v>1245</v>
      </c>
      <c r="AD32" s="2278" t="s">
        <v>1192</v>
      </c>
      <c r="AE32" s="611">
        <v>0</v>
      </c>
      <c r="AF32" s="611">
        <v>0</v>
      </c>
      <c r="AG32" s="611">
        <v>0</v>
      </c>
      <c r="AH32" s="612" t="s">
        <v>630</v>
      </c>
      <c r="AI32" s="612" t="s">
        <v>630</v>
      </c>
      <c r="AJ32" s="1243"/>
      <c r="AK32" s="1243"/>
      <c r="AL32" s="612"/>
      <c r="AM32" s="1186" t="s">
        <v>667</v>
      </c>
      <c r="AN32" s="1187" t="s">
        <v>1103</v>
      </c>
      <c r="AO32" s="1188">
        <v>11112000</v>
      </c>
      <c r="AP32" s="1189">
        <v>7070420</v>
      </c>
      <c r="AQ32" s="1189">
        <v>4041580</v>
      </c>
      <c r="AR32" s="1190">
        <v>9.16269977273131E-2</v>
      </c>
      <c r="AS32" s="618"/>
      <c r="AT32" s="1189"/>
      <c r="AU32" s="1187"/>
      <c r="AV32" s="1181">
        <v>0</v>
      </c>
      <c r="AW32" s="1179">
        <v>-129580</v>
      </c>
      <c r="AX32" s="1177">
        <v>129580</v>
      </c>
      <c r="AY32" s="1186">
        <v>0</v>
      </c>
      <c r="AZ32" s="1189">
        <v>0</v>
      </c>
      <c r="BA32" s="1192">
        <v>0</v>
      </c>
      <c r="BB32" s="1186">
        <v>0</v>
      </c>
      <c r="BC32" s="1189">
        <v>0</v>
      </c>
      <c r="BD32" s="1187">
        <v>0</v>
      </c>
      <c r="BE32" s="1193">
        <v>11112000</v>
      </c>
      <c r="BF32" s="1189">
        <v>7070420</v>
      </c>
      <c r="BG32" s="1189">
        <v>4041580</v>
      </c>
      <c r="BH32" s="2283">
        <v>1</v>
      </c>
      <c r="BI32" s="624"/>
      <c r="BJ32" s="1194">
        <v>0</v>
      </c>
      <c r="BK32" s="1195">
        <v>0</v>
      </c>
      <c r="BL32" s="1195">
        <v>0</v>
      </c>
      <c r="BM32" s="2280">
        <v>0</v>
      </c>
      <c r="BN32" s="1197"/>
      <c r="BQ32" s="2281">
        <v>0</v>
      </c>
      <c r="BR32" s="2281">
        <v>0</v>
      </c>
      <c r="BS32" s="2281">
        <v>0</v>
      </c>
      <c r="BT32" s="2281">
        <v>0</v>
      </c>
      <c r="BU32" s="2281">
        <v>0</v>
      </c>
      <c r="BV32" s="2281">
        <v>0</v>
      </c>
    </row>
    <row r="33" spans="1:74">
      <c r="A33" s="1244" t="s">
        <v>668</v>
      </c>
      <c r="B33" s="1157" t="s">
        <v>1812</v>
      </c>
      <c r="C33" s="2269">
        <v>7820000</v>
      </c>
      <c r="D33" s="2269">
        <v>8635953</v>
      </c>
      <c r="E33" s="2269">
        <v>-815953</v>
      </c>
      <c r="F33" s="2269">
        <v>7385000</v>
      </c>
      <c r="G33" s="2269">
        <v>7431809</v>
      </c>
      <c r="H33" s="2269">
        <v>-46809</v>
      </c>
      <c r="I33" s="2269"/>
      <c r="J33" s="2269"/>
      <c r="K33" s="2269"/>
      <c r="L33" s="2295">
        <v>0.95502453521921704</v>
      </c>
      <c r="M33" s="2269">
        <v>83292</v>
      </c>
      <c r="N33" s="2271">
        <v>815738</v>
      </c>
      <c r="O33" s="2269">
        <v>-732446</v>
      </c>
      <c r="P33" s="2269">
        <v>83292</v>
      </c>
      <c r="Q33" s="2269">
        <v>815738</v>
      </c>
      <c r="R33" s="2269">
        <v>-732446</v>
      </c>
      <c r="S33" s="2269">
        <v>7468292</v>
      </c>
      <c r="T33" s="2269">
        <v>8247547</v>
      </c>
      <c r="U33" s="2269">
        <v>-779255</v>
      </c>
      <c r="V33" s="2272">
        <v>-9.2343082168755704</v>
      </c>
      <c r="W33" s="2272">
        <v>-9.2343082168755704</v>
      </c>
      <c r="X33" s="2272">
        <v>-0.10434181585677749</v>
      </c>
      <c r="Y33" s="2269">
        <v>0</v>
      </c>
      <c r="Z33" s="2269">
        <v>36698</v>
      </c>
      <c r="AA33" s="2269">
        <v>36698</v>
      </c>
      <c r="AB33" s="2269">
        <v>36698</v>
      </c>
      <c r="AC33" s="1245" t="s">
        <v>1037</v>
      </c>
      <c r="AD33" s="2273" t="s">
        <v>1192</v>
      </c>
      <c r="AE33" s="690">
        <v>0</v>
      </c>
      <c r="AF33" s="690">
        <v>0</v>
      </c>
      <c r="AG33" s="690">
        <v>0</v>
      </c>
      <c r="AH33" s="533" t="s">
        <v>630</v>
      </c>
      <c r="AI33" s="533">
        <v>0</v>
      </c>
      <c r="AJ33" s="532"/>
      <c r="AL33" s="533"/>
      <c r="AM33" s="1176" t="s">
        <v>668</v>
      </c>
      <c r="AN33" s="1177" t="s">
        <v>1106</v>
      </c>
      <c r="AO33" s="1178">
        <v>7820000</v>
      </c>
      <c r="AP33" s="1179">
        <v>8635953</v>
      </c>
      <c r="AQ33" s="1179">
        <v>-815953</v>
      </c>
      <c r="AR33" s="1180">
        <v>-0.10434181585677749</v>
      </c>
      <c r="AS33" s="1176"/>
      <c r="AT33" s="1179"/>
      <c r="AU33" s="1177"/>
      <c r="AV33" s="1181">
        <v>0</v>
      </c>
      <c r="AW33" s="1179">
        <v>0</v>
      </c>
      <c r="AX33" s="1177">
        <v>0</v>
      </c>
      <c r="AY33" s="1176">
        <v>83292</v>
      </c>
      <c r="AZ33" s="1179">
        <v>852436</v>
      </c>
      <c r="BA33" s="1182">
        <v>-769144</v>
      </c>
      <c r="BB33" s="1176">
        <v>83292</v>
      </c>
      <c r="BC33" s="1179">
        <v>852436</v>
      </c>
      <c r="BD33" s="1177">
        <v>-769144</v>
      </c>
      <c r="BE33" s="1183">
        <v>7468292</v>
      </c>
      <c r="BF33" s="1179">
        <v>8284245</v>
      </c>
      <c r="BG33" s="1182">
        <v>-815953</v>
      </c>
      <c r="BH33" s="2274">
        <v>0.95502455242966755</v>
      </c>
      <c r="BI33" s="696"/>
      <c r="BJ33" s="1184">
        <v>351708</v>
      </c>
      <c r="BK33" s="1185">
        <v>351708</v>
      </c>
      <c r="BL33" s="1185">
        <v>0</v>
      </c>
      <c r="BM33" s="2275">
        <v>4.497544757033245E-2</v>
      </c>
      <c r="BN33" s="1197"/>
      <c r="BQ33" s="2001">
        <v>738664.41375954682</v>
      </c>
      <c r="BR33" s="2001">
        <v>815738</v>
      </c>
      <c r="BS33" s="2001">
        <v>-77073.58624045318</v>
      </c>
      <c r="BT33" s="2001">
        <v>-655372.41375954682</v>
      </c>
      <c r="BU33" s="2001">
        <v>0</v>
      </c>
      <c r="BV33" s="2001">
        <v>-655372.41375954682</v>
      </c>
    </row>
    <row r="34" spans="1:74">
      <c r="A34" s="1244" t="s">
        <v>670</v>
      </c>
      <c r="B34" s="1157" t="s">
        <v>1813</v>
      </c>
      <c r="C34" s="2269">
        <v>4030000</v>
      </c>
      <c r="D34" s="2269">
        <v>2390732</v>
      </c>
      <c r="E34" s="2269">
        <v>1639268</v>
      </c>
      <c r="F34" s="2269">
        <v>3590000</v>
      </c>
      <c r="G34" s="2269">
        <v>1731812</v>
      </c>
      <c r="H34" s="2269">
        <v>1858188</v>
      </c>
      <c r="I34" s="2269"/>
      <c r="J34" s="2269"/>
      <c r="K34" s="2269"/>
      <c r="L34" s="2270">
        <v>0.94015096631491901</v>
      </c>
      <c r="M34" s="2269">
        <v>198808</v>
      </c>
      <c r="N34" s="2271">
        <v>515837</v>
      </c>
      <c r="O34" s="2269">
        <v>-317029</v>
      </c>
      <c r="P34" s="2269">
        <v>198808</v>
      </c>
      <c r="Q34" s="2269">
        <v>515837</v>
      </c>
      <c r="R34" s="2269">
        <v>-317029</v>
      </c>
      <c r="S34" s="2269">
        <v>3788808</v>
      </c>
      <c r="T34" s="2269">
        <v>2247649</v>
      </c>
      <c r="U34" s="2269">
        <v>1541159</v>
      </c>
      <c r="V34" s="2272">
        <v>-1.5946491086877792</v>
      </c>
      <c r="W34" s="2272">
        <v>-1.5946491086877792</v>
      </c>
      <c r="X34" s="2272">
        <v>0.40676625310173697</v>
      </c>
      <c r="Y34" s="2269"/>
      <c r="Z34" s="2269"/>
      <c r="AA34" s="2269"/>
      <c r="AB34" s="2269"/>
      <c r="AC34" s="1245" t="s">
        <v>1037</v>
      </c>
      <c r="AD34" s="2273" t="s">
        <v>1192</v>
      </c>
      <c r="AE34" s="690">
        <v>0</v>
      </c>
      <c r="AF34" s="690">
        <v>0</v>
      </c>
      <c r="AG34" s="690">
        <v>0</v>
      </c>
      <c r="AH34" s="533" t="s">
        <v>630</v>
      </c>
      <c r="AI34" s="533" t="s">
        <v>630</v>
      </c>
      <c r="AJ34" s="532"/>
      <c r="AL34" s="533"/>
      <c r="AM34" s="1176" t="s">
        <v>670</v>
      </c>
      <c r="AN34" s="1177" t="s">
        <v>1110</v>
      </c>
      <c r="AO34" s="1178">
        <v>4030000</v>
      </c>
      <c r="AP34" s="1179">
        <v>2390732</v>
      </c>
      <c r="AQ34" s="1179">
        <v>1639268</v>
      </c>
      <c r="AR34" s="1180">
        <v>0.40676625310173697</v>
      </c>
      <c r="AS34" s="1176"/>
      <c r="AT34" s="1179"/>
      <c r="AU34" s="1177"/>
      <c r="AV34" s="1181">
        <v>0</v>
      </c>
      <c r="AW34" s="1179">
        <v>-409268</v>
      </c>
      <c r="AX34" s="1177">
        <v>409268</v>
      </c>
      <c r="AY34" s="1176">
        <v>198808</v>
      </c>
      <c r="AZ34" s="1179">
        <v>515837</v>
      </c>
      <c r="BA34" s="1182">
        <v>-317029</v>
      </c>
      <c r="BB34" s="1176">
        <v>198808</v>
      </c>
      <c r="BC34" s="1179">
        <v>515837</v>
      </c>
      <c r="BD34" s="1177">
        <v>-317029</v>
      </c>
      <c r="BE34" s="1183">
        <v>3788808</v>
      </c>
      <c r="BF34" s="1179">
        <v>2247649</v>
      </c>
      <c r="BG34" s="1182">
        <v>1541159</v>
      </c>
      <c r="BH34" s="2274">
        <v>0.94015086848635232</v>
      </c>
      <c r="BI34" s="696"/>
      <c r="BJ34" s="1184">
        <v>241192</v>
      </c>
      <c r="BK34" s="1185">
        <v>143083</v>
      </c>
      <c r="BL34" s="1185">
        <v>98109</v>
      </c>
      <c r="BM34" s="2275">
        <v>5.984913151364768E-2</v>
      </c>
      <c r="BN34" s="1197"/>
      <c r="BQ34" s="2001">
        <v>869534.14686380583</v>
      </c>
      <c r="BR34" s="2001">
        <v>515837</v>
      </c>
      <c r="BS34" s="2001">
        <v>353697.14686380583</v>
      </c>
      <c r="BT34" s="2001">
        <v>-670726.14686380583</v>
      </c>
      <c r="BU34" s="2001">
        <v>0</v>
      </c>
      <c r="BV34" s="2001">
        <v>-670726.14686380583</v>
      </c>
    </row>
    <row r="35" spans="1:74" s="1196" customFormat="1">
      <c r="A35" s="1240" t="s">
        <v>672</v>
      </c>
      <c r="B35" s="1241" t="s">
        <v>1814</v>
      </c>
      <c r="C35" s="2276">
        <v>5150000</v>
      </c>
      <c r="D35" s="2276">
        <v>3686233</v>
      </c>
      <c r="E35" s="2276">
        <v>1463767</v>
      </c>
      <c r="F35" s="2276">
        <v>867500</v>
      </c>
      <c r="G35" s="2276">
        <v>329900</v>
      </c>
      <c r="H35" s="2276">
        <v>537600</v>
      </c>
      <c r="I35" s="2276"/>
      <c r="J35" s="2276"/>
      <c r="K35" s="2276"/>
      <c r="L35" s="2270">
        <v>0.10891308281381</v>
      </c>
      <c r="M35" s="2276">
        <v>-306598</v>
      </c>
      <c r="N35" s="2277">
        <v>71579</v>
      </c>
      <c r="O35" s="2276">
        <v>-378177</v>
      </c>
      <c r="P35" s="2276">
        <v>-306598</v>
      </c>
      <c r="Q35" s="2276">
        <v>71579</v>
      </c>
      <c r="R35" s="2276">
        <v>-378177</v>
      </c>
      <c r="S35" s="2276">
        <v>560902</v>
      </c>
      <c r="T35" s="2276">
        <v>401479</v>
      </c>
      <c r="U35" s="2276">
        <v>159423</v>
      </c>
      <c r="V35" s="2272">
        <v>1.2334620578085962</v>
      </c>
      <c r="W35" s="2272">
        <v>1.2334620578085962</v>
      </c>
      <c r="X35" s="2272">
        <v>0.28422660194174759</v>
      </c>
      <c r="Y35" s="2276"/>
      <c r="Z35" s="2276"/>
      <c r="AA35" s="2276"/>
      <c r="AB35" s="2276"/>
      <c r="AC35" s="1242" t="s">
        <v>1245</v>
      </c>
      <c r="AD35" s="2278" t="s">
        <v>1192</v>
      </c>
      <c r="AE35" s="611">
        <v>0</v>
      </c>
      <c r="AF35" s="611">
        <v>0</v>
      </c>
      <c r="AG35" s="611">
        <v>0</v>
      </c>
      <c r="AH35" s="612" t="s">
        <v>630</v>
      </c>
      <c r="AI35" s="612" t="s">
        <v>630</v>
      </c>
      <c r="AJ35" s="611"/>
      <c r="AK35" s="611"/>
      <c r="AL35" s="612"/>
      <c r="AM35" s="1186" t="s">
        <v>672</v>
      </c>
      <c r="AN35" s="1187" t="s">
        <v>1114</v>
      </c>
      <c r="AO35" s="1188">
        <v>5150000</v>
      </c>
      <c r="AP35" s="1189">
        <v>3686233</v>
      </c>
      <c r="AQ35" s="1189">
        <v>1463767</v>
      </c>
      <c r="AR35" s="1190">
        <v>0.28422660194174759</v>
      </c>
      <c r="AS35" s="618"/>
      <c r="AT35" s="1189"/>
      <c r="AU35" s="1187"/>
      <c r="AV35" s="1181">
        <v>0</v>
      </c>
      <c r="AW35" s="1179">
        <v>0</v>
      </c>
      <c r="AX35" s="1177">
        <v>0</v>
      </c>
      <c r="AY35" s="1186">
        <v>-306598</v>
      </c>
      <c r="AZ35" s="1189">
        <v>71579</v>
      </c>
      <c r="BA35" s="1192">
        <v>-378177</v>
      </c>
      <c r="BB35" s="1186">
        <v>-306598</v>
      </c>
      <c r="BC35" s="1189">
        <v>71579</v>
      </c>
      <c r="BD35" s="1187">
        <v>-378177</v>
      </c>
      <c r="BE35" s="1193">
        <v>560902</v>
      </c>
      <c r="BF35" s="1189">
        <v>401479</v>
      </c>
      <c r="BG35" s="1192">
        <v>159423</v>
      </c>
      <c r="BH35" s="2279">
        <v>0.10891300970873787</v>
      </c>
      <c r="BI35" s="624"/>
      <c r="BJ35" s="1194">
        <v>4589098</v>
      </c>
      <c r="BK35" s="1195">
        <v>3284754</v>
      </c>
      <c r="BL35" s="1195">
        <v>1304344</v>
      </c>
      <c r="BM35" s="2280">
        <v>0.89108699029126215</v>
      </c>
      <c r="BN35" s="1197"/>
      <c r="BQ35" s="2281">
        <v>100002.31944101199</v>
      </c>
      <c r="BR35" s="2281">
        <v>71579</v>
      </c>
      <c r="BS35" s="2281">
        <v>28423.31944101199</v>
      </c>
      <c r="BT35" s="2281">
        <v>-406600.31944101199</v>
      </c>
      <c r="BU35" s="2281">
        <v>0</v>
      </c>
      <c r="BV35" s="2281">
        <v>-406600.31944101199</v>
      </c>
    </row>
    <row r="36" spans="1:74">
      <c r="A36" s="1244" t="s">
        <v>673</v>
      </c>
      <c r="B36" s="1157" t="s">
        <v>1815</v>
      </c>
      <c r="C36" s="2269">
        <v>19200000</v>
      </c>
      <c r="D36" s="2269">
        <v>12357744</v>
      </c>
      <c r="E36" s="2269">
        <v>6842256</v>
      </c>
      <c r="F36" s="2269">
        <v>10965000</v>
      </c>
      <c r="G36" s="2269">
        <v>6422371</v>
      </c>
      <c r="H36" s="2269">
        <v>4542629</v>
      </c>
      <c r="I36" s="2269"/>
      <c r="J36" s="2269"/>
      <c r="K36" s="2269"/>
      <c r="L36" s="2270">
        <v>0.77291429568374304</v>
      </c>
      <c r="M36" s="2269">
        <v>3874954</v>
      </c>
      <c r="N36" s="2271">
        <v>3129106</v>
      </c>
      <c r="O36" s="2269">
        <v>745848</v>
      </c>
      <c r="P36" s="2269">
        <v>3874954</v>
      </c>
      <c r="Q36" s="2269">
        <v>3129106</v>
      </c>
      <c r="R36" s="2269">
        <v>745848</v>
      </c>
      <c r="S36" s="2269">
        <v>14839954</v>
      </c>
      <c r="T36" s="2269">
        <v>9551477</v>
      </c>
      <c r="U36" s="2269">
        <v>5288477</v>
      </c>
      <c r="V36" s="2272">
        <v>0.19247918814003986</v>
      </c>
      <c r="W36" s="2272">
        <v>0.19247918814003986</v>
      </c>
      <c r="X36" s="2272">
        <v>0.3563675</v>
      </c>
      <c r="Y36" s="2269"/>
      <c r="Z36" s="2269"/>
      <c r="AA36" s="2269"/>
      <c r="AB36" s="2269"/>
      <c r="AC36" s="1245" t="s">
        <v>1037</v>
      </c>
      <c r="AD36" s="2273" t="s">
        <v>1192</v>
      </c>
      <c r="AE36" s="690">
        <v>0</v>
      </c>
      <c r="AF36" s="690">
        <v>0</v>
      </c>
      <c r="AG36" s="690">
        <v>0</v>
      </c>
      <c r="AH36" s="533" t="s">
        <v>630</v>
      </c>
      <c r="AI36" s="533" t="s">
        <v>630</v>
      </c>
      <c r="AJ36" s="532"/>
      <c r="AL36" s="533"/>
      <c r="AM36" s="1176" t="s">
        <v>673</v>
      </c>
      <c r="AN36" s="1177" t="s">
        <v>1118</v>
      </c>
      <c r="AO36" s="1178">
        <v>19200000</v>
      </c>
      <c r="AP36" s="1179">
        <v>12357744</v>
      </c>
      <c r="AQ36" s="1179">
        <v>6842256</v>
      </c>
      <c r="AR36" s="1180">
        <v>0.3563675</v>
      </c>
      <c r="AS36" s="596"/>
      <c r="AT36" s="1179"/>
      <c r="AU36" s="1177"/>
      <c r="AV36" s="1181">
        <v>0</v>
      </c>
      <c r="AW36" s="1179">
        <v>-1742256</v>
      </c>
      <c r="AX36" s="1177">
        <v>1742256</v>
      </c>
      <c r="AY36" s="1176">
        <v>3874954</v>
      </c>
      <c r="AZ36" s="1179">
        <v>3129106</v>
      </c>
      <c r="BA36" s="1182">
        <v>745848</v>
      </c>
      <c r="BB36" s="1176">
        <v>3874954</v>
      </c>
      <c r="BC36" s="1179">
        <v>3129106</v>
      </c>
      <c r="BD36" s="1177">
        <v>745848</v>
      </c>
      <c r="BE36" s="1183">
        <v>14839954</v>
      </c>
      <c r="BF36" s="1179">
        <v>9551477</v>
      </c>
      <c r="BG36" s="1182">
        <v>5288477</v>
      </c>
      <c r="BH36" s="2274">
        <v>0.77291427083333331</v>
      </c>
      <c r="BI36" s="696"/>
      <c r="BJ36" s="1184">
        <v>4360046</v>
      </c>
      <c r="BK36" s="1185">
        <v>2806267</v>
      </c>
      <c r="BL36" s="1185">
        <v>1553779</v>
      </c>
      <c r="BM36" s="2275">
        <v>0.22708572916666669</v>
      </c>
      <c r="BN36" s="1197"/>
      <c r="BQ36" s="2001">
        <v>4861634.5507723736</v>
      </c>
      <c r="BR36" s="2001">
        <v>3129106</v>
      </c>
      <c r="BS36" s="2001">
        <v>1732528.5507723736</v>
      </c>
      <c r="BT36" s="2001">
        <v>-986680.55077237356</v>
      </c>
      <c r="BU36" s="2001">
        <v>0</v>
      </c>
      <c r="BV36" s="2001">
        <v>-986680.55077237356</v>
      </c>
    </row>
    <row r="37" spans="1:74">
      <c r="A37" s="1244" t="s">
        <v>675</v>
      </c>
      <c r="B37" s="1157" t="s">
        <v>1816</v>
      </c>
      <c r="C37" s="2269">
        <v>4940000</v>
      </c>
      <c r="D37" s="2269">
        <v>3200000</v>
      </c>
      <c r="E37" s="2269">
        <v>1740000</v>
      </c>
      <c r="F37" s="2269">
        <v>3530000</v>
      </c>
      <c r="G37" s="2269">
        <v>1849895</v>
      </c>
      <c r="H37" s="2269">
        <v>1680105</v>
      </c>
      <c r="I37" s="2269"/>
      <c r="J37" s="2269"/>
      <c r="K37" s="2269"/>
      <c r="L37" s="2270">
        <v>0.91452062499999998</v>
      </c>
      <c r="M37" s="2269">
        <v>987732</v>
      </c>
      <c r="N37" s="2271">
        <v>1076571</v>
      </c>
      <c r="O37" s="2269">
        <v>-88839</v>
      </c>
      <c r="P37" s="2269">
        <v>987732</v>
      </c>
      <c r="Q37" s="2269">
        <v>1076571</v>
      </c>
      <c r="R37" s="2269">
        <v>-88839</v>
      </c>
      <c r="S37" s="2269">
        <v>4517732</v>
      </c>
      <c r="T37" s="2269">
        <v>2926466</v>
      </c>
      <c r="U37" s="2269">
        <v>1591266</v>
      </c>
      <c r="V37" s="2272">
        <v>-8.9942413529175924E-2</v>
      </c>
      <c r="W37" s="2272">
        <v>-8.9942413529175924E-2</v>
      </c>
      <c r="X37" s="2272">
        <v>0.35222672064777327</v>
      </c>
      <c r="Y37" s="2269"/>
      <c r="Z37" s="2269"/>
      <c r="AA37" s="2269"/>
      <c r="AB37" s="2269"/>
      <c r="AC37" s="1245" t="s">
        <v>1037</v>
      </c>
      <c r="AD37" s="2273" t="s">
        <v>1192</v>
      </c>
      <c r="AE37" s="690">
        <v>0</v>
      </c>
      <c r="AF37" s="690">
        <v>0</v>
      </c>
      <c r="AG37" s="690">
        <v>0</v>
      </c>
      <c r="AH37" s="533" t="s">
        <v>630</v>
      </c>
      <c r="AI37" s="533" t="s">
        <v>630</v>
      </c>
      <c r="AJ37" s="532"/>
      <c r="AL37" s="533"/>
      <c r="AM37" s="1176" t="s">
        <v>675</v>
      </c>
      <c r="AN37" s="1177" t="s">
        <v>1122</v>
      </c>
      <c r="AO37" s="1178">
        <v>4940000</v>
      </c>
      <c r="AP37" s="1179">
        <v>3200000</v>
      </c>
      <c r="AQ37" s="1179">
        <v>1740000</v>
      </c>
      <c r="AR37" s="1180">
        <v>0.35222672064777327</v>
      </c>
      <c r="AS37" s="596"/>
      <c r="AT37" s="1179"/>
      <c r="AU37" s="1177"/>
      <c r="AV37" s="1181">
        <v>0</v>
      </c>
      <c r="AW37" s="1179">
        <v>0</v>
      </c>
      <c r="AX37" s="1177">
        <v>0</v>
      </c>
      <c r="AY37" s="1176">
        <v>987732</v>
      </c>
      <c r="AZ37" s="1179">
        <v>1076571</v>
      </c>
      <c r="BA37" s="1182">
        <v>-88839</v>
      </c>
      <c r="BB37" s="1176">
        <v>987732</v>
      </c>
      <c r="BC37" s="1179">
        <v>1076571</v>
      </c>
      <c r="BD37" s="1177">
        <v>-88839</v>
      </c>
      <c r="BE37" s="1183">
        <v>4517732</v>
      </c>
      <c r="BF37" s="1179">
        <v>2926466</v>
      </c>
      <c r="BG37" s="1182">
        <v>1591266</v>
      </c>
      <c r="BH37" s="2274">
        <v>0.91452064777327935</v>
      </c>
      <c r="BI37" s="696"/>
      <c r="BJ37" s="1184">
        <v>422268</v>
      </c>
      <c r="BK37" s="1185">
        <v>273534</v>
      </c>
      <c r="BL37" s="1185">
        <v>148734</v>
      </c>
      <c r="BM37" s="2275">
        <v>8.5479352226720651E-2</v>
      </c>
      <c r="BN37" s="1197"/>
      <c r="BQ37" s="2001">
        <v>1661956.48125</v>
      </c>
      <c r="BR37" s="2001">
        <v>1076571</v>
      </c>
      <c r="BS37" s="2001">
        <v>585385.48124999995</v>
      </c>
      <c r="BT37" s="2001">
        <v>-674224.48124999995</v>
      </c>
      <c r="BU37" s="2001">
        <v>0</v>
      </c>
      <c r="BV37" s="2001">
        <v>-674224.48124999995</v>
      </c>
    </row>
    <row r="38" spans="1:74">
      <c r="A38" s="1244" t="s">
        <v>677</v>
      </c>
      <c r="B38" s="1157" t="s">
        <v>446</v>
      </c>
      <c r="C38" s="2269">
        <v>31186000</v>
      </c>
      <c r="D38" s="2269">
        <v>16578194</v>
      </c>
      <c r="E38" s="2269">
        <v>14607806</v>
      </c>
      <c r="F38" s="2269">
        <v>21665000</v>
      </c>
      <c r="G38" s="2269">
        <v>11292695</v>
      </c>
      <c r="H38" s="2269">
        <v>10372305</v>
      </c>
      <c r="I38" s="2269"/>
      <c r="J38" s="2269"/>
      <c r="K38" s="2269"/>
      <c r="L38" s="2270">
        <v>0.92425761213796898</v>
      </c>
      <c r="M38" s="2269">
        <v>7158898</v>
      </c>
      <c r="N38" s="2271">
        <v>4029827</v>
      </c>
      <c r="O38" s="2269">
        <v>3129071</v>
      </c>
      <c r="P38" s="2269">
        <v>7158898</v>
      </c>
      <c r="Q38" s="2269">
        <v>4029827</v>
      </c>
      <c r="R38" s="2269">
        <v>3129071</v>
      </c>
      <c r="S38" s="2269">
        <v>28823898</v>
      </c>
      <c r="T38" s="2269">
        <v>15322522</v>
      </c>
      <c r="U38" s="2269">
        <v>13501376</v>
      </c>
      <c r="V38" s="2272">
        <v>0.43708836192386036</v>
      </c>
      <c r="W38" s="2272">
        <v>0.43708836192386036</v>
      </c>
      <c r="X38" s="2272">
        <v>0.46840909382415186</v>
      </c>
      <c r="Y38" s="2269"/>
      <c r="Z38" s="2269"/>
      <c r="AA38" s="2269"/>
      <c r="AB38" s="2269"/>
      <c r="AC38" s="1245" t="s">
        <v>1037</v>
      </c>
      <c r="AD38" s="2273" t="s">
        <v>1192</v>
      </c>
      <c r="AE38" s="690">
        <v>0</v>
      </c>
      <c r="AF38" s="690">
        <v>0</v>
      </c>
      <c r="AG38" s="690">
        <v>0</v>
      </c>
      <c r="AH38" s="533" t="s">
        <v>630</v>
      </c>
      <c r="AI38" s="533" t="s">
        <v>630</v>
      </c>
      <c r="AJ38" s="532"/>
      <c r="AL38" s="533"/>
      <c r="AM38" s="1176" t="s">
        <v>677</v>
      </c>
      <c r="AN38" s="1177" t="s">
        <v>1126</v>
      </c>
      <c r="AO38" s="1178">
        <v>31186000</v>
      </c>
      <c r="AP38" s="1179">
        <v>16578194</v>
      </c>
      <c r="AQ38" s="1179">
        <v>14607806</v>
      </c>
      <c r="AR38" s="1180">
        <v>0.46840909382415186</v>
      </c>
      <c r="AS38" s="1176"/>
      <c r="AT38" s="1179"/>
      <c r="AU38" s="1177"/>
      <c r="AV38" s="1181">
        <v>-1652000</v>
      </c>
      <c r="AW38" s="1179">
        <v>-4421806</v>
      </c>
      <c r="AX38" s="1177">
        <v>2769806</v>
      </c>
      <c r="AY38" s="1176">
        <v>7158898</v>
      </c>
      <c r="AZ38" s="1179">
        <v>4029827</v>
      </c>
      <c r="BA38" s="1182">
        <v>3129071</v>
      </c>
      <c r="BB38" s="1176">
        <v>7158898</v>
      </c>
      <c r="BC38" s="1179">
        <v>4029827</v>
      </c>
      <c r="BD38" s="1177">
        <v>3129071</v>
      </c>
      <c r="BE38" s="1183">
        <v>28823898</v>
      </c>
      <c r="BF38" s="1179">
        <v>15322522</v>
      </c>
      <c r="BG38" s="1182">
        <v>13501376</v>
      </c>
      <c r="BH38" s="2274">
        <v>0.92425761559674213</v>
      </c>
      <c r="BI38" s="542"/>
      <c r="BJ38" s="1184">
        <v>2362102</v>
      </c>
      <c r="BK38" s="1185">
        <v>1255672</v>
      </c>
      <c r="BL38" s="1185">
        <v>1106430</v>
      </c>
      <c r="BM38" s="2275">
        <v>7.5742384403257867E-2</v>
      </c>
      <c r="BN38" s="1197"/>
      <c r="BQ38" s="2001">
        <v>7580692.1322069224</v>
      </c>
      <c r="BR38" s="2001">
        <v>4029827</v>
      </c>
      <c r="BS38" s="2001">
        <v>3550865.1322069224</v>
      </c>
      <c r="BT38" s="2001">
        <v>-421794.1322069224</v>
      </c>
      <c r="BU38" s="2001">
        <v>0</v>
      </c>
      <c r="BV38" s="2001">
        <v>-421794.1322069224</v>
      </c>
    </row>
    <row r="39" spans="1:74">
      <c r="A39" s="1244" t="s">
        <v>678</v>
      </c>
      <c r="B39" s="1157" t="s">
        <v>1817</v>
      </c>
      <c r="C39" s="2269">
        <v>2200000</v>
      </c>
      <c r="D39" s="2269">
        <v>1681852</v>
      </c>
      <c r="E39" s="2269">
        <v>518148</v>
      </c>
      <c r="F39" s="2269">
        <v>2200000</v>
      </c>
      <c r="G39" s="2269">
        <v>1517663</v>
      </c>
      <c r="H39" s="2269">
        <v>682337</v>
      </c>
      <c r="I39" s="2269"/>
      <c r="J39" s="2269"/>
      <c r="K39" s="2269"/>
      <c r="L39" s="2270">
        <v>1</v>
      </c>
      <c r="M39" s="2269">
        <v>0</v>
      </c>
      <c r="N39" s="2271">
        <v>164189</v>
      </c>
      <c r="O39" s="2269">
        <v>-164189</v>
      </c>
      <c r="P39" s="2269">
        <v>0</v>
      </c>
      <c r="Q39" s="2269">
        <v>164189</v>
      </c>
      <c r="R39" s="2269">
        <v>-164189</v>
      </c>
      <c r="S39" s="2269">
        <v>2200000</v>
      </c>
      <c r="T39" s="2269">
        <v>1681852</v>
      </c>
      <c r="U39" s="2269">
        <v>518148</v>
      </c>
      <c r="V39" s="2272" t="s">
        <v>630</v>
      </c>
      <c r="W39" s="2272" t="s">
        <v>630</v>
      </c>
      <c r="X39" s="2272">
        <v>0.23552181818181819</v>
      </c>
      <c r="Y39" s="2269"/>
      <c r="Z39" s="2269"/>
      <c r="AA39" s="2269"/>
      <c r="AB39" s="2269"/>
      <c r="AC39" s="1245" t="s">
        <v>1037</v>
      </c>
      <c r="AD39" s="2273" t="s">
        <v>1192</v>
      </c>
      <c r="AE39" s="690">
        <v>0</v>
      </c>
      <c r="AF39" s="690">
        <v>0</v>
      </c>
      <c r="AG39" s="690">
        <v>0</v>
      </c>
      <c r="AH39" s="533" t="s">
        <v>630</v>
      </c>
      <c r="AI39" s="533" t="s">
        <v>630</v>
      </c>
      <c r="AJ39" s="532"/>
      <c r="AL39" s="533"/>
      <c r="AM39" s="1176" t="s">
        <v>678</v>
      </c>
      <c r="AN39" s="1177" t="s">
        <v>1130</v>
      </c>
      <c r="AO39" s="1178">
        <v>2200000</v>
      </c>
      <c r="AP39" s="1179">
        <v>1681852</v>
      </c>
      <c r="AQ39" s="1179">
        <v>518148</v>
      </c>
      <c r="AR39" s="1180">
        <v>0.23552181818181819</v>
      </c>
      <c r="AS39" s="1176"/>
      <c r="AT39" s="1179"/>
      <c r="AU39" s="1177"/>
      <c r="AV39" s="1181">
        <v>0</v>
      </c>
      <c r="AW39" s="1179">
        <v>-11803</v>
      </c>
      <c r="AX39" s="1177">
        <v>11803</v>
      </c>
      <c r="AY39" s="1176">
        <v>0</v>
      </c>
      <c r="AZ39" s="1179">
        <v>164189</v>
      </c>
      <c r="BA39" s="1182">
        <v>-164189</v>
      </c>
      <c r="BB39" s="1176">
        <v>0</v>
      </c>
      <c r="BC39" s="1179">
        <v>164189</v>
      </c>
      <c r="BD39" s="1177">
        <v>-164189</v>
      </c>
      <c r="BE39" s="1183">
        <v>2200000</v>
      </c>
      <c r="BF39" s="1179">
        <v>1681852</v>
      </c>
      <c r="BG39" s="1182">
        <v>518148</v>
      </c>
      <c r="BH39" s="2274">
        <v>1</v>
      </c>
      <c r="BI39" s="542"/>
      <c r="BJ39" s="1184">
        <v>0</v>
      </c>
      <c r="BK39" s="1185">
        <v>0</v>
      </c>
      <c r="BL39" s="1185">
        <v>0</v>
      </c>
      <c r="BM39" s="2275">
        <v>0</v>
      </c>
      <c r="BN39" s="1197"/>
      <c r="BQ39" s="2001">
        <v>214772.64349062816</v>
      </c>
      <c r="BR39" s="2001">
        <v>164189</v>
      </c>
      <c r="BS39" s="2001">
        <v>50583.643490628165</v>
      </c>
      <c r="BT39" s="2001">
        <v>-214772.64349062816</v>
      </c>
      <c r="BU39" s="2001">
        <v>0</v>
      </c>
      <c r="BV39" s="2001">
        <v>-214772.64349062816</v>
      </c>
    </row>
    <row r="40" spans="1:74">
      <c r="A40" s="1244" t="s">
        <v>680</v>
      </c>
      <c r="B40" s="1157" t="s">
        <v>1818</v>
      </c>
      <c r="C40" s="2269">
        <v>3125000</v>
      </c>
      <c r="D40" s="2269">
        <v>2550964</v>
      </c>
      <c r="E40" s="2269">
        <v>574036</v>
      </c>
      <c r="F40" s="2269">
        <v>2685000</v>
      </c>
      <c r="G40" s="2269">
        <v>1745102</v>
      </c>
      <c r="H40" s="2269">
        <v>939898</v>
      </c>
      <c r="I40" s="2269"/>
      <c r="J40" s="2269"/>
      <c r="K40" s="2269"/>
      <c r="L40" s="2270">
        <v>0.88857036006780199</v>
      </c>
      <c r="M40" s="2269">
        <v>91782</v>
      </c>
      <c r="N40" s="2271">
        <v>521609</v>
      </c>
      <c r="O40" s="2269">
        <v>-429827</v>
      </c>
      <c r="P40" s="2269">
        <v>91782</v>
      </c>
      <c r="Q40" s="2269">
        <v>521609</v>
      </c>
      <c r="R40" s="2269">
        <v>-429827</v>
      </c>
      <c r="S40" s="2269">
        <v>2776782</v>
      </c>
      <c r="T40" s="2269">
        <v>2266711</v>
      </c>
      <c r="U40" s="2269">
        <v>510071</v>
      </c>
      <c r="V40" s="2272">
        <v>-4.6831295896798935</v>
      </c>
      <c r="W40" s="2272">
        <v>-4.6831295896798935</v>
      </c>
      <c r="X40" s="2272">
        <v>0.18369152</v>
      </c>
      <c r="Y40" s="2269"/>
      <c r="Z40" s="2269"/>
      <c r="AA40" s="2269"/>
      <c r="AB40" s="2269"/>
      <c r="AC40" s="1245" t="s">
        <v>1037</v>
      </c>
      <c r="AD40" s="2273" t="s">
        <v>1192</v>
      </c>
      <c r="AE40" s="690">
        <v>0</v>
      </c>
      <c r="AF40" s="690">
        <v>0</v>
      </c>
      <c r="AG40" s="690">
        <v>0</v>
      </c>
      <c r="AH40" s="533" t="s">
        <v>630</v>
      </c>
      <c r="AI40" s="533" t="s">
        <v>630</v>
      </c>
      <c r="AJ40" s="532"/>
      <c r="AL40" s="533"/>
      <c r="AM40" s="1176" t="s">
        <v>680</v>
      </c>
      <c r="AN40" s="1177" t="s">
        <v>1134</v>
      </c>
      <c r="AO40" s="1178">
        <v>3125000</v>
      </c>
      <c r="AP40" s="1179">
        <v>2550964</v>
      </c>
      <c r="AQ40" s="1179">
        <v>574036</v>
      </c>
      <c r="AR40" s="1180">
        <v>0.18369152</v>
      </c>
      <c r="AS40" s="596"/>
      <c r="AT40" s="1179"/>
      <c r="AU40" s="1177"/>
      <c r="AV40" s="1181">
        <v>0</v>
      </c>
      <c r="AW40" s="1179">
        <v>0</v>
      </c>
      <c r="AX40" s="1177">
        <v>0</v>
      </c>
      <c r="AY40" s="1176">
        <v>91782</v>
      </c>
      <c r="AZ40" s="1179">
        <v>521609</v>
      </c>
      <c r="BA40" s="1182">
        <v>-429827</v>
      </c>
      <c r="BB40" s="1176">
        <v>91782</v>
      </c>
      <c r="BC40" s="1179">
        <v>521609</v>
      </c>
      <c r="BD40" s="1177">
        <v>-429827</v>
      </c>
      <c r="BE40" s="1183">
        <v>2776782</v>
      </c>
      <c r="BF40" s="1179">
        <v>2266711</v>
      </c>
      <c r="BG40" s="1182">
        <v>510071</v>
      </c>
      <c r="BH40" s="2274">
        <v>0.88857023999999996</v>
      </c>
      <c r="BI40" s="542"/>
      <c r="BJ40" s="1184">
        <v>348218</v>
      </c>
      <c r="BK40" s="1185">
        <v>284253</v>
      </c>
      <c r="BL40" s="1185">
        <v>63965</v>
      </c>
      <c r="BM40" s="2275">
        <v>0.11142976000000004</v>
      </c>
      <c r="BN40" s="1197"/>
      <c r="BQ40" s="2001">
        <v>638985.15423973056</v>
      </c>
      <c r="BR40" s="2001">
        <v>521609</v>
      </c>
      <c r="BS40" s="2001">
        <v>117376.15423973056</v>
      </c>
      <c r="BT40" s="2001">
        <v>-547203.15423973056</v>
      </c>
      <c r="BU40" s="2001">
        <v>0</v>
      </c>
      <c r="BV40" s="2001">
        <v>-547203.15423973056</v>
      </c>
    </row>
    <row r="41" spans="1:74">
      <c r="A41" s="1244" t="s">
        <v>682</v>
      </c>
      <c r="B41" s="1157" t="s">
        <v>1819</v>
      </c>
      <c r="C41" s="2269">
        <v>2042000</v>
      </c>
      <c r="D41" s="2269">
        <v>1088331</v>
      </c>
      <c r="E41" s="2269">
        <v>953669</v>
      </c>
      <c r="F41" s="2269">
        <v>1542000</v>
      </c>
      <c r="G41" s="2269">
        <v>689945</v>
      </c>
      <c r="H41" s="2269">
        <v>852055</v>
      </c>
      <c r="I41" s="2269"/>
      <c r="J41" s="2269"/>
      <c r="K41" s="2269"/>
      <c r="L41" s="2270">
        <v>0.82681463635603503</v>
      </c>
      <c r="M41" s="2269">
        <v>146355</v>
      </c>
      <c r="N41" s="2271">
        <v>209903</v>
      </c>
      <c r="O41" s="2269">
        <v>-63548</v>
      </c>
      <c r="P41" s="2269">
        <v>146355</v>
      </c>
      <c r="Q41" s="2269">
        <v>209903</v>
      </c>
      <c r="R41" s="2269">
        <v>-63548</v>
      </c>
      <c r="S41" s="2269">
        <v>1688355</v>
      </c>
      <c r="T41" s="2269">
        <v>899848</v>
      </c>
      <c r="U41" s="2269">
        <v>788507</v>
      </c>
      <c r="V41" s="2272">
        <v>-0.43420450275016226</v>
      </c>
      <c r="W41" s="2272">
        <v>-0.43420450275016226</v>
      </c>
      <c r="X41" s="2272">
        <v>0.4670269343780607</v>
      </c>
      <c r="Y41" s="2269"/>
      <c r="Z41" s="2269"/>
      <c r="AA41" s="2269"/>
      <c r="AB41" s="2269"/>
      <c r="AC41" s="1245" t="s">
        <v>1037</v>
      </c>
      <c r="AD41" s="2273" t="s">
        <v>1192</v>
      </c>
      <c r="AE41" s="690">
        <v>0</v>
      </c>
      <c r="AF41" s="690">
        <v>0</v>
      </c>
      <c r="AG41" s="690">
        <v>0</v>
      </c>
      <c r="AH41" s="533" t="s">
        <v>630</v>
      </c>
      <c r="AI41" s="533" t="s">
        <v>630</v>
      </c>
      <c r="AJ41" s="532"/>
      <c r="AL41" s="533"/>
      <c r="AM41" s="1176" t="s">
        <v>682</v>
      </c>
      <c r="AN41" s="1177" t="s">
        <v>1138</v>
      </c>
      <c r="AO41" s="1178">
        <v>2042000</v>
      </c>
      <c r="AP41" s="1179">
        <v>1088331</v>
      </c>
      <c r="AQ41" s="1179">
        <v>953669</v>
      </c>
      <c r="AR41" s="1180">
        <v>0.4670269343780607</v>
      </c>
      <c r="AS41" s="596"/>
      <c r="AT41" s="1179"/>
      <c r="AU41" s="1177"/>
      <c r="AV41" s="1181">
        <v>0</v>
      </c>
      <c r="AW41" s="1179">
        <v>0</v>
      </c>
      <c r="AX41" s="1177">
        <v>0</v>
      </c>
      <c r="AY41" s="1176">
        <v>146355</v>
      </c>
      <c r="AZ41" s="1179">
        <v>209903</v>
      </c>
      <c r="BA41" s="1182">
        <v>-63548</v>
      </c>
      <c r="BB41" s="1176">
        <v>146355</v>
      </c>
      <c r="BC41" s="1179">
        <v>209903</v>
      </c>
      <c r="BD41" s="1177">
        <v>-63548</v>
      </c>
      <c r="BE41" s="1183">
        <v>1688355</v>
      </c>
      <c r="BF41" s="1179">
        <v>899848</v>
      </c>
      <c r="BG41" s="1182">
        <v>788507</v>
      </c>
      <c r="BH41" s="2274">
        <v>0.82681439764936338</v>
      </c>
      <c r="BI41" s="542"/>
      <c r="BJ41" s="1184">
        <v>353645</v>
      </c>
      <c r="BK41" s="1185">
        <v>188483</v>
      </c>
      <c r="BL41" s="1185">
        <v>165162</v>
      </c>
      <c r="BM41" s="2275">
        <v>0.17318560235063662</v>
      </c>
      <c r="BN41" s="1197"/>
      <c r="BQ41" s="2001">
        <v>393834.16074705217</v>
      </c>
      <c r="BR41" s="2001">
        <v>209903</v>
      </c>
      <c r="BS41" s="2001">
        <v>183931.16074705217</v>
      </c>
      <c r="BT41" s="2001">
        <v>-247479.16074705217</v>
      </c>
      <c r="BU41" s="2001">
        <v>0</v>
      </c>
      <c r="BV41" s="2001">
        <v>-247479.16074705217</v>
      </c>
    </row>
    <row r="42" spans="1:74">
      <c r="A42" s="1246" t="s">
        <v>684</v>
      </c>
      <c r="B42" s="1247" t="s">
        <v>1820</v>
      </c>
      <c r="C42" s="2269">
        <v>2202000</v>
      </c>
      <c r="D42" s="2269">
        <v>1089400</v>
      </c>
      <c r="E42" s="2269">
        <v>1112600</v>
      </c>
      <c r="F42" s="2269">
        <v>1537000</v>
      </c>
      <c r="G42" s="2269">
        <v>719787</v>
      </c>
      <c r="H42" s="2269">
        <v>817213</v>
      </c>
      <c r="I42" s="2269"/>
      <c r="J42" s="2269"/>
      <c r="K42" s="2269"/>
      <c r="L42" s="2270">
        <v>1</v>
      </c>
      <c r="M42" s="2269">
        <v>665000</v>
      </c>
      <c r="N42" s="2271">
        <v>369613</v>
      </c>
      <c r="O42" s="2269">
        <v>295387</v>
      </c>
      <c r="P42" s="2269">
        <v>665000</v>
      </c>
      <c r="Q42" s="2269">
        <v>369613</v>
      </c>
      <c r="R42" s="2269">
        <v>295387</v>
      </c>
      <c r="S42" s="2269">
        <v>2202000</v>
      </c>
      <c r="T42" s="2269">
        <v>1089400</v>
      </c>
      <c r="U42" s="2269">
        <v>1112600</v>
      </c>
      <c r="V42" s="2272">
        <v>0.44419097744360903</v>
      </c>
      <c r="W42" s="2272">
        <v>0.44419097744360903</v>
      </c>
      <c r="X42" s="2272">
        <v>0.50526793823796545</v>
      </c>
      <c r="Y42" s="2269"/>
      <c r="Z42" s="2269"/>
      <c r="AA42" s="2269"/>
      <c r="AB42" s="2269"/>
      <c r="AC42" s="1248" t="s">
        <v>1037</v>
      </c>
      <c r="AD42" s="2273" t="s">
        <v>1192</v>
      </c>
      <c r="AE42" s="690">
        <v>0</v>
      </c>
      <c r="AF42" s="690">
        <v>0</v>
      </c>
      <c r="AG42" s="690">
        <v>0</v>
      </c>
      <c r="AH42" s="533" t="s">
        <v>630</v>
      </c>
      <c r="AI42" s="533" t="s">
        <v>630</v>
      </c>
      <c r="AJ42" s="532"/>
      <c r="AL42" s="533"/>
      <c r="AM42" s="1176" t="s">
        <v>684</v>
      </c>
      <c r="AN42" s="1177" t="s">
        <v>1142</v>
      </c>
      <c r="AO42" s="1178">
        <v>2202000</v>
      </c>
      <c r="AP42" s="1179">
        <v>1089400</v>
      </c>
      <c r="AQ42" s="1179">
        <v>1112600</v>
      </c>
      <c r="AR42" s="1180">
        <v>0.50526793823796545</v>
      </c>
      <c r="AS42" s="596"/>
      <c r="AT42" s="1179"/>
      <c r="AU42" s="1177"/>
      <c r="AV42" s="1181">
        <v>20000</v>
      </c>
      <c r="AW42" s="1179">
        <v>-10600</v>
      </c>
      <c r="AX42" s="1177">
        <v>30600</v>
      </c>
      <c r="AY42" s="1176">
        <v>665000</v>
      </c>
      <c r="AZ42" s="1179">
        <v>369613</v>
      </c>
      <c r="BA42" s="1182">
        <v>295387</v>
      </c>
      <c r="BB42" s="1176">
        <v>665000</v>
      </c>
      <c r="BC42" s="1179">
        <v>369613</v>
      </c>
      <c r="BD42" s="1177">
        <v>295387</v>
      </c>
      <c r="BE42" s="1183">
        <v>2202000</v>
      </c>
      <c r="BF42" s="1179">
        <v>1089400</v>
      </c>
      <c r="BG42" s="1182">
        <v>1112600</v>
      </c>
      <c r="BH42" s="2274">
        <v>1</v>
      </c>
      <c r="BI42" s="542"/>
      <c r="BJ42" s="1184">
        <v>0</v>
      </c>
      <c r="BK42" s="1185">
        <v>0</v>
      </c>
      <c r="BL42" s="1185">
        <v>0</v>
      </c>
      <c r="BM42" s="2275">
        <v>0</v>
      </c>
      <c r="BN42" s="1197"/>
      <c r="BQ42" s="2001">
        <v>747097.32513310073</v>
      </c>
      <c r="BR42" s="2001">
        <v>369613</v>
      </c>
      <c r="BS42" s="2001">
        <v>377484.32513310073</v>
      </c>
      <c r="BT42" s="2001">
        <v>-82097.325133100734</v>
      </c>
      <c r="BU42" s="2001">
        <v>0</v>
      </c>
      <c r="BV42" s="2001">
        <v>-82097.325133100734</v>
      </c>
    </row>
    <row r="43" spans="1:74">
      <c r="A43" s="1246" t="s">
        <v>686</v>
      </c>
      <c r="B43" s="1247" t="s">
        <v>687</v>
      </c>
      <c r="C43" s="2269">
        <v>3365000</v>
      </c>
      <c r="D43" s="2269">
        <v>1792862</v>
      </c>
      <c r="E43" s="2269">
        <v>1572138</v>
      </c>
      <c r="F43" s="2269">
        <v>3100000</v>
      </c>
      <c r="G43" s="2269">
        <v>1508325</v>
      </c>
      <c r="H43" s="2269">
        <v>1591675</v>
      </c>
      <c r="I43" s="2269"/>
      <c r="J43" s="2269"/>
      <c r="K43" s="2269"/>
      <c r="L43" s="2270">
        <v>0.973867481155828</v>
      </c>
      <c r="M43" s="2269">
        <v>177064</v>
      </c>
      <c r="N43" s="2271">
        <v>237685</v>
      </c>
      <c r="O43" s="2269">
        <v>-60621</v>
      </c>
      <c r="P43" s="2269">
        <v>177064</v>
      </c>
      <c r="Q43" s="2269">
        <v>237685</v>
      </c>
      <c r="R43" s="2269">
        <v>-60621</v>
      </c>
      <c r="S43" s="2269">
        <v>3277064</v>
      </c>
      <c r="T43" s="2269">
        <v>1746010</v>
      </c>
      <c r="U43" s="2269">
        <v>1531054</v>
      </c>
      <c r="V43" s="2272">
        <v>-0.3423677314417386</v>
      </c>
      <c r="W43" s="2272">
        <v>-0.3423677314417386</v>
      </c>
      <c r="X43" s="2272">
        <v>0.46720297176820208</v>
      </c>
      <c r="Y43" s="2269"/>
      <c r="Z43" s="2269"/>
      <c r="AA43" s="2269"/>
      <c r="AB43" s="2269"/>
      <c r="AC43" s="1248" t="s">
        <v>1037</v>
      </c>
      <c r="AD43" s="2273" t="s">
        <v>1192</v>
      </c>
      <c r="AE43" s="690">
        <v>0</v>
      </c>
      <c r="AF43" s="690">
        <v>0</v>
      </c>
      <c r="AG43" s="690">
        <v>0</v>
      </c>
      <c r="AH43" s="533" t="s">
        <v>630</v>
      </c>
      <c r="AI43" s="533" t="s">
        <v>630</v>
      </c>
      <c r="AJ43" s="532"/>
      <c r="AL43" s="533"/>
      <c r="AM43" s="1176" t="s">
        <v>686</v>
      </c>
      <c r="AN43" s="1177" t="s">
        <v>1146</v>
      </c>
      <c r="AO43" s="1178">
        <v>3365000</v>
      </c>
      <c r="AP43" s="1179">
        <v>1792862</v>
      </c>
      <c r="AQ43" s="1179">
        <v>1572138</v>
      </c>
      <c r="AR43" s="1180">
        <v>0.46720297176820208</v>
      </c>
      <c r="AS43" s="596"/>
      <c r="AT43" s="1179"/>
      <c r="AU43" s="1177"/>
      <c r="AV43" s="1181">
        <v>0</v>
      </c>
      <c r="AW43" s="1179">
        <v>-507138</v>
      </c>
      <c r="AX43" s="1177">
        <v>507138</v>
      </c>
      <c r="AY43" s="1176">
        <v>177064</v>
      </c>
      <c r="AZ43" s="1179">
        <v>237685</v>
      </c>
      <c r="BA43" s="1182">
        <v>-60621</v>
      </c>
      <c r="BB43" s="1176">
        <v>177064</v>
      </c>
      <c r="BC43" s="1179">
        <v>237685</v>
      </c>
      <c r="BD43" s="1177">
        <v>-60621</v>
      </c>
      <c r="BE43" s="1183">
        <v>3277064</v>
      </c>
      <c r="BF43" s="1179">
        <v>1746010</v>
      </c>
      <c r="BG43" s="1182">
        <v>1531054</v>
      </c>
      <c r="BH43" s="2274">
        <v>0.97386745913818717</v>
      </c>
      <c r="BI43" s="542"/>
      <c r="BJ43" s="1184">
        <v>87936</v>
      </c>
      <c r="BK43" s="1185">
        <v>46852</v>
      </c>
      <c r="BL43" s="1185">
        <v>41084</v>
      </c>
      <c r="BM43" s="2275">
        <v>2.6132540861812825E-2</v>
      </c>
      <c r="BN43" s="1197"/>
      <c r="BQ43" s="2001">
        <v>446107.96871147916</v>
      </c>
      <c r="BR43" s="2001">
        <v>237685</v>
      </c>
      <c r="BS43" s="2001">
        <v>208422.96871147916</v>
      </c>
      <c r="BT43" s="2001">
        <v>-269043.96871147916</v>
      </c>
      <c r="BU43" s="2001">
        <v>0</v>
      </c>
      <c r="BV43" s="2001">
        <v>-269043.96871147916</v>
      </c>
    </row>
    <row r="44" spans="1:74" s="1196" customFormat="1">
      <c r="A44" s="1249" t="s">
        <v>688</v>
      </c>
      <c r="B44" s="1250" t="s">
        <v>689</v>
      </c>
      <c r="C44" s="2276">
        <v>3047620</v>
      </c>
      <c r="D44" s="2276">
        <v>1250140</v>
      </c>
      <c r="E44" s="2276">
        <v>1797480</v>
      </c>
      <c r="F44" s="2276">
        <v>3047620</v>
      </c>
      <c r="G44" s="2276">
        <v>1242314</v>
      </c>
      <c r="H44" s="2276">
        <v>1805306</v>
      </c>
      <c r="I44" s="2276"/>
      <c r="J44" s="2276"/>
      <c r="K44" s="2276"/>
      <c r="L44" s="2270">
        <v>1</v>
      </c>
      <c r="M44" s="2276">
        <v>0</v>
      </c>
      <c r="N44" s="2277">
        <v>7826</v>
      </c>
      <c r="O44" s="2276">
        <v>-7826</v>
      </c>
      <c r="P44" s="2276">
        <v>0</v>
      </c>
      <c r="Q44" s="2276">
        <v>7826</v>
      </c>
      <c r="R44" s="2276">
        <v>-7826</v>
      </c>
      <c r="S44" s="2276">
        <v>3047620</v>
      </c>
      <c r="T44" s="2276">
        <v>1250140</v>
      </c>
      <c r="U44" s="2276">
        <v>1797480</v>
      </c>
      <c r="V44" s="2272" t="s">
        <v>630</v>
      </c>
      <c r="W44" s="2272" t="s">
        <v>630</v>
      </c>
      <c r="X44" s="2272">
        <v>0.58979794068814351</v>
      </c>
      <c r="Y44" s="2276"/>
      <c r="Z44" s="2276"/>
      <c r="AA44" s="2276"/>
      <c r="AB44" s="2276"/>
      <c r="AC44" s="1251" t="s">
        <v>1245</v>
      </c>
      <c r="AD44" s="2278" t="s">
        <v>1192</v>
      </c>
      <c r="AE44" s="611">
        <v>0</v>
      </c>
      <c r="AF44" s="611">
        <v>0</v>
      </c>
      <c r="AG44" s="611">
        <v>0</v>
      </c>
      <c r="AH44" s="612" t="s">
        <v>630</v>
      </c>
      <c r="AI44" s="612" t="s">
        <v>630</v>
      </c>
      <c r="AJ44" s="611"/>
      <c r="AK44" s="611"/>
      <c r="AL44" s="612"/>
      <c r="AM44" s="1186" t="s">
        <v>688</v>
      </c>
      <c r="AN44" s="1187" t="s">
        <v>1150</v>
      </c>
      <c r="AO44" s="1188">
        <v>3047620</v>
      </c>
      <c r="AP44" s="1189">
        <v>1250140</v>
      </c>
      <c r="AQ44" s="1189">
        <v>1797480</v>
      </c>
      <c r="AR44" s="1190">
        <v>0.58979794068814351</v>
      </c>
      <c r="AS44" s="618"/>
      <c r="AT44" s="1189"/>
      <c r="AU44" s="1187"/>
      <c r="AV44" s="1181">
        <v>0</v>
      </c>
      <c r="AW44" s="1179">
        <v>-29692</v>
      </c>
      <c r="AX44" s="1177">
        <v>29692</v>
      </c>
      <c r="AY44" s="1186">
        <v>0</v>
      </c>
      <c r="AZ44" s="1189">
        <v>7826</v>
      </c>
      <c r="BA44" s="1192">
        <v>-7826</v>
      </c>
      <c r="BB44" s="1186">
        <v>0</v>
      </c>
      <c r="BC44" s="1189">
        <v>7826</v>
      </c>
      <c r="BD44" s="1187">
        <v>-7826</v>
      </c>
      <c r="BE44" s="1193">
        <v>3047620</v>
      </c>
      <c r="BF44" s="1189">
        <v>1250140</v>
      </c>
      <c r="BG44" s="1192">
        <v>1797480</v>
      </c>
      <c r="BH44" s="2279">
        <v>1</v>
      </c>
      <c r="BI44" s="624"/>
      <c r="BJ44" s="1194">
        <v>0</v>
      </c>
      <c r="BK44" s="1195">
        <v>0</v>
      </c>
      <c r="BL44" s="1195">
        <v>0</v>
      </c>
      <c r="BM44" s="2280">
        <v>0</v>
      </c>
      <c r="BN44" s="1197"/>
      <c r="BQ44" s="2281">
        <v>19078.402514918329</v>
      </c>
      <c r="BR44" s="2281">
        <v>7826</v>
      </c>
      <c r="BS44" s="2281">
        <v>11252.402514918329</v>
      </c>
      <c r="BT44" s="2281">
        <v>-19078.402514918329</v>
      </c>
      <c r="BU44" s="2281">
        <v>0</v>
      </c>
      <c r="BV44" s="2281">
        <v>-19078.402514918329</v>
      </c>
    </row>
    <row r="45" spans="1:74">
      <c r="A45" s="1246" t="s">
        <v>690</v>
      </c>
      <c r="B45" s="1247" t="s">
        <v>1821</v>
      </c>
      <c r="C45" s="2269">
        <v>36177000</v>
      </c>
      <c r="D45" s="2269">
        <v>28979864</v>
      </c>
      <c r="E45" s="2269">
        <v>7197136</v>
      </c>
      <c r="F45" s="2269">
        <v>3030000</v>
      </c>
      <c r="G45" s="2269">
        <v>1765598</v>
      </c>
      <c r="H45" s="2269">
        <v>1264402</v>
      </c>
      <c r="I45" s="2269"/>
      <c r="J45" s="2269"/>
      <c r="K45" s="2269"/>
      <c r="L45" s="2270">
        <v>0.304113504466412</v>
      </c>
      <c r="M45" s="2269">
        <v>7971914</v>
      </c>
      <c r="N45" s="2271">
        <v>7047570</v>
      </c>
      <c r="O45" s="2269">
        <v>924344</v>
      </c>
      <c r="P45" s="2269">
        <v>7971914</v>
      </c>
      <c r="Q45" s="2269">
        <v>7047570</v>
      </c>
      <c r="R45" s="2269">
        <v>924344</v>
      </c>
      <c r="S45" s="2269">
        <v>11001914</v>
      </c>
      <c r="T45" s="2269">
        <v>8813168</v>
      </c>
      <c r="U45" s="2269">
        <v>2188746</v>
      </c>
      <c r="V45" s="2272">
        <v>0.11595007171427088</v>
      </c>
      <c r="W45" s="2272">
        <v>0.11595007171427088</v>
      </c>
      <c r="X45" s="2272">
        <v>0.19894231141332891</v>
      </c>
      <c r="Y45" s="2269"/>
      <c r="Z45" s="2269"/>
      <c r="AA45" s="2269"/>
      <c r="AB45" s="2269"/>
      <c r="AC45" s="1248" t="s">
        <v>1037</v>
      </c>
      <c r="AD45" s="2273" t="s">
        <v>1192</v>
      </c>
      <c r="AE45" s="690">
        <v>0</v>
      </c>
      <c r="AF45" s="690">
        <v>0</v>
      </c>
      <c r="AG45" s="690">
        <v>0</v>
      </c>
      <c r="AH45" s="533" t="s">
        <v>630</v>
      </c>
      <c r="AI45" s="533" t="s">
        <v>630</v>
      </c>
      <c r="AJ45" s="532"/>
      <c r="AL45" s="533"/>
      <c r="AM45" s="1176" t="s">
        <v>690</v>
      </c>
      <c r="AN45" s="1177" t="s">
        <v>1154</v>
      </c>
      <c r="AO45" s="1178">
        <v>36177000</v>
      </c>
      <c r="AP45" s="1179">
        <v>28979864</v>
      </c>
      <c r="AQ45" s="1179">
        <v>7197136</v>
      </c>
      <c r="AR45" s="1180">
        <v>0.19894231141332891</v>
      </c>
      <c r="AS45" s="596"/>
      <c r="AT45" s="1179"/>
      <c r="AU45" s="1177"/>
      <c r="AV45" s="1181">
        <v>0</v>
      </c>
      <c r="AW45" s="1179">
        <v>-201290</v>
      </c>
      <c r="AX45" s="1177">
        <v>201290</v>
      </c>
      <c r="AY45" s="1176">
        <v>7971914</v>
      </c>
      <c r="AZ45" s="1179">
        <v>7047570</v>
      </c>
      <c r="BA45" s="1182">
        <v>924344</v>
      </c>
      <c r="BB45" s="1176">
        <v>7971914</v>
      </c>
      <c r="BC45" s="1179">
        <v>7047570</v>
      </c>
      <c r="BD45" s="1177">
        <v>924344</v>
      </c>
      <c r="BE45" s="1183">
        <v>11001914</v>
      </c>
      <c r="BF45" s="1179">
        <v>8813168</v>
      </c>
      <c r="BG45" s="1182">
        <v>2188746</v>
      </c>
      <c r="BH45" s="2274">
        <v>0.30411349752605249</v>
      </c>
      <c r="BI45" s="542"/>
      <c r="BJ45" s="1184">
        <v>25175086</v>
      </c>
      <c r="BK45" s="1185">
        <v>20166696</v>
      </c>
      <c r="BL45" s="1185">
        <v>5008390</v>
      </c>
      <c r="BM45" s="2275">
        <v>0.69588650247394757</v>
      </c>
      <c r="BN45" s="1197"/>
      <c r="BQ45" s="2001">
        <v>8797830.7934778444</v>
      </c>
      <c r="BR45" s="2001">
        <v>7047570</v>
      </c>
      <c r="BS45" s="2001">
        <v>1750260.7934778444</v>
      </c>
      <c r="BT45" s="2001">
        <v>-825916.79347784445</v>
      </c>
      <c r="BU45" s="2001">
        <v>0</v>
      </c>
      <c r="BV45" s="2001">
        <v>-825916.79347784445</v>
      </c>
    </row>
    <row r="46" spans="1:74">
      <c r="A46" s="1246" t="s">
        <v>692</v>
      </c>
      <c r="B46" s="1247" t="s">
        <v>693</v>
      </c>
      <c r="C46" s="2269">
        <v>1910000</v>
      </c>
      <c r="D46" s="2269">
        <v>1274592</v>
      </c>
      <c r="E46" s="2269">
        <v>635408</v>
      </c>
      <c r="F46" s="2269">
        <v>1170000</v>
      </c>
      <c r="G46" s="2269">
        <v>630479</v>
      </c>
      <c r="H46" s="2269">
        <v>539521</v>
      </c>
      <c r="I46" s="2269"/>
      <c r="J46" s="2269"/>
      <c r="K46" s="2269"/>
      <c r="L46" s="2270">
        <v>0.86117989129070305</v>
      </c>
      <c r="M46" s="2269">
        <v>474854</v>
      </c>
      <c r="N46" s="2271">
        <v>467174</v>
      </c>
      <c r="O46" s="2269">
        <v>7680</v>
      </c>
      <c r="P46" s="2269">
        <v>474854</v>
      </c>
      <c r="Q46" s="2269">
        <v>467174</v>
      </c>
      <c r="R46" s="2269">
        <v>7680</v>
      </c>
      <c r="S46" s="2269">
        <v>1644854</v>
      </c>
      <c r="T46" s="2269">
        <v>1097653</v>
      </c>
      <c r="U46" s="2269">
        <v>547201</v>
      </c>
      <c r="V46" s="2272">
        <v>1.6173392242668273E-2</v>
      </c>
      <c r="W46" s="2272">
        <v>1.6173392242668273E-2</v>
      </c>
      <c r="X46" s="2272">
        <v>0.33267434554973824</v>
      </c>
      <c r="Y46" s="2269"/>
      <c r="Z46" s="2269"/>
      <c r="AA46" s="2269"/>
      <c r="AB46" s="2269"/>
      <c r="AC46" s="1248" t="s">
        <v>1037</v>
      </c>
      <c r="AD46" s="2273" t="s">
        <v>1192</v>
      </c>
      <c r="AE46" s="690">
        <v>0</v>
      </c>
      <c r="AF46" s="690">
        <v>0</v>
      </c>
      <c r="AG46" s="690">
        <v>0</v>
      </c>
      <c r="AH46" s="533" t="s">
        <v>630</v>
      </c>
      <c r="AI46" s="533" t="s">
        <v>630</v>
      </c>
      <c r="AJ46" s="532"/>
      <c r="AL46" s="533"/>
      <c r="AM46" s="1176" t="s">
        <v>692</v>
      </c>
      <c r="AN46" s="1177" t="s">
        <v>1158</v>
      </c>
      <c r="AO46" s="1178">
        <v>1910000</v>
      </c>
      <c r="AP46" s="1179">
        <v>1274592</v>
      </c>
      <c r="AQ46" s="1179">
        <v>635408</v>
      </c>
      <c r="AR46" s="1180">
        <v>0.33267434554973824</v>
      </c>
      <c r="AS46" s="596"/>
      <c r="AT46" s="1179"/>
      <c r="AU46" s="1177"/>
      <c r="AV46" s="1181">
        <v>0</v>
      </c>
      <c r="AW46" s="1179">
        <v>0</v>
      </c>
      <c r="AX46" s="1177">
        <v>0</v>
      </c>
      <c r="AY46" s="1176">
        <v>474854</v>
      </c>
      <c r="AZ46" s="1179">
        <v>467174</v>
      </c>
      <c r="BA46" s="1182">
        <v>7680</v>
      </c>
      <c r="BB46" s="1176">
        <v>474854</v>
      </c>
      <c r="BC46" s="1179">
        <v>467174</v>
      </c>
      <c r="BD46" s="1177">
        <v>7680</v>
      </c>
      <c r="BE46" s="1183">
        <v>1644854</v>
      </c>
      <c r="BF46" s="1179">
        <v>1097653</v>
      </c>
      <c r="BG46" s="1182">
        <v>547201</v>
      </c>
      <c r="BH46" s="2274">
        <v>0.86118010471204187</v>
      </c>
      <c r="BI46" s="542"/>
      <c r="BJ46" s="1184">
        <v>265146</v>
      </c>
      <c r="BK46" s="1185">
        <v>176939</v>
      </c>
      <c r="BL46" s="1185">
        <v>88207</v>
      </c>
      <c r="BM46" s="2275">
        <v>0.13881989528795813</v>
      </c>
      <c r="BN46" s="1197"/>
      <c r="BQ46" s="2001">
        <v>700068.9946273003</v>
      </c>
      <c r="BR46" s="2001">
        <v>467174</v>
      </c>
      <c r="BS46" s="2001">
        <v>232894.9946273003</v>
      </c>
      <c r="BT46" s="2001">
        <v>-225214.9946273003</v>
      </c>
      <c r="BU46" s="2001">
        <v>0</v>
      </c>
      <c r="BV46" s="2001">
        <v>-225214.9946273003</v>
      </c>
    </row>
    <row r="47" spans="1:74">
      <c r="A47" s="1246" t="s">
        <v>694</v>
      </c>
      <c r="B47" s="1247" t="s">
        <v>454</v>
      </c>
      <c r="C47" s="2269">
        <v>3969500</v>
      </c>
      <c r="D47" s="2269">
        <v>2705044</v>
      </c>
      <c r="E47" s="2269">
        <v>1264456</v>
      </c>
      <c r="F47" s="2269">
        <v>517000</v>
      </c>
      <c r="G47" s="2269">
        <v>502419</v>
      </c>
      <c r="H47" s="2269">
        <v>14581</v>
      </c>
      <c r="I47" s="2269"/>
      <c r="J47" s="2269"/>
      <c r="K47" s="2269"/>
      <c r="L47" s="2270">
        <v>0.55254295309059698</v>
      </c>
      <c r="M47" s="2269">
        <v>1676319</v>
      </c>
      <c r="N47" s="2271">
        <v>992234</v>
      </c>
      <c r="O47" s="2269">
        <v>684085</v>
      </c>
      <c r="P47" s="2269">
        <v>1676319</v>
      </c>
      <c r="Q47" s="2269">
        <v>992234</v>
      </c>
      <c r="R47" s="2269">
        <v>684085</v>
      </c>
      <c r="S47" s="2269">
        <v>2193319</v>
      </c>
      <c r="T47" s="2269">
        <v>1494653</v>
      </c>
      <c r="U47" s="2269">
        <v>698666</v>
      </c>
      <c r="V47" s="2272">
        <v>0.40808760146487633</v>
      </c>
      <c r="W47" s="2272">
        <v>0.40808760146487633</v>
      </c>
      <c r="X47" s="2272">
        <v>0.31854288953268672</v>
      </c>
      <c r="Y47" s="2269"/>
      <c r="Z47" s="2269"/>
      <c r="AA47" s="2269"/>
      <c r="AB47" s="2269"/>
      <c r="AC47" s="1248" t="s">
        <v>1037</v>
      </c>
      <c r="AD47" s="2273" t="s">
        <v>1192</v>
      </c>
      <c r="AE47" s="690">
        <v>0</v>
      </c>
      <c r="AF47" s="690">
        <v>0</v>
      </c>
      <c r="AG47" s="690">
        <v>0</v>
      </c>
      <c r="AH47" s="533" t="s">
        <v>630</v>
      </c>
      <c r="AI47" s="533" t="s">
        <v>630</v>
      </c>
      <c r="AJ47" s="532"/>
      <c r="AL47" s="533"/>
      <c r="AM47" s="1176" t="s">
        <v>694</v>
      </c>
      <c r="AN47" s="1177" t="s">
        <v>1822</v>
      </c>
      <c r="AO47" s="1178">
        <v>3969500</v>
      </c>
      <c r="AP47" s="1179">
        <v>2705044</v>
      </c>
      <c r="AQ47" s="1179">
        <v>1264456</v>
      </c>
      <c r="AR47" s="1180">
        <v>0.31854288953268672</v>
      </c>
      <c r="AS47" s="596"/>
      <c r="AT47" s="1179"/>
      <c r="AU47" s="1177"/>
      <c r="AV47" s="1181">
        <v>46000</v>
      </c>
      <c r="AW47" s="1179">
        <v>0</v>
      </c>
      <c r="AX47" s="1177">
        <v>46000</v>
      </c>
      <c r="AY47" s="1176">
        <v>1676319</v>
      </c>
      <c r="AZ47" s="1179">
        <v>992234</v>
      </c>
      <c r="BA47" s="1182">
        <v>684085</v>
      </c>
      <c r="BB47" s="1176">
        <v>1676319</v>
      </c>
      <c r="BC47" s="1179">
        <v>992234</v>
      </c>
      <c r="BD47" s="1177">
        <v>684085</v>
      </c>
      <c r="BE47" s="1183">
        <v>2193319</v>
      </c>
      <c r="BF47" s="1179">
        <v>1494653</v>
      </c>
      <c r="BG47" s="1182">
        <v>698666</v>
      </c>
      <c r="BH47" s="2274">
        <v>0.55254288953268671</v>
      </c>
      <c r="BI47" s="542"/>
      <c r="BJ47" s="1184">
        <v>1776181</v>
      </c>
      <c r="BK47" s="1185">
        <v>1210391</v>
      </c>
      <c r="BL47" s="1185">
        <v>565790</v>
      </c>
      <c r="BM47" s="2275">
        <v>0.44745711046731329</v>
      </c>
      <c r="BN47" s="1197"/>
      <c r="BQ47" s="2001">
        <v>1456047.6143826128</v>
      </c>
      <c r="BR47" s="2001">
        <v>992234</v>
      </c>
      <c r="BS47" s="2001">
        <v>463813.61438261275</v>
      </c>
      <c r="BT47" s="2001">
        <v>220271.38561738725</v>
      </c>
      <c r="BU47" s="2001">
        <v>0</v>
      </c>
      <c r="BV47" s="2001">
        <v>220271.38561738725</v>
      </c>
    </row>
    <row r="48" spans="1:74">
      <c r="A48" s="1246" t="s">
        <v>695</v>
      </c>
      <c r="B48" s="1247" t="s">
        <v>696</v>
      </c>
      <c r="C48" s="2269">
        <v>2655000</v>
      </c>
      <c r="D48" s="2269">
        <v>1823753</v>
      </c>
      <c r="E48" s="2269">
        <v>831247</v>
      </c>
      <c r="F48" s="2269">
        <v>155000</v>
      </c>
      <c r="G48" s="2269">
        <v>171224</v>
      </c>
      <c r="H48" s="2269">
        <v>-16224</v>
      </c>
      <c r="I48" s="2269"/>
      <c r="J48" s="2269"/>
      <c r="K48" s="2269"/>
      <c r="L48" s="2270">
        <v>0.62628546738511204</v>
      </c>
      <c r="M48" s="2269">
        <v>1507788</v>
      </c>
      <c r="N48" s="2271">
        <v>970966</v>
      </c>
      <c r="O48" s="2269">
        <v>536822</v>
      </c>
      <c r="P48" s="2269">
        <v>1507788</v>
      </c>
      <c r="Q48" s="2269">
        <v>970966</v>
      </c>
      <c r="R48" s="2269">
        <v>536822</v>
      </c>
      <c r="S48" s="2269">
        <v>1662788</v>
      </c>
      <c r="T48" s="2269">
        <v>1142190</v>
      </c>
      <c r="U48" s="2269">
        <v>520598</v>
      </c>
      <c r="V48" s="2272">
        <v>0.35603281097873174</v>
      </c>
      <c r="W48" s="2272">
        <v>0.35603281097873174</v>
      </c>
      <c r="X48" s="2272">
        <v>0.31308738229755179</v>
      </c>
      <c r="Y48" s="2269"/>
      <c r="Z48" s="2269"/>
      <c r="AA48" s="2269"/>
      <c r="AB48" s="2269"/>
      <c r="AC48" s="1248" t="s">
        <v>1037</v>
      </c>
      <c r="AD48" s="2273" t="s">
        <v>1192</v>
      </c>
      <c r="AE48" s="690">
        <v>0</v>
      </c>
      <c r="AF48" s="690">
        <v>0</v>
      </c>
      <c r="AG48" s="690">
        <v>0</v>
      </c>
      <c r="AH48" s="533" t="s">
        <v>630</v>
      </c>
      <c r="AI48" s="533" t="s">
        <v>630</v>
      </c>
      <c r="AJ48" s="532"/>
      <c r="AL48" s="533"/>
      <c r="AM48" s="1176" t="s">
        <v>695</v>
      </c>
      <c r="AN48" s="1177" t="s">
        <v>1164</v>
      </c>
      <c r="AO48" s="1178">
        <v>2655000</v>
      </c>
      <c r="AP48" s="1179">
        <v>1823753</v>
      </c>
      <c r="AQ48" s="1179">
        <v>831247</v>
      </c>
      <c r="AR48" s="1180">
        <v>0.31308738229755179</v>
      </c>
      <c r="AS48" s="596"/>
      <c r="AT48" s="1179"/>
      <c r="AU48" s="1177"/>
      <c r="AV48" s="1181">
        <v>0</v>
      </c>
      <c r="AW48" s="1179">
        <v>-52247</v>
      </c>
      <c r="AX48" s="1177">
        <v>52247</v>
      </c>
      <c r="AY48" s="1176">
        <v>1507788</v>
      </c>
      <c r="AZ48" s="1179">
        <v>970966</v>
      </c>
      <c r="BA48" s="1182">
        <v>536822</v>
      </c>
      <c r="BB48" s="1176">
        <v>1507788</v>
      </c>
      <c r="BC48" s="1179">
        <v>970966</v>
      </c>
      <c r="BD48" s="1177">
        <v>536822</v>
      </c>
      <c r="BE48" s="1183">
        <v>1662788</v>
      </c>
      <c r="BF48" s="1179">
        <v>1142190</v>
      </c>
      <c r="BG48" s="1182">
        <v>520598</v>
      </c>
      <c r="BH48" s="2274">
        <v>0.62628549905838038</v>
      </c>
      <c r="BI48" s="542"/>
      <c r="BJ48" s="1184">
        <v>992212</v>
      </c>
      <c r="BK48" s="1185">
        <v>681563</v>
      </c>
      <c r="BL48" s="1185">
        <v>310649</v>
      </c>
      <c r="BM48" s="2275">
        <v>0.37371450094161962</v>
      </c>
      <c r="BN48" s="1197"/>
      <c r="BQ48" s="2001">
        <v>1413521.8584972855</v>
      </c>
      <c r="BR48" s="2001">
        <v>970966</v>
      </c>
      <c r="BS48" s="2001">
        <v>442555.85849728552</v>
      </c>
      <c r="BT48" s="2001">
        <v>94266.141502714483</v>
      </c>
      <c r="BU48" s="2001">
        <v>0</v>
      </c>
      <c r="BV48" s="2001">
        <v>94266.141502714483</v>
      </c>
    </row>
    <row r="49" spans="1:74" s="1212" customFormat="1">
      <c r="A49" s="1252" t="s">
        <v>697</v>
      </c>
      <c r="B49" s="1253" t="s">
        <v>698</v>
      </c>
      <c r="C49" s="961">
        <v>2588000</v>
      </c>
      <c r="D49" s="961">
        <v>1778000</v>
      </c>
      <c r="E49" s="961">
        <v>810000</v>
      </c>
      <c r="F49" s="961">
        <v>0</v>
      </c>
      <c r="G49" s="961">
        <v>0</v>
      </c>
      <c r="H49" s="961">
        <v>0</v>
      </c>
      <c r="I49" s="961"/>
      <c r="J49" s="961"/>
      <c r="K49" s="961"/>
      <c r="L49" s="2270">
        <v>0.387941507311586</v>
      </c>
      <c r="M49" s="961">
        <v>1003993</v>
      </c>
      <c r="N49" s="2284">
        <v>689760</v>
      </c>
      <c r="O49" s="961">
        <v>314233</v>
      </c>
      <c r="P49" s="961">
        <v>1003993</v>
      </c>
      <c r="Q49" s="961">
        <v>689760</v>
      </c>
      <c r="R49" s="961">
        <v>314233</v>
      </c>
      <c r="S49" s="961">
        <v>1003993</v>
      </c>
      <c r="T49" s="961">
        <v>689760</v>
      </c>
      <c r="U49" s="961">
        <v>314233</v>
      </c>
      <c r="V49" s="2272">
        <v>0.31298325785139935</v>
      </c>
      <c r="W49" s="2272">
        <v>0.31298325785139935</v>
      </c>
      <c r="X49" s="2272">
        <v>0.31298299845440497</v>
      </c>
      <c r="Y49" s="961"/>
      <c r="Z49" s="961"/>
      <c r="AA49" s="961"/>
      <c r="AB49" s="961"/>
      <c r="AC49" s="1254" t="s">
        <v>1037</v>
      </c>
      <c r="AD49" s="2285" t="s">
        <v>1192</v>
      </c>
      <c r="AE49" s="640">
        <v>0</v>
      </c>
      <c r="AF49" s="640">
        <v>0</v>
      </c>
      <c r="AG49" s="640">
        <v>0</v>
      </c>
      <c r="AH49" s="641" t="s">
        <v>630</v>
      </c>
      <c r="AI49" s="641" t="s">
        <v>630</v>
      </c>
      <c r="AJ49" s="640"/>
      <c r="AK49" s="640"/>
      <c r="AL49" s="641"/>
      <c r="AM49" s="1203" t="s">
        <v>697</v>
      </c>
      <c r="AN49" s="1204" t="s">
        <v>1167</v>
      </c>
      <c r="AO49" s="1205">
        <v>2588000</v>
      </c>
      <c r="AP49" s="1206">
        <v>1778000</v>
      </c>
      <c r="AQ49" s="1206">
        <v>810000</v>
      </c>
      <c r="AR49" s="1207">
        <v>0.31298299845440497</v>
      </c>
      <c r="AS49" s="647">
        <v>2588000</v>
      </c>
      <c r="AT49" s="1206">
        <v>1778000</v>
      </c>
      <c r="AU49" s="1204">
        <v>810000</v>
      </c>
      <c r="AV49" s="1181">
        <v>0</v>
      </c>
      <c r="AW49" s="1179">
        <v>0</v>
      </c>
      <c r="AX49" s="1177">
        <v>0</v>
      </c>
      <c r="AY49" s="1203">
        <v>1003993</v>
      </c>
      <c r="AZ49" s="1206">
        <v>689760</v>
      </c>
      <c r="BA49" s="1208">
        <v>314233</v>
      </c>
      <c r="BB49" s="1203">
        <v>1003993</v>
      </c>
      <c r="BC49" s="1206">
        <v>689760</v>
      </c>
      <c r="BD49" s="1204">
        <v>314233</v>
      </c>
      <c r="BE49" s="1209">
        <v>1003993</v>
      </c>
      <c r="BF49" s="1206">
        <v>689760</v>
      </c>
      <c r="BG49" s="1208">
        <v>314233</v>
      </c>
      <c r="BH49" s="2296">
        <v>0.38794165378670786</v>
      </c>
      <c r="BI49" s="653"/>
      <c r="BJ49" s="1210">
        <v>1584007</v>
      </c>
      <c r="BK49" s="1211">
        <v>1088240</v>
      </c>
      <c r="BL49" s="1211">
        <v>495767</v>
      </c>
      <c r="BM49" s="2287">
        <v>0.61205834621329214</v>
      </c>
      <c r="BN49" s="1197"/>
      <c r="BQ49" s="2001">
        <v>1003992.6209223847</v>
      </c>
      <c r="BR49" s="2001">
        <v>689760</v>
      </c>
      <c r="BS49" s="2001">
        <v>314232.62092238467</v>
      </c>
      <c r="BT49" s="2001">
        <v>0.37907761533278972</v>
      </c>
      <c r="BU49" s="2001">
        <v>0</v>
      </c>
      <c r="BV49" s="2001">
        <v>0.37907761533278972</v>
      </c>
    </row>
    <row r="50" spans="1:74" s="1212" customFormat="1">
      <c r="A50" s="1252" t="s">
        <v>699</v>
      </c>
      <c r="B50" s="1255" t="s">
        <v>700</v>
      </c>
      <c r="C50" s="961">
        <v>4070040</v>
      </c>
      <c r="D50" s="961">
        <v>3406000</v>
      </c>
      <c r="E50" s="961">
        <v>664040</v>
      </c>
      <c r="F50" s="961">
        <v>0</v>
      </c>
      <c r="G50" s="961">
        <v>0</v>
      </c>
      <c r="H50" s="961">
        <v>0</v>
      </c>
      <c r="I50" s="961"/>
      <c r="J50" s="961"/>
      <c r="K50" s="961"/>
      <c r="L50" s="2270">
        <v>0.166938050499119</v>
      </c>
      <c r="M50" s="961">
        <v>679445</v>
      </c>
      <c r="N50" s="2284">
        <v>568591</v>
      </c>
      <c r="O50" s="961">
        <v>110854</v>
      </c>
      <c r="P50" s="961">
        <v>679445</v>
      </c>
      <c r="Q50" s="961">
        <v>568591</v>
      </c>
      <c r="R50" s="961">
        <v>110854</v>
      </c>
      <c r="S50" s="961">
        <v>679445</v>
      </c>
      <c r="T50" s="961">
        <v>568591</v>
      </c>
      <c r="U50" s="961">
        <v>110854</v>
      </c>
      <c r="V50" s="2272">
        <v>0.16315375048753025</v>
      </c>
      <c r="W50" s="2272">
        <v>0.16315375048753025</v>
      </c>
      <c r="X50" s="2272">
        <v>0.16315318768365913</v>
      </c>
      <c r="Y50" s="961"/>
      <c r="Z50" s="961"/>
      <c r="AA50" s="961"/>
      <c r="AB50" s="961"/>
      <c r="AC50" s="1254" t="s">
        <v>1037</v>
      </c>
      <c r="AD50" s="2285" t="s">
        <v>1192</v>
      </c>
      <c r="AE50" s="640">
        <v>0</v>
      </c>
      <c r="AF50" s="640">
        <v>0</v>
      </c>
      <c r="AG50" s="640">
        <v>0</v>
      </c>
      <c r="AH50" s="641" t="s">
        <v>630</v>
      </c>
      <c r="AI50" s="641" t="s">
        <v>630</v>
      </c>
      <c r="AJ50" s="640"/>
      <c r="AK50" s="640"/>
      <c r="AL50" s="641"/>
      <c r="AM50" s="1203" t="s">
        <v>699</v>
      </c>
      <c r="AN50" s="1204" t="s">
        <v>1170</v>
      </c>
      <c r="AO50" s="1205">
        <v>4070040</v>
      </c>
      <c r="AP50" s="1206">
        <v>3406000</v>
      </c>
      <c r="AQ50" s="1206">
        <v>664040</v>
      </c>
      <c r="AR50" s="1207">
        <v>0.16315318768365913</v>
      </c>
      <c r="AS50" s="647">
        <v>4070040</v>
      </c>
      <c r="AT50" s="1206">
        <v>3406000</v>
      </c>
      <c r="AU50" s="1204">
        <v>664040</v>
      </c>
      <c r="AV50" s="1181">
        <v>0</v>
      </c>
      <c r="AW50" s="1179">
        <v>0</v>
      </c>
      <c r="AX50" s="1177">
        <v>0</v>
      </c>
      <c r="AY50" s="1203">
        <v>679445</v>
      </c>
      <c r="AZ50" s="1206">
        <v>568591</v>
      </c>
      <c r="BA50" s="1208">
        <v>110854</v>
      </c>
      <c r="BB50" s="1203">
        <v>679445</v>
      </c>
      <c r="BC50" s="1206">
        <v>568591</v>
      </c>
      <c r="BD50" s="1204">
        <v>110854</v>
      </c>
      <c r="BE50" s="1209">
        <v>679445</v>
      </c>
      <c r="BF50" s="1206">
        <v>568591</v>
      </c>
      <c r="BG50" s="1208">
        <v>110854</v>
      </c>
      <c r="BH50" s="2296">
        <v>0.16693816276989906</v>
      </c>
      <c r="BI50" s="653"/>
      <c r="BJ50" s="1210">
        <v>3390595</v>
      </c>
      <c r="BK50" s="1211">
        <v>2837409</v>
      </c>
      <c r="BL50" s="1211">
        <v>553186</v>
      </c>
      <c r="BM50" s="2287">
        <v>0.83306183723010097</v>
      </c>
      <c r="BN50" s="1197"/>
      <c r="BQ50" s="2001">
        <v>679444.54305343505</v>
      </c>
      <c r="BR50" s="2001">
        <v>568591</v>
      </c>
      <c r="BS50" s="2001">
        <v>110853.54305343505</v>
      </c>
      <c r="BT50" s="2001">
        <v>0.45694656495470554</v>
      </c>
      <c r="BU50" s="2001">
        <v>0</v>
      </c>
      <c r="BV50" s="2001">
        <v>0.45694656495470554</v>
      </c>
    </row>
    <row r="51" spans="1:74" s="1212" customFormat="1">
      <c r="A51" s="1252" t="s">
        <v>701</v>
      </c>
      <c r="B51" s="1252" t="s">
        <v>702</v>
      </c>
      <c r="C51" s="961">
        <v>11482667</v>
      </c>
      <c r="D51" s="961">
        <v>8018707</v>
      </c>
      <c r="E51" s="961">
        <v>3463960</v>
      </c>
      <c r="F51" s="961">
        <v>0</v>
      </c>
      <c r="G51" s="961">
        <v>0</v>
      </c>
      <c r="H51" s="961">
        <v>0</v>
      </c>
      <c r="I51" s="961"/>
      <c r="J51" s="961"/>
      <c r="K51" s="961"/>
      <c r="L51" s="2270">
        <v>7.9305304458686401E-2</v>
      </c>
      <c r="M51" s="961">
        <v>910636</v>
      </c>
      <c r="N51" s="2284">
        <v>635926</v>
      </c>
      <c r="O51" s="961">
        <v>274710</v>
      </c>
      <c r="P51" s="961">
        <v>910636</v>
      </c>
      <c r="Q51" s="961">
        <v>635926</v>
      </c>
      <c r="R51" s="961">
        <v>274710</v>
      </c>
      <c r="S51" s="961">
        <v>910636</v>
      </c>
      <c r="T51" s="961">
        <v>635926</v>
      </c>
      <c r="U51" s="961">
        <v>274710</v>
      </c>
      <c r="V51" s="2272">
        <v>0.30166828458352185</v>
      </c>
      <c r="W51" s="2272">
        <v>0.30166828458352185</v>
      </c>
      <c r="X51" s="2272">
        <v>0.30166859319354988</v>
      </c>
      <c r="Y51" s="961"/>
      <c r="Z51" s="961"/>
      <c r="AA51" s="961"/>
      <c r="AB51" s="961"/>
      <c r="AC51" s="1256" t="s">
        <v>1037</v>
      </c>
      <c r="AD51" s="2285" t="s">
        <v>1192</v>
      </c>
      <c r="AE51" s="640">
        <v>0</v>
      </c>
      <c r="AF51" s="640">
        <v>0</v>
      </c>
      <c r="AG51" s="640">
        <v>0</v>
      </c>
      <c r="AH51" s="641" t="s">
        <v>630</v>
      </c>
      <c r="AI51" s="641" t="s">
        <v>630</v>
      </c>
      <c r="AJ51" s="640"/>
      <c r="AK51" s="640"/>
      <c r="AL51" s="641"/>
      <c r="AM51" s="1203" t="s">
        <v>701</v>
      </c>
      <c r="AN51" s="1204" t="s">
        <v>1173</v>
      </c>
      <c r="AO51" s="1205">
        <v>11482667</v>
      </c>
      <c r="AP51" s="1206">
        <v>8018707</v>
      </c>
      <c r="AQ51" s="1206">
        <v>3463960</v>
      </c>
      <c r="AR51" s="1207">
        <v>0.30166859319354988</v>
      </c>
      <c r="AS51" s="647">
        <v>11482667</v>
      </c>
      <c r="AT51" s="1206">
        <v>8018707</v>
      </c>
      <c r="AU51" s="1204">
        <v>3463960</v>
      </c>
      <c r="AV51" s="1181">
        <v>0</v>
      </c>
      <c r="AW51" s="1179">
        <v>0</v>
      </c>
      <c r="AX51" s="1177">
        <v>0</v>
      </c>
      <c r="AY51" s="1203">
        <v>910636</v>
      </c>
      <c r="AZ51" s="1206">
        <v>635926</v>
      </c>
      <c r="BA51" s="1208">
        <v>274710</v>
      </c>
      <c r="BB51" s="1203">
        <v>910636</v>
      </c>
      <c r="BC51" s="1206">
        <v>635926</v>
      </c>
      <c r="BD51" s="1204">
        <v>274710</v>
      </c>
      <c r="BE51" s="1209">
        <v>910636</v>
      </c>
      <c r="BF51" s="1206">
        <v>635926</v>
      </c>
      <c r="BG51" s="1208">
        <v>274710</v>
      </c>
      <c r="BH51" s="2296">
        <v>7.9305269411714188E-2</v>
      </c>
      <c r="BI51" s="653"/>
      <c r="BJ51" s="1210">
        <v>10572031</v>
      </c>
      <c r="BK51" s="1211">
        <v>7382781</v>
      </c>
      <c r="BL51" s="1211">
        <v>3189250</v>
      </c>
      <c r="BM51" s="2287">
        <v>0.92069473058828577</v>
      </c>
      <c r="BN51" s="1197"/>
      <c r="BQ51" s="2001">
        <v>910636.40243271133</v>
      </c>
      <c r="BR51" s="2001">
        <v>635926</v>
      </c>
      <c r="BS51" s="2001">
        <v>274710.40243271133</v>
      </c>
      <c r="BT51" s="2001">
        <v>-0.40243271132931113</v>
      </c>
      <c r="BU51" s="2001">
        <v>0</v>
      </c>
      <c r="BV51" s="2001">
        <v>-0.40243271132931113</v>
      </c>
    </row>
    <row r="52" spans="1:74" s="1212" customFormat="1">
      <c r="A52" s="1252" t="s">
        <v>703</v>
      </c>
      <c r="B52" s="1252" t="s">
        <v>704</v>
      </c>
      <c r="C52" s="961">
        <v>1960000</v>
      </c>
      <c r="D52" s="961">
        <v>1402700</v>
      </c>
      <c r="E52" s="961">
        <v>557300</v>
      </c>
      <c r="F52" s="961">
        <v>0</v>
      </c>
      <c r="G52" s="961">
        <v>0</v>
      </c>
      <c r="H52" s="961">
        <v>0</v>
      </c>
      <c r="I52" s="961"/>
      <c r="J52" s="961"/>
      <c r="K52" s="961"/>
      <c r="L52" s="2270">
        <v>0.197086333499679</v>
      </c>
      <c r="M52" s="961">
        <v>386289</v>
      </c>
      <c r="N52" s="2284">
        <v>276453</v>
      </c>
      <c r="O52" s="961">
        <v>109836</v>
      </c>
      <c r="P52" s="961">
        <v>386289</v>
      </c>
      <c r="Q52" s="961">
        <v>276453</v>
      </c>
      <c r="R52" s="961">
        <v>109836</v>
      </c>
      <c r="S52" s="961">
        <v>386289</v>
      </c>
      <c r="T52" s="961">
        <v>276453</v>
      </c>
      <c r="U52" s="961">
        <v>109836</v>
      </c>
      <c r="V52" s="2272">
        <v>0.2843363388551059</v>
      </c>
      <c r="W52" s="2272">
        <v>0.2843363388551059</v>
      </c>
      <c r="X52" s="2272">
        <v>0.28433673469387755</v>
      </c>
      <c r="Y52" s="961"/>
      <c r="Z52" s="961"/>
      <c r="AA52" s="961"/>
      <c r="AB52" s="961"/>
      <c r="AC52" s="1256" t="s">
        <v>1037</v>
      </c>
      <c r="AD52" s="2285" t="s">
        <v>1192</v>
      </c>
      <c r="AE52" s="640">
        <v>0</v>
      </c>
      <c r="AF52" s="640">
        <v>0</v>
      </c>
      <c r="AG52" s="640">
        <v>0</v>
      </c>
      <c r="AH52" s="641" t="s">
        <v>630</v>
      </c>
      <c r="AI52" s="641" t="s">
        <v>630</v>
      </c>
      <c r="AJ52" s="640"/>
      <c r="AK52" s="640"/>
      <c r="AL52" s="641"/>
      <c r="AM52" s="1203" t="s">
        <v>703</v>
      </c>
      <c r="AN52" s="1204" t="s">
        <v>1823</v>
      </c>
      <c r="AO52" s="1205">
        <v>1960000</v>
      </c>
      <c r="AP52" s="1206">
        <v>1402700</v>
      </c>
      <c r="AQ52" s="1206">
        <v>557300</v>
      </c>
      <c r="AR52" s="1207">
        <v>0.28433673469387755</v>
      </c>
      <c r="AS52" s="647">
        <v>1960000</v>
      </c>
      <c r="AT52" s="1206">
        <v>1402700</v>
      </c>
      <c r="AU52" s="1204">
        <v>557300</v>
      </c>
      <c r="AV52" s="1181">
        <v>0</v>
      </c>
      <c r="AW52" s="1179">
        <v>0</v>
      </c>
      <c r="AX52" s="1177">
        <v>0</v>
      </c>
      <c r="AY52" s="1203">
        <v>386289</v>
      </c>
      <c r="AZ52" s="1206">
        <v>276453</v>
      </c>
      <c r="BA52" s="1208">
        <v>109836</v>
      </c>
      <c r="BB52" s="1203">
        <v>386289</v>
      </c>
      <c r="BC52" s="1206">
        <v>276453</v>
      </c>
      <c r="BD52" s="1204">
        <v>109836</v>
      </c>
      <c r="BE52" s="1209">
        <v>386289</v>
      </c>
      <c r="BF52" s="1206">
        <v>276453</v>
      </c>
      <c r="BG52" s="1208">
        <v>109836</v>
      </c>
      <c r="BH52" s="2296">
        <v>0.19708622448979593</v>
      </c>
      <c r="BI52" s="653"/>
      <c r="BJ52" s="1210">
        <v>1573711</v>
      </c>
      <c r="BK52" s="1211">
        <v>1126247</v>
      </c>
      <c r="BL52" s="1211">
        <v>447464</v>
      </c>
      <c r="BM52" s="2287">
        <v>0.80291377551020404</v>
      </c>
      <c r="BN52" s="1197"/>
      <c r="BQ52" s="2001">
        <v>386289.21365937119</v>
      </c>
      <c r="BR52" s="2001">
        <v>276453</v>
      </c>
      <c r="BS52" s="2001">
        <v>109836.21365937119</v>
      </c>
      <c r="BT52" s="2001">
        <v>-0.21365937119117007</v>
      </c>
      <c r="BU52" s="2001">
        <v>0</v>
      </c>
      <c r="BV52" s="2001">
        <v>-0.21365937119117007</v>
      </c>
    </row>
    <row r="53" spans="1:74">
      <c r="A53" s="685" t="s">
        <v>705</v>
      </c>
      <c r="B53" s="685" t="s">
        <v>1177</v>
      </c>
      <c r="C53" s="2269"/>
      <c r="D53" s="2269"/>
      <c r="E53" s="2269">
        <v>0</v>
      </c>
      <c r="F53" s="2269"/>
      <c r="G53" s="2269"/>
      <c r="H53" s="2269"/>
      <c r="I53" s="2269"/>
      <c r="J53" s="2269"/>
      <c r="K53" s="2269"/>
      <c r="L53" s="2270" t="s">
        <v>1099</v>
      </c>
      <c r="M53" s="2288">
        <v>480000</v>
      </c>
      <c r="N53" s="2271">
        <v>365186</v>
      </c>
      <c r="O53" s="2269">
        <v>114814</v>
      </c>
      <c r="P53" s="2269">
        <v>480000</v>
      </c>
      <c r="Q53" s="2269">
        <v>365186</v>
      </c>
      <c r="R53" s="2269">
        <v>114814</v>
      </c>
      <c r="S53" s="2288">
        <v>480000</v>
      </c>
      <c r="T53" s="2269">
        <v>365186</v>
      </c>
      <c r="U53" s="2269">
        <v>114814</v>
      </c>
      <c r="V53" s="2272">
        <v>0.23919583333333333</v>
      </c>
      <c r="W53" s="2272">
        <v>0.23919583333333333</v>
      </c>
      <c r="X53" s="2272" t="s">
        <v>630</v>
      </c>
      <c r="Y53" s="2269"/>
      <c r="Z53" s="2269"/>
      <c r="AA53" s="2269"/>
      <c r="AB53" s="2269"/>
      <c r="AC53" s="1257" t="s">
        <v>1205</v>
      </c>
      <c r="AD53" s="2273" t="s">
        <v>1228</v>
      </c>
      <c r="AE53" s="1213"/>
      <c r="AF53" s="1213"/>
      <c r="AG53" s="1213"/>
      <c r="AH53" s="1214"/>
      <c r="AI53" s="1214"/>
      <c r="AJ53" s="532"/>
      <c r="AL53" s="533"/>
      <c r="AM53" s="1176" t="s">
        <v>705</v>
      </c>
      <c r="AN53" s="1177" t="s">
        <v>1090</v>
      </c>
      <c r="AO53" s="1215" t="s">
        <v>1734</v>
      </c>
      <c r="AP53" s="1216" t="s">
        <v>1734</v>
      </c>
      <c r="AQ53" s="1216" t="s">
        <v>1734</v>
      </c>
      <c r="AR53" s="1180" t="s">
        <v>1734</v>
      </c>
      <c r="AS53" s="1215" t="s">
        <v>1734</v>
      </c>
      <c r="AT53" s="1216" t="s">
        <v>1734</v>
      </c>
      <c r="AU53" s="1217" t="s">
        <v>1734</v>
      </c>
      <c r="AV53" s="1218" t="s">
        <v>1734</v>
      </c>
      <c r="AW53" s="1216" t="s">
        <v>1734</v>
      </c>
      <c r="AX53" s="1217" t="s">
        <v>1734</v>
      </c>
      <c r="AY53" s="1176">
        <v>480000</v>
      </c>
      <c r="AZ53" s="1179">
        <v>365186</v>
      </c>
      <c r="BA53" s="1182">
        <v>114814</v>
      </c>
      <c r="BB53" s="1176">
        <v>480000</v>
      </c>
      <c r="BC53" s="1179">
        <v>365186</v>
      </c>
      <c r="BD53" s="1177">
        <v>114814</v>
      </c>
      <c r="BE53" s="1183">
        <v>480000</v>
      </c>
      <c r="BF53" s="1179">
        <v>365186</v>
      </c>
      <c r="BG53" s="1182">
        <v>114814</v>
      </c>
      <c r="BH53" s="2274" t="e">
        <v>#VALUE!</v>
      </c>
      <c r="BI53" s="696" t="s">
        <v>1803</v>
      </c>
      <c r="BJ53" s="1219" t="s">
        <v>1734</v>
      </c>
      <c r="BK53" s="1220" t="s">
        <v>1734</v>
      </c>
      <c r="BL53" s="1220" t="s">
        <v>1734</v>
      </c>
      <c r="BM53" s="2275"/>
      <c r="BQ53" s="2021">
        <v>480000</v>
      </c>
      <c r="BR53" s="2001">
        <v>365186</v>
      </c>
      <c r="BS53" s="2001">
        <v>114814</v>
      </c>
      <c r="BT53" s="2001">
        <v>0</v>
      </c>
      <c r="BU53" s="2001">
        <v>0</v>
      </c>
      <c r="BV53" s="2001">
        <v>0</v>
      </c>
    </row>
    <row r="54" spans="1:74">
      <c r="A54" s="574" t="s">
        <v>707</v>
      </c>
      <c r="B54" s="574" t="s">
        <v>1180</v>
      </c>
      <c r="C54" s="2269"/>
      <c r="D54" s="2269"/>
      <c r="E54" s="2269">
        <v>0</v>
      </c>
      <c r="F54" s="2269"/>
      <c r="G54" s="2269"/>
      <c r="H54" s="2269"/>
      <c r="I54" s="2269"/>
      <c r="J54" s="2269"/>
      <c r="K54" s="2269"/>
      <c r="L54" s="2270" t="s">
        <v>1099</v>
      </c>
      <c r="M54" s="2288">
        <v>1120000</v>
      </c>
      <c r="N54" s="2271">
        <v>1534380</v>
      </c>
      <c r="O54" s="2269">
        <v>-414380</v>
      </c>
      <c r="P54" s="2269">
        <v>1120000</v>
      </c>
      <c r="Q54" s="2269">
        <v>1534380</v>
      </c>
      <c r="R54" s="2269">
        <v>-414380</v>
      </c>
      <c r="S54" s="2288">
        <v>1120000</v>
      </c>
      <c r="T54" s="2269">
        <v>1534380</v>
      </c>
      <c r="U54" s="2269">
        <v>-414380</v>
      </c>
      <c r="V54" s="2272">
        <v>-0.36998214285714287</v>
      </c>
      <c r="W54" s="2272">
        <v>-0.36998214285714287</v>
      </c>
      <c r="X54" s="2272" t="s">
        <v>630</v>
      </c>
      <c r="Y54" s="2269"/>
      <c r="Z54" s="2269"/>
      <c r="AA54" s="2269"/>
      <c r="AB54" s="2269"/>
      <c r="AC54" s="1198" t="s">
        <v>1095</v>
      </c>
      <c r="AD54" s="2273" t="s">
        <v>1228</v>
      </c>
      <c r="AE54" s="1213"/>
      <c r="AF54" s="1213"/>
      <c r="AG54" s="1213"/>
      <c r="AH54" s="1214"/>
      <c r="AI54" s="1214"/>
      <c r="AJ54" s="532"/>
      <c r="AL54" s="533"/>
      <c r="AM54" s="1176" t="s">
        <v>707</v>
      </c>
      <c r="AN54" s="1177" t="s">
        <v>1096</v>
      </c>
      <c r="AO54" s="1215" t="s">
        <v>1734</v>
      </c>
      <c r="AP54" s="1216" t="s">
        <v>1734</v>
      </c>
      <c r="AQ54" s="1216" t="s">
        <v>1734</v>
      </c>
      <c r="AR54" s="1180" t="s">
        <v>1734</v>
      </c>
      <c r="AS54" s="1215" t="s">
        <v>1734</v>
      </c>
      <c r="AT54" s="1216" t="s">
        <v>1734</v>
      </c>
      <c r="AU54" s="1217" t="s">
        <v>1734</v>
      </c>
      <c r="AV54" s="1218" t="s">
        <v>1734</v>
      </c>
      <c r="AW54" s="1216" t="s">
        <v>1734</v>
      </c>
      <c r="AX54" s="1217" t="s">
        <v>1734</v>
      </c>
      <c r="AY54" s="1176">
        <v>1120000</v>
      </c>
      <c r="AZ54" s="1179">
        <v>1534380</v>
      </c>
      <c r="BA54" s="1182">
        <v>-414380</v>
      </c>
      <c r="BB54" s="1176">
        <v>1120000</v>
      </c>
      <c r="BC54" s="1179">
        <v>1534380</v>
      </c>
      <c r="BD54" s="1177">
        <v>-414380</v>
      </c>
      <c r="BE54" s="1183">
        <v>1120000</v>
      </c>
      <c r="BF54" s="1179">
        <v>1534380</v>
      </c>
      <c r="BG54" s="1182">
        <v>-414380</v>
      </c>
      <c r="BH54" s="2274" t="e">
        <v>#VALUE!</v>
      </c>
      <c r="BI54" s="696" t="s">
        <v>1803</v>
      </c>
      <c r="BJ54" s="1219" t="s">
        <v>1734</v>
      </c>
      <c r="BK54" s="1220" t="s">
        <v>1734</v>
      </c>
      <c r="BL54" s="1220" t="s">
        <v>1734</v>
      </c>
      <c r="BM54" s="2275"/>
      <c r="BQ54" s="2021">
        <v>1120000</v>
      </c>
      <c r="BR54" s="2001">
        <v>1534380</v>
      </c>
      <c r="BS54" s="2001">
        <v>-414380</v>
      </c>
      <c r="BT54" s="2001">
        <v>0</v>
      </c>
      <c r="BU54" s="2001">
        <v>0</v>
      </c>
      <c r="BV54" s="2001">
        <v>0</v>
      </c>
    </row>
    <row r="55" spans="1:74">
      <c r="A55" s="574" t="s">
        <v>1824</v>
      </c>
      <c r="B55" s="575" t="s">
        <v>1825</v>
      </c>
      <c r="C55" s="2269"/>
      <c r="D55" s="2269"/>
      <c r="E55" s="2269"/>
      <c r="F55" s="2269"/>
      <c r="G55" s="2269"/>
      <c r="H55" s="2269"/>
      <c r="I55" s="2269"/>
      <c r="J55" s="2269"/>
      <c r="K55" s="2269"/>
      <c r="L55" s="2270"/>
      <c r="M55" s="2288"/>
      <c r="N55" s="2288">
        <v>36698</v>
      </c>
      <c r="O55" s="2269">
        <v>-36698</v>
      </c>
      <c r="P55" s="2269">
        <v>0</v>
      </c>
      <c r="Q55" s="2269">
        <v>36698</v>
      </c>
      <c r="R55" s="2269">
        <v>-36698</v>
      </c>
      <c r="S55" s="2269"/>
      <c r="T55" s="2269">
        <v>36698</v>
      </c>
      <c r="U55" s="2269">
        <v>-36698</v>
      </c>
      <c r="V55" s="2272" t="s">
        <v>630</v>
      </c>
      <c r="W55" s="2272" t="s">
        <v>630</v>
      </c>
      <c r="X55" s="2272" t="s">
        <v>630</v>
      </c>
      <c r="Y55" s="2269"/>
      <c r="Z55" s="2269"/>
      <c r="AA55" s="2269"/>
      <c r="AB55" s="2269"/>
      <c r="AC55" s="1175"/>
      <c r="AD55" s="2291" t="s">
        <v>1955</v>
      </c>
      <c r="AE55" s="1213"/>
      <c r="AF55" s="1213"/>
      <c r="AG55" s="1213"/>
      <c r="AH55" s="1214"/>
      <c r="AI55" s="1214"/>
      <c r="AJ55" s="532"/>
      <c r="AL55" s="533"/>
      <c r="AM55" s="1176" t="s">
        <v>709</v>
      </c>
      <c r="AN55" s="1177" t="s">
        <v>1957</v>
      </c>
      <c r="AO55" s="1215" t="s">
        <v>1734</v>
      </c>
      <c r="AP55" s="1216" t="s">
        <v>1734</v>
      </c>
      <c r="AQ55" s="1216" t="s">
        <v>1734</v>
      </c>
      <c r="AR55" s="1180" t="s">
        <v>1734</v>
      </c>
      <c r="AS55" s="1215" t="s">
        <v>1734</v>
      </c>
      <c r="AT55" s="1216" t="s">
        <v>1734</v>
      </c>
      <c r="AU55" s="1217" t="s">
        <v>1734</v>
      </c>
      <c r="AV55" s="1218" t="s">
        <v>1734</v>
      </c>
      <c r="AW55" s="1216" t="s">
        <v>1734</v>
      </c>
      <c r="AX55" s="1217" t="s">
        <v>1734</v>
      </c>
      <c r="AY55" s="1218" t="s">
        <v>1734</v>
      </c>
      <c r="AZ55" s="1216" t="s">
        <v>1734</v>
      </c>
      <c r="BA55" s="1217" t="s">
        <v>1734</v>
      </c>
      <c r="BB55" s="1218" t="s">
        <v>1734</v>
      </c>
      <c r="BC55" s="1216" t="s">
        <v>1734</v>
      </c>
      <c r="BD55" s="1217" t="s">
        <v>1734</v>
      </c>
      <c r="BE55" s="1218" t="s">
        <v>1734</v>
      </c>
      <c r="BF55" s="1216" t="s">
        <v>1734</v>
      </c>
      <c r="BG55" s="1216" t="s">
        <v>1734</v>
      </c>
      <c r="BH55" s="2274"/>
      <c r="BI55" s="696"/>
      <c r="BJ55" s="1219" t="s">
        <v>1734</v>
      </c>
      <c r="BK55" s="1220" t="s">
        <v>1734</v>
      </c>
      <c r="BL55" s="1220" t="s">
        <v>1734</v>
      </c>
      <c r="BM55" s="2275">
        <v>1</v>
      </c>
      <c r="BQ55" s="2021">
        <v>0</v>
      </c>
      <c r="BR55" s="2001">
        <v>36698</v>
      </c>
      <c r="BS55" s="2001">
        <v>-36698</v>
      </c>
      <c r="BT55" s="2001">
        <v>0</v>
      </c>
      <c r="BU55" s="2001">
        <v>0</v>
      </c>
      <c r="BV55" s="2001">
        <v>0</v>
      </c>
    </row>
    <row r="56" spans="1:74">
      <c r="A56" s="574" t="s">
        <v>710</v>
      </c>
      <c r="B56" s="574" t="s">
        <v>1265</v>
      </c>
      <c r="C56" s="2269"/>
      <c r="D56" s="2269"/>
      <c r="E56" s="2269">
        <v>0</v>
      </c>
      <c r="F56" s="2269"/>
      <c r="G56" s="2269"/>
      <c r="H56" s="2269"/>
      <c r="I56" s="2269"/>
      <c r="J56" s="2269"/>
      <c r="K56" s="2269"/>
      <c r="L56" s="2270">
        <v>0</v>
      </c>
      <c r="M56" s="2269">
        <v>0</v>
      </c>
      <c r="N56" s="2271">
        <v>0</v>
      </c>
      <c r="O56" s="2269">
        <v>0</v>
      </c>
      <c r="P56" s="2269">
        <v>0</v>
      </c>
      <c r="Q56" s="2269">
        <v>0</v>
      </c>
      <c r="R56" s="2269">
        <v>0</v>
      </c>
      <c r="S56" s="2269">
        <v>0</v>
      </c>
      <c r="T56" s="2269">
        <v>0</v>
      </c>
      <c r="U56" s="2269">
        <v>0</v>
      </c>
      <c r="V56" s="2272" t="s">
        <v>630</v>
      </c>
      <c r="W56" s="2272" t="s">
        <v>630</v>
      </c>
      <c r="X56" s="2272" t="s">
        <v>630</v>
      </c>
      <c r="Y56" s="2269"/>
      <c r="Z56" s="2269"/>
      <c r="AA56" s="2269"/>
      <c r="AB56" s="2269"/>
      <c r="AC56" s="1198" t="s">
        <v>1037</v>
      </c>
      <c r="AD56" s="2273" t="s">
        <v>1228</v>
      </c>
      <c r="AE56" s="532">
        <v>0</v>
      </c>
      <c r="AF56" s="532">
        <v>0</v>
      </c>
      <c r="AG56" s="532">
        <v>0</v>
      </c>
      <c r="AH56" s="533" t="s">
        <v>630</v>
      </c>
      <c r="AI56" s="533" t="s">
        <v>630</v>
      </c>
      <c r="AJ56" s="532"/>
      <c r="AL56" s="533"/>
      <c r="AM56" s="1176" t="s">
        <v>710</v>
      </c>
      <c r="AN56" s="1177" t="s">
        <v>1265</v>
      </c>
      <c r="AO56" s="1178">
        <v>0</v>
      </c>
      <c r="AP56" s="1179">
        <v>0</v>
      </c>
      <c r="AQ56" s="1179">
        <v>0</v>
      </c>
      <c r="AR56" s="1180" t="e">
        <v>#DIV/0!</v>
      </c>
      <c r="AS56" s="585"/>
      <c r="AT56" s="588"/>
      <c r="AU56" s="586">
        <v>0</v>
      </c>
      <c r="AV56" s="1181">
        <v>0</v>
      </c>
      <c r="AW56" s="1179">
        <v>0</v>
      </c>
      <c r="AX56" s="1177">
        <v>0</v>
      </c>
      <c r="AY56" s="1176">
        <v>0</v>
      </c>
      <c r="AZ56" s="1179">
        <v>0</v>
      </c>
      <c r="BA56" s="1182">
        <v>0</v>
      </c>
      <c r="BB56" s="1176">
        <v>0</v>
      </c>
      <c r="BC56" s="1179">
        <v>0</v>
      </c>
      <c r="BD56" s="1177">
        <v>0</v>
      </c>
      <c r="BE56" s="1183">
        <v>0</v>
      </c>
      <c r="BF56" s="1179">
        <v>0</v>
      </c>
      <c r="BG56" s="1179">
        <v>0</v>
      </c>
      <c r="BH56" s="2282" t="e">
        <v>#DIV/0!</v>
      </c>
      <c r="BI56" s="542"/>
      <c r="BJ56" s="1184">
        <v>0</v>
      </c>
      <c r="BK56" s="1185">
        <v>0</v>
      </c>
      <c r="BL56" s="1185">
        <v>0</v>
      </c>
      <c r="BM56" s="2275" t="e">
        <v>#DIV/0!</v>
      </c>
      <c r="BQ56" s="2001">
        <v>0</v>
      </c>
      <c r="BR56" s="2001">
        <v>0</v>
      </c>
      <c r="BS56" s="2001">
        <v>0</v>
      </c>
      <c r="BT56" s="2001">
        <v>0</v>
      </c>
      <c r="BU56" s="2001">
        <v>0</v>
      </c>
      <c r="BV56" s="2001">
        <v>0</v>
      </c>
    </row>
    <row r="57" spans="1:74">
      <c r="A57" s="574" t="s">
        <v>712</v>
      </c>
      <c r="B57" s="574" t="s">
        <v>1265</v>
      </c>
      <c r="C57" s="2269">
        <v>0</v>
      </c>
      <c r="D57" s="2269">
        <v>0</v>
      </c>
      <c r="E57" s="2269">
        <v>0</v>
      </c>
      <c r="F57" s="2269"/>
      <c r="G57" s="2269"/>
      <c r="H57" s="2269"/>
      <c r="I57" s="2269"/>
      <c r="J57" s="2269"/>
      <c r="K57" s="2269"/>
      <c r="L57" s="2270">
        <v>0</v>
      </c>
      <c r="M57" s="2269">
        <v>0</v>
      </c>
      <c r="N57" s="2269">
        <v>0</v>
      </c>
      <c r="O57" s="2269">
        <v>0</v>
      </c>
      <c r="P57" s="2269">
        <v>0</v>
      </c>
      <c r="Q57" s="2269">
        <v>0</v>
      </c>
      <c r="R57" s="2269">
        <v>0</v>
      </c>
      <c r="S57" s="2269">
        <v>0</v>
      </c>
      <c r="T57" s="2269">
        <v>0</v>
      </c>
      <c r="U57" s="2269">
        <v>0</v>
      </c>
      <c r="V57" s="2272" t="s">
        <v>630</v>
      </c>
      <c r="W57" s="2272" t="s">
        <v>630</v>
      </c>
      <c r="X57" s="2272" t="s">
        <v>630</v>
      </c>
      <c r="Y57" s="2269"/>
      <c r="Z57" s="2269"/>
      <c r="AA57" s="2269"/>
      <c r="AB57" s="2269"/>
      <c r="AC57" s="1198" t="s">
        <v>1037</v>
      </c>
      <c r="AD57" s="2273" t="s">
        <v>1228</v>
      </c>
      <c r="AE57" s="532">
        <v>0</v>
      </c>
      <c r="AF57" s="532">
        <v>0</v>
      </c>
      <c r="AG57" s="532">
        <v>0</v>
      </c>
      <c r="AH57" s="533" t="s">
        <v>630</v>
      </c>
      <c r="AI57" s="533" t="s">
        <v>630</v>
      </c>
      <c r="AJ57" s="532"/>
      <c r="AL57" s="533"/>
      <c r="AM57" s="1176" t="s">
        <v>712</v>
      </c>
      <c r="AN57" s="1177" t="s">
        <v>1265</v>
      </c>
      <c r="AO57" s="1178">
        <v>0</v>
      </c>
      <c r="AP57" s="1179">
        <v>0</v>
      </c>
      <c r="AQ57" s="1179">
        <v>0</v>
      </c>
      <c r="AR57" s="1180" t="e">
        <v>#DIV/0!</v>
      </c>
      <c r="AS57" s="585"/>
      <c r="AT57" s="588"/>
      <c r="AU57" s="586">
        <v>0</v>
      </c>
      <c r="AV57" s="1181">
        <v>0</v>
      </c>
      <c r="AW57" s="1179">
        <v>0</v>
      </c>
      <c r="AX57" s="1177">
        <v>0</v>
      </c>
      <c r="AY57" s="1176">
        <v>0</v>
      </c>
      <c r="AZ57" s="1179">
        <v>0</v>
      </c>
      <c r="BA57" s="1182">
        <v>0</v>
      </c>
      <c r="BB57" s="1176">
        <v>0</v>
      </c>
      <c r="BC57" s="1179">
        <v>0</v>
      </c>
      <c r="BD57" s="1177">
        <v>0</v>
      </c>
      <c r="BE57" s="1183">
        <v>0</v>
      </c>
      <c r="BF57" s="1179">
        <v>0</v>
      </c>
      <c r="BG57" s="1179">
        <v>0</v>
      </c>
      <c r="BH57" s="2282" t="e">
        <v>#DIV/0!</v>
      </c>
      <c r="BI57" s="542"/>
      <c r="BJ57" s="1184">
        <v>0</v>
      </c>
      <c r="BK57" s="1185">
        <v>0</v>
      </c>
      <c r="BL57" s="1185">
        <v>0</v>
      </c>
      <c r="BM57" s="2275" t="e">
        <v>#DIV/0!</v>
      </c>
      <c r="BQ57" s="2001">
        <v>0</v>
      </c>
      <c r="BR57" s="2001">
        <v>0</v>
      </c>
      <c r="BS57" s="2001">
        <v>0</v>
      </c>
      <c r="BT57" s="2001">
        <v>0</v>
      </c>
      <c r="BU57" s="2001">
        <v>0</v>
      </c>
      <c r="BV57" s="2001">
        <v>0</v>
      </c>
    </row>
    <row r="58" spans="1:74">
      <c r="A58" s="574" t="s">
        <v>713</v>
      </c>
      <c r="B58" s="574" t="s">
        <v>1266</v>
      </c>
      <c r="C58" s="2269"/>
      <c r="D58" s="2269"/>
      <c r="E58" s="2269">
        <v>0</v>
      </c>
      <c r="F58" s="2269"/>
      <c r="G58" s="2269"/>
      <c r="H58" s="2269"/>
      <c r="I58" s="2269"/>
      <c r="J58" s="2269"/>
      <c r="K58" s="2269"/>
      <c r="L58" s="2270">
        <v>0</v>
      </c>
      <c r="M58" s="2269"/>
      <c r="N58" s="2271"/>
      <c r="O58" s="2269">
        <v>0</v>
      </c>
      <c r="P58" s="2269">
        <v>0</v>
      </c>
      <c r="Q58" s="2269">
        <v>0</v>
      </c>
      <c r="R58" s="2269">
        <v>0</v>
      </c>
      <c r="S58" s="2269">
        <v>0</v>
      </c>
      <c r="T58" s="2269">
        <v>0</v>
      </c>
      <c r="U58" s="2269">
        <v>0</v>
      </c>
      <c r="V58" s="2272" t="s">
        <v>630</v>
      </c>
      <c r="W58" s="2272" t="s">
        <v>630</v>
      </c>
      <c r="X58" s="2272" t="s">
        <v>630</v>
      </c>
      <c r="Y58" s="2269"/>
      <c r="Z58" s="2269"/>
      <c r="AA58" s="2269"/>
      <c r="AB58" s="2269"/>
      <c r="AC58" s="1198" t="s">
        <v>1037</v>
      </c>
      <c r="AD58" s="2273" t="s">
        <v>1228</v>
      </c>
      <c r="AE58" s="532">
        <v>0</v>
      </c>
      <c r="AF58" s="532">
        <v>0</v>
      </c>
      <c r="AG58" s="532">
        <v>0</v>
      </c>
      <c r="AH58" s="533" t="s">
        <v>630</v>
      </c>
      <c r="AI58" s="533" t="s">
        <v>630</v>
      </c>
      <c r="AJ58" s="532"/>
      <c r="AL58" s="533"/>
      <c r="AM58" s="1176" t="s">
        <v>713</v>
      </c>
      <c r="AN58" s="1177" t="s">
        <v>1266</v>
      </c>
      <c r="AO58" s="1178">
        <v>0</v>
      </c>
      <c r="AP58" s="1179">
        <v>0</v>
      </c>
      <c r="AQ58" s="1179">
        <v>0</v>
      </c>
      <c r="AR58" s="1180" t="e">
        <v>#DIV/0!</v>
      </c>
      <c r="AS58" s="585"/>
      <c r="AT58" s="588"/>
      <c r="AU58" s="586">
        <v>0</v>
      </c>
      <c r="AV58" s="1181">
        <v>0</v>
      </c>
      <c r="AW58" s="1179">
        <v>0</v>
      </c>
      <c r="AX58" s="1177">
        <v>0</v>
      </c>
      <c r="AY58" s="1176">
        <v>0</v>
      </c>
      <c r="AZ58" s="1179">
        <v>0</v>
      </c>
      <c r="BA58" s="1182">
        <v>0</v>
      </c>
      <c r="BB58" s="1176">
        <v>0</v>
      </c>
      <c r="BC58" s="1179">
        <v>0</v>
      </c>
      <c r="BD58" s="1177">
        <v>0</v>
      </c>
      <c r="BE58" s="1183">
        <v>0</v>
      </c>
      <c r="BF58" s="1179">
        <v>0</v>
      </c>
      <c r="BG58" s="1179">
        <v>0</v>
      </c>
      <c r="BH58" s="2282" t="e">
        <v>#DIV/0!</v>
      </c>
      <c r="BI58" s="542"/>
      <c r="BJ58" s="1184">
        <v>0</v>
      </c>
      <c r="BK58" s="1185">
        <v>0</v>
      </c>
      <c r="BL58" s="1185">
        <v>0</v>
      </c>
      <c r="BM58" s="2275" t="e">
        <v>#DIV/0!</v>
      </c>
      <c r="BQ58" s="2001">
        <v>0</v>
      </c>
      <c r="BR58" s="2001">
        <v>0</v>
      </c>
      <c r="BS58" s="2001">
        <v>0</v>
      </c>
      <c r="BT58" s="2001">
        <v>0</v>
      </c>
      <c r="BU58" s="2001">
        <v>0</v>
      </c>
      <c r="BV58" s="2001">
        <v>0</v>
      </c>
    </row>
    <row r="59" spans="1:74">
      <c r="A59" s="574" t="s">
        <v>715</v>
      </c>
      <c r="B59" s="574" t="s">
        <v>1267</v>
      </c>
      <c r="C59" s="2269"/>
      <c r="D59" s="2269"/>
      <c r="E59" s="2269">
        <v>0</v>
      </c>
      <c r="F59" s="2269"/>
      <c r="G59" s="2269"/>
      <c r="H59" s="2269"/>
      <c r="I59" s="2269"/>
      <c r="J59" s="2269"/>
      <c r="K59" s="2269"/>
      <c r="L59" s="2270">
        <v>0</v>
      </c>
      <c r="M59" s="2269"/>
      <c r="N59" s="2271"/>
      <c r="O59" s="2269">
        <v>0</v>
      </c>
      <c r="P59" s="2269">
        <v>0</v>
      </c>
      <c r="Q59" s="2269">
        <v>0</v>
      </c>
      <c r="R59" s="2269">
        <v>0</v>
      </c>
      <c r="S59" s="2269">
        <v>0</v>
      </c>
      <c r="T59" s="2269">
        <v>0</v>
      </c>
      <c r="U59" s="2269">
        <v>0</v>
      </c>
      <c r="V59" s="2272" t="s">
        <v>630</v>
      </c>
      <c r="W59" s="2272" t="s">
        <v>630</v>
      </c>
      <c r="X59" s="2272" t="s">
        <v>630</v>
      </c>
      <c r="Y59" s="2269"/>
      <c r="Z59" s="2269"/>
      <c r="AA59" s="2269"/>
      <c r="AB59" s="2269"/>
      <c r="AC59" s="1198" t="s">
        <v>1037</v>
      </c>
      <c r="AD59" s="2273" t="s">
        <v>1228</v>
      </c>
      <c r="AE59" s="532">
        <v>0</v>
      </c>
      <c r="AF59" s="532">
        <v>0</v>
      </c>
      <c r="AG59" s="532">
        <v>0</v>
      </c>
      <c r="AH59" s="533" t="s">
        <v>630</v>
      </c>
      <c r="AI59" s="533" t="s">
        <v>630</v>
      </c>
      <c r="AJ59" s="532"/>
      <c r="AL59" s="533"/>
      <c r="AM59" s="1176" t="s">
        <v>715</v>
      </c>
      <c r="AN59" s="1177" t="s">
        <v>1267</v>
      </c>
      <c r="AO59" s="1178">
        <v>0</v>
      </c>
      <c r="AP59" s="1179">
        <v>0</v>
      </c>
      <c r="AQ59" s="1179">
        <v>0</v>
      </c>
      <c r="AR59" s="1180" t="e">
        <v>#DIV/0!</v>
      </c>
      <c r="AS59" s="585"/>
      <c r="AT59" s="588"/>
      <c r="AU59" s="586">
        <v>0</v>
      </c>
      <c r="AV59" s="1181">
        <v>0</v>
      </c>
      <c r="AW59" s="1179">
        <v>0</v>
      </c>
      <c r="AX59" s="1177">
        <v>0</v>
      </c>
      <c r="AY59" s="1176">
        <v>0</v>
      </c>
      <c r="AZ59" s="1179">
        <v>0</v>
      </c>
      <c r="BA59" s="1182">
        <v>0</v>
      </c>
      <c r="BB59" s="1176">
        <v>0</v>
      </c>
      <c r="BC59" s="1179">
        <v>0</v>
      </c>
      <c r="BD59" s="1177">
        <v>0</v>
      </c>
      <c r="BE59" s="1183">
        <v>0</v>
      </c>
      <c r="BF59" s="1179">
        <v>0</v>
      </c>
      <c r="BG59" s="1179">
        <v>0</v>
      </c>
      <c r="BH59" s="2282" t="e">
        <v>#DIV/0!</v>
      </c>
      <c r="BI59" s="542"/>
      <c r="BJ59" s="1184">
        <v>0</v>
      </c>
      <c r="BK59" s="1185">
        <v>0</v>
      </c>
      <c r="BL59" s="1185">
        <v>0</v>
      </c>
      <c r="BM59" s="2275" t="e">
        <v>#DIV/0!</v>
      </c>
      <c r="BQ59" s="2001">
        <v>0</v>
      </c>
      <c r="BR59" s="2001">
        <v>0</v>
      </c>
      <c r="BS59" s="2001">
        <v>0</v>
      </c>
      <c r="BT59" s="2001">
        <v>0</v>
      </c>
      <c r="BU59" s="2001">
        <v>0</v>
      </c>
      <c r="BV59" s="2001">
        <v>0</v>
      </c>
    </row>
    <row r="60" spans="1:74">
      <c r="A60" s="574" t="s">
        <v>717</v>
      </c>
      <c r="B60" s="574" t="s">
        <v>1268</v>
      </c>
      <c r="C60" s="2269"/>
      <c r="D60" s="2269"/>
      <c r="E60" s="2269">
        <v>0</v>
      </c>
      <c r="F60" s="2269"/>
      <c r="G60" s="2269"/>
      <c r="H60" s="2269"/>
      <c r="I60" s="2269"/>
      <c r="J60" s="2269"/>
      <c r="K60" s="2269"/>
      <c r="L60" s="2270">
        <v>0</v>
      </c>
      <c r="M60" s="2269"/>
      <c r="N60" s="2271"/>
      <c r="O60" s="2269">
        <v>0</v>
      </c>
      <c r="P60" s="2269">
        <v>0</v>
      </c>
      <c r="Q60" s="2269">
        <v>0</v>
      </c>
      <c r="R60" s="2269">
        <v>0</v>
      </c>
      <c r="S60" s="2269">
        <v>0</v>
      </c>
      <c r="T60" s="2269">
        <v>0</v>
      </c>
      <c r="U60" s="2269">
        <v>0</v>
      </c>
      <c r="V60" s="2272" t="s">
        <v>630</v>
      </c>
      <c r="W60" s="2272" t="s">
        <v>630</v>
      </c>
      <c r="X60" s="2272" t="s">
        <v>630</v>
      </c>
      <c r="Y60" s="2269"/>
      <c r="Z60" s="2269"/>
      <c r="AA60" s="2269"/>
      <c r="AB60" s="2269"/>
      <c r="AC60" s="1198" t="s">
        <v>1037</v>
      </c>
      <c r="AD60" s="2273" t="s">
        <v>1228</v>
      </c>
      <c r="AE60" s="532">
        <v>0</v>
      </c>
      <c r="AF60" s="532">
        <v>0</v>
      </c>
      <c r="AG60" s="532">
        <v>0</v>
      </c>
      <c r="AH60" s="533" t="s">
        <v>630</v>
      </c>
      <c r="AI60" s="533" t="s">
        <v>630</v>
      </c>
      <c r="AJ60" s="532"/>
      <c r="AL60" s="533"/>
      <c r="AM60" s="1176" t="s">
        <v>717</v>
      </c>
      <c r="AN60" s="1177" t="s">
        <v>1268</v>
      </c>
      <c r="AO60" s="1178">
        <v>0</v>
      </c>
      <c r="AP60" s="1179">
        <v>0</v>
      </c>
      <c r="AQ60" s="1179">
        <v>0</v>
      </c>
      <c r="AR60" s="1180" t="e">
        <v>#DIV/0!</v>
      </c>
      <c r="AS60" s="585"/>
      <c r="AT60" s="588"/>
      <c r="AU60" s="586">
        <v>0</v>
      </c>
      <c r="AV60" s="1181">
        <v>0</v>
      </c>
      <c r="AW60" s="1179">
        <v>0</v>
      </c>
      <c r="AX60" s="1177">
        <v>0</v>
      </c>
      <c r="AY60" s="1176">
        <v>0</v>
      </c>
      <c r="AZ60" s="1179">
        <v>0</v>
      </c>
      <c r="BA60" s="1182">
        <v>0</v>
      </c>
      <c r="BB60" s="1176">
        <v>0</v>
      </c>
      <c r="BC60" s="1179">
        <v>0</v>
      </c>
      <c r="BD60" s="1177">
        <v>0</v>
      </c>
      <c r="BE60" s="1183">
        <v>0</v>
      </c>
      <c r="BF60" s="1179">
        <v>0</v>
      </c>
      <c r="BG60" s="1179">
        <v>0</v>
      </c>
      <c r="BH60" s="2282" t="e">
        <v>#DIV/0!</v>
      </c>
      <c r="BI60" s="542"/>
      <c r="BJ60" s="1184">
        <v>0</v>
      </c>
      <c r="BK60" s="1185">
        <v>0</v>
      </c>
      <c r="BL60" s="1185">
        <v>0</v>
      </c>
      <c r="BM60" s="2275" t="e">
        <v>#DIV/0!</v>
      </c>
      <c r="BQ60" s="2001">
        <v>0</v>
      </c>
      <c r="BR60" s="2001">
        <v>0</v>
      </c>
      <c r="BS60" s="2001">
        <v>0</v>
      </c>
      <c r="BT60" s="2001">
        <v>0</v>
      </c>
      <c r="BU60" s="2001">
        <v>0</v>
      </c>
      <c r="BV60" s="2001">
        <v>0</v>
      </c>
    </row>
    <row r="61" spans="1:74">
      <c r="A61" s="574" t="s">
        <v>719</v>
      </c>
      <c r="B61" s="574" t="s">
        <v>1269</v>
      </c>
      <c r="C61" s="2269"/>
      <c r="D61" s="2269"/>
      <c r="E61" s="2269">
        <v>0</v>
      </c>
      <c r="F61" s="2269"/>
      <c r="G61" s="2269"/>
      <c r="H61" s="2269"/>
      <c r="I61" s="2269"/>
      <c r="J61" s="2269"/>
      <c r="K61" s="2269"/>
      <c r="L61" s="2270">
        <v>0</v>
      </c>
      <c r="M61" s="2269"/>
      <c r="N61" s="2271"/>
      <c r="O61" s="2269">
        <v>0</v>
      </c>
      <c r="P61" s="2269">
        <v>0</v>
      </c>
      <c r="Q61" s="2269">
        <v>0</v>
      </c>
      <c r="R61" s="2269">
        <v>0</v>
      </c>
      <c r="S61" s="2269">
        <v>0</v>
      </c>
      <c r="T61" s="2269">
        <v>0</v>
      </c>
      <c r="U61" s="2269">
        <v>0</v>
      </c>
      <c r="V61" s="2272" t="s">
        <v>630</v>
      </c>
      <c r="W61" s="2272" t="s">
        <v>630</v>
      </c>
      <c r="X61" s="2272" t="s">
        <v>630</v>
      </c>
      <c r="Y61" s="2269"/>
      <c r="Z61" s="2269"/>
      <c r="AA61" s="2269"/>
      <c r="AB61" s="2269"/>
      <c r="AC61" s="1198" t="s">
        <v>1037</v>
      </c>
      <c r="AD61" s="2273" t="s">
        <v>1228</v>
      </c>
      <c r="AE61" s="532">
        <v>0</v>
      </c>
      <c r="AF61" s="532">
        <v>0</v>
      </c>
      <c r="AG61" s="532">
        <v>0</v>
      </c>
      <c r="AH61" s="533" t="s">
        <v>630</v>
      </c>
      <c r="AI61" s="533" t="s">
        <v>630</v>
      </c>
      <c r="AJ61" s="532"/>
      <c r="AL61" s="533"/>
      <c r="AM61" s="1176" t="s">
        <v>719</v>
      </c>
      <c r="AN61" s="1177" t="s">
        <v>1269</v>
      </c>
      <c r="AO61" s="1178">
        <v>0</v>
      </c>
      <c r="AP61" s="1179">
        <v>0</v>
      </c>
      <c r="AQ61" s="1179">
        <v>0</v>
      </c>
      <c r="AR61" s="1180" t="e">
        <v>#DIV/0!</v>
      </c>
      <c r="AS61" s="585"/>
      <c r="AT61" s="588"/>
      <c r="AU61" s="586">
        <v>0</v>
      </c>
      <c r="AV61" s="1181">
        <v>0</v>
      </c>
      <c r="AW61" s="1179">
        <v>0</v>
      </c>
      <c r="AX61" s="1177">
        <v>0</v>
      </c>
      <c r="AY61" s="1176">
        <v>0</v>
      </c>
      <c r="AZ61" s="1179">
        <v>0</v>
      </c>
      <c r="BA61" s="1182">
        <v>0</v>
      </c>
      <c r="BB61" s="1176">
        <v>0</v>
      </c>
      <c r="BC61" s="1179">
        <v>0</v>
      </c>
      <c r="BD61" s="1177">
        <v>0</v>
      </c>
      <c r="BE61" s="1183">
        <v>0</v>
      </c>
      <c r="BF61" s="1179">
        <v>0</v>
      </c>
      <c r="BG61" s="1179">
        <v>0</v>
      </c>
      <c r="BH61" s="2282" t="e">
        <v>#DIV/0!</v>
      </c>
      <c r="BI61" s="542"/>
      <c r="BJ61" s="1184">
        <v>0</v>
      </c>
      <c r="BK61" s="1185">
        <v>0</v>
      </c>
      <c r="BL61" s="1185">
        <v>0</v>
      </c>
      <c r="BM61" s="2275" t="e">
        <v>#DIV/0!</v>
      </c>
      <c r="BQ61" s="2001">
        <v>0</v>
      </c>
      <c r="BR61" s="2001">
        <v>0</v>
      </c>
      <c r="BS61" s="2001">
        <v>0</v>
      </c>
      <c r="BT61" s="2001">
        <v>0</v>
      </c>
      <c r="BU61" s="2001">
        <v>0</v>
      </c>
      <c r="BV61" s="2001">
        <v>0</v>
      </c>
    </row>
    <row r="62" spans="1:74">
      <c r="A62" s="574" t="s">
        <v>1826</v>
      </c>
      <c r="B62" s="574" t="s">
        <v>1270</v>
      </c>
      <c r="C62" s="2269"/>
      <c r="D62" s="2269"/>
      <c r="E62" s="2269">
        <v>0</v>
      </c>
      <c r="F62" s="2269"/>
      <c r="G62" s="2269"/>
      <c r="H62" s="2269"/>
      <c r="I62" s="2269"/>
      <c r="J62" s="2269"/>
      <c r="K62" s="2269"/>
      <c r="L62" s="2270">
        <v>0</v>
      </c>
      <c r="M62" s="2269"/>
      <c r="N62" s="2271"/>
      <c r="O62" s="2269">
        <v>0</v>
      </c>
      <c r="P62" s="2269">
        <v>0</v>
      </c>
      <c r="Q62" s="2269">
        <v>0</v>
      </c>
      <c r="R62" s="2269">
        <v>0</v>
      </c>
      <c r="S62" s="2269">
        <v>0</v>
      </c>
      <c r="T62" s="2269">
        <v>0</v>
      </c>
      <c r="U62" s="2269">
        <v>0</v>
      </c>
      <c r="V62" s="2272" t="s">
        <v>630</v>
      </c>
      <c r="W62" s="2272" t="s">
        <v>630</v>
      </c>
      <c r="X62" s="2272" t="s">
        <v>630</v>
      </c>
      <c r="Y62" s="2269"/>
      <c r="Z62" s="2269"/>
      <c r="AA62" s="2269"/>
      <c r="AB62" s="2269"/>
      <c r="AC62" s="1198" t="s">
        <v>1037</v>
      </c>
      <c r="AD62" s="2273" t="s">
        <v>1228</v>
      </c>
      <c r="AE62" s="532">
        <v>0</v>
      </c>
      <c r="AF62" s="532">
        <v>0</v>
      </c>
      <c r="AG62" s="532">
        <v>0</v>
      </c>
      <c r="AH62" s="533" t="s">
        <v>630</v>
      </c>
      <c r="AI62" s="533" t="s">
        <v>630</v>
      </c>
      <c r="AJ62" s="532"/>
      <c r="AL62" s="533"/>
      <c r="AM62" s="1176" t="s">
        <v>721</v>
      </c>
      <c r="AN62" s="1177" t="s">
        <v>1270</v>
      </c>
      <c r="AO62" s="1178">
        <v>0</v>
      </c>
      <c r="AP62" s="1179">
        <v>0</v>
      </c>
      <c r="AQ62" s="1179">
        <v>0</v>
      </c>
      <c r="AR62" s="1180" t="e">
        <v>#DIV/0!</v>
      </c>
      <c r="AS62" s="585"/>
      <c r="AT62" s="588"/>
      <c r="AU62" s="586">
        <v>0</v>
      </c>
      <c r="AV62" s="1181">
        <v>0</v>
      </c>
      <c r="AW62" s="1179">
        <v>0</v>
      </c>
      <c r="AX62" s="1177">
        <v>0</v>
      </c>
      <c r="AY62" s="1176">
        <v>0</v>
      </c>
      <c r="AZ62" s="1179">
        <v>0</v>
      </c>
      <c r="BA62" s="1182">
        <v>0</v>
      </c>
      <c r="BB62" s="1176">
        <v>0</v>
      </c>
      <c r="BC62" s="1179">
        <v>0</v>
      </c>
      <c r="BD62" s="1177">
        <v>0</v>
      </c>
      <c r="BE62" s="1183">
        <v>0</v>
      </c>
      <c r="BF62" s="1179">
        <v>0</v>
      </c>
      <c r="BG62" s="1179">
        <v>0</v>
      </c>
      <c r="BH62" s="2282" t="e">
        <v>#DIV/0!</v>
      </c>
      <c r="BI62" s="542"/>
      <c r="BJ62" s="1184">
        <v>0</v>
      </c>
      <c r="BK62" s="1185">
        <v>0</v>
      </c>
      <c r="BL62" s="1185">
        <v>0</v>
      </c>
      <c r="BM62" s="2275" t="e">
        <v>#DIV/0!</v>
      </c>
      <c r="BQ62" s="2001">
        <v>0</v>
      </c>
      <c r="BR62" s="2001">
        <v>0</v>
      </c>
      <c r="BS62" s="2001">
        <v>0</v>
      </c>
      <c r="BT62" s="2001">
        <v>0</v>
      </c>
      <c r="BU62" s="2001">
        <v>0</v>
      </c>
      <c r="BV62" s="2001">
        <v>0</v>
      </c>
    </row>
    <row r="63" spans="1:74">
      <c r="A63" s="1108"/>
      <c r="B63" s="1108" t="s">
        <v>1182</v>
      </c>
      <c r="C63" s="1258">
        <v>164231827</v>
      </c>
      <c r="D63" s="1258">
        <v>112761485</v>
      </c>
      <c r="E63" s="1258">
        <v>51470342</v>
      </c>
      <c r="F63" s="1258">
        <v>78098120</v>
      </c>
      <c r="G63" s="1258">
        <v>46621758</v>
      </c>
      <c r="H63" s="1258">
        <v>31476362</v>
      </c>
      <c r="I63" s="1258">
        <v>0</v>
      </c>
      <c r="J63" s="1258">
        <v>0</v>
      </c>
      <c r="K63" s="1258">
        <v>0</v>
      </c>
      <c r="L63" s="2297"/>
      <c r="M63" s="1258">
        <v>29288525</v>
      </c>
      <c r="N63" s="1258">
        <v>24734421</v>
      </c>
      <c r="O63" s="1258">
        <v>4554104</v>
      </c>
      <c r="P63" s="1258">
        <v>29288525</v>
      </c>
      <c r="Q63" s="1258">
        <v>24734421</v>
      </c>
      <c r="R63" s="1258">
        <v>4554104</v>
      </c>
      <c r="S63" s="1258">
        <v>107386645</v>
      </c>
      <c r="T63" s="1258">
        <v>71356179</v>
      </c>
      <c r="U63" s="1258">
        <v>36030466</v>
      </c>
      <c r="V63" s="1259">
        <v>-12.243781778993917</v>
      </c>
      <c r="W63" s="1259">
        <v>-12.243781778993917</v>
      </c>
      <c r="X63" s="1259">
        <v>6.801265022683384</v>
      </c>
      <c r="Y63" s="1258">
        <v>0</v>
      </c>
      <c r="Z63" s="1258">
        <v>36698</v>
      </c>
      <c r="AA63" s="1258">
        <v>36698</v>
      </c>
      <c r="AB63" s="1258">
        <v>36698</v>
      </c>
      <c r="AC63" s="1229"/>
      <c r="AD63" s="1260"/>
      <c r="AE63" s="532"/>
      <c r="AJ63" s="532"/>
      <c r="AL63" s="533"/>
      <c r="AM63" s="2298" t="s">
        <v>1183</v>
      </c>
      <c r="AN63" s="2299"/>
      <c r="AO63" s="1238">
        <v>164231827</v>
      </c>
      <c r="AP63" s="673">
        <v>112761485</v>
      </c>
      <c r="AQ63" s="1261">
        <v>51470342</v>
      </c>
      <c r="AR63" s="1262">
        <v>0.31340053228537729</v>
      </c>
      <c r="AS63" s="1238">
        <v>20100707</v>
      </c>
      <c r="AT63" s="673">
        <v>14605407</v>
      </c>
      <c r="AU63" s="1237">
        <v>5495300</v>
      </c>
      <c r="AV63" s="1263">
        <v>-1586000</v>
      </c>
      <c r="AW63" s="1264">
        <v>-7515680</v>
      </c>
      <c r="AX63" s="1261">
        <v>5929680</v>
      </c>
      <c r="AY63" s="1238">
        <v>29288525</v>
      </c>
      <c r="AZ63" s="673">
        <v>24734421</v>
      </c>
      <c r="BA63" s="1263">
        <v>4554104</v>
      </c>
      <c r="BB63" s="1238">
        <v>29288525</v>
      </c>
      <c r="BC63" s="673">
        <v>24734421</v>
      </c>
      <c r="BD63" s="1237">
        <v>4554104</v>
      </c>
      <c r="BE63" s="1263">
        <v>107386645</v>
      </c>
      <c r="BF63" s="673">
        <v>71356179</v>
      </c>
      <c r="BG63" s="673">
        <v>36030466</v>
      </c>
      <c r="BH63" s="1237"/>
      <c r="BI63" s="542"/>
      <c r="BJ63" s="1238">
        <v>58445182</v>
      </c>
      <c r="BK63" s="673">
        <v>43304872</v>
      </c>
      <c r="BL63" s="1263">
        <v>15140310</v>
      </c>
      <c r="BM63" s="1239"/>
      <c r="BQ63" s="1258">
        <v>35220191.74018351</v>
      </c>
      <c r="BR63" s="1258">
        <v>24734421</v>
      </c>
      <c r="BS63" s="1258">
        <v>10485770.740183519</v>
      </c>
      <c r="BT63" s="1258">
        <v>-5931666.7401835164</v>
      </c>
      <c r="BU63" s="1258">
        <v>0</v>
      </c>
      <c r="BV63" s="1258">
        <v>-5931666.7401835164</v>
      </c>
    </row>
    <row r="64" spans="1:74" ht="16.8" thickBot="1">
      <c r="A64" s="723"/>
      <c r="B64" s="723" t="s">
        <v>1184</v>
      </c>
      <c r="C64" s="723">
        <v>384140920</v>
      </c>
      <c r="D64" s="723">
        <v>270146122</v>
      </c>
      <c r="E64" s="723">
        <v>113994798</v>
      </c>
      <c r="F64" s="723">
        <v>135929281</v>
      </c>
      <c r="G64" s="723">
        <v>79528390</v>
      </c>
      <c r="H64" s="723">
        <v>56400891</v>
      </c>
      <c r="I64" s="723"/>
      <c r="J64" s="723"/>
      <c r="K64" s="723"/>
      <c r="L64" s="1265"/>
      <c r="M64" s="723">
        <v>38952198</v>
      </c>
      <c r="N64" s="723">
        <v>42502616</v>
      </c>
      <c r="O64" s="723">
        <v>-3550418</v>
      </c>
      <c r="P64" s="723">
        <v>38952198</v>
      </c>
      <c r="Q64" s="723">
        <v>42502616</v>
      </c>
      <c r="R64" s="723">
        <v>-3550418</v>
      </c>
      <c r="S64" s="723">
        <v>174881479</v>
      </c>
      <c r="T64" s="723">
        <v>122031006</v>
      </c>
      <c r="U64" s="723">
        <v>52850473</v>
      </c>
      <c r="V64" s="1266">
        <v>6.0975412966081291E-2</v>
      </c>
      <c r="W64" s="1266">
        <v>6.8954812116675729E-2</v>
      </c>
      <c r="X64" s="1266">
        <v>5.8578627691470389E-2</v>
      </c>
      <c r="Y64" s="723">
        <v>0</v>
      </c>
      <c r="Z64" s="723">
        <v>278313</v>
      </c>
      <c r="AA64" s="723">
        <v>278313</v>
      </c>
      <c r="AB64" s="723">
        <v>278313</v>
      </c>
      <c r="AC64" s="1267"/>
      <c r="AD64" s="1260"/>
      <c r="AE64" s="532"/>
      <c r="AJ64" s="532"/>
      <c r="AL64" s="533"/>
      <c r="AM64" s="2300" t="s">
        <v>1185</v>
      </c>
      <c r="AN64" s="789"/>
      <c r="AO64" s="1268">
        <v>384140920</v>
      </c>
      <c r="AP64" s="788">
        <v>270146122</v>
      </c>
      <c r="AQ64" s="1269">
        <v>113994798</v>
      </c>
      <c r="AR64" s="1270">
        <v>0.2967525511210834</v>
      </c>
      <c r="AS64" s="1271">
        <v>51270707</v>
      </c>
      <c r="AT64" s="788">
        <v>35361828</v>
      </c>
      <c r="AU64" s="734">
        <v>15908879</v>
      </c>
      <c r="AV64" s="1271">
        <v>-1586000</v>
      </c>
      <c r="AW64" s="788">
        <v>-42684</v>
      </c>
      <c r="AX64" s="734">
        <v>-1543316</v>
      </c>
      <c r="AY64" s="1271">
        <v>38952198</v>
      </c>
      <c r="AZ64" s="1272">
        <v>42502616</v>
      </c>
      <c r="BA64" s="1269">
        <v>-3550418</v>
      </c>
      <c r="BB64" s="1271">
        <v>38952198</v>
      </c>
      <c r="BC64" s="1272">
        <v>42502616</v>
      </c>
      <c r="BD64" s="734">
        <v>-3550418</v>
      </c>
      <c r="BE64" s="1273">
        <v>174881479</v>
      </c>
      <c r="BF64" s="1274">
        <v>122031006</v>
      </c>
      <c r="BG64" s="1275">
        <v>52850473</v>
      </c>
      <c r="BH64" s="734"/>
      <c r="BI64" s="542"/>
      <c r="BJ64" s="1276">
        <v>212899441</v>
      </c>
      <c r="BK64" s="1277">
        <v>151378894</v>
      </c>
      <c r="BL64" s="1277">
        <v>61520547</v>
      </c>
      <c r="BM64" s="2301"/>
      <c r="BQ64" s="778">
        <v>60123857.262264609</v>
      </c>
      <c r="BR64" s="723">
        <v>42256012.964960076</v>
      </c>
      <c r="BS64" s="723">
        <v>17867844.297304548</v>
      </c>
      <c r="BT64" s="723">
        <v>-21171659.262264621</v>
      </c>
      <c r="BU64" s="723">
        <v>246603.03503992557</v>
      </c>
      <c r="BV64" s="723">
        <v>-21418262.297304548</v>
      </c>
    </row>
    <row r="65" spans="1:74" s="1289" customFormat="1">
      <c r="A65" s="1278"/>
      <c r="B65" s="1278"/>
      <c r="C65" s="1278">
        <v>0</v>
      </c>
      <c r="D65" s="1278">
        <v>0</v>
      </c>
      <c r="E65" s="1278">
        <v>0</v>
      </c>
      <c r="F65" s="1279"/>
      <c r="G65" s="1279"/>
      <c r="H65" s="1279"/>
      <c r="I65" s="1279"/>
      <c r="J65" s="1279"/>
      <c r="K65" s="1279"/>
      <c r="L65" s="1280"/>
      <c r="M65" s="1278">
        <v>0</v>
      </c>
      <c r="N65" s="1278">
        <v>0</v>
      </c>
      <c r="O65" s="1278">
        <v>0</v>
      </c>
      <c r="P65" s="1279">
        <v>0</v>
      </c>
      <c r="Q65" s="1279">
        <v>0</v>
      </c>
      <c r="R65" s="1279">
        <v>0</v>
      </c>
      <c r="S65" s="1279">
        <v>0</v>
      </c>
      <c r="T65" s="1279">
        <v>0</v>
      </c>
      <c r="U65" s="1279">
        <v>0</v>
      </c>
      <c r="V65" s="1281"/>
      <c r="W65" s="1281"/>
      <c r="X65" s="1281"/>
      <c r="Y65" s="1279"/>
      <c r="Z65" s="1279"/>
      <c r="AA65" s="1279"/>
      <c r="AB65" s="1279"/>
      <c r="AC65" s="1282"/>
      <c r="AD65" s="1279"/>
      <c r="AE65" s="1283"/>
      <c r="AF65" s="1284"/>
      <c r="AG65" s="1284"/>
      <c r="AH65" s="1285"/>
      <c r="AI65" s="1285"/>
      <c r="AJ65" s="1285"/>
      <c r="AK65" s="1284"/>
      <c r="AL65" s="1284"/>
      <c r="AM65" s="1285"/>
      <c r="AN65" s="1284"/>
      <c r="AO65" s="1286">
        <v>0</v>
      </c>
      <c r="AP65" s="1286">
        <v>0</v>
      </c>
      <c r="AQ65" s="1286">
        <v>0</v>
      </c>
      <c r="AR65" s="1287"/>
      <c r="AS65" s="2302"/>
      <c r="AT65" s="1284"/>
      <c r="AU65" s="1284"/>
      <c r="AV65" s="1284"/>
      <c r="AW65" s="1284"/>
      <c r="AX65" s="1284"/>
      <c r="AY65" s="1284">
        <v>0</v>
      </c>
      <c r="AZ65" s="1284">
        <v>0</v>
      </c>
      <c r="BA65" s="1284">
        <v>0</v>
      </c>
      <c r="BB65" s="1284">
        <v>0</v>
      </c>
      <c r="BC65" s="1284">
        <v>0</v>
      </c>
      <c r="BD65" s="1284">
        <v>0</v>
      </c>
      <c r="BE65" s="1284">
        <v>0</v>
      </c>
      <c r="BF65" s="1284">
        <v>0</v>
      </c>
      <c r="BG65" s="1284">
        <v>0</v>
      </c>
      <c r="BH65" s="1284"/>
      <c r="BI65" s="1284"/>
      <c r="BJ65" s="1288">
        <v>0</v>
      </c>
      <c r="BK65" s="1288">
        <v>0</v>
      </c>
      <c r="BL65" s="1288">
        <v>0</v>
      </c>
      <c r="BM65" s="1284"/>
      <c r="BQ65" s="2303"/>
      <c r="BR65" s="2303"/>
      <c r="BS65" s="2303"/>
      <c r="BT65" s="2303"/>
      <c r="BU65" s="2303"/>
      <c r="BV65" s="2303"/>
    </row>
    <row r="66" spans="1:74">
      <c r="B66" s="743" t="s">
        <v>1827</v>
      </c>
      <c r="C66" s="1278">
        <v>0</v>
      </c>
      <c r="D66" s="1278">
        <v>0</v>
      </c>
      <c r="E66" s="1278">
        <v>0</v>
      </c>
      <c r="F66" s="1278">
        <v>0</v>
      </c>
      <c r="G66" s="1278">
        <v>0</v>
      </c>
      <c r="H66" s="1278">
        <v>0</v>
      </c>
      <c r="L66" s="2304"/>
      <c r="M66" s="1278"/>
      <c r="N66" s="1278">
        <v>0</v>
      </c>
      <c r="O66" s="1278"/>
      <c r="P66" s="1278">
        <v>0</v>
      </c>
      <c r="Q66" s="1278">
        <v>0</v>
      </c>
      <c r="R66" s="1278">
        <v>0</v>
      </c>
      <c r="S66" s="1278">
        <v>0</v>
      </c>
      <c r="T66" s="1278">
        <v>0</v>
      </c>
      <c r="U66" s="1278">
        <v>0</v>
      </c>
      <c r="V66" s="1291"/>
      <c r="Y66" s="529">
        <v>0</v>
      </c>
      <c r="Z66" s="529">
        <v>0</v>
      </c>
      <c r="AA66" s="529">
        <v>0</v>
      </c>
      <c r="AB66" s="529">
        <v>0</v>
      </c>
      <c r="AD66" s="743"/>
      <c r="AE66" s="532"/>
      <c r="AJ66" s="532"/>
      <c r="AL66" s="533"/>
      <c r="AM66" s="532"/>
      <c r="AN66" s="1292"/>
      <c r="AO66" s="1293">
        <v>0</v>
      </c>
      <c r="AP66" s="1293">
        <v>0</v>
      </c>
      <c r="AQ66" s="1293">
        <v>0</v>
      </c>
      <c r="AR66" s="2305"/>
      <c r="AS66" s="1294">
        <v>0</v>
      </c>
      <c r="AT66" s="1294">
        <v>0</v>
      </c>
      <c r="AU66" s="1294">
        <v>0</v>
      </c>
      <c r="AV66" s="1293">
        <v>0</v>
      </c>
      <c r="AW66" s="1293">
        <v>0</v>
      </c>
      <c r="AX66" s="1293">
        <v>0</v>
      </c>
      <c r="AY66" s="1294">
        <v>0</v>
      </c>
      <c r="AZ66" s="1294">
        <v>0</v>
      </c>
      <c r="BA66" s="1294">
        <v>0</v>
      </c>
      <c r="BB66" s="1293">
        <v>0</v>
      </c>
      <c r="BC66" s="1293">
        <v>0</v>
      </c>
      <c r="BD66" s="1293">
        <v>0</v>
      </c>
      <c r="BE66" s="1293">
        <v>0</v>
      </c>
      <c r="BF66" s="1293">
        <v>0</v>
      </c>
      <c r="BG66" s="1293">
        <v>0</v>
      </c>
      <c r="BH66" s="1293">
        <v>-0.45708054741994164</v>
      </c>
      <c r="BI66" s="1295"/>
      <c r="BJ66" s="1293">
        <v>0</v>
      </c>
      <c r="BK66" s="1293">
        <v>0</v>
      </c>
      <c r="BL66" s="1293">
        <v>0</v>
      </c>
    </row>
    <row r="67" spans="1:74">
      <c r="K67" s="1427"/>
      <c r="M67" s="533"/>
      <c r="T67" s="532"/>
      <c r="U67" s="532"/>
      <c r="V67" s="1291"/>
      <c r="Z67" s="532"/>
      <c r="AB67" s="743"/>
      <c r="AE67" s="532"/>
      <c r="AI67" s="532"/>
      <c r="AL67" s="1292"/>
      <c r="AM67" s="532"/>
      <c r="AP67" s="2306"/>
      <c r="AQ67" s="2307"/>
      <c r="AR67" s="2308"/>
      <c r="AS67" s="2307"/>
      <c r="AT67" s="2307"/>
      <c r="AU67" s="2307"/>
      <c r="AV67" s="2307"/>
      <c r="AW67" s="532"/>
      <c r="AX67" s="532"/>
      <c r="AY67" s="532"/>
      <c r="BG67" s="529"/>
      <c r="BJ67" s="532"/>
      <c r="BL67" s="529"/>
      <c r="BM67" s="529"/>
      <c r="BQ67" s="956">
        <v>60123857.262264609</v>
      </c>
      <c r="BR67" s="956">
        <v>42256012.964960076</v>
      </c>
      <c r="BS67" s="956">
        <v>17867844.297304533</v>
      </c>
      <c r="BT67" s="956">
        <v>-21171659.262264621</v>
      </c>
      <c r="BU67" s="956">
        <v>246603.03503992557</v>
      </c>
      <c r="BV67" s="956">
        <v>-21418262.297304545</v>
      </c>
    </row>
    <row r="68" spans="1:74" ht="16.8" thickBot="1">
      <c r="K68" s="1427"/>
      <c r="M68" s="533"/>
      <c r="T68" s="532"/>
      <c r="U68" s="532"/>
      <c r="V68" s="1291"/>
      <c r="Z68" s="532"/>
      <c r="AB68" s="743"/>
      <c r="AE68" s="532"/>
      <c r="AF68" s="532" t="s">
        <v>630</v>
      </c>
      <c r="AI68" s="532"/>
      <c r="AM68" s="532"/>
      <c r="AP68" s="1296"/>
      <c r="AQ68" s="1297"/>
      <c r="AS68" s="1297"/>
      <c r="AW68" s="532"/>
      <c r="AX68" s="532"/>
      <c r="AY68" s="532"/>
      <c r="BG68" s="556"/>
      <c r="BH68" s="553"/>
      <c r="BI68" s="553"/>
      <c r="BJ68" s="553"/>
      <c r="BK68" s="553"/>
      <c r="BL68" s="529"/>
      <c r="BQ68" s="956">
        <v>0</v>
      </c>
      <c r="BR68" s="956">
        <v>0</v>
      </c>
      <c r="BS68" s="956">
        <v>0</v>
      </c>
      <c r="BT68" s="956">
        <v>0</v>
      </c>
      <c r="BU68" s="956">
        <v>0</v>
      </c>
      <c r="BV68" s="956">
        <v>0</v>
      </c>
    </row>
    <row r="69" spans="1:74" ht="16.8" thickBot="1">
      <c r="A69" s="2592" t="s">
        <v>991</v>
      </c>
      <c r="B69" s="2593" t="s">
        <v>992</v>
      </c>
      <c r="C69" s="2671" t="s">
        <v>993</v>
      </c>
      <c r="D69" s="2596" t="s">
        <v>1772</v>
      </c>
      <c r="E69" s="2673" t="s">
        <v>995</v>
      </c>
      <c r="F69" s="2589" t="s">
        <v>1958</v>
      </c>
      <c r="G69" s="2589"/>
      <c r="H69" s="2589"/>
      <c r="I69" s="2584" t="s">
        <v>998</v>
      </c>
      <c r="J69" s="2584"/>
      <c r="K69" s="2584"/>
      <c r="L69" s="2674" t="s">
        <v>1188</v>
      </c>
      <c r="M69" s="2589" t="s">
        <v>1001</v>
      </c>
      <c r="N69" s="2589"/>
      <c r="O69" s="2589"/>
      <c r="P69" s="2589" t="s">
        <v>1001</v>
      </c>
      <c r="Q69" s="2589"/>
      <c r="R69" s="2589"/>
      <c r="S69" s="2589" t="s">
        <v>1230</v>
      </c>
      <c r="T69" s="2589"/>
      <c r="U69" s="2589"/>
      <c r="V69" s="1299"/>
      <c r="W69" s="1299"/>
      <c r="X69" s="1299"/>
      <c r="Y69" s="552"/>
      <c r="Z69" s="552"/>
      <c r="AA69" s="552"/>
      <c r="AB69" s="552"/>
      <c r="AC69" s="552"/>
      <c r="AD69" s="552"/>
      <c r="AE69" s="553"/>
      <c r="AF69" s="553"/>
      <c r="AG69" s="553"/>
      <c r="AH69" s="552"/>
      <c r="AI69" s="552"/>
      <c r="AJ69" s="556"/>
      <c r="AK69" s="556"/>
      <c r="AL69" s="556"/>
      <c r="AM69" s="2663" t="s">
        <v>1004</v>
      </c>
      <c r="AN69" s="2665" t="s">
        <v>1005</v>
      </c>
      <c r="AO69" s="2667" t="s">
        <v>1006</v>
      </c>
      <c r="AP69" s="2599" t="s">
        <v>1007</v>
      </c>
      <c r="AQ69" s="2656" t="s">
        <v>1008</v>
      </c>
      <c r="AR69" s="2658" t="s">
        <v>1009</v>
      </c>
      <c r="AS69" s="2660" t="s">
        <v>1010</v>
      </c>
      <c r="AT69" s="2661"/>
      <c r="AU69" s="2662"/>
      <c r="AV69" s="2660" t="s">
        <v>1011</v>
      </c>
      <c r="AW69" s="2661"/>
      <c r="AX69" s="2662"/>
      <c r="AY69" s="2608" t="s">
        <v>1953</v>
      </c>
      <c r="AZ69" s="2609"/>
      <c r="BA69" s="2610"/>
      <c r="BB69" s="2608" t="s">
        <v>1013</v>
      </c>
      <c r="BC69" s="2609"/>
      <c r="BD69" s="2610"/>
      <c r="BE69" s="2608" t="s">
        <v>1014</v>
      </c>
      <c r="BF69" s="2609"/>
      <c r="BG69" s="2610"/>
      <c r="BH69" s="554"/>
      <c r="BI69" s="534"/>
      <c r="BJ69" s="2651" t="s">
        <v>1954</v>
      </c>
      <c r="BK69" s="2652"/>
      <c r="BL69" s="1300" t="s">
        <v>1688</v>
      </c>
      <c r="BM69" s="1301"/>
    </row>
    <row r="70" spans="1:74" ht="31.2">
      <c r="A70" s="2592"/>
      <c r="B70" s="2593"/>
      <c r="C70" s="2672"/>
      <c r="D70" s="2597"/>
      <c r="E70" s="2671"/>
      <c r="F70" s="550" t="s">
        <v>1020</v>
      </c>
      <c r="G70" s="550" t="s">
        <v>1021</v>
      </c>
      <c r="H70" s="550" t="s">
        <v>1022</v>
      </c>
      <c r="I70" s="550" t="s">
        <v>1020</v>
      </c>
      <c r="J70" s="550" t="s">
        <v>1021</v>
      </c>
      <c r="K70" s="550" t="s">
        <v>1022</v>
      </c>
      <c r="L70" s="2675"/>
      <c r="M70" s="550" t="s">
        <v>1020</v>
      </c>
      <c r="N70" s="550" t="s">
        <v>1021</v>
      </c>
      <c r="O70" s="550" t="s">
        <v>1022</v>
      </c>
      <c r="P70" s="550" t="s">
        <v>1020</v>
      </c>
      <c r="Q70" s="550" t="s">
        <v>1021</v>
      </c>
      <c r="R70" s="550" t="s">
        <v>1022</v>
      </c>
      <c r="S70" s="550" t="s">
        <v>1020</v>
      </c>
      <c r="T70" s="550" t="s">
        <v>1021</v>
      </c>
      <c r="U70" s="550" t="s">
        <v>1022</v>
      </c>
      <c r="V70" s="1299"/>
      <c r="W70" s="1302"/>
      <c r="X70" s="1303"/>
      <c r="Y70" s="552"/>
      <c r="Z70" s="552"/>
      <c r="AA70" s="552"/>
      <c r="AB70" s="552"/>
      <c r="AC70" s="552"/>
      <c r="AD70" s="552"/>
      <c r="AE70" s="1304"/>
      <c r="AF70" s="1304"/>
      <c r="AG70" s="1304"/>
      <c r="AH70" s="552"/>
      <c r="AI70" s="561"/>
      <c r="AJ70" s="556"/>
      <c r="AK70" s="556"/>
      <c r="AL70" s="556"/>
      <c r="AM70" s="2664"/>
      <c r="AN70" s="2666"/>
      <c r="AO70" s="2668"/>
      <c r="AP70" s="2499"/>
      <c r="AQ70" s="2657"/>
      <c r="AR70" s="2659"/>
      <c r="AS70" s="2309" t="s">
        <v>1016</v>
      </c>
      <c r="AT70" s="2310" t="s">
        <v>1017</v>
      </c>
      <c r="AU70" s="2311" t="s">
        <v>1008</v>
      </c>
      <c r="AV70" s="2312" t="s">
        <v>1016</v>
      </c>
      <c r="AW70" s="2310" t="s">
        <v>1017</v>
      </c>
      <c r="AX70" s="2313" t="s">
        <v>1008</v>
      </c>
      <c r="AY70" s="565" t="s">
        <v>1024</v>
      </c>
      <c r="AZ70" s="566" t="s">
        <v>1025</v>
      </c>
      <c r="BA70" s="567" t="s">
        <v>1026</v>
      </c>
      <c r="BB70" s="565" t="s">
        <v>1024</v>
      </c>
      <c r="BC70" s="566" t="s">
        <v>1025</v>
      </c>
      <c r="BD70" s="567" t="s">
        <v>1026</v>
      </c>
      <c r="BE70" s="565" t="s">
        <v>1024</v>
      </c>
      <c r="BF70" s="566" t="s">
        <v>1025</v>
      </c>
      <c r="BG70" s="567" t="s">
        <v>1026</v>
      </c>
      <c r="BH70" s="568"/>
      <c r="BI70" s="749"/>
      <c r="BJ70" s="1305" t="s">
        <v>1027</v>
      </c>
      <c r="BK70" s="1306" t="s">
        <v>1028</v>
      </c>
      <c r="BL70" s="1306" t="s">
        <v>1008</v>
      </c>
      <c r="BM70" s="1307"/>
    </row>
    <row r="71" spans="1:74">
      <c r="A71" s="574" t="s">
        <v>1190</v>
      </c>
      <c r="B71" s="751" t="s">
        <v>1191</v>
      </c>
      <c r="C71" s="752">
        <v>384140920</v>
      </c>
      <c r="D71" s="752">
        <v>270146122</v>
      </c>
      <c r="E71" s="752">
        <v>113994798</v>
      </c>
      <c r="F71" s="752">
        <v>135929281</v>
      </c>
      <c r="G71" s="752">
        <v>79528390</v>
      </c>
      <c r="H71" s="752">
        <v>56400891</v>
      </c>
      <c r="I71" s="752"/>
      <c r="J71" s="752"/>
      <c r="K71" s="752"/>
      <c r="L71" s="1308" t="s">
        <v>1192</v>
      </c>
      <c r="M71" s="752">
        <v>35312198</v>
      </c>
      <c r="N71" s="752">
        <v>39238838</v>
      </c>
      <c r="O71" s="752">
        <v>-3926640</v>
      </c>
      <c r="P71" s="2269">
        <v>35312198</v>
      </c>
      <c r="Q71" s="2269">
        <v>39238838</v>
      </c>
      <c r="R71" s="2269">
        <v>-3926640</v>
      </c>
      <c r="S71" s="2269">
        <v>171241479</v>
      </c>
      <c r="T71" s="2269">
        <v>118767228</v>
      </c>
      <c r="U71" s="2269">
        <v>52474251</v>
      </c>
      <c r="V71" s="2314"/>
      <c r="W71" s="2315"/>
      <c r="X71" s="2315"/>
      <c r="Y71" s="2316"/>
      <c r="Z71" s="2316"/>
      <c r="AA71" s="2316"/>
      <c r="AB71" s="2316"/>
      <c r="AC71" s="2317"/>
      <c r="AD71" s="2316"/>
      <c r="AE71" s="532"/>
      <c r="AJ71" s="742"/>
      <c r="AK71" s="742"/>
      <c r="AL71" s="742"/>
      <c r="AM71" s="585" t="s">
        <v>1190</v>
      </c>
      <c r="AN71" s="586" t="s">
        <v>1191</v>
      </c>
      <c r="AO71" s="1309">
        <v>384140920</v>
      </c>
      <c r="AP71" s="588">
        <v>270146122</v>
      </c>
      <c r="AQ71" s="588">
        <v>113994798</v>
      </c>
      <c r="AR71" s="1310">
        <v>0.2967525511210834</v>
      </c>
      <c r="AS71" s="587">
        <v>51270707</v>
      </c>
      <c r="AT71" s="588">
        <v>35361828</v>
      </c>
      <c r="AU71" s="1311">
        <v>15908879</v>
      </c>
      <c r="AV71" s="585">
        <v>-1586000</v>
      </c>
      <c r="AW71" s="588">
        <v>-42684</v>
      </c>
      <c r="AX71" s="586">
        <v>-1543316</v>
      </c>
      <c r="AY71" s="585">
        <v>35312198</v>
      </c>
      <c r="AZ71" s="588">
        <v>39238838</v>
      </c>
      <c r="BA71" s="586">
        <v>-3926640</v>
      </c>
      <c r="BB71" s="585">
        <v>35312198</v>
      </c>
      <c r="BC71" s="588">
        <v>39238838</v>
      </c>
      <c r="BD71" s="586">
        <v>-3926640</v>
      </c>
      <c r="BE71" s="585">
        <v>171241479</v>
      </c>
      <c r="BF71" s="588">
        <v>118767228</v>
      </c>
      <c r="BG71" s="586">
        <v>52474251</v>
      </c>
      <c r="BH71" s="2318"/>
      <c r="BI71" s="535"/>
      <c r="BJ71" s="591">
        <v>212899441</v>
      </c>
      <c r="BK71" s="592">
        <v>151378894</v>
      </c>
      <c r="BL71" s="592">
        <v>61520547</v>
      </c>
      <c r="BM71" s="2319"/>
    </row>
    <row r="72" spans="1:74">
      <c r="A72" s="574" t="s">
        <v>1193</v>
      </c>
      <c r="B72" s="751" t="s">
        <v>1194</v>
      </c>
      <c r="C72" s="752">
        <v>0</v>
      </c>
      <c r="D72" s="752">
        <v>0</v>
      </c>
      <c r="E72" s="752">
        <v>0</v>
      </c>
      <c r="F72" s="752">
        <v>0</v>
      </c>
      <c r="G72" s="752">
        <v>0</v>
      </c>
      <c r="H72" s="752">
        <v>0</v>
      </c>
      <c r="I72" s="752"/>
      <c r="J72" s="752"/>
      <c r="K72" s="752"/>
      <c r="L72" s="1308" t="s">
        <v>1195</v>
      </c>
      <c r="M72" s="752">
        <v>3640000</v>
      </c>
      <c r="N72" s="752">
        <v>3263778</v>
      </c>
      <c r="O72" s="752">
        <v>376222</v>
      </c>
      <c r="P72" s="2269">
        <v>3640000</v>
      </c>
      <c r="Q72" s="2269">
        <v>3263778</v>
      </c>
      <c r="R72" s="2269">
        <v>376222</v>
      </c>
      <c r="S72" s="2269">
        <v>3640000</v>
      </c>
      <c r="T72" s="2269">
        <v>3263778</v>
      </c>
      <c r="U72" s="2269">
        <v>376222</v>
      </c>
      <c r="V72" s="2314"/>
      <c r="W72" s="2315"/>
      <c r="X72" s="2315"/>
      <c r="Y72" s="2316"/>
      <c r="Z72" s="2316"/>
      <c r="AA72" s="2316"/>
      <c r="AB72" s="2316"/>
      <c r="AC72" s="2317"/>
      <c r="AD72" s="2316"/>
      <c r="AE72" s="532"/>
      <c r="AJ72" s="742"/>
      <c r="AK72" s="742"/>
      <c r="AL72" s="742"/>
      <c r="AM72" s="585" t="s">
        <v>1193</v>
      </c>
      <c r="AN72" s="586" t="s">
        <v>1194</v>
      </c>
      <c r="AO72" s="1309">
        <v>0</v>
      </c>
      <c r="AP72" s="588">
        <v>0</v>
      </c>
      <c r="AQ72" s="588">
        <v>0</v>
      </c>
      <c r="AR72" s="1310" t="e">
        <v>#DIV/0!</v>
      </c>
      <c r="AS72" s="587"/>
      <c r="AT72" s="588"/>
      <c r="AU72" s="1311">
        <v>0</v>
      </c>
      <c r="AV72" s="587"/>
      <c r="AW72" s="588"/>
      <c r="AX72" s="586">
        <v>0</v>
      </c>
      <c r="AY72" s="585">
        <v>3640000</v>
      </c>
      <c r="AZ72" s="588">
        <v>3263778</v>
      </c>
      <c r="BA72" s="586">
        <v>376222</v>
      </c>
      <c r="BB72" s="585">
        <v>3640000</v>
      </c>
      <c r="BC72" s="588">
        <v>3263778</v>
      </c>
      <c r="BD72" s="586">
        <v>376222</v>
      </c>
      <c r="BE72" s="585">
        <v>3640000</v>
      </c>
      <c r="BF72" s="588">
        <v>3263778</v>
      </c>
      <c r="BG72" s="586">
        <v>376222</v>
      </c>
      <c r="BH72" s="2318"/>
      <c r="BI72" s="535"/>
      <c r="BJ72" s="591">
        <v>0</v>
      </c>
      <c r="BK72" s="592">
        <v>0</v>
      </c>
      <c r="BL72" s="592">
        <v>0</v>
      </c>
      <c r="BM72" s="2319"/>
    </row>
    <row r="73" spans="1:74" ht="16.8" thickBot="1">
      <c r="A73" s="1312" t="s">
        <v>1196</v>
      </c>
      <c r="B73" s="1108" t="s">
        <v>1184</v>
      </c>
      <c r="C73" s="1313">
        <v>384140920</v>
      </c>
      <c r="D73" s="1313">
        <v>270146122</v>
      </c>
      <c r="E73" s="1313">
        <v>113994798</v>
      </c>
      <c r="F73" s="757">
        <v>135929281</v>
      </c>
      <c r="G73" s="757">
        <v>79528390</v>
      </c>
      <c r="H73" s="757">
        <v>56400891</v>
      </c>
      <c r="I73" s="757">
        <v>0</v>
      </c>
      <c r="J73" s="757">
        <v>0</v>
      </c>
      <c r="K73" s="757">
        <v>0</v>
      </c>
      <c r="L73" s="1314"/>
      <c r="M73" s="757">
        <v>38952198</v>
      </c>
      <c r="N73" s="757">
        <v>42502616</v>
      </c>
      <c r="O73" s="757">
        <v>-3550418</v>
      </c>
      <c r="P73" s="757">
        <v>38952198</v>
      </c>
      <c r="Q73" s="757">
        <v>42502616</v>
      </c>
      <c r="R73" s="757">
        <v>-3550418</v>
      </c>
      <c r="S73" s="757">
        <v>174881479</v>
      </c>
      <c r="T73" s="757">
        <v>122031006</v>
      </c>
      <c r="U73" s="757">
        <v>52850473</v>
      </c>
      <c r="V73" s="1315"/>
      <c r="W73" s="2320"/>
      <c r="X73" s="2320"/>
      <c r="Y73" s="2321"/>
      <c r="Z73" s="2321"/>
      <c r="AA73" s="2321"/>
      <c r="AB73" s="2321"/>
      <c r="AC73" s="2322"/>
      <c r="AD73" s="2321"/>
      <c r="AE73" s="553"/>
      <c r="AF73" s="553"/>
      <c r="AG73" s="553"/>
      <c r="AH73" s="552"/>
      <c r="AI73" s="552"/>
      <c r="AJ73" s="763"/>
      <c r="AK73" s="763"/>
      <c r="AL73" s="763"/>
      <c r="AM73" s="714"/>
      <c r="AN73" s="717" t="s">
        <v>1197</v>
      </c>
      <c r="AO73" s="1316">
        <v>384140920</v>
      </c>
      <c r="AP73" s="1317">
        <v>270146122</v>
      </c>
      <c r="AQ73" s="1318">
        <v>113994798</v>
      </c>
      <c r="AR73" s="1319">
        <v>0.2967525511210834</v>
      </c>
      <c r="AS73" s="1320">
        <v>51270707</v>
      </c>
      <c r="AT73" s="716">
        <v>35361828</v>
      </c>
      <c r="AU73" s="1318">
        <v>15908879</v>
      </c>
      <c r="AV73" s="1320">
        <v>-1586000</v>
      </c>
      <c r="AW73" s="716">
        <v>-42684</v>
      </c>
      <c r="AX73" s="1318">
        <v>-1543316</v>
      </c>
      <c r="AY73" s="1320">
        <v>38952198</v>
      </c>
      <c r="AZ73" s="716">
        <v>42502616</v>
      </c>
      <c r="BA73" s="1318">
        <v>-3550418</v>
      </c>
      <c r="BB73" s="1320">
        <v>38952198</v>
      </c>
      <c r="BC73" s="716">
        <v>42502616</v>
      </c>
      <c r="BD73" s="1318">
        <v>-3550418</v>
      </c>
      <c r="BE73" s="1320">
        <v>174881479</v>
      </c>
      <c r="BF73" s="716">
        <v>122031006</v>
      </c>
      <c r="BG73" s="1318">
        <v>52850473</v>
      </c>
      <c r="BH73" s="2323"/>
      <c r="BI73" s="762" t="s">
        <v>1198</v>
      </c>
      <c r="BJ73" s="714">
        <v>212899441</v>
      </c>
      <c r="BK73" s="716">
        <v>151378894</v>
      </c>
      <c r="BL73" s="716">
        <v>61520547</v>
      </c>
      <c r="BM73" s="760"/>
    </row>
    <row r="74" spans="1:74">
      <c r="A74" s="574" t="s">
        <v>1199</v>
      </c>
      <c r="B74" s="751" t="s">
        <v>1200</v>
      </c>
      <c r="C74" s="752">
        <v>-319176300</v>
      </c>
      <c r="D74" s="752">
        <v>-319176300</v>
      </c>
      <c r="E74" s="752"/>
      <c r="F74" s="752">
        <v>-115422161</v>
      </c>
      <c r="G74" s="752">
        <v>-115422161</v>
      </c>
      <c r="H74" s="752">
        <v>0</v>
      </c>
      <c r="I74" s="752"/>
      <c r="J74" s="752"/>
      <c r="K74" s="752"/>
      <c r="L74" s="1308" t="s">
        <v>1037</v>
      </c>
      <c r="M74" s="752">
        <v>-30511034</v>
      </c>
      <c r="N74" s="752">
        <v>-30511034</v>
      </c>
      <c r="O74" s="752">
        <v>0</v>
      </c>
      <c r="P74" s="2269">
        <v>-30511034</v>
      </c>
      <c r="Q74" s="2269">
        <v>-30511034</v>
      </c>
      <c r="R74" s="2269">
        <v>0</v>
      </c>
      <c r="S74" s="2269">
        <v>-145933195</v>
      </c>
      <c r="T74" s="2269">
        <v>-145933195</v>
      </c>
      <c r="U74" s="2269">
        <v>0</v>
      </c>
      <c r="V74" s="2314"/>
      <c r="W74" s="2315"/>
      <c r="X74" s="2315"/>
      <c r="Y74" s="2316"/>
      <c r="Z74" s="2316"/>
      <c r="AA74" s="2316"/>
      <c r="AB74" s="2316"/>
      <c r="AC74" s="2317"/>
      <c r="AD74" s="2316"/>
      <c r="AE74" s="532"/>
      <c r="AJ74" s="742"/>
      <c r="AK74" s="742"/>
      <c r="AL74" s="742"/>
      <c r="AM74" s="585" t="s">
        <v>1199</v>
      </c>
      <c r="AN74" s="586" t="s">
        <v>1200</v>
      </c>
      <c r="AO74" s="1309">
        <v>-319176300</v>
      </c>
      <c r="AP74" s="1321">
        <v>-319176300</v>
      </c>
      <c r="AQ74" s="588">
        <v>0</v>
      </c>
      <c r="AR74" s="1310"/>
      <c r="AS74" s="587">
        <v>-34940707</v>
      </c>
      <c r="AT74" s="588">
        <v>-34940707</v>
      </c>
      <c r="AU74" s="1311">
        <v>0</v>
      </c>
      <c r="AV74" s="587">
        <v>1586000</v>
      </c>
      <c r="AW74" s="1321">
        <v>1586000</v>
      </c>
      <c r="AX74" s="586">
        <v>0</v>
      </c>
      <c r="AY74" s="585">
        <v>-30511034</v>
      </c>
      <c r="AZ74" s="588">
        <v>-30511034</v>
      </c>
      <c r="BA74" s="586">
        <v>0</v>
      </c>
      <c r="BB74" s="585">
        <v>-30511034</v>
      </c>
      <c r="BC74" s="588">
        <v>-30511034</v>
      </c>
      <c r="BD74" s="586">
        <v>0</v>
      </c>
      <c r="BE74" s="585">
        <v>-145933195</v>
      </c>
      <c r="BF74" s="588">
        <v>-145933195</v>
      </c>
      <c r="BG74" s="586">
        <v>0</v>
      </c>
      <c r="BH74" s="2318"/>
      <c r="BI74" s="535"/>
      <c r="BJ74" s="591">
        <v>-173243105</v>
      </c>
      <c r="BK74" s="592">
        <v>-173243105</v>
      </c>
      <c r="BL74" s="592">
        <v>0</v>
      </c>
      <c r="BM74" s="2319"/>
    </row>
    <row r="75" spans="1:74">
      <c r="A75" s="574" t="s">
        <v>1201</v>
      </c>
      <c r="B75" s="751" t="s">
        <v>1202</v>
      </c>
      <c r="C75" s="752"/>
      <c r="D75" s="752"/>
      <c r="E75" s="752"/>
      <c r="F75" s="752">
        <v>0</v>
      </c>
      <c r="G75" s="752">
        <v>0</v>
      </c>
      <c r="H75" s="752">
        <v>0</v>
      </c>
      <c r="I75" s="752"/>
      <c r="J75" s="752"/>
      <c r="K75" s="752"/>
      <c r="L75" s="2295" t="s">
        <v>1095</v>
      </c>
      <c r="M75" s="752">
        <v>-2320000</v>
      </c>
      <c r="N75" s="752">
        <v>-2013870</v>
      </c>
      <c r="O75" s="752">
        <v>-306130</v>
      </c>
      <c r="P75" s="2269">
        <v>-2320000</v>
      </c>
      <c r="Q75" s="2269">
        <v>-2013870</v>
      </c>
      <c r="R75" s="2269">
        <v>-306130</v>
      </c>
      <c r="S75" s="2269">
        <v>-2320000</v>
      </c>
      <c r="T75" s="2269">
        <v>-2013870</v>
      </c>
      <c r="U75" s="2269">
        <v>-306130</v>
      </c>
      <c r="V75" s="2314"/>
      <c r="W75" s="2315"/>
      <c r="X75" s="2315"/>
      <c r="Y75" s="2316"/>
      <c r="Z75" s="2316"/>
      <c r="AA75" s="2316"/>
      <c r="AB75" s="2316"/>
      <c r="AC75" s="2317"/>
      <c r="AD75" s="2316"/>
      <c r="AE75" s="532"/>
      <c r="AJ75" s="742"/>
      <c r="AK75" s="742"/>
      <c r="AL75" s="742"/>
      <c r="AM75" s="585" t="s">
        <v>1201</v>
      </c>
      <c r="AN75" s="586" t="s">
        <v>1202</v>
      </c>
      <c r="AO75" s="1309">
        <v>0</v>
      </c>
      <c r="AP75" s="588">
        <v>0</v>
      </c>
      <c r="AQ75" s="588">
        <v>0</v>
      </c>
      <c r="AR75" s="1310" t="e">
        <v>#DIV/0!</v>
      </c>
      <c r="AS75" s="587"/>
      <c r="AT75" s="588"/>
      <c r="AU75" s="1311">
        <v>0</v>
      </c>
      <c r="AV75" s="585"/>
      <c r="AW75" s="588"/>
      <c r="AX75" s="586">
        <v>0</v>
      </c>
      <c r="AY75" s="585">
        <v>-2320000</v>
      </c>
      <c r="AZ75" s="588">
        <v>-2013870</v>
      </c>
      <c r="BA75" s="586">
        <v>-306130</v>
      </c>
      <c r="BB75" s="585">
        <v>-2320000</v>
      </c>
      <c r="BC75" s="588">
        <v>-2013870</v>
      </c>
      <c r="BD75" s="586">
        <v>-306130</v>
      </c>
      <c r="BE75" s="585">
        <v>-2320000</v>
      </c>
      <c r="BF75" s="588">
        <v>-2013870</v>
      </c>
      <c r="BG75" s="586">
        <v>-306130</v>
      </c>
      <c r="BH75" s="2318"/>
      <c r="BI75" s="535"/>
      <c r="BJ75" s="591">
        <v>0</v>
      </c>
      <c r="BK75" s="592">
        <v>0</v>
      </c>
      <c r="BL75" s="592">
        <v>0</v>
      </c>
      <c r="BM75" s="2319"/>
    </row>
    <row r="76" spans="1:74">
      <c r="A76" s="574" t="s">
        <v>1203</v>
      </c>
      <c r="B76" s="751" t="s">
        <v>1204</v>
      </c>
      <c r="C76" s="752"/>
      <c r="D76" s="752"/>
      <c r="E76" s="752"/>
      <c r="F76" s="752">
        <v>0</v>
      </c>
      <c r="G76" s="752">
        <v>0</v>
      </c>
      <c r="H76" s="752"/>
      <c r="I76" s="752"/>
      <c r="J76" s="752"/>
      <c r="K76" s="752"/>
      <c r="L76" s="2324" t="s">
        <v>1205</v>
      </c>
      <c r="M76" s="752">
        <v>-1267500</v>
      </c>
      <c r="N76" s="752">
        <v>-1267500</v>
      </c>
      <c r="O76" s="752">
        <v>0</v>
      </c>
      <c r="P76" s="2269">
        <v>-1267500</v>
      </c>
      <c r="Q76" s="2269">
        <v>-1267500</v>
      </c>
      <c r="R76" s="2269">
        <v>0</v>
      </c>
      <c r="S76" s="2269">
        <v>-1267500</v>
      </c>
      <c r="T76" s="2269">
        <v>-1267500</v>
      </c>
      <c r="U76" s="2269">
        <v>0</v>
      </c>
      <c r="V76" s="2314"/>
      <c r="W76" s="2315"/>
      <c r="X76" s="2315"/>
      <c r="Y76" s="2316"/>
      <c r="Z76" s="2316"/>
      <c r="AA76" s="2316"/>
      <c r="AB76" s="2316"/>
      <c r="AC76" s="2317"/>
      <c r="AD76" s="2316"/>
      <c r="AE76" s="532"/>
      <c r="AJ76" s="742"/>
      <c r="AK76" s="742"/>
      <c r="AL76" s="742"/>
      <c r="AM76" s="585" t="s">
        <v>1203</v>
      </c>
      <c r="AN76" s="586" t="s">
        <v>1204</v>
      </c>
      <c r="AO76" s="1309">
        <v>0</v>
      </c>
      <c r="AP76" s="588">
        <v>0</v>
      </c>
      <c r="AQ76" s="588">
        <v>0</v>
      </c>
      <c r="AR76" s="1310" t="e">
        <v>#DIV/0!</v>
      </c>
      <c r="AS76" s="587"/>
      <c r="AT76" s="588"/>
      <c r="AU76" s="1322"/>
      <c r="AV76" s="585"/>
      <c r="AW76" s="588"/>
      <c r="AX76" s="769"/>
      <c r="AY76" s="585">
        <v>-1267500</v>
      </c>
      <c r="AZ76" s="588">
        <v>-1267500</v>
      </c>
      <c r="BA76" s="586">
        <v>0</v>
      </c>
      <c r="BB76" s="585">
        <v>-1267500</v>
      </c>
      <c r="BC76" s="588">
        <v>-1267500</v>
      </c>
      <c r="BD76" s="586">
        <v>0</v>
      </c>
      <c r="BE76" s="585">
        <v>-1267500</v>
      </c>
      <c r="BF76" s="588">
        <v>-1267500</v>
      </c>
      <c r="BG76" s="586">
        <v>0</v>
      </c>
      <c r="BH76" s="2318"/>
      <c r="BI76" s="535"/>
      <c r="BJ76" s="591">
        <v>0</v>
      </c>
      <c r="BK76" s="592">
        <v>0</v>
      </c>
      <c r="BL76" s="592">
        <v>0</v>
      </c>
      <c r="BM76" s="2319"/>
    </row>
    <row r="77" spans="1:74">
      <c r="A77" s="1312" t="s">
        <v>1207</v>
      </c>
      <c r="B77" s="1108" t="s">
        <v>1208</v>
      </c>
      <c r="C77" s="1313">
        <v>-319176300</v>
      </c>
      <c r="D77" s="1313">
        <v>-319176300</v>
      </c>
      <c r="E77" s="1313">
        <v>0</v>
      </c>
      <c r="F77" s="757">
        <v>-115422161</v>
      </c>
      <c r="G77" s="757">
        <v>-115422161</v>
      </c>
      <c r="H77" s="757">
        <v>0</v>
      </c>
      <c r="I77" s="757">
        <v>0</v>
      </c>
      <c r="J77" s="757">
        <v>0</v>
      </c>
      <c r="K77" s="757">
        <v>0</v>
      </c>
      <c r="L77" s="1314">
        <v>0</v>
      </c>
      <c r="M77" s="757">
        <v>-34098534</v>
      </c>
      <c r="N77" s="757">
        <v>-33792404</v>
      </c>
      <c r="O77" s="757">
        <v>-306130</v>
      </c>
      <c r="P77" s="757">
        <v>-34098534</v>
      </c>
      <c r="Q77" s="757">
        <v>-33792404</v>
      </c>
      <c r="R77" s="757">
        <v>-306130</v>
      </c>
      <c r="S77" s="757">
        <v>-149520695</v>
      </c>
      <c r="T77" s="757">
        <v>-149214565</v>
      </c>
      <c r="U77" s="757">
        <v>-306130</v>
      </c>
      <c r="V77" s="1315"/>
      <c r="W77" s="2315"/>
      <c r="X77" s="2315"/>
      <c r="Y77" s="2316"/>
      <c r="Z77" s="2316"/>
      <c r="AA77" s="2316"/>
      <c r="AB77" s="2316"/>
      <c r="AC77" s="2317"/>
      <c r="AD77" s="2316"/>
      <c r="AE77" s="532"/>
      <c r="AJ77" s="742"/>
      <c r="AK77" s="742"/>
      <c r="AL77" s="742"/>
      <c r="AM77" s="770"/>
      <c r="AN77" s="771" t="s">
        <v>1209</v>
      </c>
      <c r="AO77" s="1323">
        <v>-319176300</v>
      </c>
      <c r="AP77" s="773">
        <v>-319176300</v>
      </c>
      <c r="AQ77" s="773">
        <v>0</v>
      </c>
      <c r="AR77" s="1324">
        <v>0</v>
      </c>
      <c r="AS77" s="770">
        <v>-34940707</v>
      </c>
      <c r="AT77" s="1325">
        <v>-34940707</v>
      </c>
      <c r="AU77" s="773">
        <v>0</v>
      </c>
      <c r="AV77" s="770">
        <v>1586000</v>
      </c>
      <c r="AW77" s="773">
        <v>1586000</v>
      </c>
      <c r="AX77" s="773">
        <v>0</v>
      </c>
      <c r="AY77" s="770">
        <v>-34098534</v>
      </c>
      <c r="AZ77" s="773">
        <v>-33792404</v>
      </c>
      <c r="BA77" s="771">
        <v>-306130</v>
      </c>
      <c r="BB77" s="770">
        <v>-34098534</v>
      </c>
      <c r="BC77" s="773">
        <v>-33792404</v>
      </c>
      <c r="BD77" s="771">
        <v>-306130</v>
      </c>
      <c r="BE77" s="770">
        <v>-149520695</v>
      </c>
      <c r="BF77" s="773">
        <v>-149214565</v>
      </c>
      <c r="BG77" s="771">
        <v>-306130</v>
      </c>
      <c r="BH77" s="2325"/>
      <c r="BI77" s="535"/>
      <c r="BJ77" s="770">
        <v>-173243105</v>
      </c>
      <c r="BK77" s="773">
        <v>-173243105</v>
      </c>
      <c r="BL77" s="773">
        <v>0</v>
      </c>
      <c r="BM77" s="774"/>
    </row>
    <row r="78" spans="1:74" ht="16.8" thickBot="1">
      <c r="A78" s="777"/>
      <c r="B78" s="778" t="s">
        <v>1210</v>
      </c>
      <c r="C78" s="779">
        <v>64964620</v>
      </c>
      <c r="D78" s="779">
        <v>-49030178</v>
      </c>
      <c r="E78" s="779">
        <v>113994798</v>
      </c>
      <c r="F78" s="779">
        <v>20507120</v>
      </c>
      <c r="G78" s="779">
        <v>-35893771</v>
      </c>
      <c r="H78" s="779">
        <v>56400891</v>
      </c>
      <c r="I78" s="779">
        <v>0</v>
      </c>
      <c r="J78" s="779">
        <v>0</v>
      </c>
      <c r="K78" s="779">
        <v>0</v>
      </c>
      <c r="L78" s="1326"/>
      <c r="M78" s="779">
        <v>4853664</v>
      </c>
      <c r="N78" s="779">
        <v>8710212</v>
      </c>
      <c r="O78" s="779">
        <v>-3856548</v>
      </c>
      <c r="P78" s="779">
        <v>4853664</v>
      </c>
      <c r="Q78" s="779">
        <v>8710212</v>
      </c>
      <c r="R78" s="779">
        <v>-3856548</v>
      </c>
      <c r="S78" s="779">
        <v>25360784</v>
      </c>
      <c r="T78" s="779">
        <v>-27183559</v>
      </c>
      <c r="U78" s="779">
        <v>52544343</v>
      </c>
      <c r="V78" s="1315"/>
      <c r="W78" s="2320"/>
      <c r="X78" s="2320"/>
      <c r="Y78" s="2321"/>
      <c r="Z78" s="2321"/>
      <c r="AA78" s="2321"/>
      <c r="AB78" s="2321"/>
      <c r="AC78" s="2322"/>
      <c r="AD78" s="2321"/>
      <c r="AE78" s="553"/>
      <c r="AF78" s="553"/>
      <c r="AG78" s="553"/>
      <c r="AH78" s="552"/>
      <c r="AI78" s="552"/>
      <c r="AJ78" s="763"/>
      <c r="AK78" s="763"/>
      <c r="AL78" s="763"/>
      <c r="AM78" s="781"/>
      <c r="AN78" s="782" t="s">
        <v>1211</v>
      </c>
      <c r="AO78" s="1327">
        <v>64964620</v>
      </c>
      <c r="AP78" s="784">
        <v>-49030178</v>
      </c>
      <c r="AQ78" s="784">
        <v>113994798</v>
      </c>
      <c r="AR78" s="1328">
        <v>1.7547212313409977</v>
      </c>
      <c r="AS78" s="781">
        <v>16330000</v>
      </c>
      <c r="AT78" s="784">
        <v>421121</v>
      </c>
      <c r="AU78" s="782">
        <v>15908879</v>
      </c>
      <c r="AV78" s="781">
        <v>0</v>
      </c>
      <c r="AW78" s="784">
        <v>1543316</v>
      </c>
      <c r="AX78" s="782">
        <v>-1543316</v>
      </c>
      <c r="AY78" s="781">
        <v>4853664</v>
      </c>
      <c r="AZ78" s="784">
        <v>8710212</v>
      </c>
      <c r="BA78" s="782">
        <v>-3856548</v>
      </c>
      <c r="BB78" s="781">
        <v>4853664</v>
      </c>
      <c r="BC78" s="784">
        <v>8710212</v>
      </c>
      <c r="BD78" s="782">
        <v>-3856548</v>
      </c>
      <c r="BE78" s="781">
        <v>25360784</v>
      </c>
      <c r="BF78" s="784">
        <v>-27183559</v>
      </c>
      <c r="BG78" s="782">
        <v>52544343</v>
      </c>
      <c r="BH78" s="2326"/>
      <c r="BI78" s="762"/>
      <c r="BJ78" s="787">
        <v>39656336</v>
      </c>
      <c r="BK78" s="788">
        <v>-21864211</v>
      </c>
      <c r="BL78" s="788">
        <v>61520547</v>
      </c>
      <c r="BM78" s="2327"/>
    </row>
    <row r="79" spans="1:74" s="1289" customFormat="1">
      <c r="A79" s="1278"/>
      <c r="B79" s="1278"/>
      <c r="C79" s="1278">
        <v>0</v>
      </c>
      <c r="D79" s="1278"/>
      <c r="E79" s="1278">
        <v>0</v>
      </c>
      <c r="F79" s="1279">
        <v>0</v>
      </c>
      <c r="G79" s="1279"/>
      <c r="H79" s="1279">
        <v>0</v>
      </c>
      <c r="I79" s="1279">
        <v>0</v>
      </c>
      <c r="J79" s="1279"/>
      <c r="K79" s="1279">
        <v>0</v>
      </c>
      <c r="L79" s="1280"/>
      <c r="M79" s="1279">
        <v>0</v>
      </c>
      <c r="N79" s="1279"/>
      <c r="O79" s="1279">
        <v>0</v>
      </c>
      <c r="P79" s="1279">
        <v>0</v>
      </c>
      <c r="Q79" s="1279"/>
      <c r="R79" s="1279">
        <v>0</v>
      </c>
      <c r="S79" s="1279">
        <v>0</v>
      </c>
      <c r="T79" s="1279"/>
      <c r="U79" s="1279">
        <v>0</v>
      </c>
      <c r="V79" s="1281"/>
      <c r="W79" s="1281"/>
      <c r="X79" s="1281"/>
      <c r="Y79" s="1279"/>
      <c r="Z79" s="1279"/>
      <c r="AA79" s="1279"/>
      <c r="AB79" s="1279"/>
      <c r="AC79" s="1282"/>
      <c r="AD79" s="1279"/>
      <c r="AE79" s="1283"/>
      <c r="AF79" s="1284"/>
      <c r="AG79" s="1284"/>
      <c r="AH79" s="1285"/>
      <c r="AI79" s="1285"/>
      <c r="AJ79" s="1285"/>
      <c r="AK79" s="1284"/>
      <c r="AL79" s="1284"/>
      <c r="AM79" s="1285"/>
      <c r="AN79" s="1284"/>
      <c r="AO79" s="1286">
        <v>0</v>
      </c>
      <c r="AP79" s="1286"/>
      <c r="AQ79" s="1286">
        <v>0</v>
      </c>
      <c r="AR79" s="1287"/>
      <c r="AS79" s="1286">
        <v>0</v>
      </c>
      <c r="AT79" s="1284"/>
      <c r="AU79" s="1284">
        <v>0</v>
      </c>
      <c r="AV79" s="1284">
        <v>0</v>
      </c>
      <c r="AW79" s="1284"/>
      <c r="AX79" s="1284">
        <v>0</v>
      </c>
      <c r="AY79" s="1284">
        <v>0</v>
      </c>
      <c r="AZ79" s="1284"/>
      <c r="BA79" s="1284">
        <v>0</v>
      </c>
      <c r="BB79" s="1284">
        <v>0</v>
      </c>
      <c r="BC79" s="1284"/>
      <c r="BD79" s="1284">
        <v>0</v>
      </c>
      <c r="BE79" s="1284">
        <v>0</v>
      </c>
      <c r="BF79" s="1284"/>
      <c r="BG79" s="1284">
        <v>0</v>
      </c>
      <c r="BH79" s="1284"/>
      <c r="BI79" s="1284"/>
      <c r="BJ79" s="1288">
        <v>0</v>
      </c>
      <c r="BK79" s="1288"/>
      <c r="BL79" s="1288"/>
      <c r="BM79" s="1284"/>
      <c r="BQ79" s="2303"/>
      <c r="BR79" s="2303"/>
      <c r="BS79" s="2303"/>
      <c r="BT79" s="2303"/>
      <c r="BU79" s="2303"/>
      <c r="BV79" s="2303"/>
    </row>
    <row r="80" spans="1:74" s="1289" customFormat="1">
      <c r="A80" s="1278"/>
      <c r="B80" s="1278"/>
      <c r="C80" s="1278"/>
      <c r="D80" s="1278">
        <v>0</v>
      </c>
      <c r="E80" s="1278"/>
      <c r="F80" s="1279">
        <v>0</v>
      </c>
      <c r="G80" s="1279">
        <v>0</v>
      </c>
      <c r="H80" s="1279"/>
      <c r="I80" s="1279"/>
      <c r="J80" s="1279"/>
      <c r="K80" s="1279"/>
      <c r="L80" s="1280"/>
      <c r="M80" s="1329"/>
      <c r="N80" s="1279">
        <v>0</v>
      </c>
      <c r="O80" s="1279"/>
      <c r="P80" s="1279"/>
      <c r="Q80" s="1279">
        <v>0</v>
      </c>
      <c r="R80" s="1279"/>
      <c r="S80" s="1279"/>
      <c r="T80" s="1279">
        <v>0</v>
      </c>
      <c r="U80" s="1279"/>
      <c r="V80" s="1281"/>
      <c r="W80" s="1281"/>
      <c r="X80" s="1281"/>
      <c r="Y80" s="1279"/>
      <c r="Z80" s="1279"/>
      <c r="AA80" s="1279"/>
      <c r="AB80" s="1279"/>
      <c r="AC80" s="1282"/>
      <c r="AD80" s="1279"/>
      <c r="AE80" s="1283"/>
      <c r="AF80" s="1284"/>
      <c r="AG80" s="1284"/>
      <c r="AH80" s="1285"/>
      <c r="AI80" s="1285"/>
      <c r="AJ80" s="1285"/>
      <c r="AK80" s="1284"/>
      <c r="AL80" s="1284"/>
      <c r="AM80" s="1285"/>
      <c r="AN80" s="1284"/>
      <c r="AO80" s="1286"/>
      <c r="AP80" s="1286">
        <v>0</v>
      </c>
      <c r="AQ80" s="1286"/>
      <c r="AR80" s="1287"/>
      <c r="AS80" s="2302"/>
      <c r="AT80" s="1284"/>
      <c r="AU80" s="1284"/>
      <c r="AV80" s="1284"/>
      <c r="AW80" s="1284"/>
      <c r="AX80" s="1284"/>
      <c r="AY80" s="1284"/>
      <c r="AZ80" s="1284">
        <v>0</v>
      </c>
      <c r="BA80" s="1284"/>
      <c r="BB80" s="1284">
        <v>0</v>
      </c>
      <c r="BC80" s="1284">
        <v>0</v>
      </c>
      <c r="BD80" s="1284">
        <v>0</v>
      </c>
      <c r="BE80" s="1284">
        <v>0</v>
      </c>
      <c r="BF80" s="1284">
        <v>0</v>
      </c>
      <c r="BG80" s="1284">
        <v>0</v>
      </c>
      <c r="BH80" s="1284"/>
      <c r="BI80" s="1284"/>
      <c r="BJ80" s="1288"/>
      <c r="BK80" s="1288"/>
      <c r="BL80" s="1288"/>
      <c r="BM80" s="1284"/>
      <c r="BQ80" s="2303"/>
      <c r="BR80" s="2303"/>
      <c r="BS80" s="2303"/>
      <c r="BT80" s="2303"/>
      <c r="BU80" s="2303"/>
      <c r="BV80" s="2303"/>
    </row>
    <row r="81" spans="1:74" s="1289" customFormat="1">
      <c r="A81" s="1278"/>
      <c r="B81" s="1330" t="s">
        <v>1828</v>
      </c>
      <c r="C81" s="1278">
        <v>0</v>
      </c>
      <c r="D81" s="1278">
        <v>0</v>
      </c>
      <c r="E81" s="1278">
        <v>0</v>
      </c>
      <c r="F81" s="1278">
        <v>0</v>
      </c>
      <c r="G81" s="1278">
        <v>0</v>
      </c>
      <c r="H81" s="1278">
        <v>0</v>
      </c>
      <c r="I81" s="1279"/>
      <c r="J81" s="1279"/>
      <c r="K81" s="1279"/>
      <c r="L81" s="1280"/>
      <c r="M81" s="1329"/>
      <c r="N81" s="1279"/>
      <c r="O81" s="1279"/>
      <c r="P81" s="1279"/>
      <c r="Q81" s="1279"/>
      <c r="R81" s="1279"/>
      <c r="S81" s="1279"/>
      <c r="T81" s="1279"/>
      <c r="U81" s="1279"/>
      <c r="V81" s="1281"/>
      <c r="W81" s="1281"/>
      <c r="X81" s="1281"/>
      <c r="Y81" s="1279"/>
      <c r="Z81" s="1279"/>
      <c r="AA81" s="1279"/>
      <c r="AB81" s="1279"/>
      <c r="AC81" s="1282"/>
      <c r="AD81" s="1279"/>
      <c r="AE81" s="1283"/>
      <c r="AF81" s="1284"/>
      <c r="AG81" s="1284"/>
      <c r="AH81" s="1285"/>
      <c r="AI81" s="1285"/>
      <c r="AJ81" s="1285"/>
      <c r="AK81" s="1284"/>
      <c r="AL81" s="1284"/>
      <c r="AM81" s="1285"/>
      <c r="AN81" s="1284"/>
      <c r="AO81" s="1278">
        <v>0</v>
      </c>
      <c r="AP81" s="1290">
        <v>0</v>
      </c>
      <c r="AQ81" s="1290">
        <v>0</v>
      </c>
      <c r="AR81" s="1287"/>
      <c r="AS81" s="1278">
        <v>0</v>
      </c>
      <c r="AT81" s="1278">
        <v>0</v>
      </c>
      <c r="AU81" s="1278">
        <v>0</v>
      </c>
      <c r="AV81" s="1278">
        <v>0</v>
      </c>
      <c r="AW81" s="1278">
        <v>0</v>
      </c>
      <c r="AX81" s="1278">
        <v>0</v>
      </c>
      <c r="AY81" s="1278">
        <v>0</v>
      </c>
      <c r="AZ81" s="1290">
        <v>0</v>
      </c>
      <c r="BA81" s="1290">
        <v>0</v>
      </c>
      <c r="BB81" s="1284">
        <v>0</v>
      </c>
      <c r="BC81" s="1331">
        <v>0</v>
      </c>
      <c r="BD81" s="1331">
        <v>0</v>
      </c>
      <c r="BE81" s="1284">
        <v>0</v>
      </c>
      <c r="BF81" s="1331">
        <v>0</v>
      </c>
      <c r="BG81" s="1331">
        <v>0</v>
      </c>
      <c r="BH81" s="1284"/>
      <c r="BI81" s="1284"/>
      <c r="BJ81" s="1288">
        <v>0</v>
      </c>
      <c r="BK81" s="1332">
        <v>0</v>
      </c>
      <c r="BL81" s="1332">
        <v>0</v>
      </c>
      <c r="BM81" s="1284"/>
      <c r="BQ81" s="2303"/>
      <c r="BR81" s="2303"/>
      <c r="BS81" s="2303"/>
      <c r="BT81" s="2303"/>
      <c r="BU81" s="2303"/>
      <c r="BV81" s="2303"/>
    </row>
    <row r="82" spans="1:74">
      <c r="K82" s="1427"/>
      <c r="M82" s="1278">
        <v>0</v>
      </c>
      <c r="N82" s="1278">
        <v>0</v>
      </c>
      <c r="O82" s="1278">
        <v>0</v>
      </c>
      <c r="P82" s="1278">
        <v>0</v>
      </c>
      <c r="Q82" s="1278">
        <v>0</v>
      </c>
      <c r="R82" s="1278">
        <v>0</v>
      </c>
      <c r="S82" s="1278">
        <v>0</v>
      </c>
      <c r="T82" s="1278">
        <v>0</v>
      </c>
      <c r="U82" s="1278">
        <v>0</v>
      </c>
      <c r="V82" s="1291"/>
      <c r="Z82" s="532"/>
      <c r="AB82" s="743"/>
      <c r="AE82" s="532"/>
      <c r="AI82" s="532"/>
      <c r="AM82" s="532"/>
      <c r="AP82" s="1296"/>
      <c r="AQ82" s="1297"/>
      <c r="AR82" s="1287"/>
      <c r="AS82" s="1297"/>
      <c r="AW82" s="532"/>
      <c r="AX82" s="532"/>
      <c r="AY82" s="532"/>
      <c r="BG82" s="529"/>
      <c r="BJ82" s="532"/>
      <c r="BL82" s="529"/>
    </row>
    <row r="83" spans="1:74">
      <c r="K83" s="1427"/>
      <c r="M83" s="533"/>
      <c r="U83" s="532"/>
      <c r="V83" s="1291"/>
      <c r="Z83" s="532"/>
      <c r="AC83" s="542"/>
      <c r="AE83" s="532"/>
      <c r="AI83" s="532"/>
      <c r="AJ83" s="532"/>
      <c r="AK83" s="533"/>
      <c r="AM83" s="532"/>
      <c r="AQ83" s="1296"/>
      <c r="AS83" s="1297"/>
      <c r="AX83" s="532"/>
      <c r="AY83" s="532"/>
      <c r="BH83" s="529"/>
      <c r="BJ83" s="532"/>
      <c r="BM83" s="529"/>
    </row>
    <row r="84" spans="1:74">
      <c r="L84" s="2304"/>
      <c r="M84" s="533"/>
      <c r="V84" s="1291"/>
      <c r="Y84" s="529"/>
      <c r="Z84" s="532"/>
      <c r="AD84" s="743"/>
      <c r="AE84" s="532"/>
      <c r="AJ84" s="532"/>
      <c r="AL84" s="533"/>
      <c r="AM84" s="532"/>
      <c r="AS84" s="1297"/>
      <c r="AY84" s="532"/>
      <c r="BI84" s="529"/>
      <c r="BJ84" s="532"/>
    </row>
    <row r="85" spans="1:74">
      <c r="A85" s="532"/>
      <c r="B85" s="1333"/>
      <c r="C85" s="532"/>
      <c r="D85" s="532"/>
      <c r="E85" s="532"/>
      <c r="F85" s="532"/>
      <c r="V85" s="1291"/>
      <c r="Y85" s="529"/>
      <c r="Z85" s="532"/>
      <c r="AD85" s="743"/>
      <c r="BI85" s="529"/>
      <c r="BJ85" s="532"/>
    </row>
    <row r="86" spans="1:74">
      <c r="A86" s="532"/>
      <c r="B86" s="553"/>
      <c r="C86" s="532"/>
      <c r="D86" s="532"/>
      <c r="E86" s="532"/>
      <c r="F86" s="532"/>
      <c r="V86" s="1291"/>
      <c r="Y86" s="529"/>
      <c r="BI86" s="529"/>
      <c r="BJ86" s="532"/>
    </row>
    <row r="87" spans="1:74" ht="18">
      <c r="A87" s="1334"/>
      <c r="B87" s="1335"/>
      <c r="C87" s="1334"/>
      <c r="D87" s="1334"/>
      <c r="E87" s="1334"/>
      <c r="F87" s="1334"/>
      <c r="G87" s="1336"/>
      <c r="H87" s="1336"/>
      <c r="I87" s="2328"/>
      <c r="J87" s="1336"/>
      <c r="K87" s="1336"/>
      <c r="L87" s="1337"/>
      <c r="M87" s="2329"/>
      <c r="N87" s="1336"/>
      <c r="O87" s="1336"/>
      <c r="P87" s="1336"/>
      <c r="Q87" s="1336"/>
      <c r="R87" s="1336"/>
      <c r="S87" s="1336"/>
      <c r="T87" s="1336"/>
      <c r="U87" s="1336"/>
      <c r="V87" s="1338"/>
      <c r="W87" s="1338"/>
      <c r="X87" s="1338"/>
      <c r="Y87" s="747"/>
      <c r="Z87" s="747"/>
      <c r="AA87" s="747"/>
      <c r="AB87" s="747"/>
      <c r="AC87" s="747"/>
      <c r="AD87" s="1334"/>
      <c r="AE87" s="1334"/>
      <c r="AF87" s="1336"/>
      <c r="AG87" s="1334"/>
      <c r="AH87" s="747"/>
      <c r="AI87" s="1334"/>
      <c r="AJ87" s="1334"/>
      <c r="AK87" s="1336"/>
      <c r="AL87" s="1336"/>
      <c r="AM87" s="1336"/>
      <c r="AN87" s="1334"/>
      <c r="AO87" s="1334"/>
      <c r="AP87" s="1336"/>
      <c r="AQ87" s="1334"/>
      <c r="AR87" s="1339"/>
      <c r="AS87" s="1334"/>
      <c r="AT87" s="1334"/>
      <c r="AU87" s="1298"/>
      <c r="AV87" s="1296"/>
      <c r="AZ87" s="1297"/>
      <c r="BA87" s="1297"/>
      <c r="BB87" s="1297"/>
      <c r="BJ87" s="532"/>
      <c r="BL87" s="529"/>
      <c r="BN87" s="532"/>
      <c r="BO87" s="532"/>
      <c r="BP87" s="532"/>
    </row>
    <row r="88" spans="1:74" ht="18">
      <c r="A88" s="1334"/>
      <c r="B88" s="1335"/>
      <c r="C88" s="1334"/>
      <c r="D88" s="1334"/>
      <c r="E88" s="1334"/>
      <c r="F88" s="1334"/>
      <c r="G88" s="1334"/>
      <c r="H88" s="2328"/>
      <c r="I88" s="2328"/>
      <c r="J88" s="1336"/>
      <c r="K88" s="1336"/>
      <c r="L88" s="1337"/>
      <c r="M88" s="2329"/>
      <c r="N88" s="1336"/>
      <c r="O88" s="1336"/>
      <c r="P88" s="1336"/>
      <c r="Q88" s="1336"/>
      <c r="R88" s="1336"/>
      <c r="S88" s="1336"/>
      <c r="T88" s="1336"/>
      <c r="U88" s="1336"/>
      <c r="V88" s="1340"/>
      <c r="W88" s="1338"/>
      <c r="X88" s="1338"/>
      <c r="Y88" s="1334"/>
      <c r="Z88" s="747"/>
      <c r="AA88" s="747"/>
      <c r="AB88" s="1336"/>
      <c r="AC88" s="1334"/>
      <c r="AD88" s="1334"/>
      <c r="AF88" s="2653" t="s">
        <v>1829</v>
      </c>
      <c r="AG88" s="2653"/>
      <c r="AH88" s="1334"/>
      <c r="AI88" s="1334"/>
      <c r="AJ88" s="1334"/>
      <c r="AK88" s="1336"/>
      <c r="AL88" s="1336"/>
      <c r="AM88" s="1336"/>
      <c r="AN88" s="1334"/>
      <c r="AO88" s="1334"/>
      <c r="AP88" s="1336"/>
      <c r="AQ88" s="1334"/>
      <c r="AR88" s="1339"/>
      <c r="AS88" s="1334"/>
      <c r="AT88" s="1334"/>
      <c r="AU88" s="1298"/>
      <c r="AV88" s="1296"/>
      <c r="AZ88" s="1297"/>
      <c r="BA88" s="1297"/>
      <c r="BB88" s="1297"/>
      <c r="BJ88" s="532"/>
      <c r="BL88" s="529"/>
      <c r="BN88" s="532"/>
      <c r="BO88" s="532"/>
      <c r="BP88" s="532"/>
    </row>
    <row r="89" spans="1:74" s="872" customFormat="1" ht="18">
      <c r="A89" s="743"/>
      <c r="B89" s="529"/>
      <c r="C89" s="1334"/>
      <c r="D89" s="1334"/>
      <c r="E89" s="1334"/>
      <c r="F89" s="1334"/>
      <c r="G89" s="1334"/>
      <c r="H89" s="1339"/>
      <c r="I89" s="2654" t="s">
        <v>1830</v>
      </c>
      <c r="J89" s="2650"/>
      <c r="K89" s="1334"/>
      <c r="L89" s="1339"/>
      <c r="M89" s="2654" t="s">
        <v>1831</v>
      </c>
      <c r="N89" s="2650"/>
      <c r="O89" s="1336"/>
      <c r="P89" s="2654" t="s">
        <v>1832</v>
      </c>
      <c r="Q89" s="2650"/>
      <c r="R89" s="1336"/>
      <c r="S89" s="2654" t="s">
        <v>1833</v>
      </c>
      <c r="T89" s="2650"/>
      <c r="U89" s="1336"/>
      <c r="V89" s="1340"/>
      <c r="W89" s="1338"/>
      <c r="X89" s="1338"/>
      <c r="Y89" s="2654" t="s">
        <v>1834</v>
      </c>
      <c r="Z89" s="2650"/>
      <c r="AA89" s="1336"/>
      <c r="AB89" s="2654" t="s">
        <v>1835</v>
      </c>
      <c r="AC89" s="2650"/>
      <c r="AF89" s="2655" t="s">
        <v>1836</v>
      </c>
      <c r="AG89" s="2655"/>
      <c r="AH89" s="1334"/>
      <c r="AI89" s="1334"/>
      <c r="AJ89" s="1334"/>
      <c r="AK89" s="1336"/>
      <c r="AL89" s="1336"/>
      <c r="AM89" s="1336"/>
      <c r="AN89" s="1334"/>
      <c r="AO89" s="1334"/>
      <c r="AP89" s="1336"/>
      <c r="AQ89" s="1334"/>
      <c r="AR89" s="1339"/>
      <c r="AS89" s="1334"/>
      <c r="AT89" s="1334"/>
      <c r="AU89" s="1298"/>
      <c r="AV89" s="1296"/>
      <c r="AW89" s="1297"/>
      <c r="AX89" s="1297"/>
      <c r="AY89" s="1297"/>
      <c r="AZ89" s="1297"/>
      <c r="BA89" s="1297"/>
      <c r="BB89" s="1297"/>
      <c r="BC89" s="532"/>
      <c r="BD89" s="532"/>
      <c r="BE89" s="532"/>
      <c r="BF89" s="532"/>
      <c r="BG89" s="532"/>
      <c r="BH89" s="532"/>
      <c r="BI89" s="532"/>
      <c r="BJ89" s="532"/>
      <c r="BK89" s="532"/>
      <c r="BL89" s="532"/>
      <c r="BM89" s="529"/>
      <c r="BN89" s="532"/>
      <c r="BO89" s="532"/>
      <c r="BP89" s="532"/>
      <c r="BQ89" s="956"/>
      <c r="BR89" s="956"/>
      <c r="BS89" s="956"/>
      <c r="BT89" s="956"/>
      <c r="BU89" s="956"/>
      <c r="BV89" s="956"/>
    </row>
    <row r="90" spans="1:74" s="872" customFormat="1" ht="18">
      <c r="A90" s="1334"/>
      <c r="B90" s="1342" t="s">
        <v>1577</v>
      </c>
      <c r="C90" s="1334"/>
      <c r="D90" s="1334"/>
      <c r="E90" s="1334"/>
      <c r="F90" s="1334"/>
      <c r="G90" s="1334"/>
      <c r="H90" s="1339"/>
      <c r="I90" s="1343" t="s">
        <v>1573</v>
      </c>
      <c r="J90" s="1344" t="s">
        <v>1574</v>
      </c>
      <c r="K90" s="1334"/>
      <c r="L90" s="1339"/>
      <c r="M90" s="1343" t="s">
        <v>1573</v>
      </c>
      <c r="N90" s="1344" t="s">
        <v>1574</v>
      </c>
      <c r="O90" s="1336"/>
      <c r="P90" s="1343" t="s">
        <v>1573</v>
      </c>
      <c r="Q90" s="1344" t="s">
        <v>1574</v>
      </c>
      <c r="R90" s="1336"/>
      <c r="S90" s="1343" t="s">
        <v>1573</v>
      </c>
      <c r="T90" s="1344" t="s">
        <v>1574</v>
      </c>
      <c r="U90" s="1336"/>
      <c r="V90" s="1340"/>
      <c r="W90" s="1338"/>
      <c r="X90" s="1338"/>
      <c r="Y90" s="1343" t="s">
        <v>1573</v>
      </c>
      <c r="Z90" s="1344" t="s">
        <v>1574</v>
      </c>
      <c r="AA90" s="1345"/>
      <c r="AB90" s="1343" t="s">
        <v>1573</v>
      </c>
      <c r="AC90" s="1344" t="s">
        <v>1574</v>
      </c>
      <c r="AE90" s="1334"/>
      <c r="AF90" s="1337" t="s">
        <v>1573</v>
      </c>
      <c r="AG90" s="1345" t="s">
        <v>1574</v>
      </c>
      <c r="AH90" s="1334"/>
      <c r="AI90" s="747"/>
      <c r="AJ90" s="1334"/>
      <c r="AK90" s="1334"/>
      <c r="AL90" s="1336"/>
      <c r="AM90" s="1336"/>
      <c r="AN90" s="1336"/>
      <c r="AO90" s="1334"/>
      <c r="AP90" s="1334"/>
      <c r="AQ90" s="1336"/>
      <c r="AR90" s="1334"/>
      <c r="AS90" s="1339"/>
      <c r="AT90" s="1334"/>
      <c r="AU90" s="1334"/>
      <c r="AV90" s="1298"/>
      <c r="AW90" s="1296"/>
      <c r="AX90" s="1297"/>
      <c r="AY90" s="1297"/>
      <c r="AZ90" s="1297"/>
      <c r="BA90" s="1297"/>
      <c r="BB90" s="1297"/>
      <c r="BC90" s="1297"/>
      <c r="BD90" s="532"/>
      <c r="BE90" s="532"/>
      <c r="BF90" s="532"/>
      <c r="BG90" s="532"/>
      <c r="BH90" s="532"/>
      <c r="BI90" s="532"/>
      <c r="BJ90" s="532"/>
      <c r="BK90" s="532"/>
      <c r="BL90" s="532"/>
      <c r="BM90" s="532"/>
      <c r="BN90" s="529"/>
      <c r="BO90" s="532"/>
      <c r="BP90" s="532"/>
      <c r="BQ90" s="537"/>
      <c r="BR90" s="956"/>
      <c r="BS90" s="956"/>
      <c r="BT90" s="537"/>
      <c r="BU90" s="956"/>
      <c r="BV90" s="956"/>
    </row>
    <row r="91" spans="1:74" s="872" customFormat="1" ht="18">
      <c r="A91" s="1346" t="s">
        <v>1837</v>
      </c>
      <c r="B91" s="1347" t="s">
        <v>1587</v>
      </c>
      <c r="C91" s="1346" t="s">
        <v>1838</v>
      </c>
      <c r="D91" s="1346"/>
      <c r="E91" s="1348" t="s">
        <v>1245</v>
      </c>
      <c r="F91" s="1346" t="s">
        <v>1839</v>
      </c>
      <c r="G91" s="1346"/>
      <c r="H91" s="1349"/>
      <c r="I91" s="1350">
        <v>23615620</v>
      </c>
      <c r="J91" s="1346"/>
      <c r="K91" s="1346"/>
      <c r="L91" s="1349"/>
      <c r="M91" s="2330">
        <v>1200000</v>
      </c>
      <c r="N91" s="2330"/>
      <c r="O91" s="1336"/>
      <c r="P91" s="2330">
        <v>320000</v>
      </c>
      <c r="Q91" s="2330"/>
      <c r="R91" s="1336"/>
      <c r="S91" s="2330">
        <v>0</v>
      </c>
      <c r="T91" s="2330"/>
      <c r="U91" s="1336"/>
      <c r="V91" s="1340"/>
      <c r="W91" s="1338"/>
      <c r="X91" s="1338"/>
      <c r="Y91" s="2330">
        <v>5419500</v>
      </c>
      <c r="Z91" s="2330"/>
      <c r="AA91" s="2328"/>
      <c r="AB91" s="2330"/>
      <c r="AC91" s="2330">
        <v>5194336</v>
      </c>
      <c r="AD91" s="2328"/>
      <c r="AE91" s="1334"/>
      <c r="AF91" s="2330">
        <v>25360784</v>
      </c>
      <c r="AG91" s="2330"/>
      <c r="AH91" s="1351" t="s">
        <v>1840</v>
      </c>
      <c r="AI91" s="1352"/>
      <c r="AJ91" s="1334"/>
      <c r="AK91" s="1334"/>
      <c r="AL91" s="1336"/>
      <c r="AM91" s="1336"/>
      <c r="AN91" s="1336"/>
      <c r="AO91" s="1334"/>
      <c r="AP91" s="1334"/>
      <c r="AQ91" s="1336"/>
      <c r="AR91" s="1334"/>
      <c r="AS91" s="1339"/>
      <c r="AT91" s="1334"/>
      <c r="AU91" s="1334"/>
      <c r="AV91" s="1298"/>
      <c r="AW91" s="1296"/>
      <c r="AX91" s="1297"/>
      <c r="AY91" s="1297"/>
      <c r="AZ91" s="1297"/>
      <c r="BA91" s="1297"/>
      <c r="BB91" s="1297"/>
      <c r="BC91" s="1297"/>
      <c r="BD91" s="532"/>
      <c r="BE91" s="532"/>
      <c r="BF91" s="532"/>
      <c r="BG91" s="532"/>
      <c r="BH91" s="532"/>
      <c r="BI91" s="532"/>
      <c r="BJ91" s="532"/>
      <c r="BK91" s="532"/>
      <c r="BL91" s="532"/>
      <c r="BM91" s="532"/>
      <c r="BN91" s="529"/>
      <c r="BO91" s="532"/>
      <c r="BP91" s="532"/>
      <c r="BQ91" s="537"/>
      <c r="BR91" s="956"/>
      <c r="BS91" s="956"/>
      <c r="BT91" s="537"/>
      <c r="BU91" s="956"/>
      <c r="BV91" s="956"/>
    </row>
    <row r="92" spans="1:74" s="872" customFormat="1" ht="18">
      <c r="A92" s="1346" t="s">
        <v>1837</v>
      </c>
      <c r="B92" s="1347" t="s">
        <v>1580</v>
      </c>
      <c r="C92" s="1346" t="s">
        <v>1838</v>
      </c>
      <c r="D92" s="1346"/>
      <c r="E92" s="1353" t="s">
        <v>1841</v>
      </c>
      <c r="F92" s="1346" t="s">
        <v>1839</v>
      </c>
      <c r="G92" s="1346"/>
      <c r="H92" s="1349"/>
      <c r="I92" s="1350">
        <v>144764911</v>
      </c>
      <c r="J92" s="1346"/>
      <c r="K92" s="1346"/>
      <c r="L92" s="1349"/>
      <c r="M92" s="2330">
        <v>3100000</v>
      </c>
      <c r="N92" s="2330"/>
      <c r="O92" s="1336"/>
      <c r="P92" s="2330">
        <v>3462000</v>
      </c>
      <c r="Q92" s="2330"/>
      <c r="R92" s="1336"/>
      <c r="S92" s="2330">
        <v>6480000</v>
      </c>
      <c r="T92" s="2330"/>
      <c r="U92" s="1336"/>
      <c r="V92" s="1340"/>
      <c r="W92" s="1338"/>
      <c r="X92" s="1338"/>
      <c r="Y92" s="2330">
        <v>4897500</v>
      </c>
      <c r="Z92" s="2330"/>
      <c r="AA92" s="2328"/>
      <c r="AB92" s="2330"/>
      <c r="AC92" s="2330">
        <v>16121853</v>
      </c>
      <c r="AD92" s="2328"/>
      <c r="AE92" s="1334"/>
      <c r="AF92" s="2330">
        <v>146582558</v>
      </c>
      <c r="AG92" s="2330"/>
      <c r="AH92" s="1351" t="s">
        <v>1840</v>
      </c>
      <c r="AI92" s="1352"/>
      <c r="AJ92" s="1334"/>
      <c r="AK92" s="1334"/>
      <c r="AL92" s="1336"/>
      <c r="AM92" s="1336"/>
      <c r="AN92" s="1336"/>
      <c r="AO92" s="1334"/>
      <c r="AP92" s="1334"/>
      <c r="AQ92" s="1336"/>
      <c r="AR92" s="1334"/>
      <c r="AS92" s="1339"/>
      <c r="AT92" s="1334"/>
      <c r="AU92" s="1334"/>
      <c r="AV92" s="1298"/>
      <c r="AW92" s="1296"/>
      <c r="AX92" s="1297"/>
      <c r="AY92" s="1297"/>
      <c r="AZ92" s="1297"/>
      <c r="BA92" s="1297"/>
      <c r="BB92" s="1297"/>
      <c r="BC92" s="1297"/>
      <c r="BD92" s="532"/>
      <c r="BE92" s="532"/>
      <c r="BF92" s="532"/>
      <c r="BG92" s="532"/>
      <c r="BH92" s="532"/>
      <c r="BI92" s="532"/>
      <c r="BJ92" s="532"/>
      <c r="BK92" s="532"/>
      <c r="BL92" s="532"/>
      <c r="BM92" s="532"/>
      <c r="BN92" s="529"/>
      <c r="BO92" s="532"/>
      <c r="BP92" s="532"/>
      <c r="BQ92" s="537"/>
      <c r="BR92" s="956"/>
      <c r="BS92" s="956"/>
      <c r="BT92" s="537"/>
      <c r="BU92" s="956"/>
      <c r="BV92" s="956"/>
    </row>
    <row r="93" spans="1:74" s="872" customFormat="1" ht="18">
      <c r="A93" s="1334" t="s">
        <v>1842</v>
      </c>
      <c r="B93" s="1354" t="s">
        <v>1843</v>
      </c>
      <c r="C93" s="1334"/>
      <c r="D93" s="1334"/>
      <c r="E93" s="1334" t="s">
        <v>1245</v>
      </c>
      <c r="F93" s="1334" t="s">
        <v>1844</v>
      </c>
      <c r="G93" s="1334"/>
      <c r="H93" s="1339"/>
      <c r="I93" s="1336"/>
      <c r="J93" s="1336">
        <v>23615620</v>
      </c>
      <c r="K93" s="1334"/>
      <c r="L93" s="1339"/>
      <c r="M93" s="1341"/>
      <c r="N93" s="1336">
        <v>1200000</v>
      </c>
      <c r="O93" s="1336"/>
      <c r="P93" s="1341"/>
      <c r="Q93" s="1336">
        <v>320000</v>
      </c>
      <c r="R93" s="1336"/>
      <c r="S93" s="1337"/>
      <c r="T93" s="1336">
        <v>0</v>
      </c>
      <c r="U93" s="1336"/>
      <c r="V93" s="1340"/>
      <c r="W93" s="1338"/>
      <c r="X93" s="1338"/>
      <c r="Y93" s="1337"/>
      <c r="Z93" s="1336">
        <v>5419500</v>
      </c>
      <c r="AA93" s="1336"/>
      <c r="AB93" s="2330">
        <v>5194336</v>
      </c>
      <c r="AC93" s="2330"/>
      <c r="AD93" s="1336"/>
      <c r="AE93" s="1334"/>
      <c r="AF93" s="1337"/>
      <c r="AG93" s="1355">
        <v>25360784</v>
      </c>
      <c r="AH93" s="1334"/>
      <c r="AI93" s="747"/>
      <c r="AJ93" s="1334"/>
      <c r="AK93" s="1334"/>
      <c r="AL93" s="1336"/>
      <c r="AM93" s="1336"/>
      <c r="AN93" s="1336"/>
      <c r="AO93" s="1334"/>
      <c r="AP93" s="1334"/>
      <c r="AQ93" s="1336"/>
      <c r="AR93" s="1334"/>
      <c r="AS93" s="1339"/>
      <c r="AT93" s="1334"/>
      <c r="AU93" s="1334"/>
      <c r="AV93" s="1298"/>
      <c r="AW93" s="1296"/>
      <c r="AX93" s="1297"/>
      <c r="AY93" s="1297"/>
      <c r="AZ93" s="1297"/>
      <c r="BA93" s="1297"/>
      <c r="BB93" s="1297"/>
      <c r="BC93" s="1297"/>
      <c r="BD93" s="532"/>
      <c r="BE93" s="532"/>
      <c r="BF93" s="532"/>
      <c r="BG93" s="532"/>
      <c r="BH93" s="532"/>
      <c r="BI93" s="532"/>
      <c r="BJ93" s="532"/>
      <c r="BK93" s="532"/>
      <c r="BL93" s="532"/>
      <c r="BM93" s="532"/>
      <c r="BN93" s="529"/>
      <c r="BO93" s="532"/>
      <c r="BP93" s="532"/>
      <c r="BQ93" s="537"/>
      <c r="BR93" s="956"/>
      <c r="BS93" s="956"/>
      <c r="BT93" s="537"/>
      <c r="BU93" s="956"/>
      <c r="BV93" s="956"/>
    </row>
    <row r="94" spans="1:74" s="872" customFormat="1" ht="18">
      <c r="A94" s="1334" t="s">
        <v>1842</v>
      </c>
      <c r="B94" s="1354" t="s">
        <v>1843</v>
      </c>
      <c r="C94" s="1334"/>
      <c r="D94" s="1334"/>
      <c r="E94" s="1334" t="s">
        <v>1037</v>
      </c>
      <c r="F94" s="1334" t="s">
        <v>1844</v>
      </c>
      <c r="G94" s="1334"/>
      <c r="H94" s="1339"/>
      <c r="I94" s="1336"/>
      <c r="J94" s="1336">
        <v>144764911</v>
      </c>
      <c r="K94" s="1334"/>
      <c r="L94" s="1339"/>
      <c r="M94" s="1341"/>
      <c r="N94" s="1336">
        <v>3100000</v>
      </c>
      <c r="O94" s="1336"/>
      <c r="P94" s="1341"/>
      <c r="Q94" s="1336">
        <v>3462000</v>
      </c>
      <c r="R94" s="1336"/>
      <c r="S94" s="1337"/>
      <c r="T94" s="1336">
        <v>6480000</v>
      </c>
      <c r="U94" s="1336"/>
      <c r="V94" s="1340"/>
      <c r="W94" s="1338"/>
      <c r="X94" s="1338"/>
      <c r="Y94" s="1337"/>
      <c r="Z94" s="1336">
        <v>4897500</v>
      </c>
      <c r="AA94" s="1336"/>
      <c r="AB94" s="2330">
        <v>16121853</v>
      </c>
      <c r="AC94" s="2330"/>
      <c r="AD94" s="1336"/>
      <c r="AE94" s="1334"/>
      <c r="AF94" s="1337"/>
      <c r="AG94" s="1355">
        <v>146582558</v>
      </c>
      <c r="AH94" s="1334" t="s">
        <v>1306</v>
      </c>
      <c r="AI94" s="747">
        <v>701863</v>
      </c>
      <c r="AJ94" s="1334"/>
      <c r="AK94" s="1334"/>
      <c r="AL94" s="1336"/>
      <c r="AM94" s="1336"/>
      <c r="AN94" s="1336"/>
      <c r="AO94" s="1334"/>
      <c r="AP94" s="1334"/>
      <c r="AQ94" s="1336"/>
      <c r="AR94" s="1334"/>
      <c r="AS94" s="1339"/>
      <c r="AT94" s="1334"/>
      <c r="AU94" s="1334"/>
      <c r="AV94" s="1298"/>
      <c r="AW94" s="1296"/>
      <c r="AX94" s="1297"/>
      <c r="AY94" s="1297"/>
      <c r="AZ94" s="1297"/>
      <c r="BA94" s="1297"/>
      <c r="BB94" s="1297"/>
      <c r="BC94" s="1297"/>
      <c r="BD94" s="532"/>
      <c r="BE94" s="532"/>
      <c r="BF94" s="532"/>
      <c r="BG94" s="532"/>
      <c r="BH94" s="532"/>
      <c r="BI94" s="532"/>
      <c r="BJ94" s="532"/>
      <c r="BK94" s="532"/>
      <c r="BL94" s="532"/>
      <c r="BM94" s="532"/>
      <c r="BN94" s="529"/>
      <c r="BO94" s="532"/>
      <c r="BP94" s="532"/>
      <c r="BQ94" s="537"/>
      <c r="BR94" s="956"/>
      <c r="BS94" s="956"/>
      <c r="BT94" s="537"/>
      <c r="BU94" s="956"/>
      <c r="BV94" s="956"/>
    </row>
    <row r="95" spans="1:74" s="872" customFormat="1" ht="18">
      <c r="A95" s="1334"/>
      <c r="B95" s="1354"/>
      <c r="C95" s="1334"/>
      <c r="D95" s="1334"/>
      <c r="E95" s="1334"/>
      <c r="F95" s="1334"/>
      <c r="G95" s="1334"/>
      <c r="H95" s="1339"/>
      <c r="I95" s="1336"/>
      <c r="J95" s="1336"/>
      <c r="K95" s="1334"/>
      <c r="L95" s="1339"/>
      <c r="M95" s="1341"/>
      <c r="N95" s="1336"/>
      <c r="O95" s="1336"/>
      <c r="P95" s="1341"/>
      <c r="Q95" s="1336"/>
      <c r="R95" s="1336"/>
      <c r="S95" s="1337"/>
      <c r="T95" s="1336"/>
      <c r="U95" s="1336"/>
      <c r="V95" s="1340"/>
      <c r="W95" s="1338"/>
      <c r="X95" s="1338"/>
      <c r="Y95" s="1337"/>
      <c r="Z95" s="1336"/>
      <c r="AA95" s="1336"/>
      <c r="AB95" s="1336"/>
      <c r="AC95" s="2328"/>
      <c r="AD95" s="1336"/>
      <c r="AE95" s="1334"/>
      <c r="AF95" s="1337"/>
      <c r="AG95" s="1355"/>
      <c r="AH95" s="1334"/>
      <c r="AI95" s="747"/>
      <c r="AJ95" s="1334"/>
      <c r="AK95" s="1334"/>
      <c r="AL95" s="1336"/>
      <c r="AM95" s="1336"/>
      <c r="AN95" s="1336"/>
      <c r="AO95" s="1334"/>
      <c r="AP95" s="1334"/>
      <c r="AQ95" s="1336"/>
      <c r="AR95" s="1334"/>
      <c r="AS95" s="1339"/>
      <c r="AT95" s="1334"/>
      <c r="AU95" s="1334"/>
      <c r="AV95" s="1298"/>
      <c r="AW95" s="1296"/>
      <c r="AX95" s="1297"/>
      <c r="AY95" s="1297"/>
      <c r="AZ95" s="1297"/>
      <c r="BA95" s="1297"/>
      <c r="BB95" s="1297"/>
      <c r="BC95" s="1297"/>
      <c r="BD95" s="532"/>
      <c r="BE95" s="532"/>
      <c r="BF95" s="532"/>
      <c r="BG95" s="532"/>
      <c r="BH95" s="532"/>
      <c r="BI95" s="532"/>
      <c r="BJ95" s="532"/>
      <c r="BK95" s="532"/>
      <c r="BL95" s="532"/>
      <c r="BM95" s="532"/>
      <c r="BN95" s="529"/>
      <c r="BO95" s="532"/>
      <c r="BP95" s="532"/>
      <c r="BQ95" s="537"/>
      <c r="BR95" s="956"/>
      <c r="BS95" s="956"/>
      <c r="BT95" s="537"/>
      <c r="BU95" s="956"/>
      <c r="BV95" s="956"/>
    </row>
    <row r="96" spans="1:74" s="872" customFormat="1" ht="18">
      <c r="A96" s="1346" t="s">
        <v>1837</v>
      </c>
      <c r="B96" s="1347" t="s">
        <v>1845</v>
      </c>
      <c r="C96" s="1346" t="s">
        <v>1846</v>
      </c>
      <c r="D96" s="1346"/>
      <c r="E96" s="1346"/>
      <c r="F96" s="1346" t="s">
        <v>1847</v>
      </c>
      <c r="G96" s="1346"/>
      <c r="H96" s="1349"/>
      <c r="I96" s="1350"/>
      <c r="J96" s="1346">
        <v>103661966</v>
      </c>
      <c r="K96" s="1346"/>
      <c r="L96" s="1349"/>
      <c r="M96" s="2330"/>
      <c r="N96" s="2330">
        <v>2835709</v>
      </c>
      <c r="O96" s="1336"/>
      <c r="P96" s="2330"/>
      <c r="Q96" s="2330">
        <v>3525085</v>
      </c>
      <c r="R96" s="1336"/>
      <c r="S96" s="2330"/>
      <c r="T96" s="2330">
        <v>4414803</v>
      </c>
      <c r="U96" s="1336"/>
      <c r="V96" s="1340"/>
      <c r="W96" s="1338"/>
      <c r="X96" s="1338"/>
      <c r="Y96" s="2330"/>
      <c r="Z96" s="2330">
        <v>4524088</v>
      </c>
      <c r="AA96" s="2328"/>
      <c r="AB96" s="2328"/>
      <c r="AD96" s="2328"/>
      <c r="AE96" s="1334"/>
      <c r="AF96" s="2330"/>
      <c r="AG96" s="2330">
        <v>118767228</v>
      </c>
      <c r="AH96" s="1334"/>
      <c r="AI96" s="747"/>
      <c r="AJ96" s="1334"/>
      <c r="AK96" s="1334"/>
      <c r="AL96" s="1336"/>
      <c r="AM96" s="1336"/>
      <c r="AN96" s="1336"/>
      <c r="AO96" s="1334"/>
      <c r="AP96" s="1334"/>
      <c r="AQ96" s="1336"/>
      <c r="AR96" s="1334"/>
      <c r="AS96" s="1339"/>
      <c r="AT96" s="1334"/>
      <c r="AU96" s="1334"/>
      <c r="AV96" s="1298"/>
      <c r="AW96" s="1296"/>
      <c r="AX96" s="1297"/>
      <c r="AY96" s="1297"/>
      <c r="AZ96" s="1297"/>
      <c r="BA96" s="1297"/>
      <c r="BB96" s="1297"/>
      <c r="BC96" s="1297"/>
      <c r="BD96" s="532"/>
      <c r="BE96" s="532"/>
      <c r="BF96" s="532"/>
      <c r="BG96" s="532"/>
      <c r="BH96" s="532"/>
      <c r="BI96" s="532"/>
      <c r="BJ96" s="532"/>
      <c r="BK96" s="532"/>
      <c r="BL96" s="532"/>
      <c r="BM96" s="532"/>
      <c r="BN96" s="529"/>
      <c r="BO96" s="532"/>
      <c r="BP96" s="532"/>
      <c r="BQ96" s="537"/>
      <c r="BR96" s="956"/>
      <c r="BS96" s="956"/>
      <c r="BT96" s="537"/>
      <c r="BU96" s="956"/>
      <c r="BV96" s="956"/>
    </row>
    <row r="97" spans="1:74" s="872" customFormat="1" ht="18">
      <c r="A97" s="1334" t="s">
        <v>1848</v>
      </c>
      <c r="B97" s="1354" t="s">
        <v>1849</v>
      </c>
      <c r="C97" s="1334"/>
      <c r="D97" s="1334"/>
      <c r="E97" s="1334"/>
      <c r="F97" s="1334" t="s">
        <v>1850</v>
      </c>
      <c r="G97" s="1334"/>
      <c r="H97" s="1339"/>
      <c r="I97" s="1336">
        <v>103661966</v>
      </c>
      <c r="J97" s="1334"/>
      <c r="K97" s="1334"/>
      <c r="L97" s="1339"/>
      <c r="M97" s="1341">
        <v>2835709</v>
      </c>
      <c r="N97" s="1336"/>
      <c r="O97" s="1336"/>
      <c r="P97" s="1341">
        <v>3525085</v>
      </c>
      <c r="Q97" s="1336"/>
      <c r="R97" s="1336"/>
      <c r="S97" s="1341">
        <v>4414803</v>
      </c>
      <c r="T97" s="1345"/>
      <c r="U97" s="1336"/>
      <c r="V97" s="1340"/>
      <c r="W97" s="1338"/>
      <c r="X97" s="1338"/>
      <c r="Y97" s="1341">
        <v>4524088</v>
      </c>
      <c r="Z97" s="1345"/>
      <c r="AA97" s="1345"/>
      <c r="AB97" s="1345"/>
      <c r="AC97" s="1345"/>
      <c r="AD97" s="1345"/>
      <c r="AE97" s="1334"/>
      <c r="AF97" s="2328">
        <v>118767228</v>
      </c>
      <c r="AG97" s="2328"/>
      <c r="AH97" s="1334"/>
      <c r="AI97" s="747"/>
      <c r="AJ97" s="1334"/>
      <c r="AK97" s="1334"/>
      <c r="AL97" s="1336"/>
      <c r="AM97" s="1336"/>
      <c r="AN97" s="1336"/>
      <c r="AO97" s="1334"/>
      <c r="AP97" s="1334"/>
      <c r="AQ97" s="1336"/>
      <c r="AR97" s="1334"/>
      <c r="AS97" s="1339"/>
      <c r="AT97" s="1334"/>
      <c r="AU97" s="1334"/>
      <c r="AV97" s="1298"/>
      <c r="AW97" s="1296"/>
      <c r="AX97" s="1297"/>
      <c r="AY97" s="1297"/>
      <c r="AZ97" s="1297"/>
      <c r="BA97" s="1297"/>
      <c r="BB97" s="1297"/>
      <c r="BC97" s="1297"/>
      <c r="BD97" s="532"/>
      <c r="BE97" s="532"/>
      <c r="BF97" s="532"/>
      <c r="BG97" s="532"/>
      <c r="BH97" s="532"/>
      <c r="BI97" s="532"/>
      <c r="BJ97" s="532"/>
      <c r="BK97" s="532"/>
      <c r="BL97" s="532"/>
      <c r="BM97" s="532"/>
      <c r="BN97" s="529"/>
      <c r="BO97" s="532"/>
      <c r="BP97" s="532"/>
      <c r="BQ97" s="537"/>
      <c r="BR97" s="956"/>
      <c r="BS97" s="956"/>
      <c r="BT97" s="537"/>
      <c r="BU97" s="956"/>
      <c r="BV97" s="956"/>
    </row>
    <row r="98" spans="1:74" s="872" customFormat="1" ht="18">
      <c r="A98" s="1334" t="s">
        <v>1579</v>
      </c>
      <c r="B98" s="1354" t="s">
        <v>1851</v>
      </c>
      <c r="C98" s="1334"/>
      <c r="D98" s="1334"/>
      <c r="E98" s="1334"/>
      <c r="F98" s="1334"/>
      <c r="G98" s="1334"/>
      <c r="H98" s="1339"/>
      <c r="I98" s="1336"/>
      <c r="J98" s="1334"/>
      <c r="K98" s="1334"/>
      <c r="L98" s="1339"/>
      <c r="M98" s="1341"/>
      <c r="N98" s="1336"/>
      <c r="O98" s="1336"/>
      <c r="P98" s="1341"/>
      <c r="Q98" s="1336"/>
      <c r="R98" s="1336"/>
      <c r="S98" s="1341"/>
      <c r="T98" s="1345"/>
      <c r="U98" s="1336"/>
      <c r="V98" s="1340"/>
      <c r="W98" s="1338"/>
      <c r="X98" s="1338"/>
      <c r="Y98" s="1341"/>
      <c r="Z98" s="1345"/>
      <c r="AA98" s="1345"/>
      <c r="AB98" s="1356">
        <v>278313</v>
      </c>
      <c r="AC98" s="1356"/>
      <c r="AD98" s="1345"/>
      <c r="AE98" s="1334"/>
      <c r="AF98" s="2328">
        <v>278313</v>
      </c>
      <c r="AG98" s="2328"/>
      <c r="AH98" s="1334"/>
      <c r="AI98" s="747"/>
      <c r="AJ98" s="1334"/>
      <c r="AK98" s="1334"/>
      <c r="AL98" s="1336"/>
      <c r="AM98" s="1336"/>
      <c r="AN98" s="1336"/>
      <c r="AO98" s="1334"/>
      <c r="AP98" s="1334"/>
      <c r="AQ98" s="1336"/>
      <c r="AR98" s="1334"/>
      <c r="AS98" s="1339"/>
      <c r="AT98" s="1334"/>
      <c r="AU98" s="1334"/>
      <c r="AV98" s="1298"/>
      <c r="AW98" s="1296"/>
      <c r="AX98" s="1297"/>
      <c r="AY98" s="1297"/>
      <c r="AZ98" s="1297"/>
      <c r="BA98" s="1297"/>
      <c r="BB98" s="1297"/>
      <c r="BC98" s="1297"/>
      <c r="BD98" s="532"/>
      <c r="BE98" s="532"/>
      <c r="BF98" s="532"/>
      <c r="BG98" s="532"/>
      <c r="BH98" s="532"/>
      <c r="BI98" s="532"/>
      <c r="BJ98" s="532"/>
      <c r="BK98" s="532"/>
      <c r="BL98" s="532"/>
      <c r="BM98" s="532"/>
      <c r="BN98" s="529"/>
      <c r="BO98" s="532"/>
      <c r="BP98" s="532"/>
      <c r="BQ98" s="537"/>
      <c r="BR98" s="956"/>
      <c r="BS98" s="956"/>
      <c r="BT98" s="537"/>
      <c r="BU98" s="956"/>
      <c r="BV98" s="956"/>
    </row>
    <row r="99" spans="1:74" s="872" customFormat="1" ht="18">
      <c r="A99" s="1334" t="s">
        <v>1852</v>
      </c>
      <c r="B99" s="1354" t="s">
        <v>1853</v>
      </c>
      <c r="C99" s="1334"/>
      <c r="D99" s="1334"/>
      <c r="E99" s="1334"/>
      <c r="F99" s="1334" t="s">
        <v>1854</v>
      </c>
      <c r="G99" s="1334"/>
      <c r="H99" s="1339"/>
      <c r="I99" s="1336"/>
      <c r="J99" s="1334"/>
      <c r="K99" s="1334"/>
      <c r="L99" s="1339"/>
      <c r="M99" s="1341"/>
      <c r="N99" s="1336"/>
      <c r="O99" s="1336"/>
      <c r="P99" s="1341"/>
      <c r="Q99" s="1336"/>
      <c r="R99" s="1336"/>
      <c r="S99" s="1341"/>
      <c r="T99" s="1345"/>
      <c r="U99" s="1336"/>
      <c r="V99" s="1340"/>
      <c r="W99" s="1338"/>
      <c r="X99" s="1338"/>
      <c r="Y99" s="1341"/>
      <c r="Z99" s="1345"/>
      <c r="AA99" s="1345"/>
      <c r="AB99" s="1356"/>
      <c r="AC99" s="1356">
        <v>278313</v>
      </c>
      <c r="AD99" s="1345"/>
      <c r="AE99" s="1334"/>
      <c r="AF99" s="2328"/>
      <c r="AG99" s="2328">
        <v>278313</v>
      </c>
      <c r="AH99" s="1334"/>
      <c r="AI99" s="747"/>
      <c r="AJ99" s="1334"/>
      <c r="AK99" s="1334"/>
      <c r="AL99" s="1336"/>
      <c r="AM99" s="1336"/>
      <c r="AN99" s="1336"/>
      <c r="AO99" s="1334"/>
      <c r="AP99" s="1334"/>
      <c r="AQ99" s="1336"/>
      <c r="AR99" s="1334"/>
      <c r="AS99" s="1339"/>
      <c r="AT99" s="1334"/>
      <c r="AU99" s="1334"/>
      <c r="AV99" s="1298"/>
      <c r="AW99" s="1296"/>
      <c r="AX99" s="1297"/>
      <c r="AY99" s="1297"/>
      <c r="AZ99" s="1297"/>
      <c r="BA99" s="1297"/>
      <c r="BB99" s="1297"/>
      <c r="BC99" s="1297"/>
      <c r="BD99" s="532"/>
      <c r="BE99" s="532"/>
      <c r="BF99" s="532"/>
      <c r="BG99" s="532"/>
      <c r="BH99" s="532"/>
      <c r="BI99" s="532"/>
      <c r="BJ99" s="532"/>
      <c r="BK99" s="532"/>
      <c r="BL99" s="532"/>
      <c r="BM99" s="532"/>
      <c r="BN99" s="529"/>
      <c r="BO99" s="532"/>
      <c r="BP99" s="532"/>
      <c r="BQ99" s="537"/>
      <c r="BR99" s="956"/>
      <c r="BS99" s="956"/>
      <c r="BT99" s="537"/>
      <c r="BU99" s="956"/>
      <c r="BV99" s="956"/>
    </row>
    <row r="100" spans="1:74" s="872" customFormat="1" ht="18">
      <c r="A100" s="1334"/>
      <c r="B100" s="1354"/>
      <c r="C100" s="1334"/>
      <c r="D100" s="1334"/>
      <c r="E100" s="1334"/>
      <c r="F100" s="1334"/>
      <c r="G100" s="1334"/>
      <c r="H100" s="1339"/>
      <c r="I100" s="1336"/>
      <c r="J100" s="1334"/>
      <c r="K100" s="1334"/>
      <c r="L100" s="1339"/>
      <c r="M100" s="1341"/>
      <c r="N100" s="1336"/>
      <c r="O100" s="1336"/>
      <c r="P100" s="1341"/>
      <c r="Q100" s="1336"/>
      <c r="R100" s="1336"/>
      <c r="S100" s="1341"/>
      <c r="T100" s="1345"/>
      <c r="U100" s="1336"/>
      <c r="V100" s="1340"/>
      <c r="W100" s="1338"/>
      <c r="X100" s="1338"/>
      <c r="Y100" s="1341"/>
      <c r="Z100" s="1345"/>
      <c r="AA100" s="1345"/>
      <c r="AB100" s="1356"/>
      <c r="AC100" s="1356"/>
      <c r="AD100" s="1345"/>
      <c r="AE100" s="1334"/>
      <c r="AF100" s="2328"/>
      <c r="AG100" s="2328"/>
      <c r="AH100" s="1334"/>
      <c r="AI100" s="747"/>
      <c r="AJ100" s="1334"/>
      <c r="AK100" s="1334"/>
      <c r="AL100" s="1336"/>
      <c r="AM100" s="1336"/>
      <c r="AN100" s="1336"/>
      <c r="AO100" s="1334"/>
      <c r="AP100" s="1334"/>
      <c r="AQ100" s="1336"/>
      <c r="AR100" s="1334"/>
      <c r="AS100" s="1339"/>
      <c r="AT100" s="1334"/>
      <c r="AU100" s="1334"/>
      <c r="AV100" s="1298"/>
      <c r="AW100" s="1296"/>
      <c r="AX100" s="1297"/>
      <c r="AY100" s="1297"/>
      <c r="AZ100" s="1297"/>
      <c r="BA100" s="1297"/>
      <c r="BB100" s="1297"/>
      <c r="BC100" s="1297"/>
      <c r="BD100" s="532"/>
      <c r="BE100" s="532"/>
      <c r="BF100" s="532"/>
      <c r="BG100" s="532"/>
      <c r="BH100" s="532"/>
      <c r="BI100" s="532"/>
      <c r="BJ100" s="532"/>
      <c r="BK100" s="532"/>
      <c r="BL100" s="532"/>
      <c r="BM100" s="532"/>
      <c r="BN100" s="529"/>
      <c r="BO100" s="532"/>
      <c r="BP100" s="532"/>
      <c r="BQ100" s="537"/>
      <c r="BR100" s="956"/>
      <c r="BS100" s="956"/>
      <c r="BT100" s="537"/>
      <c r="BU100" s="956"/>
      <c r="BV100" s="956"/>
    </row>
    <row r="101" spans="1:74" s="872" customFormat="1" ht="18">
      <c r="A101" s="1346" t="s">
        <v>1837</v>
      </c>
      <c r="B101" s="1347" t="s">
        <v>1845</v>
      </c>
      <c r="C101" s="1346" t="s">
        <v>1855</v>
      </c>
      <c r="D101" s="1346"/>
      <c r="E101" s="1346"/>
      <c r="F101" s="1346" t="s">
        <v>1847</v>
      </c>
      <c r="G101" s="1346"/>
      <c r="H101" s="1349"/>
      <c r="I101" s="1350"/>
      <c r="J101" s="1346"/>
      <c r="K101" s="1346"/>
      <c r="L101" s="1349"/>
      <c r="M101" s="2330"/>
      <c r="N101" s="2330"/>
      <c r="O101" s="1336"/>
      <c r="P101" s="2330"/>
      <c r="Q101" s="2330"/>
      <c r="R101" s="1336"/>
      <c r="S101" s="2330"/>
      <c r="T101" s="2330"/>
      <c r="U101" s="1336"/>
      <c r="V101" s="1340"/>
      <c r="W101" s="1338"/>
      <c r="X101" s="1338"/>
      <c r="Y101" s="2328"/>
      <c r="Z101" s="2328"/>
      <c r="AA101" s="2328"/>
      <c r="AB101" s="2328"/>
      <c r="AC101" s="2328"/>
      <c r="AD101" s="2328"/>
      <c r="AE101" s="1334"/>
      <c r="AF101" s="2330">
        <v>118767228</v>
      </c>
      <c r="AG101" s="2330"/>
      <c r="AH101" s="1334"/>
      <c r="AI101" s="747"/>
      <c r="AJ101" s="1334"/>
      <c r="AK101" s="1334"/>
      <c r="AL101" s="1336"/>
      <c r="AM101" s="1336"/>
      <c r="AN101" s="1336"/>
      <c r="AO101" s="1334"/>
      <c r="AP101" s="1334"/>
      <c r="AQ101" s="1336"/>
      <c r="AR101" s="1334"/>
      <c r="AS101" s="1339"/>
      <c r="AT101" s="1334"/>
      <c r="AU101" s="1334"/>
      <c r="AV101" s="1298"/>
      <c r="AW101" s="1296"/>
      <c r="AX101" s="1297"/>
      <c r="AY101" s="1297"/>
      <c r="AZ101" s="1297"/>
      <c r="BA101" s="1297"/>
      <c r="BB101" s="1297"/>
      <c r="BC101" s="1297"/>
      <c r="BD101" s="532"/>
      <c r="BE101" s="532"/>
      <c r="BF101" s="532"/>
      <c r="BG101" s="532"/>
      <c r="BH101" s="532"/>
      <c r="BI101" s="532"/>
      <c r="BJ101" s="532"/>
      <c r="BK101" s="532"/>
      <c r="BL101" s="532"/>
      <c r="BM101" s="532"/>
      <c r="BN101" s="529"/>
      <c r="BO101" s="532"/>
      <c r="BP101" s="532"/>
      <c r="BQ101" s="537"/>
      <c r="BR101" s="956"/>
      <c r="BS101" s="956"/>
      <c r="BT101" s="537"/>
      <c r="BU101" s="956"/>
      <c r="BV101" s="956"/>
    </row>
    <row r="102" spans="1:74" s="872" customFormat="1" ht="18">
      <c r="A102" s="1346" t="s">
        <v>1837</v>
      </c>
      <c r="B102" s="1347" t="s">
        <v>1856</v>
      </c>
      <c r="C102" s="1347"/>
      <c r="D102" s="1347"/>
      <c r="E102" s="1348" t="s">
        <v>1245</v>
      </c>
      <c r="F102" s="1346" t="s">
        <v>1839</v>
      </c>
      <c r="G102" s="1346"/>
      <c r="H102" s="1349"/>
      <c r="I102" s="1350"/>
      <c r="J102" s="1346"/>
      <c r="K102" s="1346"/>
      <c r="L102" s="1349"/>
      <c r="M102" s="2330"/>
      <c r="N102" s="2330"/>
      <c r="O102" s="1336"/>
      <c r="P102" s="2330"/>
      <c r="Q102" s="2330"/>
      <c r="R102" s="1336"/>
      <c r="S102" s="2330"/>
      <c r="T102" s="2330"/>
      <c r="U102" s="1336"/>
      <c r="V102" s="1340"/>
      <c r="W102" s="1338"/>
      <c r="X102" s="1338"/>
      <c r="Y102" s="2328"/>
      <c r="Z102" s="2328"/>
      <c r="AA102" s="2328"/>
      <c r="AB102" s="2328"/>
      <c r="AC102" s="2328"/>
      <c r="AD102" s="2328"/>
      <c r="AE102" s="1334"/>
      <c r="AF102" s="2330"/>
      <c r="AG102" s="2330">
        <v>25308284</v>
      </c>
      <c r="AH102" s="1334"/>
      <c r="AI102" s="747"/>
      <c r="AJ102" s="1334"/>
      <c r="AK102" s="1334"/>
      <c r="AL102" s="1336"/>
      <c r="AM102" s="1336"/>
      <c r="AN102" s="1336"/>
      <c r="AO102" s="1334"/>
      <c r="AP102" s="1334"/>
      <c r="AQ102" s="1336"/>
      <c r="AR102" s="1334"/>
      <c r="AS102" s="1339"/>
      <c r="AT102" s="1334"/>
      <c r="AU102" s="1334"/>
      <c r="AV102" s="1298"/>
      <c r="AW102" s="1296"/>
      <c r="AX102" s="1297"/>
      <c r="AY102" s="1297"/>
      <c r="AZ102" s="1297"/>
      <c r="BA102" s="1297"/>
      <c r="BB102" s="1297"/>
      <c r="BC102" s="1297"/>
      <c r="BD102" s="532"/>
      <c r="BE102" s="532"/>
      <c r="BF102" s="532"/>
      <c r="BG102" s="532"/>
      <c r="BH102" s="532"/>
      <c r="BI102" s="532"/>
      <c r="BJ102" s="532"/>
      <c r="BK102" s="532"/>
      <c r="BL102" s="532"/>
      <c r="BM102" s="532"/>
      <c r="BN102" s="529"/>
      <c r="BO102" s="532"/>
      <c r="BP102" s="532"/>
      <c r="BQ102" s="537"/>
      <c r="BR102" s="956"/>
      <c r="BS102" s="956"/>
      <c r="BT102" s="537"/>
      <c r="BU102" s="956"/>
      <c r="BV102" s="956"/>
    </row>
    <row r="103" spans="1:74" s="872" customFormat="1" ht="18">
      <c r="A103" s="1346" t="s">
        <v>1837</v>
      </c>
      <c r="B103" s="1347" t="s">
        <v>1857</v>
      </c>
      <c r="C103" s="1353"/>
      <c r="D103" s="1346"/>
      <c r="E103" s="1353" t="s">
        <v>1841</v>
      </c>
      <c r="F103" s="1346" t="s">
        <v>1581</v>
      </c>
      <c r="G103" s="1346"/>
      <c r="H103" s="1349"/>
      <c r="I103" s="1350"/>
      <c r="J103" s="1346"/>
      <c r="K103" s="1346"/>
      <c r="L103" s="1349"/>
      <c r="M103" s="2330"/>
      <c r="N103" s="2330"/>
      <c r="O103" s="1336"/>
      <c r="P103" s="2330"/>
      <c r="Q103" s="2330"/>
      <c r="R103" s="1336"/>
      <c r="S103" s="2330"/>
      <c r="T103" s="2330"/>
      <c r="U103" s="1336"/>
      <c r="V103" s="1340"/>
      <c r="W103" s="1338"/>
      <c r="X103" s="1338"/>
      <c r="Y103" s="2328"/>
      <c r="Z103" s="2328"/>
      <c r="AA103" s="2328"/>
      <c r="AB103" s="2328"/>
      <c r="AC103" s="2328"/>
      <c r="AD103" s="2328"/>
      <c r="AE103" s="1334"/>
      <c r="AF103" s="2330"/>
      <c r="AG103" s="2330">
        <v>145933195</v>
      </c>
      <c r="AH103" s="1334"/>
      <c r="AI103" s="747"/>
      <c r="AJ103" s="1334"/>
      <c r="AK103" s="1334"/>
      <c r="AL103" s="1336"/>
      <c r="AM103" s="1336"/>
      <c r="AN103" s="1336"/>
      <c r="AO103" s="1334"/>
      <c r="AP103" s="1334"/>
      <c r="AQ103" s="1336"/>
      <c r="AR103" s="1334"/>
      <c r="AS103" s="1339"/>
      <c r="AT103" s="1334"/>
      <c r="AU103" s="1334"/>
      <c r="AV103" s="1298"/>
      <c r="AW103" s="1296"/>
      <c r="AX103" s="1297"/>
      <c r="AY103" s="1297"/>
      <c r="AZ103" s="1297"/>
      <c r="BA103" s="1297"/>
      <c r="BB103" s="1297"/>
      <c r="BC103" s="1297"/>
      <c r="BD103" s="532"/>
      <c r="BE103" s="532"/>
      <c r="BF103" s="532"/>
      <c r="BG103" s="532"/>
      <c r="BH103" s="532"/>
      <c r="BI103" s="532"/>
      <c r="BJ103" s="532"/>
      <c r="BK103" s="532"/>
      <c r="BL103" s="532"/>
      <c r="BM103" s="532"/>
      <c r="BN103" s="529"/>
      <c r="BO103" s="532"/>
      <c r="BP103" s="532"/>
      <c r="BQ103" s="537"/>
      <c r="BR103" s="956"/>
      <c r="BS103" s="956"/>
      <c r="BT103" s="537"/>
      <c r="BU103" s="956"/>
      <c r="BV103" s="956"/>
    </row>
    <row r="104" spans="1:74" s="872" customFormat="1" ht="18">
      <c r="A104" s="1334" t="s">
        <v>1858</v>
      </c>
      <c r="B104" s="1354" t="s">
        <v>1859</v>
      </c>
      <c r="C104" s="1334"/>
      <c r="D104" s="1334"/>
      <c r="E104" s="1334"/>
      <c r="F104" s="1357" t="s">
        <v>1860</v>
      </c>
      <c r="G104" s="1334"/>
      <c r="H104" s="1339"/>
      <c r="I104" s="1336"/>
      <c r="J104" s="1334"/>
      <c r="K104" s="1334"/>
      <c r="L104" s="1339"/>
      <c r="M104" s="1341"/>
      <c r="N104" s="1336"/>
      <c r="O104" s="1336"/>
      <c r="P104" s="1341"/>
      <c r="Q104" s="1336"/>
      <c r="R104" s="1336"/>
      <c r="S104" s="1337"/>
      <c r="T104" s="1345"/>
      <c r="U104" s="1336"/>
      <c r="V104" s="1340"/>
      <c r="W104" s="1338"/>
      <c r="X104" s="1338"/>
      <c r="Y104" s="1337"/>
      <c r="Z104" s="1345"/>
      <c r="AA104" s="1345"/>
      <c r="AB104" s="1345"/>
      <c r="AC104" s="1345"/>
      <c r="AD104" s="1345"/>
      <c r="AE104" s="1334"/>
      <c r="AF104" s="1358">
        <v>52474251</v>
      </c>
      <c r="AG104" s="1359"/>
      <c r="AH104" s="1334"/>
      <c r="AI104" s="747"/>
      <c r="AJ104" s="1334"/>
      <c r="AK104" s="1334"/>
      <c r="AL104" s="1336"/>
      <c r="AM104" s="1336"/>
      <c r="AN104" s="1336"/>
      <c r="AO104" s="1334"/>
      <c r="AP104" s="1334"/>
      <c r="AQ104" s="1336"/>
      <c r="AR104" s="1334"/>
      <c r="AS104" s="1339"/>
      <c r="AT104" s="1334"/>
      <c r="AU104" s="1334"/>
      <c r="AV104" s="1298"/>
      <c r="AW104" s="1296"/>
      <c r="AX104" s="1297"/>
      <c r="AY104" s="1297"/>
      <c r="AZ104" s="1297"/>
      <c r="BA104" s="1297"/>
      <c r="BB104" s="1297"/>
      <c r="BC104" s="1297"/>
      <c r="BD104" s="532"/>
      <c r="BE104" s="532"/>
      <c r="BF104" s="532"/>
      <c r="BG104" s="532"/>
      <c r="BH104" s="532"/>
      <c r="BI104" s="532"/>
      <c r="BJ104" s="532"/>
      <c r="BK104" s="532"/>
      <c r="BL104" s="532"/>
      <c r="BM104" s="532"/>
      <c r="BN104" s="529"/>
      <c r="BO104" s="532"/>
      <c r="BP104" s="532"/>
      <c r="BQ104" s="537"/>
      <c r="BR104" s="956"/>
      <c r="BS104" s="956"/>
      <c r="BT104" s="537"/>
      <c r="BU104" s="956"/>
      <c r="BV104" s="956"/>
    </row>
    <row r="105" spans="1:74" s="872" customFormat="1" ht="22.2">
      <c r="A105" s="1334"/>
      <c r="B105" s="1360"/>
      <c r="C105" s="1334"/>
      <c r="D105" s="1334"/>
      <c r="E105" s="1334"/>
      <c r="F105" s="1334"/>
      <c r="G105" s="1334"/>
      <c r="H105" s="1339"/>
      <c r="I105" s="1336"/>
      <c r="J105" s="1334"/>
      <c r="K105" s="1334"/>
      <c r="L105" s="1339"/>
      <c r="M105" s="1341"/>
      <c r="N105" s="1336"/>
      <c r="O105" s="1336"/>
      <c r="P105" s="1341"/>
      <c r="Q105" s="1336"/>
      <c r="R105" s="1336"/>
      <c r="S105" s="1337"/>
      <c r="T105" s="1345"/>
      <c r="U105" s="1336"/>
      <c r="V105" s="1340"/>
      <c r="W105" s="1338"/>
      <c r="X105" s="1338"/>
      <c r="Y105" s="1337"/>
      <c r="Z105" s="1345"/>
      <c r="AA105" s="1345"/>
      <c r="AB105" s="1345"/>
      <c r="AC105" s="1345"/>
      <c r="AD105" s="1345"/>
      <c r="AE105" s="1334"/>
      <c r="AF105" s="1361" t="s">
        <v>1861</v>
      </c>
      <c r="AG105" s="1362"/>
      <c r="AH105" s="1363"/>
      <c r="AI105" s="747"/>
      <c r="AJ105" s="1334"/>
      <c r="AK105" s="1334"/>
      <c r="AL105" s="1336"/>
      <c r="AM105" s="1336"/>
      <c r="AN105" s="1336"/>
      <c r="AO105" s="1334"/>
      <c r="AP105" s="1334"/>
      <c r="AQ105" s="1336"/>
      <c r="AR105" s="1334"/>
      <c r="AS105" s="1339"/>
      <c r="AT105" s="1334"/>
      <c r="AU105" s="1334"/>
      <c r="AV105" s="1298"/>
      <c r="AW105" s="1296"/>
      <c r="AX105" s="1297"/>
      <c r="AY105" s="1297"/>
      <c r="AZ105" s="1297"/>
      <c r="BA105" s="1297"/>
      <c r="BB105" s="1297"/>
      <c r="BC105" s="1297"/>
      <c r="BD105" s="532"/>
      <c r="BE105" s="532"/>
      <c r="BF105" s="532"/>
      <c r="BG105" s="532"/>
      <c r="BH105" s="532"/>
      <c r="BI105" s="532"/>
      <c r="BJ105" s="532"/>
      <c r="BK105" s="532"/>
      <c r="BL105" s="532"/>
      <c r="BM105" s="532"/>
      <c r="BN105" s="529"/>
      <c r="BO105" s="532"/>
      <c r="BP105" s="532"/>
      <c r="BQ105" s="537"/>
      <c r="BR105" s="956"/>
      <c r="BS105" s="956"/>
      <c r="BT105" s="537"/>
      <c r="BU105" s="956"/>
      <c r="BV105" s="956"/>
    </row>
    <row r="106" spans="1:74" s="872" customFormat="1" ht="18">
      <c r="A106" s="1334"/>
      <c r="B106" s="1364" t="s">
        <v>1583</v>
      </c>
      <c r="C106" s="1334"/>
      <c r="D106" s="1334"/>
      <c r="E106" s="1334"/>
      <c r="F106" s="1334"/>
      <c r="G106" s="1334"/>
      <c r="H106" s="1339"/>
      <c r="I106" s="1336"/>
      <c r="J106" s="1334"/>
      <c r="K106" s="1334"/>
      <c r="L106" s="1339"/>
      <c r="M106" s="1341"/>
      <c r="N106" s="1336"/>
      <c r="O106" s="1336"/>
      <c r="P106" s="1341"/>
      <c r="Q106" s="1336"/>
      <c r="R106" s="1336"/>
      <c r="S106" s="1337"/>
      <c r="T106" s="1345"/>
      <c r="U106" s="1336"/>
      <c r="V106" s="1340"/>
      <c r="W106" s="1338"/>
      <c r="X106" s="1338"/>
      <c r="Y106" s="1337"/>
      <c r="Z106" s="1345"/>
      <c r="AA106" s="1345"/>
      <c r="AB106" s="1345"/>
      <c r="AC106" s="1345"/>
      <c r="AD106" s="1334"/>
      <c r="AF106" s="1365"/>
      <c r="AG106" s="1365"/>
      <c r="AH106" s="1366"/>
      <c r="AI106" s="1334"/>
      <c r="AJ106" s="1334"/>
      <c r="AK106" s="1336"/>
      <c r="AL106" s="1336"/>
      <c r="AM106" s="1336"/>
      <c r="AN106" s="1334"/>
      <c r="AO106" s="1334"/>
      <c r="AP106" s="1336"/>
      <c r="AQ106" s="1334"/>
      <c r="AR106" s="1339"/>
      <c r="AS106" s="1334"/>
      <c r="AT106" s="1334"/>
      <c r="AU106" s="1298"/>
      <c r="AV106" s="1296"/>
      <c r="AW106" s="1297"/>
      <c r="AX106" s="1297"/>
      <c r="AY106" s="1297"/>
      <c r="AZ106" s="1297"/>
      <c r="BA106" s="1297"/>
      <c r="BB106" s="1297"/>
      <c r="BC106" s="532"/>
      <c r="BD106" s="532"/>
      <c r="BE106" s="532"/>
      <c r="BF106" s="532"/>
      <c r="BG106" s="532"/>
      <c r="BH106" s="532"/>
      <c r="BI106" s="532"/>
      <c r="BJ106" s="532"/>
      <c r="BK106" s="532"/>
      <c r="BL106" s="532"/>
      <c r="BM106" s="529"/>
      <c r="BN106" s="532"/>
      <c r="BO106" s="532"/>
      <c r="BP106" s="532"/>
      <c r="BQ106" s="537"/>
      <c r="BR106" s="956"/>
      <c r="BS106" s="956"/>
      <c r="BT106" s="537"/>
      <c r="BU106" s="956"/>
      <c r="BV106" s="956"/>
    </row>
    <row r="107" spans="1:74" s="872" customFormat="1" ht="21">
      <c r="A107" s="1334" t="s">
        <v>1858</v>
      </c>
      <c r="B107" s="1360" t="s">
        <v>1862</v>
      </c>
      <c r="C107" s="1334"/>
      <c r="D107" s="1334"/>
      <c r="E107" s="1334" t="s">
        <v>1037</v>
      </c>
      <c r="F107" s="1334"/>
      <c r="G107" s="1334"/>
      <c r="H107" s="1339"/>
      <c r="I107" s="1336"/>
      <c r="J107" s="1334"/>
      <c r="K107" s="1334"/>
      <c r="L107" s="1339"/>
      <c r="M107" s="1341"/>
      <c r="N107" s="1336"/>
      <c r="O107" s="1336"/>
      <c r="P107" s="1341"/>
      <c r="Q107" s="1336"/>
      <c r="R107" s="1336"/>
      <c r="S107" s="1341"/>
      <c r="T107" s="1336"/>
      <c r="U107" s="1336"/>
      <c r="V107" s="1340"/>
      <c r="W107" s="1338"/>
      <c r="X107" s="1338"/>
      <c r="Y107" s="1341"/>
      <c r="Z107" s="1336"/>
      <c r="AA107" s="1336"/>
      <c r="AB107" s="1336"/>
      <c r="AC107" s="1336"/>
      <c r="AD107" s="1334"/>
      <c r="AE107" s="1367"/>
      <c r="AF107" s="1368"/>
      <c r="AG107" s="1369">
        <v>145933195</v>
      </c>
      <c r="AH107" s="1366"/>
      <c r="AI107" s="1334"/>
      <c r="AJ107" s="1334"/>
      <c r="AK107" s="1336"/>
      <c r="AL107" s="1336"/>
      <c r="AM107" s="1336"/>
      <c r="AN107" s="1334"/>
      <c r="AO107" s="1334"/>
      <c r="AP107" s="1336"/>
      <c r="AQ107" s="1334"/>
      <c r="AR107" s="1339"/>
      <c r="AS107" s="1334"/>
      <c r="AT107" s="1334"/>
      <c r="AU107" s="1298"/>
      <c r="AV107" s="1296"/>
      <c r="AW107" s="1297"/>
      <c r="AX107" s="1297"/>
      <c r="AY107" s="1297"/>
      <c r="AZ107" s="1297"/>
      <c r="BA107" s="1297"/>
      <c r="BB107" s="1297"/>
      <c r="BC107" s="532"/>
      <c r="BD107" s="532"/>
      <c r="BE107" s="532"/>
      <c r="BF107" s="532"/>
      <c r="BG107" s="532"/>
      <c r="BH107" s="532"/>
      <c r="BI107" s="532"/>
      <c r="BJ107" s="532"/>
      <c r="BK107" s="532"/>
      <c r="BL107" s="532"/>
      <c r="BM107" s="529"/>
      <c r="BN107" s="532"/>
      <c r="BO107" s="532"/>
      <c r="BP107" s="532"/>
      <c r="BQ107" s="956"/>
      <c r="BR107" s="956"/>
      <c r="BS107" s="956"/>
      <c r="BT107" s="956"/>
      <c r="BU107" s="956"/>
      <c r="BV107" s="956"/>
    </row>
    <row r="108" spans="1:74" s="872" customFormat="1" ht="21">
      <c r="A108" s="1334" t="s">
        <v>1842</v>
      </c>
      <c r="B108" s="1360" t="s">
        <v>1863</v>
      </c>
      <c r="C108" s="1334"/>
      <c r="D108" s="1334"/>
      <c r="E108" s="1334" t="s">
        <v>1037</v>
      </c>
      <c r="F108" s="1334"/>
      <c r="G108" s="1334"/>
      <c r="H108" s="1339"/>
      <c r="I108" s="1336"/>
      <c r="J108" s="1334"/>
      <c r="K108" s="1334"/>
      <c r="L108" s="1339"/>
      <c r="M108" s="1341"/>
      <c r="N108" s="1336"/>
      <c r="O108" s="1336"/>
      <c r="P108" s="1341"/>
      <c r="Q108" s="1336"/>
      <c r="R108" s="1336"/>
      <c r="S108" s="1341"/>
      <c r="T108" s="1336"/>
      <c r="U108" s="1336"/>
      <c r="V108" s="1340"/>
      <c r="W108" s="1338"/>
      <c r="X108" s="1338"/>
      <c r="Y108" s="1341"/>
      <c r="Z108" s="1336"/>
      <c r="AA108" s="1336"/>
      <c r="AB108" s="1336"/>
      <c r="AC108" s="1336"/>
      <c r="AD108" s="1334"/>
      <c r="AE108" s="1367"/>
      <c r="AF108" s="1368">
        <v>146582558</v>
      </c>
      <c r="AG108" s="1369"/>
      <c r="AH108" s="1366"/>
      <c r="AI108" s="1334"/>
      <c r="AJ108" s="1334"/>
      <c r="AK108" s="1336"/>
      <c r="AL108" s="1336"/>
      <c r="AM108" s="1336"/>
      <c r="AN108" s="1334"/>
      <c r="AO108" s="1334"/>
      <c r="AP108" s="1336"/>
      <c r="AQ108" s="1334"/>
      <c r="AR108" s="1339"/>
      <c r="AS108" s="1334"/>
      <c r="AT108" s="1334"/>
      <c r="AU108" s="1298"/>
      <c r="AV108" s="1296"/>
      <c r="AW108" s="1297"/>
      <c r="AX108" s="1297"/>
      <c r="AY108" s="1297"/>
      <c r="AZ108" s="1297"/>
      <c r="BA108" s="1297"/>
      <c r="BB108" s="1297"/>
      <c r="BC108" s="532"/>
      <c r="BD108" s="532"/>
      <c r="BE108" s="532"/>
      <c r="BF108" s="532"/>
      <c r="BG108" s="532"/>
      <c r="BH108" s="532"/>
      <c r="BI108" s="532"/>
      <c r="BJ108" s="532"/>
      <c r="BK108" s="532"/>
      <c r="BL108" s="532"/>
      <c r="BM108" s="529"/>
      <c r="BN108" s="532"/>
      <c r="BO108" s="532"/>
      <c r="BP108" s="532"/>
      <c r="BQ108" s="956"/>
      <c r="BR108" s="956"/>
      <c r="BS108" s="956"/>
      <c r="BT108" s="956"/>
      <c r="BU108" s="956"/>
      <c r="BV108" s="956"/>
    </row>
    <row r="109" spans="1:74" s="872" customFormat="1" ht="18">
      <c r="A109" s="1334"/>
      <c r="B109" s="1360"/>
      <c r="C109" s="1334"/>
      <c r="D109" s="1334"/>
      <c r="E109" s="1334"/>
      <c r="F109" s="1334"/>
      <c r="G109" s="1334"/>
      <c r="H109" s="1339"/>
      <c r="I109" s="1336"/>
      <c r="J109" s="1334"/>
      <c r="K109" s="1334"/>
      <c r="L109" s="1339"/>
      <c r="M109" s="1341"/>
      <c r="N109" s="1336"/>
      <c r="O109" s="1336"/>
      <c r="P109" s="1341"/>
      <c r="Q109" s="1336"/>
      <c r="R109" s="1336"/>
      <c r="S109" s="1341"/>
      <c r="T109" s="1336"/>
      <c r="U109" s="1336"/>
      <c r="V109" s="1340"/>
      <c r="W109" s="1338"/>
      <c r="X109" s="1338"/>
      <c r="Y109" s="1341"/>
      <c r="Z109" s="1336"/>
      <c r="AA109" s="1336"/>
      <c r="AB109" s="1336"/>
      <c r="AC109" s="1336"/>
      <c r="AD109" s="1334"/>
      <c r="AE109" s="1341"/>
      <c r="AF109" s="1370"/>
      <c r="AG109" s="1369"/>
      <c r="AH109" s="1366"/>
      <c r="AI109" s="1334"/>
      <c r="AJ109" s="1334"/>
      <c r="AK109" s="1336"/>
      <c r="AL109" s="1336"/>
      <c r="AM109" s="1336"/>
      <c r="AN109" s="1334"/>
      <c r="AO109" s="1334"/>
      <c r="AP109" s="1336"/>
      <c r="AQ109" s="1334"/>
      <c r="AR109" s="1339"/>
      <c r="AS109" s="1334"/>
      <c r="AT109" s="1334"/>
      <c r="AU109" s="1298"/>
      <c r="AV109" s="1296"/>
      <c r="AW109" s="1297"/>
      <c r="AX109" s="1297"/>
      <c r="AY109" s="1297"/>
      <c r="AZ109" s="1297"/>
      <c r="BA109" s="1297"/>
      <c r="BB109" s="1297"/>
      <c r="BC109" s="532"/>
      <c r="BD109" s="532"/>
      <c r="BE109" s="532"/>
      <c r="BF109" s="532"/>
      <c r="BG109" s="532"/>
      <c r="BH109" s="532"/>
      <c r="BI109" s="532"/>
      <c r="BJ109" s="532"/>
      <c r="BK109" s="532"/>
      <c r="BL109" s="532"/>
      <c r="BM109" s="529"/>
      <c r="BN109" s="532"/>
      <c r="BO109" s="532"/>
      <c r="BP109" s="532"/>
      <c r="BQ109" s="956"/>
      <c r="BR109" s="956"/>
      <c r="BS109" s="956"/>
      <c r="BT109" s="956"/>
      <c r="BU109" s="956"/>
      <c r="BV109" s="956"/>
    </row>
    <row r="110" spans="1:74" s="872" customFormat="1" ht="18">
      <c r="A110" s="1334"/>
      <c r="B110" s="1360"/>
      <c r="C110" s="1334"/>
      <c r="D110" s="1334"/>
      <c r="E110" s="1334"/>
      <c r="F110" s="1334"/>
      <c r="G110" s="1334"/>
      <c r="H110" s="1339"/>
      <c r="I110" s="1336"/>
      <c r="J110" s="1334"/>
      <c r="K110" s="1334"/>
      <c r="L110" s="1339"/>
      <c r="M110" s="1341"/>
      <c r="N110" s="1336"/>
      <c r="O110" s="1336"/>
      <c r="P110" s="1341"/>
      <c r="Q110" s="1336"/>
      <c r="R110" s="1336"/>
      <c r="S110" s="1341"/>
      <c r="T110" s="1336"/>
      <c r="U110" s="1336"/>
      <c r="V110" s="1340"/>
      <c r="W110" s="1338"/>
      <c r="X110" s="1338"/>
      <c r="Y110" s="1341"/>
      <c r="Z110" s="1336"/>
      <c r="AA110" s="1334"/>
      <c r="AB110" s="1341"/>
      <c r="AC110" s="1336"/>
      <c r="AD110" s="1334"/>
      <c r="AE110" s="747"/>
      <c r="AF110" s="1334"/>
      <c r="AG110" s="1334"/>
      <c r="AH110" s="1336"/>
      <c r="AI110" s="1336"/>
      <c r="AJ110" s="1336"/>
      <c r="AK110" s="1334"/>
      <c r="AL110" s="1334"/>
      <c r="AM110" s="1336"/>
      <c r="AN110" s="1334"/>
      <c r="AO110" s="1339"/>
      <c r="AP110" s="1334"/>
      <c r="AQ110" s="1334"/>
      <c r="AR110" s="1298"/>
      <c r="AS110" s="1296"/>
      <c r="AT110" s="1297"/>
      <c r="AU110" s="1297"/>
      <c r="AV110" s="1297"/>
      <c r="AW110" s="1297"/>
      <c r="AX110" s="1297"/>
      <c r="AY110" s="1297"/>
      <c r="AZ110" s="532"/>
      <c r="BA110" s="532"/>
      <c r="BB110" s="532"/>
      <c r="BC110" s="532"/>
      <c r="BD110" s="532"/>
      <c r="BE110" s="532"/>
      <c r="BF110" s="532"/>
      <c r="BG110" s="532"/>
      <c r="BH110" s="532"/>
      <c r="BI110" s="532"/>
      <c r="BJ110" s="529"/>
      <c r="BK110" s="532"/>
      <c r="BL110" s="532"/>
      <c r="BM110" s="532"/>
      <c r="BQ110" s="956"/>
      <c r="BR110" s="956"/>
      <c r="BS110" s="956"/>
      <c r="BT110" s="956"/>
      <c r="BU110" s="956"/>
      <c r="BV110" s="956"/>
    </row>
    <row r="111" spans="1:74" s="872" customFormat="1" ht="18">
      <c r="A111" s="1334" t="s">
        <v>1864</v>
      </c>
      <c r="B111" s="1371" t="s">
        <v>1865</v>
      </c>
      <c r="C111" s="1334"/>
      <c r="D111" s="1334"/>
      <c r="E111" s="1334"/>
      <c r="F111" s="1334"/>
      <c r="G111" s="1334"/>
      <c r="H111" s="1339"/>
      <c r="I111" s="1336"/>
      <c r="J111" s="1334"/>
      <c r="K111" s="1334"/>
      <c r="L111" s="1339"/>
      <c r="M111" s="1341"/>
      <c r="N111" s="1336"/>
      <c r="O111" s="1336"/>
      <c r="P111" s="1341"/>
      <c r="Q111" s="1336"/>
      <c r="R111" s="1336"/>
      <c r="S111" s="1341"/>
      <c r="T111" s="1336"/>
      <c r="U111" s="1336"/>
      <c r="V111" s="1340"/>
      <c r="W111" s="1338"/>
      <c r="X111" s="1338"/>
      <c r="Y111" s="1341"/>
      <c r="Z111" s="1336"/>
      <c r="AA111" s="1334"/>
      <c r="AB111" s="1341"/>
      <c r="AC111" s="1336"/>
      <c r="AD111" s="1334"/>
      <c r="AE111" s="747"/>
      <c r="AF111" s="1334"/>
      <c r="AG111" s="1334"/>
      <c r="AH111" s="1336"/>
      <c r="AI111" s="1336"/>
      <c r="AJ111" s="1336"/>
      <c r="AK111" s="1334"/>
      <c r="AL111" s="1334"/>
      <c r="AM111" s="1336"/>
      <c r="AN111" s="1334"/>
      <c r="AO111" s="1339"/>
      <c r="AP111" s="1334"/>
      <c r="AQ111" s="1334"/>
      <c r="AR111" s="1298"/>
      <c r="AS111" s="1296"/>
      <c r="AT111" s="1297"/>
      <c r="AU111" s="1297"/>
      <c r="AV111" s="1297"/>
      <c r="AW111" s="1297"/>
      <c r="AX111" s="1297"/>
      <c r="AY111" s="1297"/>
      <c r="AZ111" s="532"/>
      <c r="BA111" s="532"/>
      <c r="BB111" s="532"/>
      <c r="BC111" s="532"/>
      <c r="BD111" s="532"/>
      <c r="BE111" s="532"/>
      <c r="BF111" s="532"/>
      <c r="BG111" s="532"/>
      <c r="BH111" s="532"/>
      <c r="BI111" s="532"/>
      <c r="BJ111" s="529"/>
      <c r="BK111" s="532"/>
      <c r="BL111" s="532"/>
      <c r="BM111" s="532"/>
      <c r="BQ111" s="956"/>
      <c r="BR111" s="956"/>
      <c r="BS111" s="956"/>
      <c r="BT111" s="956"/>
      <c r="BU111" s="956"/>
      <c r="BV111" s="956"/>
    </row>
    <row r="112" spans="1:74" s="872" customFormat="1" ht="18">
      <c r="A112" s="1334"/>
      <c r="B112" s="1364" t="s">
        <v>1572</v>
      </c>
      <c r="C112" s="1334"/>
      <c r="D112" s="1334"/>
      <c r="E112" s="1334"/>
      <c r="F112" s="1334"/>
      <c r="G112" s="1334"/>
      <c r="H112" s="1339"/>
      <c r="I112" s="1336"/>
      <c r="J112" s="1334"/>
      <c r="K112" s="1334"/>
      <c r="L112" s="1339"/>
      <c r="M112" s="1427"/>
      <c r="N112" s="533"/>
      <c r="O112" s="533"/>
      <c r="P112" s="533"/>
      <c r="Q112" s="533"/>
      <c r="R112" s="1336"/>
      <c r="S112" s="533"/>
      <c r="T112" s="533"/>
      <c r="U112" s="533"/>
      <c r="V112" s="1298"/>
      <c r="W112" s="1291"/>
      <c r="X112" s="1291"/>
      <c r="Y112" s="532"/>
      <c r="Z112" s="529"/>
      <c r="AA112" s="532"/>
      <c r="AB112" s="532"/>
      <c r="AC112" s="533"/>
      <c r="AD112" s="1334"/>
      <c r="AE112" s="747"/>
      <c r="AF112" s="1334"/>
      <c r="AG112" s="1334"/>
      <c r="AH112" s="1336"/>
      <c r="AI112" s="1336"/>
      <c r="AJ112" s="1336"/>
      <c r="AK112" s="1334"/>
      <c r="AL112" s="1334"/>
      <c r="AM112" s="1336"/>
      <c r="AN112" s="1334"/>
      <c r="AO112" s="1339"/>
      <c r="AP112" s="1334"/>
      <c r="AQ112" s="1334"/>
      <c r="AR112" s="1298"/>
      <c r="AS112" s="1296"/>
      <c r="AT112" s="1297"/>
      <c r="AU112" s="1297"/>
      <c r="AV112" s="1297"/>
      <c r="AW112" s="1297"/>
      <c r="AX112" s="1297"/>
      <c r="AY112" s="1297"/>
      <c r="AZ112" s="532"/>
      <c r="BA112" s="532"/>
      <c r="BB112" s="532"/>
      <c r="BC112" s="532"/>
      <c r="BD112" s="532"/>
      <c r="BE112" s="532"/>
      <c r="BF112" s="532"/>
      <c r="BG112" s="532"/>
      <c r="BH112" s="532"/>
      <c r="BI112" s="532"/>
      <c r="BJ112" s="529"/>
      <c r="BK112" s="532"/>
      <c r="BL112" s="532"/>
      <c r="BM112" s="532"/>
      <c r="BQ112" s="956"/>
      <c r="BR112" s="956"/>
      <c r="BS112" s="956"/>
      <c r="BT112" s="956"/>
      <c r="BU112" s="956"/>
      <c r="BV112" s="956"/>
    </row>
    <row r="113" spans="1:74" s="872" customFormat="1" ht="18">
      <c r="A113" s="1334"/>
      <c r="B113" s="1335" t="s">
        <v>1575</v>
      </c>
      <c r="C113" s="1334"/>
      <c r="D113" s="1334"/>
      <c r="E113" s="1334"/>
      <c r="F113" s="1334" t="s">
        <v>1866</v>
      </c>
      <c r="G113" s="1334"/>
      <c r="H113" s="1339"/>
      <c r="I113" s="1336"/>
      <c r="J113" s="1334"/>
      <c r="K113" s="1334"/>
      <c r="L113" s="1339"/>
      <c r="M113" s="2328">
        <v>4280000</v>
      </c>
      <c r="N113" s="2328"/>
      <c r="O113" s="1336"/>
      <c r="P113" s="2328">
        <v>3462000</v>
      </c>
      <c r="Q113" s="2328"/>
      <c r="R113" s="1336"/>
      <c r="S113" s="2328">
        <v>6480000</v>
      </c>
      <c r="T113" s="2328"/>
      <c r="U113" s="1336"/>
      <c r="V113" s="1340"/>
      <c r="W113" s="1338"/>
      <c r="X113" s="1338"/>
      <c r="Y113" s="2328">
        <v>4985000</v>
      </c>
      <c r="Z113" s="2328"/>
      <c r="AA113" s="1334"/>
      <c r="AD113" s="1334"/>
      <c r="AE113" s="747"/>
      <c r="AF113" s="2328"/>
      <c r="AG113" s="2328"/>
      <c r="AH113" s="1336"/>
      <c r="AI113" s="1336"/>
      <c r="AJ113" s="1336"/>
      <c r="AK113" s="1334"/>
      <c r="AL113" s="1334"/>
      <c r="AM113" s="1336"/>
      <c r="AN113" s="1334"/>
      <c r="AO113" s="1339"/>
      <c r="AP113" s="1334"/>
      <c r="AQ113" s="1334"/>
      <c r="AR113" s="1298"/>
      <c r="AS113" s="1296"/>
      <c r="AT113" s="1297"/>
      <c r="AU113" s="1297"/>
      <c r="AV113" s="1297"/>
      <c r="AW113" s="1297"/>
      <c r="AX113" s="1297"/>
      <c r="AY113" s="1297"/>
      <c r="AZ113" s="532"/>
      <c r="BA113" s="532"/>
      <c r="BB113" s="532"/>
      <c r="BC113" s="532"/>
      <c r="BD113" s="532"/>
      <c r="BE113" s="532"/>
      <c r="BF113" s="532"/>
      <c r="BG113" s="532"/>
      <c r="BH113" s="532"/>
      <c r="BI113" s="532"/>
      <c r="BJ113" s="529"/>
      <c r="BK113" s="532"/>
      <c r="BL113" s="532"/>
      <c r="BM113" s="532"/>
      <c r="BQ113" s="956"/>
      <c r="BR113" s="956"/>
      <c r="BS113" s="956"/>
      <c r="BT113" s="956"/>
      <c r="BU113" s="956"/>
      <c r="BV113" s="956"/>
    </row>
    <row r="114" spans="1:74" s="872" customFormat="1" ht="18">
      <c r="A114" s="1334"/>
      <c r="B114" s="1335" t="s">
        <v>1576</v>
      </c>
      <c r="C114" s="1334"/>
      <c r="D114" s="1334"/>
      <c r="E114" s="1334"/>
      <c r="F114" s="1334" t="s">
        <v>1867</v>
      </c>
      <c r="G114" s="1334"/>
      <c r="H114" s="1339"/>
      <c r="I114" s="1336"/>
      <c r="J114" s="1334"/>
      <c r="K114" s="1334"/>
      <c r="L114" s="1339"/>
      <c r="M114" s="2328"/>
      <c r="N114" s="2328">
        <v>4280000</v>
      </c>
      <c r="O114" s="1336"/>
      <c r="P114" s="2328"/>
      <c r="Q114" s="2328">
        <v>3462000</v>
      </c>
      <c r="R114" s="1336"/>
      <c r="S114" s="2328"/>
      <c r="T114" s="2328">
        <v>6480000</v>
      </c>
      <c r="U114" s="1336"/>
      <c r="V114" s="1340"/>
      <c r="W114" s="1338"/>
      <c r="X114" s="1338"/>
      <c r="Y114" s="2328"/>
      <c r="Z114" s="2328">
        <v>4985000</v>
      </c>
      <c r="AA114" s="1334"/>
      <c r="AD114" s="1334"/>
      <c r="AE114" s="747"/>
      <c r="AF114" s="2328"/>
      <c r="AG114" s="2328"/>
      <c r="AH114" s="1336"/>
      <c r="AI114" s="1336"/>
      <c r="AJ114" s="1336"/>
      <c r="AK114" s="1334"/>
      <c r="AL114" s="1334"/>
      <c r="AM114" s="1336"/>
      <c r="AN114" s="1334"/>
      <c r="AO114" s="1339"/>
      <c r="AP114" s="1334"/>
      <c r="AQ114" s="1334"/>
      <c r="AR114" s="1298"/>
      <c r="AS114" s="1296"/>
      <c r="AT114" s="1297"/>
      <c r="AU114" s="1297"/>
      <c r="AV114" s="1297"/>
      <c r="AW114" s="1297"/>
      <c r="AX114" s="1297"/>
      <c r="AY114" s="1297"/>
      <c r="AZ114" s="532"/>
      <c r="BA114" s="532"/>
      <c r="BB114" s="532"/>
      <c r="BC114" s="532"/>
      <c r="BD114" s="532"/>
      <c r="BE114" s="532"/>
      <c r="BF114" s="532"/>
      <c r="BG114" s="532"/>
      <c r="BH114" s="532"/>
      <c r="BI114" s="532"/>
      <c r="BJ114" s="529"/>
      <c r="BK114" s="532"/>
      <c r="BL114" s="532"/>
      <c r="BM114" s="532"/>
      <c r="BQ114" s="956"/>
      <c r="BR114" s="956"/>
      <c r="BS114" s="956"/>
      <c r="BT114" s="956"/>
      <c r="BU114" s="956"/>
      <c r="BV114" s="956"/>
    </row>
    <row r="115" spans="1:74" s="872" customFormat="1" ht="18">
      <c r="A115" s="1334"/>
      <c r="B115" s="1334"/>
      <c r="C115" s="1334"/>
      <c r="D115" s="1334"/>
      <c r="E115" s="1334"/>
      <c r="F115" s="1334"/>
      <c r="G115" s="1334"/>
      <c r="H115" s="1339"/>
      <c r="I115" s="1336"/>
      <c r="J115" s="1334"/>
      <c r="K115" s="1334"/>
      <c r="L115" s="1339"/>
      <c r="M115" s="2328"/>
      <c r="N115" s="2328"/>
      <c r="O115" s="1336"/>
      <c r="P115" s="2328"/>
      <c r="Q115" s="2328"/>
      <c r="R115" s="1336"/>
      <c r="S115" s="2328"/>
      <c r="T115" s="2328"/>
      <c r="U115" s="1336"/>
      <c r="V115" s="1340"/>
      <c r="W115" s="1338"/>
      <c r="X115" s="1338"/>
      <c r="Y115" s="2328"/>
      <c r="Z115" s="2328"/>
      <c r="AA115" s="1334"/>
      <c r="AD115" s="1334"/>
      <c r="AE115" s="747"/>
      <c r="AF115" s="2328"/>
      <c r="AG115" s="2328"/>
      <c r="AH115" s="1336"/>
      <c r="AI115" s="1336"/>
      <c r="AJ115" s="1336"/>
      <c r="AK115" s="1334"/>
      <c r="AL115" s="1334"/>
      <c r="AM115" s="1336"/>
      <c r="AN115" s="1334"/>
      <c r="AO115" s="1339"/>
      <c r="AP115" s="1334"/>
      <c r="AQ115" s="1334"/>
      <c r="AR115" s="1298"/>
      <c r="AS115" s="1296"/>
      <c r="AT115" s="1297"/>
      <c r="AU115" s="1297"/>
      <c r="AV115" s="1297"/>
      <c r="AW115" s="1297"/>
      <c r="AX115" s="1297"/>
      <c r="AY115" s="1297"/>
      <c r="AZ115" s="532"/>
      <c r="BA115" s="532"/>
      <c r="BB115" s="532"/>
      <c r="BC115" s="532"/>
      <c r="BD115" s="532"/>
      <c r="BE115" s="532"/>
      <c r="BF115" s="532"/>
      <c r="BG115" s="532"/>
      <c r="BH115" s="532"/>
      <c r="BI115" s="532"/>
      <c r="BJ115" s="529"/>
      <c r="BK115" s="532"/>
      <c r="BL115" s="532"/>
      <c r="BM115" s="532"/>
      <c r="BQ115" s="956"/>
      <c r="BR115" s="956"/>
      <c r="BS115" s="956"/>
      <c r="BT115" s="956"/>
      <c r="BU115" s="956"/>
      <c r="BV115" s="956"/>
    </row>
    <row r="116" spans="1:74" s="872" customFormat="1" ht="18">
      <c r="A116" s="1334"/>
      <c r="B116" s="1342" t="s">
        <v>1577</v>
      </c>
      <c r="C116" s="1334"/>
      <c r="D116" s="1334"/>
      <c r="E116" s="1334"/>
      <c r="F116" s="1334"/>
      <c r="G116" s="1334"/>
      <c r="H116" s="1339"/>
      <c r="I116" s="1336"/>
      <c r="J116" s="1334"/>
      <c r="K116" s="1334"/>
      <c r="L116" s="1339"/>
      <c r="M116" s="2328"/>
      <c r="N116" s="2328"/>
      <c r="O116" s="1336"/>
      <c r="P116" s="2328"/>
      <c r="Q116" s="2328"/>
      <c r="R116" s="1336"/>
      <c r="S116" s="2328"/>
      <c r="T116" s="2328"/>
      <c r="U116" s="1336"/>
      <c r="V116" s="1340"/>
      <c r="W116" s="1338"/>
      <c r="X116" s="1338"/>
      <c r="Y116" s="2328"/>
      <c r="Z116" s="2328"/>
      <c r="AA116" s="1334"/>
      <c r="AD116" s="1334"/>
      <c r="AE116" s="747"/>
      <c r="AF116" s="2328"/>
      <c r="AG116" s="2328"/>
      <c r="AH116" s="1336"/>
      <c r="AI116" s="1336"/>
      <c r="AJ116" s="1336"/>
      <c r="AK116" s="1334"/>
      <c r="AL116" s="1334"/>
      <c r="AM116" s="1336"/>
      <c r="AN116" s="1334"/>
      <c r="AO116" s="1339"/>
      <c r="AP116" s="1334"/>
      <c r="AQ116" s="1334"/>
      <c r="AR116" s="1298"/>
      <c r="AS116" s="1296"/>
      <c r="AT116" s="1297"/>
      <c r="AU116" s="1297"/>
      <c r="AV116" s="1297"/>
      <c r="AW116" s="1297"/>
      <c r="AX116" s="1297"/>
      <c r="AY116" s="1297"/>
      <c r="AZ116" s="532"/>
      <c r="BA116" s="532"/>
      <c r="BB116" s="532"/>
      <c r="BC116" s="532"/>
      <c r="BD116" s="532"/>
      <c r="BE116" s="532"/>
      <c r="BF116" s="532"/>
      <c r="BG116" s="532"/>
      <c r="BH116" s="532"/>
      <c r="BI116" s="532"/>
      <c r="BJ116" s="529"/>
      <c r="BK116" s="532"/>
      <c r="BL116" s="532"/>
      <c r="BM116" s="532"/>
      <c r="BQ116" s="956"/>
      <c r="BR116" s="956"/>
      <c r="BS116" s="956"/>
      <c r="BT116" s="956"/>
      <c r="BU116" s="956"/>
      <c r="BV116" s="956"/>
    </row>
    <row r="117" spans="1:74" s="872" customFormat="1" ht="18">
      <c r="A117" s="1372" t="s">
        <v>1868</v>
      </c>
      <c r="B117" s="1335" t="s">
        <v>1576</v>
      </c>
      <c r="C117" s="1334"/>
      <c r="D117" s="1334"/>
      <c r="E117" s="1334"/>
      <c r="F117" s="1334" t="s">
        <v>1867</v>
      </c>
      <c r="G117" s="1334"/>
      <c r="H117" s="1339"/>
      <c r="I117" s="1336"/>
      <c r="J117" s="1334"/>
      <c r="K117" s="1334"/>
      <c r="L117" s="1339"/>
      <c r="M117" s="2328">
        <v>4280000</v>
      </c>
      <c r="N117" s="2328"/>
      <c r="O117" s="1336"/>
      <c r="P117" s="2328">
        <v>3462000</v>
      </c>
      <c r="Q117" s="2328"/>
      <c r="R117" s="1336"/>
      <c r="S117" s="2328">
        <v>6480000</v>
      </c>
      <c r="T117" s="2328"/>
      <c r="U117" s="1336"/>
      <c r="V117" s="1340"/>
      <c r="W117" s="1338"/>
      <c r="X117" s="1338"/>
      <c r="Y117" s="2328">
        <v>4985000</v>
      </c>
      <c r="Z117" s="2328"/>
      <c r="AA117" s="1334"/>
      <c r="AD117" s="1334"/>
      <c r="AE117" s="747"/>
      <c r="AF117" s="2328"/>
      <c r="AG117" s="2328"/>
      <c r="AH117" s="1336"/>
      <c r="AI117" s="1336"/>
      <c r="AJ117" s="1336"/>
      <c r="AK117" s="1334"/>
      <c r="AL117" s="1334"/>
      <c r="AM117" s="1336"/>
      <c r="AN117" s="1334"/>
      <c r="AO117" s="1339"/>
      <c r="AP117" s="1334"/>
      <c r="AQ117" s="1334"/>
      <c r="AR117" s="1298"/>
      <c r="AS117" s="1296"/>
      <c r="AT117" s="1297"/>
      <c r="AU117" s="1297"/>
      <c r="AV117" s="1297"/>
      <c r="AW117" s="1297"/>
      <c r="AX117" s="1297"/>
      <c r="AY117" s="1297"/>
      <c r="AZ117" s="532"/>
      <c r="BA117" s="532"/>
      <c r="BB117" s="532"/>
      <c r="BC117" s="532"/>
      <c r="BD117" s="532"/>
      <c r="BE117" s="532"/>
      <c r="BF117" s="532"/>
      <c r="BG117" s="532"/>
      <c r="BH117" s="532"/>
      <c r="BI117" s="532"/>
      <c r="BJ117" s="529"/>
      <c r="BK117" s="532"/>
      <c r="BL117" s="532"/>
      <c r="BM117" s="532"/>
      <c r="BQ117" s="956"/>
      <c r="BR117" s="956"/>
      <c r="BS117" s="956"/>
      <c r="BT117" s="956"/>
      <c r="BU117" s="956"/>
      <c r="BV117" s="956"/>
    </row>
    <row r="118" spans="1:74" s="872" customFormat="1" ht="18">
      <c r="A118" s="1346" t="s">
        <v>1837</v>
      </c>
      <c r="B118" s="1347" t="s">
        <v>1580</v>
      </c>
      <c r="C118" s="1347"/>
      <c r="D118" s="1346"/>
      <c r="E118" s="1347"/>
      <c r="F118" s="1346" t="s">
        <v>1869</v>
      </c>
      <c r="G118" s="1346"/>
      <c r="H118" s="1349"/>
      <c r="I118" s="1350"/>
      <c r="J118" s="1346"/>
      <c r="K118" s="1346"/>
      <c r="L118" s="1349"/>
      <c r="M118" s="2330"/>
      <c r="N118" s="2330">
        <v>4280000</v>
      </c>
      <c r="O118" s="1336"/>
      <c r="P118" s="2330"/>
      <c r="Q118" s="2330">
        <v>3462000</v>
      </c>
      <c r="R118" s="1336"/>
      <c r="S118" s="2330"/>
      <c r="T118" s="2330">
        <v>6480000</v>
      </c>
      <c r="U118" s="1336"/>
      <c r="V118" s="1340"/>
      <c r="W118" s="1338"/>
      <c r="X118" s="1338"/>
      <c r="Y118" s="2330"/>
      <c r="Z118" s="2330">
        <v>4985000</v>
      </c>
      <c r="AA118" s="1334"/>
      <c r="AD118" s="1334"/>
      <c r="AE118" s="747"/>
      <c r="AF118" s="2330"/>
      <c r="AG118" s="2330"/>
      <c r="AH118" s="1336"/>
      <c r="AI118" s="1336"/>
      <c r="AJ118" s="1336"/>
      <c r="AK118" s="1334"/>
      <c r="AL118" s="1334"/>
      <c r="AM118" s="1336"/>
      <c r="AN118" s="1334"/>
      <c r="AO118" s="1339"/>
      <c r="AP118" s="1334"/>
      <c r="AQ118" s="1334"/>
      <c r="AR118" s="1298"/>
      <c r="AS118" s="1296"/>
      <c r="AT118" s="1297"/>
      <c r="AU118" s="1297"/>
      <c r="AV118" s="1297"/>
      <c r="AW118" s="1297"/>
      <c r="AX118" s="1297"/>
      <c r="AY118" s="1297"/>
      <c r="AZ118" s="532"/>
      <c r="BA118" s="532"/>
      <c r="BB118" s="532"/>
      <c r="BC118" s="532"/>
      <c r="BD118" s="532"/>
      <c r="BE118" s="532"/>
      <c r="BF118" s="532"/>
      <c r="BG118" s="532"/>
      <c r="BH118" s="532"/>
      <c r="BI118" s="532"/>
      <c r="BJ118" s="529"/>
      <c r="BK118" s="532"/>
      <c r="BL118" s="532"/>
      <c r="BM118" s="532"/>
      <c r="BQ118" s="956"/>
      <c r="BR118" s="956"/>
      <c r="BS118" s="956"/>
      <c r="BT118" s="956"/>
      <c r="BU118" s="956"/>
      <c r="BV118" s="956"/>
    </row>
    <row r="119" spans="1:74" s="872" customFormat="1" ht="18">
      <c r="A119" s="1334"/>
      <c r="B119" s="1334"/>
      <c r="C119" s="1334"/>
      <c r="D119" s="1334"/>
      <c r="E119" s="1334"/>
      <c r="F119" s="1334"/>
      <c r="G119" s="1334"/>
      <c r="H119" s="1339"/>
      <c r="I119" s="1336"/>
      <c r="J119" s="1334"/>
      <c r="K119" s="1334"/>
      <c r="L119" s="1339"/>
      <c r="M119" s="2328"/>
      <c r="N119" s="2328"/>
      <c r="O119" s="1336"/>
      <c r="P119" s="2328"/>
      <c r="Q119" s="2328"/>
      <c r="R119" s="1336"/>
      <c r="S119" s="2328"/>
      <c r="T119" s="2328"/>
      <c r="U119" s="1336"/>
      <c r="V119" s="1340"/>
      <c r="W119" s="1338"/>
      <c r="X119" s="1338"/>
      <c r="Y119" s="2328"/>
      <c r="Z119" s="2328"/>
      <c r="AA119" s="1334"/>
      <c r="AD119" s="1334"/>
      <c r="AE119" s="747"/>
      <c r="AF119" s="2328"/>
      <c r="AG119" s="2328"/>
      <c r="AH119" s="1336"/>
      <c r="AI119" s="1336"/>
      <c r="AJ119" s="1336"/>
      <c r="AK119" s="1334"/>
      <c r="AL119" s="1334"/>
      <c r="AM119" s="1336"/>
      <c r="AN119" s="1334"/>
      <c r="AO119" s="1339"/>
      <c r="AP119" s="1334"/>
      <c r="AQ119" s="1334"/>
      <c r="AR119" s="1298"/>
      <c r="AS119" s="1296"/>
      <c r="AT119" s="1297"/>
      <c r="AU119" s="1297"/>
      <c r="AV119" s="1297"/>
      <c r="AW119" s="1297"/>
      <c r="AX119" s="1297"/>
      <c r="AY119" s="1297"/>
      <c r="AZ119" s="532"/>
      <c r="BA119" s="532"/>
      <c r="BB119" s="532"/>
      <c r="BC119" s="532"/>
      <c r="BD119" s="532"/>
      <c r="BE119" s="532"/>
      <c r="BF119" s="532"/>
      <c r="BG119" s="532"/>
      <c r="BH119" s="532"/>
      <c r="BI119" s="532"/>
      <c r="BJ119" s="529"/>
      <c r="BK119" s="532"/>
      <c r="BL119" s="532"/>
      <c r="BM119" s="532"/>
      <c r="BQ119" s="956"/>
      <c r="BR119" s="956"/>
      <c r="BS119" s="956"/>
      <c r="BT119" s="956"/>
      <c r="BU119" s="956"/>
      <c r="BV119" s="956"/>
    </row>
    <row r="120" spans="1:74" s="872" customFormat="1" ht="18">
      <c r="A120" s="1334"/>
      <c r="B120" s="1364" t="s">
        <v>1583</v>
      </c>
      <c r="C120" s="1334"/>
      <c r="D120" s="1334"/>
      <c r="E120" s="1334"/>
      <c r="F120" s="1334"/>
      <c r="G120" s="1334"/>
      <c r="H120" s="1339"/>
      <c r="I120" s="1336"/>
      <c r="J120" s="1334"/>
      <c r="K120" s="1334"/>
      <c r="L120" s="1339"/>
      <c r="M120" s="2328"/>
      <c r="N120" s="2328"/>
      <c r="O120" s="1336"/>
      <c r="P120" s="2328"/>
      <c r="Q120" s="2328"/>
      <c r="R120" s="1336"/>
      <c r="S120" s="2328"/>
      <c r="T120" s="2328"/>
      <c r="U120" s="1336"/>
      <c r="V120" s="1340"/>
      <c r="W120" s="1338"/>
      <c r="X120" s="1338"/>
      <c r="Y120" s="2328"/>
      <c r="Z120" s="2328"/>
      <c r="AA120" s="1334"/>
      <c r="AD120" s="1334"/>
      <c r="AE120" s="747"/>
      <c r="AF120" s="2328"/>
      <c r="AG120" s="2328"/>
      <c r="AH120" s="1336"/>
      <c r="AI120" s="1336"/>
      <c r="AJ120" s="1336"/>
      <c r="AK120" s="1334"/>
      <c r="AL120" s="1334"/>
      <c r="AM120" s="1336"/>
      <c r="AN120" s="1334"/>
      <c r="AO120" s="1339"/>
      <c r="AP120" s="1334"/>
      <c r="AQ120" s="1334"/>
      <c r="AR120" s="1298"/>
      <c r="AS120" s="1296"/>
      <c r="AT120" s="1297"/>
      <c r="AU120" s="1297"/>
      <c r="AV120" s="1297"/>
      <c r="AW120" s="1297"/>
      <c r="AX120" s="1297"/>
      <c r="AY120" s="1297"/>
      <c r="AZ120" s="532"/>
      <c r="BA120" s="532"/>
      <c r="BB120" s="532"/>
      <c r="BC120" s="532"/>
      <c r="BD120" s="532"/>
      <c r="BE120" s="532"/>
      <c r="BF120" s="532"/>
      <c r="BG120" s="532"/>
      <c r="BH120" s="532"/>
      <c r="BI120" s="532"/>
      <c r="BJ120" s="529"/>
      <c r="BK120" s="532"/>
      <c r="BL120" s="532"/>
      <c r="BM120" s="532"/>
      <c r="BQ120" s="956"/>
      <c r="BR120" s="956"/>
      <c r="BS120" s="956"/>
      <c r="BT120" s="956"/>
      <c r="BU120" s="956"/>
      <c r="BV120" s="956"/>
    </row>
    <row r="121" spans="1:74" s="872" customFormat="1" ht="18">
      <c r="A121" s="1334"/>
      <c r="B121" s="1335" t="s">
        <v>1870</v>
      </c>
      <c r="C121" s="1334"/>
      <c r="D121" s="1334"/>
      <c r="E121" s="1334"/>
      <c r="F121" s="1334" t="s">
        <v>1869</v>
      </c>
      <c r="G121" s="1334"/>
      <c r="H121" s="1339"/>
      <c r="I121" s="1336"/>
      <c r="J121" s="1334"/>
      <c r="K121" s="1334"/>
      <c r="L121" s="1339"/>
      <c r="M121" s="2328">
        <v>4280000</v>
      </c>
      <c r="N121" s="2328"/>
      <c r="O121" s="1336"/>
      <c r="P121" s="2328">
        <v>3462000</v>
      </c>
      <c r="Q121" s="2328"/>
      <c r="R121" s="1336"/>
      <c r="S121" s="2328">
        <v>6480000</v>
      </c>
      <c r="T121" s="2328"/>
      <c r="U121" s="1336"/>
      <c r="V121" s="1340"/>
      <c r="W121" s="1338"/>
      <c r="X121" s="1338"/>
      <c r="Y121" s="2328">
        <v>4985000</v>
      </c>
      <c r="Z121" s="2328"/>
      <c r="AA121" s="1334"/>
      <c r="AD121" s="1334"/>
      <c r="AE121" s="747"/>
      <c r="AF121" s="2328"/>
      <c r="AG121" s="2328"/>
      <c r="AH121" s="1336"/>
      <c r="AI121" s="1336"/>
      <c r="AJ121" s="1336"/>
      <c r="AK121" s="1334"/>
      <c r="AL121" s="1334"/>
      <c r="AM121" s="1336"/>
      <c r="AN121" s="1334"/>
      <c r="AO121" s="1339"/>
      <c r="AP121" s="1334"/>
      <c r="AQ121" s="1334"/>
      <c r="AR121" s="1298"/>
      <c r="AS121" s="1296"/>
      <c r="AT121" s="1297"/>
      <c r="AU121" s="1297"/>
      <c r="AV121" s="1297"/>
      <c r="AW121" s="1297"/>
      <c r="AX121" s="1297"/>
      <c r="AY121" s="1297"/>
      <c r="AZ121" s="532"/>
      <c r="BA121" s="532"/>
      <c r="BB121" s="532"/>
      <c r="BC121" s="532"/>
      <c r="BD121" s="532"/>
      <c r="BE121" s="532"/>
      <c r="BF121" s="532"/>
      <c r="BG121" s="532"/>
      <c r="BH121" s="532"/>
      <c r="BI121" s="532"/>
      <c r="BJ121" s="529"/>
      <c r="BK121" s="532"/>
      <c r="BL121" s="532"/>
      <c r="BM121" s="532"/>
      <c r="BQ121" s="956"/>
      <c r="BR121" s="956"/>
      <c r="BS121" s="956"/>
      <c r="BT121" s="956"/>
      <c r="BU121" s="956"/>
      <c r="BV121" s="956"/>
    </row>
    <row r="122" spans="1:74" s="872" customFormat="1" ht="18">
      <c r="A122" s="1334"/>
      <c r="B122" s="1335" t="s">
        <v>1871</v>
      </c>
      <c r="C122" s="1334"/>
      <c r="D122" s="1334"/>
      <c r="E122" s="1334"/>
      <c r="F122" s="1334" t="s">
        <v>1872</v>
      </c>
      <c r="G122" s="1334"/>
      <c r="H122" s="1339"/>
      <c r="I122" s="1336"/>
      <c r="J122" s="1334"/>
      <c r="K122" s="1334"/>
      <c r="L122" s="1339"/>
      <c r="M122" s="2328"/>
      <c r="N122" s="2328">
        <v>4280000</v>
      </c>
      <c r="O122" s="1336"/>
      <c r="P122" s="2328"/>
      <c r="Q122" s="2328">
        <v>3462000</v>
      </c>
      <c r="R122" s="1336"/>
      <c r="S122" s="2328"/>
      <c r="T122" s="2328">
        <v>6480000</v>
      </c>
      <c r="U122" s="1336"/>
      <c r="V122" s="1340"/>
      <c r="W122" s="1338"/>
      <c r="X122" s="1338"/>
      <c r="Y122" s="2328"/>
      <c r="Z122" s="2328">
        <v>4985000</v>
      </c>
      <c r="AA122" s="1334"/>
      <c r="AD122" s="1334"/>
      <c r="AE122" s="747"/>
      <c r="AF122" s="2328"/>
      <c r="AG122" s="2328"/>
      <c r="AH122" s="1336"/>
      <c r="AI122" s="1336"/>
      <c r="AJ122" s="1336"/>
      <c r="AK122" s="1334"/>
      <c r="AL122" s="1334"/>
      <c r="AM122" s="1336"/>
      <c r="AN122" s="1334"/>
      <c r="AO122" s="1339"/>
      <c r="AP122" s="1334"/>
      <c r="AQ122" s="1334"/>
      <c r="AR122" s="1298"/>
      <c r="AS122" s="1296"/>
      <c r="AT122" s="1297"/>
      <c r="AU122" s="1297"/>
      <c r="AV122" s="1297"/>
      <c r="AW122" s="1297"/>
      <c r="AX122" s="1297"/>
      <c r="AY122" s="1297"/>
      <c r="AZ122" s="532"/>
      <c r="BA122" s="532"/>
      <c r="BB122" s="532"/>
      <c r="BC122" s="532"/>
      <c r="BD122" s="532"/>
      <c r="BE122" s="532"/>
      <c r="BF122" s="532"/>
      <c r="BG122" s="532"/>
      <c r="BH122" s="532"/>
      <c r="BI122" s="532"/>
      <c r="BJ122" s="529"/>
      <c r="BK122" s="532"/>
      <c r="BL122" s="532"/>
      <c r="BM122" s="532"/>
      <c r="BQ122" s="956"/>
      <c r="BR122" s="956"/>
      <c r="BS122" s="956"/>
      <c r="BT122" s="956"/>
      <c r="BU122" s="956"/>
      <c r="BV122" s="956"/>
    </row>
    <row r="123" spans="1:74" s="872" customFormat="1" ht="18">
      <c r="A123" s="1334"/>
      <c r="B123" s="1334"/>
      <c r="C123" s="1334"/>
      <c r="D123" s="1334"/>
      <c r="E123" s="1334"/>
      <c r="F123" s="1334"/>
      <c r="G123" s="1334"/>
      <c r="H123" s="1339"/>
      <c r="I123" s="1336"/>
      <c r="J123" s="1334"/>
      <c r="K123" s="1334"/>
      <c r="L123" s="1339"/>
      <c r="M123" s="2328"/>
      <c r="N123" s="2328"/>
      <c r="O123" s="1336"/>
      <c r="P123" s="2328"/>
      <c r="Q123" s="2328"/>
      <c r="R123" s="1336"/>
      <c r="S123" s="2328"/>
      <c r="T123" s="2328"/>
      <c r="U123" s="1336"/>
      <c r="V123" s="1340"/>
      <c r="W123" s="1338"/>
      <c r="X123" s="1338"/>
      <c r="Y123" s="2328"/>
      <c r="Z123" s="2328"/>
      <c r="AA123" s="1334"/>
      <c r="AD123" s="1334"/>
      <c r="AE123" s="747"/>
      <c r="AF123" s="2328"/>
      <c r="AG123" s="2328"/>
      <c r="AH123" s="1336"/>
      <c r="AI123" s="1336"/>
      <c r="AJ123" s="1336"/>
      <c r="AK123" s="1334"/>
      <c r="AL123" s="1334"/>
      <c r="AM123" s="1336"/>
      <c r="AN123" s="1334"/>
      <c r="AO123" s="1339"/>
      <c r="AP123" s="1334"/>
      <c r="AQ123" s="1334"/>
      <c r="AR123" s="1298"/>
      <c r="AS123" s="1296"/>
      <c r="AT123" s="1297"/>
      <c r="AU123" s="1297"/>
      <c r="AV123" s="1297"/>
      <c r="AW123" s="1297"/>
      <c r="AX123" s="1297"/>
      <c r="AY123" s="1297"/>
      <c r="AZ123" s="532"/>
      <c r="BA123" s="532"/>
      <c r="BB123" s="532"/>
      <c r="BC123" s="532"/>
      <c r="BD123" s="532"/>
      <c r="BE123" s="532"/>
      <c r="BF123" s="532"/>
      <c r="BG123" s="532"/>
      <c r="BH123" s="532"/>
      <c r="BI123" s="532"/>
      <c r="BJ123" s="529"/>
      <c r="BK123" s="532"/>
      <c r="BL123" s="532"/>
      <c r="BM123" s="532"/>
      <c r="BQ123" s="956"/>
      <c r="BR123" s="956"/>
      <c r="BS123" s="956"/>
      <c r="BT123" s="956"/>
      <c r="BU123" s="956"/>
      <c r="BV123" s="956"/>
    </row>
    <row r="124" spans="1:74" s="872" customFormat="1" ht="18">
      <c r="A124" s="1334"/>
      <c r="B124" s="1371" t="s">
        <v>1873</v>
      </c>
      <c r="C124" s="1334"/>
      <c r="D124" s="1334"/>
      <c r="E124" s="1334"/>
      <c r="F124" s="1334"/>
      <c r="G124" s="1334"/>
      <c r="H124" s="1339"/>
      <c r="I124" s="1336"/>
      <c r="J124" s="1334"/>
      <c r="K124" s="1334"/>
      <c r="L124" s="1339"/>
      <c r="M124" s="2328"/>
      <c r="N124" s="2328"/>
      <c r="O124" s="1336"/>
      <c r="P124" s="2328"/>
      <c r="Q124" s="2328"/>
      <c r="R124" s="1336"/>
      <c r="S124" s="2328"/>
      <c r="T124" s="2328"/>
      <c r="U124" s="1336"/>
      <c r="V124" s="1340"/>
      <c r="W124" s="1338"/>
      <c r="X124" s="1338"/>
      <c r="Y124" s="2328"/>
      <c r="Z124" s="2328"/>
      <c r="AA124" s="1334"/>
      <c r="AD124" s="1334"/>
      <c r="AE124" s="747"/>
      <c r="AF124" s="2328"/>
      <c r="AG124" s="2328"/>
      <c r="AH124" s="1336"/>
      <c r="AI124" s="1336"/>
      <c r="AJ124" s="1336"/>
      <c r="AK124" s="1334"/>
      <c r="AL124" s="1334"/>
      <c r="AM124" s="1336"/>
      <c r="AN124" s="1334"/>
      <c r="AO124" s="1339"/>
      <c r="AP124" s="1334"/>
      <c r="AQ124" s="1334"/>
      <c r="AR124" s="1298"/>
      <c r="AS124" s="1296"/>
      <c r="AT124" s="1297"/>
      <c r="AU124" s="1297"/>
      <c r="AV124" s="1297"/>
      <c r="AW124" s="1297"/>
      <c r="AX124" s="1297"/>
      <c r="AY124" s="1297"/>
      <c r="AZ124" s="532"/>
      <c r="BA124" s="532"/>
      <c r="BB124" s="532"/>
      <c r="BC124" s="532"/>
      <c r="BD124" s="532"/>
      <c r="BE124" s="532"/>
      <c r="BF124" s="532"/>
      <c r="BG124" s="532"/>
      <c r="BH124" s="532"/>
      <c r="BI124" s="532"/>
      <c r="BJ124" s="529"/>
      <c r="BK124" s="532"/>
      <c r="BL124" s="532"/>
      <c r="BM124" s="532"/>
      <c r="BQ124" s="956"/>
      <c r="BR124" s="956"/>
      <c r="BS124" s="956"/>
      <c r="BT124" s="956"/>
      <c r="BU124" s="956"/>
      <c r="BV124" s="956"/>
    </row>
    <row r="125" spans="1:74" s="872" customFormat="1" ht="18">
      <c r="A125" s="1334"/>
      <c r="B125" s="1342" t="s">
        <v>1577</v>
      </c>
      <c r="C125" s="1334"/>
      <c r="D125" s="1334"/>
      <c r="E125" s="1334"/>
      <c r="F125" s="1334"/>
      <c r="G125" s="1334"/>
      <c r="H125" s="1339"/>
      <c r="I125" s="1336"/>
      <c r="J125" s="1334"/>
      <c r="K125" s="1334"/>
      <c r="L125" s="1339"/>
      <c r="M125" s="2328"/>
      <c r="N125" s="2328"/>
      <c r="O125" s="1336"/>
      <c r="P125" s="2328"/>
      <c r="Q125" s="2328"/>
      <c r="R125" s="1336"/>
      <c r="S125" s="2328"/>
      <c r="T125" s="2328"/>
      <c r="U125" s="1336"/>
      <c r="V125" s="1340"/>
      <c r="W125" s="1338"/>
      <c r="X125" s="1338"/>
      <c r="Y125" s="2328"/>
      <c r="Z125" s="2328"/>
      <c r="AA125" s="1334"/>
      <c r="AD125" s="1334"/>
      <c r="AE125" s="747"/>
      <c r="AF125" s="2328"/>
      <c r="AG125" s="2328"/>
      <c r="AH125" s="1336"/>
      <c r="AI125" s="1336"/>
      <c r="AJ125" s="1336"/>
      <c r="AK125" s="1334"/>
      <c r="AL125" s="1334"/>
      <c r="AM125" s="1336"/>
      <c r="AN125" s="1334"/>
      <c r="AO125" s="1339"/>
      <c r="AP125" s="1334"/>
      <c r="AQ125" s="1334"/>
      <c r="AR125" s="1298"/>
      <c r="AS125" s="1296"/>
      <c r="AT125" s="1297"/>
      <c r="AU125" s="1297"/>
      <c r="AV125" s="1297"/>
      <c r="AW125" s="1297"/>
      <c r="AX125" s="1297"/>
      <c r="AY125" s="1297"/>
      <c r="AZ125" s="532"/>
      <c r="BA125" s="532"/>
      <c r="BB125" s="532"/>
      <c r="BC125" s="532"/>
      <c r="BD125" s="532"/>
      <c r="BE125" s="532"/>
      <c r="BF125" s="532"/>
      <c r="BG125" s="532"/>
      <c r="BH125" s="532"/>
      <c r="BI125" s="532"/>
      <c r="BJ125" s="529"/>
      <c r="BK125" s="532"/>
      <c r="BL125" s="532"/>
      <c r="BM125" s="532"/>
      <c r="BQ125" s="956"/>
      <c r="BR125" s="956"/>
      <c r="BS125" s="956"/>
      <c r="BT125" s="956"/>
      <c r="BU125" s="956"/>
      <c r="BV125" s="956"/>
    </row>
    <row r="126" spans="1:74" s="872" customFormat="1" ht="18">
      <c r="A126" s="1334" t="s">
        <v>1868</v>
      </c>
      <c r="B126" s="1373">
        <v>11430000</v>
      </c>
      <c r="C126" s="1334"/>
      <c r="D126" s="1334"/>
      <c r="E126" s="1334"/>
      <c r="F126" s="1334" t="s">
        <v>1874</v>
      </c>
      <c r="G126" s="1334"/>
      <c r="H126" s="1339"/>
      <c r="I126" s="1336"/>
      <c r="J126" s="1334"/>
      <c r="K126" s="1334"/>
      <c r="L126" s="1339"/>
      <c r="M126" s="2328">
        <v>1260000</v>
      </c>
      <c r="N126" s="2328"/>
      <c r="O126" s="1336"/>
      <c r="P126" s="2328">
        <v>336000</v>
      </c>
      <c r="Q126" s="2328"/>
      <c r="R126" s="1336"/>
      <c r="S126" s="2328">
        <v>0</v>
      </c>
      <c r="T126" s="2328"/>
      <c r="U126" s="1336"/>
      <c r="V126" s="1340"/>
      <c r="W126" s="1338"/>
      <c r="X126" s="1338"/>
      <c r="Y126" s="2328">
        <v>5690475</v>
      </c>
      <c r="Z126" s="2328"/>
      <c r="AA126" s="1334"/>
      <c r="AD126" s="1334"/>
      <c r="AE126" s="747"/>
      <c r="AF126" s="2328"/>
      <c r="AG126" s="2328"/>
      <c r="AH126" s="1336"/>
      <c r="AI126" s="1336"/>
      <c r="AJ126" s="1336"/>
      <c r="AK126" s="1334"/>
      <c r="AL126" s="1334"/>
      <c r="AM126" s="1336"/>
      <c r="AN126" s="1334"/>
      <c r="AO126" s="1339"/>
      <c r="AP126" s="1334"/>
      <c r="AQ126" s="1334"/>
      <c r="AR126" s="1298"/>
      <c r="AS126" s="1296"/>
      <c r="AT126" s="1297"/>
      <c r="AU126" s="1297"/>
      <c r="AV126" s="1297"/>
      <c r="AW126" s="1297"/>
      <c r="AX126" s="1297"/>
      <c r="AY126" s="1297"/>
      <c r="AZ126" s="532"/>
      <c r="BA126" s="532"/>
      <c r="BB126" s="532"/>
      <c r="BC126" s="532"/>
      <c r="BD126" s="532"/>
      <c r="BE126" s="532"/>
      <c r="BF126" s="532"/>
      <c r="BG126" s="532"/>
      <c r="BH126" s="532"/>
      <c r="BI126" s="532"/>
      <c r="BJ126" s="529"/>
      <c r="BK126" s="532"/>
      <c r="BL126" s="532"/>
      <c r="BM126" s="532"/>
      <c r="BQ126" s="956"/>
      <c r="BR126" s="956"/>
      <c r="BS126" s="956"/>
      <c r="BT126" s="956"/>
      <c r="BU126" s="956"/>
      <c r="BV126" s="956"/>
    </row>
    <row r="127" spans="1:74" s="872" customFormat="1" ht="18">
      <c r="A127" s="1346" t="s">
        <v>1837</v>
      </c>
      <c r="B127" s="1347" t="s">
        <v>1587</v>
      </c>
      <c r="C127" s="1374" t="s">
        <v>1875</v>
      </c>
      <c r="D127" s="1346"/>
      <c r="E127" s="1347"/>
      <c r="F127" s="1346" t="s">
        <v>1876</v>
      </c>
      <c r="G127" s="1346"/>
      <c r="H127" s="1349"/>
      <c r="I127" s="1350"/>
      <c r="J127" s="1346"/>
      <c r="K127" s="1346"/>
      <c r="L127" s="1349"/>
      <c r="M127" s="2330"/>
      <c r="N127" s="2330">
        <v>1200000</v>
      </c>
      <c r="O127" s="1336"/>
      <c r="P127" s="2330"/>
      <c r="Q127" s="2330">
        <v>320000</v>
      </c>
      <c r="R127" s="1336"/>
      <c r="S127" s="2330"/>
      <c r="T127" s="2330">
        <v>0</v>
      </c>
      <c r="U127" s="1336"/>
      <c r="V127" s="1340"/>
      <c r="W127" s="1338"/>
      <c r="X127" s="1338"/>
      <c r="Y127" s="2330"/>
      <c r="Z127" s="2330">
        <v>5419500</v>
      </c>
      <c r="AA127" s="1334"/>
      <c r="AD127" s="1334"/>
      <c r="AE127" s="747"/>
      <c r="AF127" s="2330"/>
      <c r="AG127" s="2330"/>
      <c r="AH127" s="1336"/>
      <c r="AI127" s="1336"/>
      <c r="AJ127" s="1336"/>
      <c r="AK127" s="1334"/>
      <c r="AL127" s="1334"/>
      <c r="AM127" s="1336"/>
      <c r="AN127" s="1334"/>
      <c r="AO127" s="1339"/>
      <c r="AP127" s="1334"/>
      <c r="AQ127" s="1334"/>
      <c r="AR127" s="1298"/>
      <c r="AS127" s="1296"/>
      <c r="AT127" s="1297"/>
      <c r="AU127" s="1297"/>
      <c r="AV127" s="1297"/>
      <c r="AW127" s="1297"/>
      <c r="AX127" s="1297"/>
      <c r="AY127" s="1297"/>
      <c r="AZ127" s="532"/>
      <c r="BA127" s="532"/>
      <c r="BB127" s="532"/>
      <c r="BC127" s="532"/>
      <c r="BD127" s="532"/>
      <c r="BE127" s="532"/>
      <c r="BF127" s="532"/>
      <c r="BG127" s="532"/>
      <c r="BH127" s="532"/>
      <c r="BI127" s="532"/>
      <c r="BJ127" s="529"/>
      <c r="BK127" s="532"/>
      <c r="BL127" s="532"/>
      <c r="BM127" s="532"/>
      <c r="BQ127" s="956"/>
      <c r="BR127" s="956"/>
      <c r="BS127" s="956"/>
      <c r="BT127" s="956"/>
      <c r="BU127" s="956"/>
      <c r="BV127" s="956"/>
    </row>
    <row r="128" spans="1:74" s="872" customFormat="1" ht="18">
      <c r="A128" s="1334" t="s">
        <v>1877</v>
      </c>
      <c r="B128" s="1335" t="s">
        <v>1589</v>
      </c>
      <c r="C128" s="1334"/>
      <c r="D128" s="1334"/>
      <c r="E128" s="1334"/>
      <c r="F128" s="1334" t="s">
        <v>1878</v>
      </c>
      <c r="G128" s="1334"/>
      <c r="H128" s="1339"/>
      <c r="I128" s="1336"/>
      <c r="J128" s="1334"/>
      <c r="K128" s="1334"/>
      <c r="L128" s="1339"/>
      <c r="M128" s="2328"/>
      <c r="N128" s="2328">
        <v>60000</v>
      </c>
      <c r="O128" s="1336"/>
      <c r="P128" s="2328"/>
      <c r="Q128" s="2328">
        <v>16000</v>
      </c>
      <c r="R128" s="1336"/>
      <c r="S128" s="2328"/>
      <c r="T128" s="2328">
        <v>0</v>
      </c>
      <c r="U128" s="1336"/>
      <c r="V128" s="1340"/>
      <c r="W128" s="1338"/>
      <c r="X128" s="1338"/>
      <c r="Y128" s="2328"/>
      <c r="Z128" s="2328">
        <v>270975</v>
      </c>
      <c r="AA128" s="1334"/>
      <c r="AD128" s="1334"/>
      <c r="AE128" s="747"/>
      <c r="AF128" s="2328"/>
      <c r="AG128" s="2328"/>
      <c r="AH128" s="1336"/>
      <c r="AI128" s="1336"/>
      <c r="AJ128" s="1336"/>
      <c r="AK128" s="1334"/>
      <c r="AL128" s="1334"/>
      <c r="AM128" s="1336"/>
      <c r="AN128" s="1334"/>
      <c r="AO128" s="1339"/>
      <c r="AP128" s="1334"/>
      <c r="AQ128" s="1334"/>
      <c r="AR128" s="1298"/>
      <c r="AS128" s="1296"/>
      <c r="AT128" s="1297"/>
      <c r="AU128" s="1297"/>
      <c r="AV128" s="1297"/>
      <c r="AW128" s="1297"/>
      <c r="AX128" s="1297"/>
      <c r="AY128" s="1297"/>
      <c r="AZ128" s="532"/>
      <c r="BA128" s="532"/>
      <c r="BB128" s="532"/>
      <c r="BC128" s="532"/>
      <c r="BD128" s="532"/>
      <c r="BE128" s="532"/>
      <c r="BF128" s="532"/>
      <c r="BG128" s="532"/>
      <c r="BH128" s="532"/>
      <c r="BI128" s="532"/>
      <c r="BJ128" s="529"/>
      <c r="BK128" s="532"/>
      <c r="BL128" s="532"/>
      <c r="BM128" s="532"/>
      <c r="BQ128" s="956"/>
      <c r="BR128" s="956"/>
      <c r="BS128" s="956"/>
      <c r="BT128" s="956"/>
      <c r="BU128" s="956"/>
      <c r="BV128" s="956"/>
    </row>
    <row r="129" spans="1:74" s="872" customFormat="1" ht="18">
      <c r="A129" s="1334"/>
      <c r="B129" s="1334"/>
      <c r="C129" s="1334"/>
      <c r="D129" s="1334"/>
      <c r="E129" s="1334"/>
      <c r="F129" s="1334"/>
      <c r="G129" s="1334"/>
      <c r="H129" s="1339"/>
      <c r="I129" s="1336"/>
      <c r="J129" s="1334"/>
      <c r="K129" s="1334"/>
      <c r="L129" s="1339"/>
      <c r="M129" s="2328"/>
      <c r="N129" s="2328"/>
      <c r="O129" s="1336"/>
      <c r="P129" s="2328"/>
      <c r="Q129" s="2328"/>
      <c r="R129" s="1336"/>
      <c r="S129" s="2328"/>
      <c r="T129" s="2328"/>
      <c r="U129" s="1336"/>
      <c r="V129" s="1340"/>
      <c r="W129" s="1338"/>
      <c r="X129" s="1338"/>
      <c r="Y129" s="2328"/>
      <c r="Z129" s="2328"/>
      <c r="AA129" s="1334"/>
      <c r="AD129" s="1334"/>
      <c r="AE129" s="747"/>
      <c r="AF129" s="2328"/>
      <c r="AG129" s="2328"/>
      <c r="AH129" s="1336"/>
      <c r="AI129" s="1336"/>
      <c r="AJ129" s="1336"/>
      <c r="AK129" s="1334"/>
      <c r="AL129" s="1334"/>
      <c r="AM129" s="1336"/>
      <c r="AN129" s="1334"/>
      <c r="AO129" s="1339"/>
      <c r="AP129" s="1334"/>
      <c r="AQ129" s="1334"/>
      <c r="AR129" s="1298"/>
      <c r="AS129" s="1296"/>
      <c r="AT129" s="1297"/>
      <c r="AU129" s="1297"/>
      <c r="AV129" s="1297"/>
      <c r="AW129" s="1297"/>
      <c r="AX129" s="1297"/>
      <c r="AY129" s="1297"/>
      <c r="AZ129" s="532"/>
      <c r="BA129" s="532"/>
      <c r="BB129" s="532"/>
      <c r="BC129" s="532"/>
      <c r="BD129" s="532"/>
      <c r="BE129" s="532"/>
      <c r="BF129" s="532"/>
      <c r="BG129" s="532"/>
      <c r="BH129" s="532"/>
      <c r="BI129" s="532"/>
      <c r="BJ129" s="529"/>
      <c r="BK129" s="532"/>
      <c r="BL129" s="532"/>
      <c r="BM129" s="532"/>
      <c r="BQ129" s="956"/>
      <c r="BR129" s="956"/>
      <c r="BS129" s="956"/>
      <c r="BT129" s="956"/>
      <c r="BU129" s="956"/>
      <c r="BV129" s="956"/>
    </row>
    <row r="130" spans="1:74" s="872" customFormat="1" ht="18">
      <c r="A130" s="1334"/>
      <c r="B130" s="1371" t="s">
        <v>1879</v>
      </c>
      <c r="C130" s="1334"/>
      <c r="D130" s="1334"/>
      <c r="E130" s="1334"/>
      <c r="F130" s="1334"/>
      <c r="G130" s="1334"/>
      <c r="H130" s="1339"/>
      <c r="I130" s="1336"/>
      <c r="J130" s="1334"/>
      <c r="K130" s="1334"/>
      <c r="L130" s="1339"/>
      <c r="M130" s="2328"/>
      <c r="N130" s="2328"/>
      <c r="O130" s="1336"/>
      <c r="P130" s="2328"/>
      <c r="Q130" s="2328"/>
      <c r="R130" s="1336"/>
      <c r="S130" s="2328"/>
      <c r="T130" s="2328"/>
      <c r="U130" s="1336"/>
      <c r="V130" s="1340"/>
      <c r="W130" s="1338"/>
      <c r="X130" s="1338"/>
      <c r="Y130" s="2328"/>
      <c r="Z130" s="2328"/>
      <c r="AA130" s="1334"/>
      <c r="AD130" s="1334"/>
      <c r="AE130" s="747"/>
      <c r="AF130" s="2328"/>
      <c r="AG130" s="2328"/>
      <c r="AH130" s="1336"/>
      <c r="AI130" s="1336"/>
      <c r="AJ130" s="1336"/>
      <c r="AK130" s="1334"/>
      <c r="AL130" s="1334"/>
      <c r="AM130" s="1336"/>
      <c r="AN130" s="1334"/>
      <c r="AO130" s="1339"/>
      <c r="AP130" s="1334"/>
      <c r="AQ130" s="1334"/>
      <c r="AR130" s="1298"/>
      <c r="AS130" s="1296"/>
      <c r="AT130" s="1297"/>
      <c r="AU130" s="1297"/>
      <c r="AV130" s="1297"/>
      <c r="AW130" s="1297"/>
      <c r="AX130" s="1297"/>
      <c r="AY130" s="1297"/>
      <c r="AZ130" s="532"/>
      <c r="BA130" s="532"/>
      <c r="BB130" s="532"/>
      <c r="BC130" s="532"/>
      <c r="BD130" s="532"/>
      <c r="BE130" s="532"/>
      <c r="BF130" s="532"/>
      <c r="BG130" s="532"/>
      <c r="BH130" s="532"/>
      <c r="BI130" s="532"/>
      <c r="BJ130" s="529"/>
      <c r="BK130" s="532"/>
      <c r="BL130" s="532"/>
      <c r="BM130" s="532"/>
      <c r="BQ130" s="956"/>
      <c r="BR130" s="956"/>
      <c r="BS130" s="956"/>
      <c r="BT130" s="956"/>
      <c r="BU130" s="956"/>
      <c r="BV130" s="956"/>
    </row>
    <row r="131" spans="1:74" s="872" customFormat="1" ht="18">
      <c r="A131" s="1334"/>
      <c r="B131" s="1364" t="s">
        <v>1572</v>
      </c>
      <c r="C131" s="1334"/>
      <c r="D131" s="1334"/>
      <c r="E131" s="1334"/>
      <c r="F131" s="1334"/>
      <c r="G131" s="1334"/>
      <c r="H131" s="1339"/>
      <c r="I131" s="1336"/>
      <c r="J131" s="1334"/>
      <c r="K131" s="1334"/>
      <c r="L131" s="1339"/>
      <c r="M131" s="2328"/>
      <c r="N131" s="2328"/>
      <c r="O131" s="1336"/>
      <c r="P131" s="2328"/>
      <c r="Q131" s="2328"/>
      <c r="R131" s="1336"/>
      <c r="S131" s="2328"/>
      <c r="T131" s="2328"/>
      <c r="U131" s="1336"/>
      <c r="V131" s="1340"/>
      <c r="W131" s="1338"/>
      <c r="X131" s="1338"/>
      <c r="Y131" s="2328"/>
      <c r="Z131" s="2328"/>
      <c r="AA131" s="1334"/>
      <c r="AD131" s="1334"/>
      <c r="AE131" s="747"/>
      <c r="AF131" s="2328"/>
      <c r="AG131" s="2328"/>
      <c r="AH131" s="1336"/>
      <c r="AI131" s="1336"/>
      <c r="AJ131" s="1336"/>
      <c r="AK131" s="1334"/>
      <c r="AL131" s="1334"/>
      <c r="AM131" s="1336"/>
      <c r="AN131" s="1334"/>
      <c r="AO131" s="1339"/>
      <c r="AP131" s="1334"/>
      <c r="AQ131" s="1334"/>
      <c r="AR131" s="1298"/>
      <c r="AS131" s="1296"/>
      <c r="AT131" s="1297"/>
      <c r="AU131" s="1297"/>
      <c r="AV131" s="1297"/>
      <c r="AW131" s="1297"/>
      <c r="AX131" s="1297"/>
      <c r="AY131" s="1297"/>
      <c r="AZ131" s="532"/>
      <c r="BA131" s="532"/>
      <c r="BB131" s="532"/>
      <c r="BC131" s="532"/>
      <c r="BD131" s="532"/>
      <c r="BE131" s="532"/>
      <c r="BF131" s="532"/>
      <c r="BG131" s="532"/>
      <c r="BH131" s="532"/>
      <c r="BI131" s="532"/>
      <c r="BJ131" s="529"/>
      <c r="BK131" s="532"/>
      <c r="BL131" s="532"/>
      <c r="BM131" s="532"/>
      <c r="BQ131" s="956"/>
      <c r="BR131" s="956"/>
      <c r="BS131" s="956"/>
      <c r="BT131" s="956"/>
      <c r="BU131" s="956"/>
      <c r="BV131" s="956"/>
    </row>
    <row r="132" spans="1:74" s="872" customFormat="1" ht="18">
      <c r="A132" s="1334"/>
      <c r="B132" s="1335" t="s">
        <v>1590</v>
      </c>
      <c r="C132" s="1334"/>
      <c r="D132" s="1334"/>
      <c r="E132" s="1334"/>
      <c r="F132" s="1334" t="s">
        <v>1880</v>
      </c>
      <c r="G132" s="1334"/>
      <c r="H132" s="1339"/>
      <c r="I132" s="1336"/>
      <c r="J132" s="1334"/>
      <c r="K132" s="1334"/>
      <c r="L132" s="1339"/>
      <c r="M132" s="2328">
        <v>155454</v>
      </c>
      <c r="N132" s="2328"/>
      <c r="O132" s="1336"/>
      <c r="P132" s="2328">
        <v>119404</v>
      </c>
      <c r="Q132" s="2328"/>
      <c r="R132" s="1336"/>
      <c r="S132" s="2328">
        <v>226310</v>
      </c>
      <c r="T132" s="2328"/>
      <c r="U132" s="1336"/>
      <c r="V132" s="1340"/>
      <c r="W132" s="1338"/>
      <c r="X132" s="1338"/>
      <c r="Y132" s="2328">
        <v>224410</v>
      </c>
      <c r="Z132" s="2328"/>
      <c r="AA132" s="1334"/>
      <c r="AD132" s="1334"/>
      <c r="AE132" s="747"/>
      <c r="AF132" s="2328"/>
      <c r="AG132" s="2328"/>
      <c r="AH132" s="1336"/>
      <c r="AI132" s="1336"/>
      <c r="AJ132" s="1336"/>
      <c r="AK132" s="1334"/>
      <c r="AL132" s="1334"/>
      <c r="AM132" s="1336"/>
      <c r="AN132" s="1334"/>
      <c r="AO132" s="1339"/>
      <c r="AP132" s="1334"/>
      <c r="AQ132" s="1334"/>
      <c r="AR132" s="1298"/>
      <c r="AS132" s="1296"/>
      <c r="AT132" s="1297"/>
      <c r="AU132" s="1297"/>
      <c r="AV132" s="1297"/>
      <c r="AW132" s="1297"/>
      <c r="AX132" s="1297"/>
      <c r="AY132" s="1297"/>
      <c r="AZ132" s="532"/>
      <c r="BA132" s="532"/>
      <c r="BB132" s="532"/>
      <c r="BC132" s="532"/>
      <c r="BD132" s="532"/>
      <c r="BE132" s="532"/>
      <c r="BF132" s="532"/>
      <c r="BG132" s="532"/>
      <c r="BH132" s="532"/>
      <c r="BI132" s="532"/>
      <c r="BJ132" s="529"/>
      <c r="BK132" s="532"/>
      <c r="BL132" s="532"/>
      <c r="BM132" s="532"/>
      <c r="BQ132" s="956"/>
      <c r="BR132" s="956"/>
      <c r="BS132" s="956"/>
      <c r="BT132" s="956"/>
      <c r="BU132" s="956"/>
      <c r="BV132" s="956"/>
    </row>
    <row r="133" spans="1:74" s="872" customFormat="1" ht="18">
      <c r="A133" s="1334"/>
      <c r="B133" s="1335" t="s">
        <v>1576</v>
      </c>
      <c r="C133" s="1334"/>
      <c r="D133" s="1334"/>
      <c r="E133" s="1334"/>
      <c r="F133" s="1334" t="s">
        <v>1867</v>
      </c>
      <c r="G133" s="1334"/>
      <c r="H133" s="1339"/>
      <c r="I133" s="1336"/>
      <c r="J133" s="1334"/>
      <c r="K133" s="1334"/>
      <c r="L133" s="1339"/>
      <c r="M133" s="2328"/>
      <c r="N133" s="2328">
        <v>155454</v>
      </c>
      <c r="O133" s="1336"/>
      <c r="P133" s="2328"/>
      <c r="Q133" s="2328">
        <v>119404</v>
      </c>
      <c r="R133" s="1336"/>
      <c r="S133" s="2328"/>
      <c r="T133" s="2328">
        <v>226310</v>
      </c>
      <c r="U133" s="1336"/>
      <c r="V133" s="1340"/>
      <c r="W133" s="1338"/>
      <c r="X133" s="1338"/>
      <c r="Y133" s="2328"/>
      <c r="Z133" s="2328">
        <v>224410</v>
      </c>
      <c r="AA133" s="1334"/>
      <c r="AD133" s="1334"/>
      <c r="AE133" s="747"/>
      <c r="AF133" s="2328"/>
      <c r="AG133" s="2328"/>
      <c r="AH133" s="1336"/>
      <c r="AI133" s="1336"/>
      <c r="AJ133" s="1336"/>
      <c r="AK133" s="1334"/>
      <c r="AL133" s="1334"/>
      <c r="AM133" s="1336"/>
      <c r="AN133" s="1334"/>
      <c r="AO133" s="1339"/>
      <c r="AP133" s="1334"/>
      <c r="AQ133" s="1334"/>
      <c r="AR133" s="1298"/>
      <c r="AS133" s="1296"/>
      <c r="AT133" s="1297"/>
      <c r="AU133" s="1297"/>
      <c r="AV133" s="1297"/>
      <c r="AW133" s="1297"/>
      <c r="AX133" s="1297"/>
      <c r="AY133" s="1297"/>
      <c r="AZ133" s="532"/>
      <c r="BA133" s="532"/>
      <c r="BB133" s="532"/>
      <c r="BC133" s="532"/>
      <c r="BD133" s="532"/>
      <c r="BE133" s="532"/>
      <c r="BF133" s="532"/>
      <c r="BG133" s="532"/>
      <c r="BH133" s="532"/>
      <c r="BI133" s="532"/>
      <c r="BJ133" s="529"/>
      <c r="BK133" s="532"/>
      <c r="BL133" s="532"/>
      <c r="BM133" s="532"/>
      <c r="BQ133" s="956"/>
      <c r="BR133" s="956"/>
      <c r="BS133" s="956"/>
      <c r="BT133" s="956"/>
      <c r="BU133" s="956"/>
      <c r="BV133" s="956"/>
    </row>
    <row r="134" spans="1:74" s="872" customFormat="1" ht="18">
      <c r="A134" s="1334"/>
      <c r="B134" s="1334"/>
      <c r="C134" s="1334"/>
      <c r="D134" s="1334"/>
      <c r="E134" s="1334"/>
      <c r="F134" s="1334"/>
      <c r="G134" s="1334"/>
      <c r="H134" s="1339"/>
      <c r="I134" s="1336"/>
      <c r="J134" s="1334"/>
      <c r="K134" s="1334"/>
      <c r="L134" s="1339"/>
      <c r="M134" s="2328"/>
      <c r="N134" s="2328"/>
      <c r="O134" s="1336"/>
      <c r="P134" s="2328"/>
      <c r="Q134" s="2328"/>
      <c r="R134" s="1336"/>
      <c r="S134" s="2328"/>
      <c r="T134" s="2328"/>
      <c r="U134" s="1336"/>
      <c r="V134" s="1340"/>
      <c r="W134" s="1338"/>
      <c r="X134" s="1338"/>
      <c r="Y134" s="2328"/>
      <c r="Z134" s="2328"/>
      <c r="AA134" s="1334"/>
      <c r="AD134" s="1334"/>
      <c r="AE134" s="747"/>
      <c r="AF134" s="2328"/>
      <c r="AG134" s="2328"/>
      <c r="AH134" s="1336"/>
      <c r="AI134" s="1336"/>
      <c r="AJ134" s="1336"/>
      <c r="AK134" s="1334"/>
      <c r="AL134" s="1334"/>
      <c r="AM134" s="1336"/>
      <c r="AN134" s="1334"/>
      <c r="AO134" s="1339"/>
      <c r="AP134" s="1334"/>
      <c r="AQ134" s="1334"/>
      <c r="AR134" s="1298"/>
      <c r="AS134" s="1296"/>
      <c r="AT134" s="1297"/>
      <c r="AU134" s="1297"/>
      <c r="AV134" s="1297"/>
      <c r="AW134" s="1297"/>
      <c r="AX134" s="1297"/>
      <c r="AY134" s="1297"/>
      <c r="AZ134" s="532"/>
      <c r="BA134" s="532"/>
      <c r="BB134" s="532"/>
      <c r="BC134" s="532"/>
      <c r="BD134" s="532"/>
      <c r="BE134" s="532"/>
      <c r="BF134" s="532"/>
      <c r="BG134" s="532"/>
      <c r="BH134" s="532"/>
      <c r="BI134" s="532"/>
      <c r="BJ134" s="529"/>
      <c r="BK134" s="532"/>
      <c r="BL134" s="532"/>
      <c r="BM134" s="532"/>
      <c r="BQ134" s="956"/>
      <c r="BR134" s="956"/>
      <c r="BS134" s="956"/>
      <c r="BT134" s="956"/>
      <c r="BU134" s="956"/>
      <c r="BV134" s="956"/>
    </row>
    <row r="135" spans="1:74" s="872" customFormat="1" ht="18">
      <c r="A135" s="1334"/>
      <c r="B135" s="1342" t="s">
        <v>1577</v>
      </c>
      <c r="C135" s="1334"/>
      <c r="D135" s="1334"/>
      <c r="E135" s="1334"/>
      <c r="F135" s="1334"/>
      <c r="G135" s="1334"/>
      <c r="H135" s="1339"/>
      <c r="I135" s="1336"/>
      <c r="J135" s="1334"/>
      <c r="K135" s="1334"/>
      <c r="L135" s="1339"/>
      <c r="M135" s="2328"/>
      <c r="N135" s="2328"/>
      <c r="O135" s="1336"/>
      <c r="P135" s="2328"/>
      <c r="Q135" s="2328"/>
      <c r="R135" s="1336"/>
      <c r="S135" s="2328"/>
      <c r="T135" s="2328"/>
      <c r="U135" s="1336"/>
      <c r="V135" s="1340"/>
      <c r="W135" s="1338"/>
      <c r="X135" s="1338"/>
      <c r="Y135" s="2328"/>
      <c r="Z135" s="2328"/>
      <c r="AA135" s="1334"/>
      <c r="AD135" s="1334"/>
      <c r="AE135" s="747"/>
      <c r="AF135" s="2328"/>
      <c r="AG135" s="2328"/>
      <c r="AH135" s="1336"/>
      <c r="AI135" s="1336"/>
      <c r="AJ135" s="1336"/>
      <c r="AK135" s="1334"/>
      <c r="AL135" s="1334"/>
      <c r="AM135" s="1336"/>
      <c r="AN135" s="1334"/>
      <c r="AO135" s="1339"/>
      <c r="AP135" s="1334"/>
      <c r="AQ135" s="1334"/>
      <c r="AR135" s="1298"/>
      <c r="AS135" s="1296"/>
      <c r="AT135" s="1297"/>
      <c r="AU135" s="1297"/>
      <c r="AV135" s="1297"/>
      <c r="AW135" s="1297"/>
      <c r="AX135" s="1297"/>
      <c r="AY135" s="1297"/>
      <c r="AZ135" s="532"/>
      <c r="BA135" s="532"/>
      <c r="BB135" s="532"/>
      <c r="BC135" s="532"/>
      <c r="BD135" s="532"/>
      <c r="BE135" s="532"/>
      <c r="BF135" s="532"/>
      <c r="BG135" s="532"/>
      <c r="BH135" s="532"/>
      <c r="BI135" s="532"/>
      <c r="BJ135" s="529"/>
      <c r="BK135" s="532"/>
      <c r="BL135" s="532"/>
      <c r="BM135" s="532"/>
      <c r="BQ135" s="956"/>
      <c r="BR135" s="956"/>
      <c r="BS135" s="956"/>
      <c r="BT135" s="956"/>
      <c r="BU135" s="956"/>
      <c r="BV135" s="956"/>
    </row>
    <row r="136" spans="1:74" s="872" customFormat="1" ht="18">
      <c r="A136" s="1372" t="s">
        <v>1868</v>
      </c>
      <c r="B136" s="1335" t="s">
        <v>1576</v>
      </c>
      <c r="C136" s="1334"/>
      <c r="D136" s="1334"/>
      <c r="E136" s="1334"/>
      <c r="F136" s="1334" t="s">
        <v>1867</v>
      </c>
      <c r="G136" s="1334"/>
      <c r="H136" s="1339"/>
      <c r="I136" s="1336"/>
      <c r="J136" s="1334"/>
      <c r="K136" s="1334"/>
      <c r="L136" s="1339"/>
      <c r="M136" s="2328"/>
      <c r="N136" s="2328"/>
      <c r="O136" s="1336"/>
      <c r="P136" s="2328">
        <v>0</v>
      </c>
      <c r="Q136" s="2328"/>
      <c r="R136" s="1336"/>
      <c r="S136" s="2328">
        <v>0</v>
      </c>
      <c r="T136" s="2328"/>
      <c r="U136" s="1336"/>
      <c r="V136" s="1340"/>
      <c r="W136" s="1338"/>
      <c r="X136" s="1338"/>
      <c r="Y136" s="2328">
        <v>2160000</v>
      </c>
      <c r="Z136" s="2328"/>
      <c r="AA136" s="1334"/>
      <c r="AD136" s="1334"/>
      <c r="AE136" s="747"/>
      <c r="AF136" s="2328"/>
      <c r="AG136" s="2328"/>
      <c r="AH136" s="1336"/>
      <c r="AI136" s="1336"/>
      <c r="AJ136" s="1336"/>
      <c r="AK136" s="1334"/>
      <c r="AL136" s="1334"/>
      <c r="AM136" s="1336"/>
      <c r="AN136" s="1334"/>
      <c r="AO136" s="1339"/>
      <c r="AP136" s="1334"/>
      <c r="AQ136" s="1334"/>
      <c r="AR136" s="1298"/>
      <c r="AS136" s="1296"/>
      <c r="AT136" s="1297"/>
      <c r="AU136" s="1297"/>
      <c r="AV136" s="1297"/>
      <c r="AW136" s="1297"/>
      <c r="AX136" s="1297"/>
      <c r="AY136" s="1297"/>
      <c r="AZ136" s="532"/>
      <c r="BA136" s="532"/>
      <c r="BB136" s="532"/>
      <c r="BC136" s="532"/>
      <c r="BD136" s="532"/>
      <c r="BE136" s="532"/>
      <c r="BF136" s="532"/>
      <c r="BG136" s="532"/>
      <c r="BH136" s="532"/>
      <c r="BI136" s="532"/>
      <c r="BJ136" s="529"/>
      <c r="BK136" s="532"/>
      <c r="BL136" s="532"/>
      <c r="BM136" s="532"/>
      <c r="BQ136" s="956"/>
      <c r="BR136" s="956"/>
      <c r="BS136" s="956"/>
      <c r="BT136" s="956"/>
      <c r="BU136" s="956"/>
      <c r="BV136" s="956"/>
    </row>
    <row r="137" spans="1:74" s="872" customFormat="1" ht="18">
      <c r="A137" s="1346" t="s">
        <v>1837</v>
      </c>
      <c r="B137" s="1347" t="s">
        <v>1580</v>
      </c>
      <c r="C137" s="1375"/>
      <c r="D137" s="1346"/>
      <c r="E137" s="1375" t="s">
        <v>1881</v>
      </c>
      <c r="F137" s="1346" t="s">
        <v>1869</v>
      </c>
      <c r="G137" s="1346"/>
      <c r="H137" s="1349"/>
      <c r="I137" s="1350"/>
      <c r="J137" s="1346"/>
      <c r="K137" s="1346"/>
      <c r="L137" s="1349"/>
      <c r="M137" s="2330"/>
      <c r="N137" s="2330"/>
      <c r="O137" s="1336"/>
      <c r="P137" s="2330"/>
      <c r="Q137" s="2330">
        <v>0</v>
      </c>
      <c r="R137" s="1336"/>
      <c r="S137" s="2330"/>
      <c r="T137" s="2330">
        <v>0</v>
      </c>
      <c r="U137" s="1336"/>
      <c r="V137" s="1340"/>
      <c r="W137" s="1338"/>
      <c r="X137" s="1338"/>
      <c r="Y137" s="2330"/>
      <c r="Z137" s="2330">
        <v>2160000</v>
      </c>
      <c r="AA137" s="1334"/>
      <c r="AD137" s="1334"/>
      <c r="AE137" s="747"/>
      <c r="AF137" s="2330"/>
      <c r="AG137" s="2330"/>
      <c r="AH137" s="1336"/>
      <c r="AI137" s="1336"/>
      <c r="AJ137" s="1336"/>
      <c r="AK137" s="1334"/>
      <c r="AL137" s="1334"/>
      <c r="AM137" s="1336"/>
      <c r="AN137" s="1334"/>
      <c r="AO137" s="1339"/>
      <c r="AP137" s="1334"/>
      <c r="AQ137" s="1334"/>
      <c r="AR137" s="1298"/>
      <c r="AS137" s="1296"/>
      <c r="AT137" s="1297"/>
      <c r="AU137" s="1297"/>
      <c r="AV137" s="1297"/>
      <c r="AW137" s="1297"/>
      <c r="AX137" s="1297"/>
      <c r="AY137" s="1297"/>
      <c r="AZ137" s="532"/>
      <c r="BA137" s="532"/>
      <c r="BB137" s="532"/>
      <c r="BC137" s="532"/>
      <c r="BD137" s="532"/>
      <c r="BE137" s="532"/>
      <c r="BF137" s="532"/>
      <c r="BG137" s="532"/>
      <c r="BH137" s="532"/>
      <c r="BI137" s="532"/>
      <c r="BJ137" s="529"/>
      <c r="BK137" s="532"/>
      <c r="BL137" s="532"/>
      <c r="BM137" s="532"/>
      <c r="BQ137" s="956"/>
      <c r="BR137" s="956"/>
      <c r="BS137" s="956"/>
      <c r="BT137" s="956"/>
      <c r="BU137" s="956"/>
      <c r="BV137" s="956"/>
    </row>
    <row r="138" spans="1:74" s="872" customFormat="1" ht="18">
      <c r="A138" s="1334"/>
      <c r="B138" s="1334"/>
      <c r="C138" s="1334"/>
      <c r="D138" s="1334"/>
      <c r="E138" s="1334"/>
      <c r="F138" s="1334"/>
      <c r="G138" s="1334"/>
      <c r="H138" s="1339"/>
      <c r="I138" s="1336"/>
      <c r="J138" s="1334"/>
      <c r="K138" s="1334"/>
      <c r="L138" s="1339"/>
      <c r="M138" s="2328"/>
      <c r="N138" s="2328"/>
      <c r="O138" s="1336"/>
      <c r="P138" s="2328"/>
      <c r="Q138" s="2328"/>
      <c r="R138" s="1336"/>
      <c r="S138" s="2328"/>
      <c r="T138" s="2328"/>
      <c r="U138" s="1336"/>
      <c r="V138" s="1340"/>
      <c r="W138" s="1338"/>
      <c r="X138" s="1338"/>
      <c r="Y138" s="2328"/>
      <c r="Z138" s="2328"/>
      <c r="AA138" s="1334"/>
      <c r="AD138" s="1334"/>
      <c r="AE138" s="747"/>
      <c r="AF138" s="2328"/>
      <c r="AG138" s="2328"/>
      <c r="AH138" s="1336"/>
      <c r="AI138" s="1336"/>
      <c r="AJ138" s="1336"/>
      <c r="AK138" s="1334"/>
      <c r="AL138" s="1334"/>
      <c r="AM138" s="1336"/>
      <c r="AN138" s="1334"/>
      <c r="AO138" s="1339"/>
      <c r="AP138" s="1334"/>
      <c r="AQ138" s="1334"/>
      <c r="AR138" s="1298"/>
      <c r="AS138" s="1296"/>
      <c r="AT138" s="1297"/>
      <c r="AU138" s="1297"/>
      <c r="AV138" s="1297"/>
      <c r="AW138" s="1297"/>
      <c r="AX138" s="1297"/>
      <c r="AY138" s="1297"/>
      <c r="AZ138" s="532"/>
      <c r="BA138" s="532"/>
      <c r="BB138" s="532"/>
      <c r="BC138" s="532"/>
      <c r="BD138" s="532"/>
      <c r="BE138" s="532"/>
      <c r="BF138" s="532"/>
      <c r="BG138" s="532"/>
      <c r="BH138" s="532"/>
      <c r="BI138" s="532"/>
      <c r="BJ138" s="529"/>
      <c r="BK138" s="532"/>
      <c r="BL138" s="532"/>
      <c r="BM138" s="532"/>
      <c r="BQ138" s="956"/>
      <c r="BR138" s="956"/>
      <c r="BS138" s="956"/>
      <c r="BT138" s="956"/>
      <c r="BU138" s="956"/>
      <c r="BV138" s="956"/>
    </row>
    <row r="139" spans="1:74" s="872" customFormat="1" ht="18">
      <c r="A139" s="1334"/>
      <c r="B139" s="1364" t="s">
        <v>1583</v>
      </c>
      <c r="C139" s="1334"/>
      <c r="D139" s="1334"/>
      <c r="E139" s="1334"/>
      <c r="F139" s="1334"/>
      <c r="G139" s="1334"/>
      <c r="H139" s="1339"/>
      <c r="I139" s="1336"/>
      <c r="J139" s="1334"/>
      <c r="K139" s="1334"/>
      <c r="L139" s="1339"/>
      <c r="M139" s="2328"/>
      <c r="N139" s="2328"/>
      <c r="O139" s="1336"/>
      <c r="P139" s="2328"/>
      <c r="Q139" s="2328"/>
      <c r="R139" s="1336"/>
      <c r="S139" s="2328"/>
      <c r="T139" s="2328"/>
      <c r="U139" s="1336"/>
      <c r="V139" s="1340"/>
      <c r="W139" s="1338"/>
      <c r="X139" s="1338"/>
      <c r="Y139" s="2328"/>
      <c r="Z139" s="2328"/>
      <c r="AA139" s="1334"/>
      <c r="AD139" s="1334"/>
      <c r="AE139" s="747"/>
      <c r="AF139" s="2328"/>
      <c r="AG139" s="2328"/>
      <c r="AH139" s="1336"/>
      <c r="AI139" s="1336"/>
      <c r="AJ139" s="1336"/>
      <c r="AK139" s="1334"/>
      <c r="AL139" s="1334"/>
      <c r="AM139" s="1336"/>
      <c r="AN139" s="1334"/>
      <c r="AO139" s="1339"/>
      <c r="AP139" s="1334"/>
      <c r="AQ139" s="1334"/>
      <c r="AR139" s="1298"/>
      <c r="AS139" s="1296"/>
      <c r="AT139" s="1297"/>
      <c r="AU139" s="1297"/>
      <c r="AV139" s="1297"/>
      <c r="AW139" s="1297"/>
      <c r="AX139" s="1297"/>
      <c r="AY139" s="1297"/>
      <c r="AZ139" s="532"/>
      <c r="BA139" s="532"/>
      <c r="BB139" s="532"/>
      <c r="BC139" s="532"/>
      <c r="BD139" s="532"/>
      <c r="BE139" s="532"/>
      <c r="BF139" s="532"/>
      <c r="BG139" s="532"/>
      <c r="BH139" s="532"/>
      <c r="BI139" s="532"/>
      <c r="BJ139" s="529"/>
      <c r="BK139" s="532"/>
      <c r="BL139" s="532"/>
      <c r="BM139" s="532"/>
      <c r="BQ139" s="956"/>
      <c r="BR139" s="956"/>
      <c r="BS139" s="956"/>
      <c r="BT139" s="956"/>
      <c r="BU139" s="956"/>
      <c r="BV139" s="956"/>
    </row>
    <row r="140" spans="1:74" s="872" customFormat="1" ht="18">
      <c r="A140" s="1334"/>
      <c r="B140" s="1335" t="s">
        <v>1870</v>
      </c>
      <c r="C140" s="1334"/>
      <c r="D140" s="1334"/>
      <c r="E140" s="1334"/>
      <c r="F140" s="1334" t="s">
        <v>1869</v>
      </c>
      <c r="G140" s="1334"/>
      <c r="H140" s="1339"/>
      <c r="I140" s="1336"/>
      <c r="J140" s="1334"/>
      <c r="K140" s="1334"/>
      <c r="L140" s="1339"/>
      <c r="M140" s="2328">
        <v>0</v>
      </c>
      <c r="N140" s="2328"/>
      <c r="O140" s="1336"/>
      <c r="P140" s="2328">
        <v>0</v>
      </c>
      <c r="Q140" s="2328"/>
      <c r="R140" s="1336"/>
      <c r="S140" s="2328">
        <v>0</v>
      </c>
      <c r="T140" s="2328"/>
      <c r="U140" s="1336"/>
      <c r="V140" s="1340"/>
      <c r="W140" s="1338"/>
      <c r="X140" s="1338"/>
      <c r="Y140" s="2328">
        <v>2160000</v>
      </c>
      <c r="Z140" s="2328"/>
      <c r="AA140" s="1334"/>
      <c r="AD140" s="1334"/>
      <c r="AE140" s="747"/>
      <c r="AF140" s="2328"/>
      <c r="AG140" s="2328"/>
      <c r="AH140" s="1336"/>
      <c r="AI140" s="1336"/>
      <c r="AJ140" s="1336"/>
      <c r="AK140" s="1334"/>
      <c r="AL140" s="1334"/>
      <c r="AM140" s="1336"/>
      <c r="AN140" s="1334"/>
      <c r="AO140" s="1339"/>
      <c r="AP140" s="1334"/>
      <c r="AQ140" s="1334"/>
      <c r="AR140" s="1298"/>
      <c r="AS140" s="1296"/>
      <c r="AT140" s="1297"/>
      <c r="AU140" s="1297"/>
      <c r="AV140" s="1297"/>
      <c r="AW140" s="1297"/>
      <c r="AX140" s="1297"/>
      <c r="AY140" s="1297"/>
      <c r="AZ140" s="532"/>
      <c r="BA140" s="532"/>
      <c r="BB140" s="532"/>
      <c r="BC140" s="532"/>
      <c r="BD140" s="532"/>
      <c r="BE140" s="532"/>
      <c r="BF140" s="532"/>
      <c r="BG140" s="532"/>
      <c r="BH140" s="532"/>
      <c r="BI140" s="532"/>
      <c r="BJ140" s="529"/>
      <c r="BK140" s="532"/>
      <c r="BL140" s="532"/>
      <c r="BM140" s="532"/>
      <c r="BQ140" s="956"/>
      <c r="BR140" s="956"/>
      <c r="BS140" s="956"/>
      <c r="BT140" s="956"/>
      <c r="BU140" s="956"/>
      <c r="BV140" s="956"/>
    </row>
    <row r="141" spans="1:74" s="872" customFormat="1" ht="18">
      <c r="A141" s="1334"/>
      <c r="B141" s="1335" t="s">
        <v>1882</v>
      </c>
      <c r="C141" s="1334"/>
      <c r="D141" s="1334"/>
      <c r="E141" s="1334"/>
      <c r="F141" s="1334" t="s">
        <v>1883</v>
      </c>
      <c r="G141" s="1334"/>
      <c r="H141" s="1339"/>
      <c r="I141" s="1336"/>
      <c r="J141" s="1334"/>
      <c r="K141" s="1334"/>
      <c r="L141" s="1339"/>
      <c r="M141" s="2328"/>
      <c r="N141" s="2328">
        <v>0</v>
      </c>
      <c r="O141" s="1336"/>
      <c r="P141" s="2328"/>
      <c r="Q141" s="2328">
        <v>0</v>
      </c>
      <c r="R141" s="1336"/>
      <c r="S141" s="2328"/>
      <c r="T141" s="2328">
        <v>0</v>
      </c>
      <c r="U141" s="1336"/>
      <c r="V141" s="1340"/>
      <c r="W141" s="1338"/>
      <c r="X141" s="1338"/>
      <c r="Y141" s="2328"/>
      <c r="Z141" s="2328">
        <v>2160000</v>
      </c>
      <c r="AA141" s="1334"/>
      <c r="AD141" s="1334"/>
      <c r="AE141" s="747"/>
      <c r="AF141" s="2328"/>
      <c r="AG141" s="2328"/>
      <c r="AH141" s="1336"/>
      <c r="AI141" s="1336"/>
      <c r="AJ141" s="1336"/>
      <c r="AK141" s="1334"/>
      <c r="AL141" s="1334"/>
      <c r="AM141" s="1336"/>
      <c r="AN141" s="1334"/>
      <c r="AO141" s="1339"/>
      <c r="AP141" s="1334"/>
      <c r="AQ141" s="1334"/>
      <c r="AR141" s="1298"/>
      <c r="AS141" s="1296"/>
      <c r="AT141" s="1297"/>
      <c r="AU141" s="1297"/>
      <c r="AV141" s="1297"/>
      <c r="AW141" s="1297"/>
      <c r="AX141" s="1297"/>
      <c r="AY141" s="1297"/>
      <c r="AZ141" s="532"/>
      <c r="BA141" s="532"/>
      <c r="BB141" s="532"/>
      <c r="BC141" s="532"/>
      <c r="BD141" s="532"/>
      <c r="BE141" s="532"/>
      <c r="BF141" s="532"/>
      <c r="BG141" s="532"/>
      <c r="BH141" s="532"/>
      <c r="BI141" s="532"/>
      <c r="BJ141" s="529"/>
      <c r="BK141" s="532"/>
      <c r="BL141" s="532"/>
      <c r="BM141" s="532"/>
      <c r="BQ141" s="956"/>
      <c r="BR141" s="956"/>
      <c r="BS141" s="956"/>
      <c r="BT141" s="956"/>
      <c r="BU141" s="956"/>
      <c r="BV141" s="956"/>
    </row>
    <row r="142" spans="1:74" s="872" customFormat="1" ht="18">
      <c r="A142" s="1334"/>
      <c r="B142" s="1334"/>
      <c r="C142" s="1334"/>
      <c r="D142" s="1334"/>
      <c r="E142" s="1334"/>
      <c r="F142" s="1334"/>
      <c r="G142" s="1334"/>
      <c r="H142" s="1339"/>
      <c r="I142" s="1336"/>
      <c r="J142" s="1334"/>
      <c r="K142" s="1334"/>
      <c r="L142" s="1339"/>
      <c r="M142" s="2328"/>
      <c r="N142" s="2328"/>
      <c r="O142" s="1336"/>
      <c r="P142" s="2328"/>
      <c r="Q142" s="2328"/>
      <c r="R142" s="1336"/>
      <c r="S142" s="2328"/>
      <c r="T142" s="2328"/>
      <c r="U142" s="1336"/>
      <c r="V142" s="1340"/>
      <c r="W142" s="1338"/>
      <c r="X142" s="1338"/>
      <c r="Y142" s="2328"/>
      <c r="Z142" s="2328"/>
      <c r="AA142" s="1334"/>
      <c r="AD142" s="1334"/>
      <c r="AE142" s="747"/>
      <c r="AF142" s="2328"/>
      <c r="AG142" s="2328"/>
      <c r="AH142" s="1336"/>
      <c r="AI142" s="1336"/>
      <c r="AJ142" s="1336"/>
      <c r="AK142" s="1334"/>
      <c r="AL142" s="1334"/>
      <c r="AM142" s="1336"/>
      <c r="AN142" s="1334"/>
      <c r="AO142" s="1339"/>
      <c r="AP142" s="1334"/>
      <c r="AQ142" s="1334"/>
      <c r="AR142" s="1298"/>
      <c r="AS142" s="1296"/>
      <c r="AT142" s="1297"/>
      <c r="AU142" s="1297"/>
      <c r="AV142" s="1297"/>
      <c r="AW142" s="1297"/>
      <c r="AX142" s="1297"/>
      <c r="AY142" s="1297"/>
      <c r="AZ142" s="532"/>
      <c r="BA142" s="532"/>
      <c r="BB142" s="532"/>
      <c r="BC142" s="532"/>
      <c r="BD142" s="532"/>
      <c r="BE142" s="532"/>
      <c r="BF142" s="532"/>
      <c r="BG142" s="532"/>
      <c r="BH142" s="532"/>
      <c r="BI142" s="532"/>
      <c r="BJ142" s="529"/>
      <c r="BK142" s="532"/>
      <c r="BL142" s="532"/>
      <c r="BM142" s="532"/>
      <c r="BQ142" s="956"/>
      <c r="BR142" s="956"/>
      <c r="BS142" s="956"/>
      <c r="BT142" s="956"/>
      <c r="BU142" s="956"/>
      <c r="BV142" s="956"/>
    </row>
    <row r="143" spans="1:74" s="872" customFormat="1" ht="18">
      <c r="A143" s="1372"/>
      <c r="B143" s="1376" t="s">
        <v>1884</v>
      </c>
      <c r="C143" s="1372"/>
      <c r="D143" s="1372"/>
      <c r="E143" s="1372"/>
      <c r="F143" s="1372"/>
      <c r="G143" s="1372"/>
      <c r="H143" s="1372"/>
      <c r="I143" s="1372"/>
      <c r="J143" s="1372"/>
      <c r="K143" s="1372"/>
      <c r="L143" s="1377"/>
      <c r="M143" s="2331"/>
      <c r="N143" s="2331"/>
      <c r="O143" s="1336"/>
      <c r="P143" s="2331"/>
      <c r="Q143" s="2331"/>
      <c r="R143" s="1336"/>
      <c r="S143" s="2331"/>
      <c r="T143" s="2331"/>
      <c r="U143" s="1336"/>
      <c r="V143" s="1340"/>
      <c r="W143" s="1338"/>
      <c r="X143" s="1338"/>
      <c r="Y143" s="2331"/>
      <c r="Z143" s="2331"/>
      <c r="AA143" s="1334"/>
      <c r="AD143" s="1334"/>
      <c r="AE143" s="747"/>
      <c r="AF143" s="2331"/>
      <c r="AG143" s="2331"/>
      <c r="AH143" s="1336"/>
      <c r="AI143" s="1336"/>
      <c r="AJ143" s="1336"/>
      <c r="AK143" s="1334"/>
      <c r="AL143" s="1334"/>
      <c r="AM143" s="1336"/>
      <c r="AN143" s="1334"/>
      <c r="AO143" s="1339"/>
      <c r="AP143" s="1334"/>
      <c r="AQ143" s="1334"/>
      <c r="AR143" s="1298"/>
      <c r="AS143" s="1296"/>
      <c r="AT143" s="1297"/>
      <c r="AU143" s="1297"/>
      <c r="AV143" s="1297"/>
      <c r="AW143" s="1297"/>
      <c r="AX143" s="1297"/>
      <c r="AY143" s="1297"/>
      <c r="AZ143" s="532"/>
      <c r="BA143" s="532"/>
      <c r="BB143" s="532"/>
      <c r="BC143" s="532"/>
      <c r="BD143" s="532"/>
      <c r="BE143" s="532"/>
      <c r="BF143" s="532"/>
      <c r="BG143" s="532"/>
      <c r="BH143" s="532"/>
      <c r="BI143" s="532"/>
      <c r="BJ143" s="529"/>
      <c r="BK143" s="532"/>
      <c r="BL143" s="532"/>
      <c r="BM143" s="532"/>
      <c r="BQ143" s="956"/>
      <c r="BR143" s="956"/>
      <c r="BS143" s="956"/>
      <c r="BT143" s="956"/>
      <c r="BU143" s="956"/>
      <c r="BV143" s="956"/>
    </row>
    <row r="144" spans="1:74" s="872" customFormat="1" ht="18">
      <c r="A144" s="1334"/>
      <c r="B144" s="528" t="s">
        <v>1577</v>
      </c>
      <c r="C144" s="1334"/>
      <c r="D144" s="1334"/>
      <c r="E144" s="1334"/>
      <c r="F144" s="1334"/>
      <c r="G144" s="1334"/>
      <c r="H144" s="1339"/>
      <c r="I144" s="1336"/>
      <c r="J144" s="1334"/>
      <c r="K144" s="1334"/>
      <c r="L144" s="1339"/>
      <c r="M144" s="2328"/>
      <c r="N144" s="2328"/>
      <c r="O144" s="1336"/>
      <c r="P144" s="2328"/>
      <c r="Q144" s="2328"/>
      <c r="R144" s="1336"/>
      <c r="S144" s="2328"/>
      <c r="T144" s="2328"/>
      <c r="U144" s="1336"/>
      <c r="V144" s="1340"/>
      <c r="W144" s="1338"/>
      <c r="X144" s="1338"/>
      <c r="Y144" s="2332" t="s">
        <v>1885</v>
      </c>
      <c r="Z144" s="2333"/>
      <c r="AA144" s="1334"/>
      <c r="AD144" s="1334"/>
      <c r="AE144" s="747"/>
      <c r="AF144" s="2328"/>
      <c r="AG144" s="2328"/>
      <c r="AH144" s="1336"/>
      <c r="AI144" s="1336"/>
      <c r="AJ144" s="1336"/>
      <c r="AK144" s="1334"/>
      <c r="AL144" s="1334"/>
      <c r="AM144" s="1336"/>
      <c r="AN144" s="1334"/>
      <c r="AO144" s="1339"/>
      <c r="AP144" s="1334"/>
      <c r="AQ144" s="1334"/>
      <c r="AR144" s="1298"/>
      <c r="AS144" s="1296"/>
      <c r="AT144" s="1297"/>
      <c r="AU144" s="1297"/>
      <c r="AV144" s="1297"/>
      <c r="AW144" s="1297"/>
      <c r="AX144" s="1297"/>
      <c r="AY144" s="1297"/>
      <c r="AZ144" s="532"/>
      <c r="BA144" s="532"/>
      <c r="BB144" s="532"/>
      <c r="BC144" s="532"/>
      <c r="BD144" s="532"/>
      <c r="BE144" s="532"/>
      <c r="BF144" s="532"/>
      <c r="BG144" s="532"/>
      <c r="BH144" s="532"/>
      <c r="BI144" s="532"/>
      <c r="BJ144" s="529"/>
      <c r="BK144" s="532"/>
      <c r="BL144" s="532"/>
      <c r="BM144" s="532"/>
      <c r="BQ144" s="956"/>
      <c r="BR144" s="956"/>
      <c r="BS144" s="956"/>
      <c r="BT144" s="956"/>
      <c r="BU144" s="956"/>
      <c r="BV144" s="956"/>
    </row>
    <row r="145" spans="1:74" s="872" customFormat="1" ht="18">
      <c r="A145" s="1346" t="s">
        <v>1837</v>
      </c>
      <c r="B145" s="1347" t="s">
        <v>1592</v>
      </c>
      <c r="C145" s="1346"/>
      <c r="D145" s="1346"/>
      <c r="E145" s="1346"/>
      <c r="F145" s="1346" t="s">
        <v>1886</v>
      </c>
      <c r="G145" s="1346" t="s">
        <v>1887</v>
      </c>
      <c r="H145" s="1349"/>
      <c r="I145" s="1350"/>
      <c r="J145" s="1346"/>
      <c r="K145" s="1346"/>
      <c r="L145" s="1349"/>
      <c r="M145" s="2330">
        <v>2999929</v>
      </c>
      <c r="N145" s="2330"/>
      <c r="O145" s="1336"/>
      <c r="P145" s="2330">
        <v>3523308</v>
      </c>
      <c r="Q145" s="2330"/>
      <c r="R145" s="1336"/>
      <c r="S145" s="2330">
        <v>3854932</v>
      </c>
      <c r="T145" s="2330"/>
      <c r="U145" s="1336"/>
      <c r="V145" s="1340"/>
      <c r="W145" s="1338"/>
      <c r="X145" s="1338"/>
      <c r="Y145" s="2333">
        <v>4762316</v>
      </c>
      <c r="Z145" s="2330"/>
      <c r="AA145" s="1334"/>
      <c r="AD145" s="1334"/>
      <c r="AE145" s="747"/>
      <c r="AF145" s="2330"/>
      <c r="AG145" s="2330"/>
      <c r="AH145" s="1336"/>
      <c r="AI145" s="1336"/>
      <c r="AJ145" s="1336"/>
      <c r="AK145" s="1334"/>
      <c r="AL145" s="1334"/>
      <c r="AM145" s="1336"/>
      <c r="AN145" s="1334"/>
      <c r="AO145" s="1339"/>
      <c r="AP145" s="1334"/>
      <c r="AQ145" s="1334"/>
      <c r="AR145" s="1298"/>
      <c r="AS145" s="1296"/>
      <c r="AT145" s="1297"/>
      <c r="AU145" s="1297"/>
      <c r="AV145" s="1297"/>
      <c r="AW145" s="1297"/>
      <c r="AX145" s="1297"/>
      <c r="AY145" s="1297"/>
      <c r="AZ145" s="532"/>
      <c r="BA145" s="532"/>
      <c r="BB145" s="532"/>
      <c r="BC145" s="532"/>
      <c r="BD145" s="532"/>
      <c r="BE145" s="532"/>
      <c r="BF145" s="532"/>
      <c r="BG145" s="532"/>
      <c r="BH145" s="532"/>
      <c r="BI145" s="532"/>
      <c r="BJ145" s="529"/>
      <c r="BK145" s="532"/>
      <c r="BL145" s="532"/>
      <c r="BM145" s="532"/>
      <c r="BQ145" s="956"/>
      <c r="BR145" s="956"/>
      <c r="BS145" s="956"/>
      <c r="BT145" s="956"/>
      <c r="BU145" s="956"/>
      <c r="BV145" s="956"/>
    </row>
    <row r="146" spans="1:74" s="872" customFormat="1" ht="18">
      <c r="A146" s="1346" t="s">
        <v>1837</v>
      </c>
      <c r="B146" s="1347" t="s">
        <v>1592</v>
      </c>
      <c r="C146" s="1346"/>
      <c r="D146" s="1346"/>
      <c r="E146" s="1346"/>
      <c r="F146" s="1346" t="s">
        <v>1886</v>
      </c>
      <c r="G146" s="1346" t="s">
        <v>1888</v>
      </c>
      <c r="H146" s="1349"/>
      <c r="I146" s="1350"/>
      <c r="J146" s="1346"/>
      <c r="K146" s="1346"/>
      <c r="L146" s="1349"/>
      <c r="M146" s="2330"/>
      <c r="N146" s="2330"/>
      <c r="O146" s="1336"/>
      <c r="P146" s="2330">
        <v>175972</v>
      </c>
      <c r="Q146" s="2330"/>
      <c r="R146" s="1336"/>
      <c r="S146" s="2330">
        <v>40972</v>
      </c>
      <c r="T146" s="2330"/>
      <c r="U146" s="1336"/>
      <c r="V146" s="1340"/>
      <c r="W146" s="1338"/>
      <c r="X146" s="1338"/>
      <c r="Y146" s="2333">
        <v>40973</v>
      </c>
      <c r="Z146" s="2330"/>
      <c r="AA146" s="1334"/>
      <c r="AD146" s="1334"/>
      <c r="AE146" s="747"/>
      <c r="AF146" s="2330"/>
      <c r="AG146" s="2330"/>
      <c r="AH146" s="1336"/>
      <c r="AI146" s="1336"/>
      <c r="AJ146" s="1336"/>
      <c r="AK146" s="1334"/>
      <c r="AL146" s="1334"/>
      <c r="AM146" s="1336"/>
      <c r="AN146" s="1334"/>
      <c r="AO146" s="1339"/>
      <c r="AP146" s="1334"/>
      <c r="AQ146" s="1334"/>
      <c r="AR146" s="1298"/>
      <c r="AS146" s="1296"/>
      <c r="AT146" s="1297"/>
      <c r="AU146" s="1297"/>
      <c r="AV146" s="1297"/>
      <c r="AW146" s="1297"/>
      <c r="AX146" s="1297"/>
      <c r="AY146" s="1297"/>
      <c r="AZ146" s="532"/>
      <c r="BA146" s="532"/>
      <c r="BB146" s="532"/>
      <c r="BC146" s="532"/>
      <c r="BD146" s="532"/>
      <c r="BE146" s="532"/>
      <c r="BF146" s="532"/>
      <c r="BG146" s="532"/>
      <c r="BH146" s="532"/>
      <c r="BI146" s="532"/>
      <c r="BJ146" s="529"/>
      <c r="BK146" s="532"/>
      <c r="BL146" s="532"/>
      <c r="BM146" s="532"/>
      <c r="BQ146" s="956"/>
      <c r="BR146" s="956"/>
      <c r="BS146" s="956"/>
      <c r="BT146" s="956"/>
      <c r="BU146" s="956"/>
      <c r="BV146" s="956"/>
    </row>
    <row r="147" spans="1:74" s="872" customFormat="1" ht="18">
      <c r="A147" s="1378" t="s">
        <v>1889</v>
      </c>
      <c r="B147" s="1378" t="s">
        <v>1593</v>
      </c>
      <c r="C147" s="1334"/>
      <c r="D147" s="1334"/>
      <c r="E147" s="1334"/>
      <c r="F147" s="1334" t="s">
        <v>1890</v>
      </c>
      <c r="G147" s="1334"/>
      <c r="H147" s="1339"/>
      <c r="I147" s="1336"/>
      <c r="J147" s="1334"/>
      <c r="K147" s="1334"/>
      <c r="L147" s="1339"/>
      <c r="M147" s="2328"/>
      <c r="N147" s="2328">
        <v>2999929</v>
      </c>
      <c r="O147" s="1336"/>
      <c r="P147" s="2328"/>
      <c r="Q147" s="2328">
        <v>3699280</v>
      </c>
      <c r="R147" s="1336"/>
      <c r="S147" s="2328"/>
      <c r="T147" s="2328">
        <v>3895904</v>
      </c>
      <c r="U147" s="1336"/>
      <c r="V147" s="1340"/>
      <c r="W147" s="1338"/>
      <c r="X147" s="1338"/>
      <c r="Y147" s="2328"/>
      <c r="Z147" s="2328">
        <v>4803289</v>
      </c>
      <c r="AA147" s="1334"/>
      <c r="AD147" s="1334"/>
      <c r="AE147" s="747"/>
      <c r="AF147" s="2328"/>
      <c r="AG147" s="2328"/>
      <c r="AH147" s="1336"/>
      <c r="AI147" s="1336"/>
      <c r="AJ147" s="1336"/>
      <c r="AK147" s="1334"/>
      <c r="AL147" s="1334"/>
      <c r="AM147" s="1336"/>
      <c r="AN147" s="1334"/>
      <c r="AO147" s="1339"/>
      <c r="AP147" s="1334"/>
      <c r="AQ147" s="1334"/>
      <c r="AR147" s="1298"/>
      <c r="AS147" s="1296"/>
      <c r="AT147" s="1297"/>
      <c r="AU147" s="1297"/>
      <c r="AV147" s="1297"/>
      <c r="AW147" s="1297"/>
      <c r="AX147" s="1297"/>
      <c r="AY147" s="1297"/>
      <c r="AZ147" s="532"/>
      <c r="BA147" s="532"/>
      <c r="BB147" s="532"/>
      <c r="BC147" s="532"/>
      <c r="BD147" s="532"/>
      <c r="BE147" s="532"/>
      <c r="BF147" s="532"/>
      <c r="BG147" s="532"/>
      <c r="BH147" s="532"/>
      <c r="BI147" s="532"/>
      <c r="BJ147" s="529"/>
      <c r="BK147" s="532"/>
      <c r="BL147" s="532"/>
      <c r="BM147" s="532"/>
      <c r="BQ147" s="956"/>
      <c r="BR147" s="956"/>
      <c r="BS147" s="956"/>
      <c r="BT147" s="956"/>
      <c r="BU147" s="956"/>
      <c r="BV147" s="956"/>
    </row>
    <row r="148" spans="1:74" s="872" customFormat="1" ht="18">
      <c r="A148" s="1346" t="s">
        <v>1837</v>
      </c>
      <c r="B148" s="1347" t="s">
        <v>1592</v>
      </c>
      <c r="C148" s="1346"/>
      <c r="D148" s="1346"/>
      <c r="E148" s="1346"/>
      <c r="F148" s="1346" t="s">
        <v>1886</v>
      </c>
      <c r="G148" s="1346" t="s">
        <v>1891</v>
      </c>
      <c r="H148" s="1349"/>
      <c r="I148" s="1350"/>
      <c r="J148" s="1346"/>
      <c r="K148" s="1346"/>
      <c r="L148" s="1349"/>
      <c r="M148" s="2330"/>
      <c r="N148" s="2330"/>
      <c r="O148" s="1336"/>
      <c r="P148" s="2330"/>
      <c r="Q148" s="2330"/>
      <c r="R148" s="1336"/>
      <c r="S148" s="2330">
        <v>800000</v>
      </c>
      <c r="T148" s="2330"/>
      <c r="U148" s="1336"/>
      <c r="V148" s="1340"/>
      <c r="W148" s="1338"/>
      <c r="X148" s="1338"/>
      <c r="Y148" s="2330"/>
      <c r="Z148" s="2330"/>
      <c r="AA148" s="1334"/>
      <c r="AD148" s="1334"/>
      <c r="AE148" s="747"/>
      <c r="AF148" s="2330"/>
      <c r="AG148" s="2330"/>
      <c r="AH148" s="1336"/>
      <c r="AI148" s="1336"/>
      <c r="AJ148" s="1336"/>
      <c r="AK148" s="1334"/>
      <c r="AL148" s="1334"/>
      <c r="AM148" s="1336"/>
      <c r="AN148" s="1334"/>
      <c r="AO148" s="1339"/>
      <c r="AP148" s="1334"/>
      <c r="AQ148" s="1334"/>
      <c r="AR148" s="1298"/>
      <c r="AS148" s="1296"/>
      <c r="AT148" s="1297"/>
      <c r="AU148" s="1297"/>
      <c r="AV148" s="1297"/>
      <c r="AW148" s="1297"/>
      <c r="AX148" s="1297"/>
      <c r="AY148" s="1297"/>
      <c r="AZ148" s="532"/>
      <c r="BA148" s="532"/>
      <c r="BB148" s="532"/>
      <c r="BC148" s="532"/>
      <c r="BD148" s="532"/>
      <c r="BE148" s="532"/>
      <c r="BF148" s="532"/>
      <c r="BG148" s="532"/>
      <c r="BH148" s="532"/>
      <c r="BI148" s="532"/>
      <c r="BJ148" s="529"/>
      <c r="BK148" s="532"/>
      <c r="BL148" s="532"/>
      <c r="BM148" s="532"/>
      <c r="BQ148" s="956"/>
      <c r="BR148" s="956"/>
      <c r="BS148" s="956"/>
      <c r="BT148" s="956"/>
      <c r="BU148" s="956"/>
      <c r="BV148" s="956"/>
    </row>
    <row r="149" spans="1:74" s="872" customFormat="1" ht="18">
      <c r="A149" s="1346" t="s">
        <v>1837</v>
      </c>
      <c r="B149" s="1347" t="s">
        <v>1592</v>
      </c>
      <c r="C149" s="1346"/>
      <c r="D149" s="1346"/>
      <c r="E149" s="1346"/>
      <c r="F149" s="1346" t="s">
        <v>1892</v>
      </c>
      <c r="G149" s="1346" t="s">
        <v>1893</v>
      </c>
      <c r="H149" s="1349"/>
      <c r="I149" s="1350"/>
      <c r="J149" s="1346"/>
      <c r="K149" s="1346"/>
      <c r="L149" s="1349"/>
      <c r="M149" s="2330"/>
      <c r="N149" s="2330"/>
      <c r="O149" s="1336"/>
      <c r="P149" s="2330"/>
      <c r="Q149" s="2330"/>
      <c r="R149" s="1336"/>
      <c r="S149" s="2330"/>
      <c r="T149" s="2330"/>
      <c r="U149" s="1336"/>
      <c r="V149" s="1340"/>
      <c r="W149" s="1338"/>
      <c r="X149" s="1338"/>
      <c r="Y149" s="2330"/>
      <c r="Z149" s="2330"/>
      <c r="AA149" s="1334"/>
      <c r="AD149" s="1334"/>
      <c r="AE149" s="747"/>
      <c r="AF149" s="2330"/>
      <c r="AG149" s="2330"/>
      <c r="AH149" s="1336"/>
      <c r="AI149" s="1336"/>
      <c r="AJ149" s="1336"/>
      <c r="AK149" s="1334"/>
      <c r="AL149" s="1334"/>
      <c r="AM149" s="1336"/>
      <c r="AN149" s="1334"/>
      <c r="AO149" s="1339"/>
      <c r="AP149" s="1334"/>
      <c r="AQ149" s="1334"/>
      <c r="AR149" s="1298"/>
      <c r="AS149" s="1296"/>
      <c r="AT149" s="1297"/>
      <c r="AU149" s="1297"/>
      <c r="AV149" s="1297"/>
      <c r="AW149" s="1297"/>
      <c r="AX149" s="1297"/>
      <c r="AY149" s="1297"/>
      <c r="AZ149" s="532"/>
      <c r="BA149" s="532"/>
      <c r="BB149" s="532"/>
      <c r="BC149" s="532"/>
      <c r="BD149" s="532"/>
      <c r="BE149" s="532"/>
      <c r="BF149" s="532"/>
      <c r="BG149" s="532"/>
      <c r="BH149" s="532"/>
      <c r="BI149" s="532"/>
      <c r="BJ149" s="529"/>
      <c r="BK149" s="532"/>
      <c r="BL149" s="532"/>
      <c r="BM149" s="532"/>
      <c r="BQ149" s="956"/>
      <c r="BR149" s="956"/>
      <c r="BS149" s="956"/>
      <c r="BT149" s="956"/>
      <c r="BU149" s="956"/>
      <c r="BV149" s="956"/>
    </row>
    <row r="150" spans="1:74" s="872" customFormat="1" ht="18">
      <c r="A150" s="1346" t="s">
        <v>1837</v>
      </c>
      <c r="B150" s="1347" t="s">
        <v>1592</v>
      </c>
      <c r="C150" s="1346"/>
      <c r="D150" s="1346"/>
      <c r="E150" s="1346"/>
      <c r="F150" s="1346" t="s">
        <v>1892</v>
      </c>
      <c r="G150" s="1346" t="s">
        <v>1894</v>
      </c>
      <c r="H150" s="1349"/>
      <c r="I150" s="1350"/>
      <c r="J150" s="1346"/>
      <c r="K150" s="1346"/>
      <c r="L150" s="1349"/>
      <c r="M150" s="2330"/>
      <c r="N150" s="2330"/>
      <c r="O150" s="1336"/>
      <c r="P150" s="2330"/>
      <c r="Q150" s="2330"/>
      <c r="R150" s="1336"/>
      <c r="S150" s="2330"/>
      <c r="T150" s="2330"/>
      <c r="U150" s="1336"/>
      <c r="V150" s="1340"/>
      <c r="W150" s="1338"/>
      <c r="X150" s="1338"/>
      <c r="Y150" s="2330"/>
      <c r="Z150" s="2330"/>
      <c r="AA150" s="1334"/>
      <c r="AD150" s="1334"/>
      <c r="AE150" s="747"/>
      <c r="AF150" s="2330"/>
      <c r="AG150" s="2330"/>
      <c r="AH150" s="1336"/>
      <c r="AI150" s="1336"/>
      <c r="AJ150" s="1336"/>
      <c r="AK150" s="1334"/>
      <c r="AL150" s="1334"/>
      <c r="AM150" s="1336"/>
      <c r="AN150" s="1334"/>
      <c r="AO150" s="1339"/>
      <c r="AP150" s="1334"/>
      <c r="AQ150" s="1334"/>
      <c r="AR150" s="1298"/>
      <c r="AS150" s="1296"/>
      <c r="AT150" s="1297"/>
      <c r="AU150" s="1297"/>
      <c r="AV150" s="1297"/>
      <c r="AW150" s="1297"/>
      <c r="AX150" s="1297"/>
      <c r="AY150" s="1297"/>
      <c r="AZ150" s="532"/>
      <c r="BA150" s="532"/>
      <c r="BB150" s="532"/>
      <c r="BC150" s="532"/>
      <c r="BD150" s="532"/>
      <c r="BE150" s="532"/>
      <c r="BF150" s="532"/>
      <c r="BG150" s="532"/>
      <c r="BH150" s="532"/>
      <c r="BI150" s="532"/>
      <c r="BJ150" s="529"/>
      <c r="BK150" s="532"/>
      <c r="BL150" s="532"/>
      <c r="BM150" s="532"/>
      <c r="BQ150" s="956"/>
      <c r="BR150" s="956"/>
      <c r="BS150" s="956"/>
      <c r="BT150" s="956"/>
      <c r="BU150" s="956"/>
      <c r="BV150" s="956"/>
    </row>
    <row r="151" spans="1:74" s="872" customFormat="1" ht="18">
      <c r="A151" s="1334" t="s">
        <v>1877</v>
      </c>
      <c r="B151" s="1335" t="s">
        <v>1594</v>
      </c>
      <c r="C151" s="1334"/>
      <c r="D151" s="1334"/>
      <c r="E151" s="1334"/>
      <c r="F151" s="1334" t="s">
        <v>1895</v>
      </c>
      <c r="G151" s="1334"/>
      <c r="H151" s="1339"/>
      <c r="I151" s="1336"/>
      <c r="J151" s="1334"/>
      <c r="K151" s="1334"/>
      <c r="L151" s="1339"/>
      <c r="M151" s="2328"/>
      <c r="N151" s="2328"/>
      <c r="O151" s="1336"/>
      <c r="P151" s="2328"/>
      <c r="Q151" s="2328"/>
      <c r="R151" s="1336"/>
      <c r="S151" s="2328">
        <v>40000</v>
      </c>
      <c r="T151" s="2328"/>
      <c r="U151" s="1336"/>
      <c r="V151" s="1340"/>
      <c r="W151" s="1338"/>
      <c r="X151" s="1338"/>
      <c r="Y151" s="2328">
        <v>0</v>
      </c>
      <c r="Z151" s="2328"/>
      <c r="AA151" s="1334"/>
      <c r="AD151" s="1334"/>
      <c r="AE151" s="747"/>
      <c r="AF151" s="2328"/>
      <c r="AG151" s="2328"/>
      <c r="AH151" s="1336"/>
      <c r="AI151" s="1336"/>
      <c r="AJ151" s="1336"/>
      <c r="AK151" s="1334"/>
      <c r="AL151" s="1334"/>
      <c r="AM151" s="1336"/>
      <c r="AN151" s="1334"/>
      <c r="AO151" s="1339"/>
      <c r="AP151" s="1334"/>
      <c r="AQ151" s="1334"/>
      <c r="AR151" s="1298"/>
      <c r="AS151" s="1296"/>
      <c r="AT151" s="1297"/>
      <c r="AU151" s="1297"/>
      <c r="AV151" s="1297"/>
      <c r="AW151" s="1297"/>
      <c r="AX151" s="1297"/>
      <c r="AY151" s="1297"/>
      <c r="AZ151" s="532"/>
      <c r="BA151" s="532"/>
      <c r="BB151" s="532"/>
      <c r="BC151" s="532"/>
      <c r="BD151" s="532"/>
      <c r="BE151" s="532"/>
      <c r="BF151" s="532"/>
      <c r="BG151" s="532"/>
      <c r="BH151" s="532"/>
      <c r="BI151" s="532"/>
      <c r="BJ151" s="529"/>
      <c r="BK151" s="532"/>
      <c r="BL151" s="532"/>
      <c r="BM151" s="532"/>
      <c r="BQ151" s="956"/>
      <c r="BR151" s="956"/>
      <c r="BS151" s="956"/>
      <c r="BT151" s="956"/>
      <c r="BU151" s="956"/>
      <c r="BV151" s="956"/>
    </row>
    <row r="152" spans="1:74" s="872" customFormat="1" ht="18">
      <c r="A152" s="1335" t="s">
        <v>1896</v>
      </c>
      <c r="B152" s="1335" t="s">
        <v>1596</v>
      </c>
      <c r="C152" s="1334"/>
      <c r="D152" s="1334"/>
      <c r="E152" s="1334"/>
      <c r="F152" s="1334" t="s">
        <v>1897</v>
      </c>
      <c r="G152" s="1334"/>
      <c r="H152" s="1339"/>
      <c r="I152" s="1336"/>
      <c r="J152" s="1334"/>
      <c r="K152" s="1334"/>
      <c r="L152" s="1339"/>
      <c r="M152" s="2328"/>
      <c r="N152" s="2328"/>
      <c r="O152" s="1336"/>
      <c r="P152" s="2328"/>
      <c r="Q152" s="2328"/>
      <c r="R152" s="1336"/>
      <c r="S152" s="2328"/>
      <c r="T152" s="2328">
        <v>840000</v>
      </c>
      <c r="U152" s="1336"/>
      <c r="V152" s="1340"/>
      <c r="W152" s="1338"/>
      <c r="X152" s="1338"/>
      <c r="Y152" s="2328"/>
      <c r="Z152" s="2328">
        <v>0</v>
      </c>
      <c r="AA152" s="1334"/>
      <c r="AD152" s="1334"/>
      <c r="AE152" s="747"/>
      <c r="AF152" s="2328"/>
      <c r="AG152" s="2328"/>
      <c r="AH152" s="1336"/>
      <c r="AI152" s="1336"/>
      <c r="AJ152" s="1336"/>
      <c r="AK152" s="1334"/>
      <c r="AL152" s="1334"/>
      <c r="AM152" s="1336"/>
      <c r="AN152" s="1334"/>
      <c r="AO152" s="1339"/>
      <c r="AP152" s="1334"/>
      <c r="AQ152" s="1334"/>
      <c r="AR152" s="1298"/>
      <c r="AS152" s="1296"/>
      <c r="AT152" s="1297"/>
      <c r="AU152" s="1297"/>
      <c r="AV152" s="1297"/>
      <c r="AW152" s="1297"/>
      <c r="AX152" s="1297"/>
      <c r="AY152" s="1297"/>
      <c r="AZ152" s="532"/>
      <c r="BA152" s="532"/>
      <c r="BB152" s="532"/>
      <c r="BC152" s="532"/>
      <c r="BD152" s="532"/>
      <c r="BE152" s="532"/>
      <c r="BF152" s="532"/>
      <c r="BG152" s="532"/>
      <c r="BH152" s="532"/>
      <c r="BI152" s="532"/>
      <c r="BJ152" s="529"/>
      <c r="BK152" s="532"/>
      <c r="BL152" s="532"/>
      <c r="BM152" s="532"/>
      <c r="BQ152" s="956"/>
      <c r="BR152" s="956"/>
      <c r="BS152" s="956"/>
      <c r="BT152" s="956"/>
      <c r="BU152" s="956"/>
      <c r="BV152" s="956"/>
    </row>
    <row r="153" spans="1:74" s="872" customFormat="1" ht="18">
      <c r="A153" s="1335"/>
      <c r="B153" s="1335"/>
      <c r="C153" s="1334"/>
      <c r="D153" s="1334"/>
      <c r="E153" s="1334"/>
      <c r="F153" s="1334"/>
      <c r="G153" s="1334"/>
      <c r="H153" s="1339"/>
      <c r="I153" s="1336"/>
      <c r="J153" s="1334"/>
      <c r="K153" s="1334"/>
      <c r="L153" s="1339"/>
      <c r="M153" s="2328"/>
      <c r="N153" s="2328"/>
      <c r="O153" s="1336"/>
      <c r="P153" s="2328"/>
      <c r="Q153" s="2328"/>
      <c r="R153" s="1336"/>
      <c r="S153" s="2328"/>
      <c r="T153" s="2328"/>
      <c r="U153" s="1336"/>
      <c r="V153" s="1340"/>
      <c r="W153" s="1338"/>
      <c r="X153" s="1338"/>
      <c r="Y153" s="2328"/>
      <c r="Z153" s="2328"/>
      <c r="AA153" s="1334"/>
      <c r="AD153" s="1334"/>
      <c r="AE153" s="747"/>
      <c r="AF153" s="2328"/>
      <c r="AG153" s="2328"/>
      <c r="AH153" s="1336"/>
      <c r="AI153" s="1336"/>
      <c r="AJ153" s="1336"/>
      <c r="AK153" s="1334"/>
      <c r="AL153" s="1334"/>
      <c r="AM153" s="1336"/>
      <c r="AN153" s="1334"/>
      <c r="AO153" s="1339"/>
      <c r="AP153" s="1334"/>
      <c r="AQ153" s="1334"/>
      <c r="AR153" s="1298"/>
      <c r="AS153" s="1296"/>
      <c r="AT153" s="1297"/>
      <c r="AU153" s="1297"/>
      <c r="AV153" s="1297"/>
      <c r="AW153" s="1297"/>
      <c r="AX153" s="1297"/>
      <c r="AY153" s="1297"/>
      <c r="AZ153" s="532"/>
      <c r="BA153" s="532"/>
      <c r="BB153" s="532"/>
      <c r="BC153" s="532"/>
      <c r="BD153" s="532"/>
      <c r="BE153" s="532"/>
      <c r="BF153" s="532"/>
      <c r="BG153" s="532"/>
      <c r="BH153" s="532"/>
      <c r="BI153" s="532"/>
      <c r="BJ153" s="529"/>
      <c r="BK153" s="532"/>
      <c r="BL153" s="532"/>
      <c r="BM153" s="532"/>
      <c r="BQ153" s="956"/>
      <c r="BR153" s="956"/>
      <c r="BS153" s="956"/>
      <c r="BT153" s="956"/>
      <c r="BU153" s="956"/>
      <c r="BV153" s="956"/>
    </row>
    <row r="154" spans="1:74" s="872" customFormat="1" ht="18">
      <c r="A154" s="1334"/>
      <c r="B154" s="1364" t="s">
        <v>1583</v>
      </c>
      <c r="C154" s="1334"/>
      <c r="D154" s="1334"/>
      <c r="E154" s="1334"/>
      <c r="F154" s="1334"/>
      <c r="G154" s="1334"/>
      <c r="H154" s="1339"/>
      <c r="I154" s="1336"/>
      <c r="J154" s="1334"/>
      <c r="K154" s="1334"/>
      <c r="L154" s="1339"/>
      <c r="M154" s="2328"/>
      <c r="N154" s="2328"/>
      <c r="O154" s="1336"/>
      <c r="P154" s="2328"/>
      <c r="Q154" s="2328"/>
      <c r="R154" s="1336"/>
      <c r="S154" s="2328"/>
      <c r="T154" s="2328"/>
      <c r="U154" s="1336"/>
      <c r="V154" s="1340"/>
      <c r="W154" s="1338"/>
      <c r="X154" s="1338"/>
      <c r="Y154" s="2328"/>
      <c r="Z154" s="2328"/>
      <c r="AA154" s="1334"/>
      <c r="AD154" s="1334"/>
      <c r="AE154" s="747"/>
      <c r="AF154" s="2328"/>
      <c r="AG154" s="2328"/>
      <c r="AH154" s="1336"/>
      <c r="AI154" s="1336"/>
      <c r="AJ154" s="1336"/>
      <c r="AK154" s="1334"/>
      <c r="AL154" s="1334"/>
      <c r="AM154" s="1336"/>
      <c r="AN154" s="1334"/>
      <c r="AO154" s="1339"/>
      <c r="AP154" s="1334"/>
      <c r="AQ154" s="1334"/>
      <c r="AR154" s="1298"/>
      <c r="AS154" s="1296"/>
      <c r="AT154" s="1297"/>
      <c r="AU154" s="1297"/>
      <c r="AV154" s="1297"/>
      <c r="AW154" s="1297"/>
      <c r="AX154" s="1297"/>
      <c r="AY154" s="1297"/>
      <c r="AZ154" s="532"/>
      <c r="BA154" s="532"/>
      <c r="BB154" s="532"/>
      <c r="BC154" s="532"/>
      <c r="BD154" s="532"/>
      <c r="BE154" s="532"/>
      <c r="BF154" s="532"/>
      <c r="BG154" s="532"/>
      <c r="BH154" s="532"/>
      <c r="BI154" s="532"/>
      <c r="BJ154" s="529"/>
      <c r="BK154" s="532"/>
      <c r="BL154" s="532"/>
      <c r="BM154" s="532"/>
      <c r="BQ154" s="956"/>
      <c r="BR154" s="956"/>
      <c r="BS154" s="956"/>
      <c r="BT154" s="956"/>
      <c r="BU154" s="956"/>
      <c r="BV154" s="956"/>
    </row>
    <row r="155" spans="1:74" s="872" customFormat="1" ht="18">
      <c r="A155" s="1334"/>
      <c r="B155" s="1335" t="s">
        <v>1898</v>
      </c>
      <c r="C155" s="1334"/>
      <c r="D155" s="1334"/>
      <c r="E155" s="1379" t="s">
        <v>1899</v>
      </c>
      <c r="F155" s="1334" t="s">
        <v>1890</v>
      </c>
      <c r="G155" s="1334"/>
      <c r="H155" s="1339"/>
      <c r="I155" s="1336"/>
      <c r="J155" s="1334"/>
      <c r="K155" s="1334"/>
      <c r="L155" s="1339"/>
      <c r="M155" s="2328">
        <v>155454</v>
      </c>
      <c r="N155" s="2328"/>
      <c r="O155" s="1336"/>
      <c r="P155" s="2328">
        <v>1443746</v>
      </c>
      <c r="Q155" s="2328"/>
      <c r="R155" s="1336"/>
      <c r="S155" s="2328">
        <v>1443746</v>
      </c>
      <c r="T155" s="2328"/>
      <c r="U155" s="1336"/>
      <c r="V155" s="1340"/>
      <c r="W155" s="1338"/>
      <c r="X155" s="1338"/>
      <c r="Y155" s="2328">
        <v>0</v>
      </c>
      <c r="Z155" s="2328"/>
      <c r="AA155" s="1334"/>
      <c r="AD155" s="1334"/>
      <c r="AE155" s="747"/>
      <c r="AF155" s="2328"/>
      <c r="AG155" s="2328"/>
      <c r="AH155" s="1336"/>
      <c r="AI155" s="1336"/>
      <c r="AJ155" s="1336"/>
      <c r="AK155" s="1334"/>
      <c r="AL155" s="1334"/>
      <c r="AM155" s="1336"/>
      <c r="AN155" s="1334"/>
      <c r="AO155" s="1339"/>
      <c r="AP155" s="1334"/>
      <c r="AQ155" s="1334"/>
      <c r="AR155" s="1298"/>
      <c r="AS155" s="1296"/>
      <c r="AT155" s="1297"/>
      <c r="AU155" s="1297"/>
      <c r="AV155" s="1297"/>
      <c r="AW155" s="1297"/>
      <c r="AX155" s="1297"/>
      <c r="AY155" s="1297"/>
      <c r="AZ155" s="532"/>
      <c r="BA155" s="532"/>
      <c r="BB155" s="532"/>
      <c r="BC155" s="532"/>
      <c r="BD155" s="532"/>
      <c r="BE155" s="532"/>
      <c r="BF155" s="532"/>
      <c r="BG155" s="532"/>
      <c r="BH155" s="532"/>
      <c r="BI155" s="532"/>
      <c r="BJ155" s="529"/>
      <c r="BK155" s="532"/>
      <c r="BL155" s="532"/>
      <c r="BM155" s="532"/>
      <c r="BQ155" s="956"/>
      <c r="BR155" s="956"/>
      <c r="BS155" s="956"/>
      <c r="BT155" s="956"/>
      <c r="BU155" s="956"/>
      <c r="BV155" s="956"/>
    </row>
    <row r="156" spans="1:74" s="872" customFormat="1" ht="18">
      <c r="A156" s="1334"/>
      <c r="B156" s="1335" t="s">
        <v>1900</v>
      </c>
      <c r="C156" s="1334"/>
      <c r="D156" s="1334"/>
      <c r="E156" s="1334"/>
      <c r="F156" s="1334" t="s">
        <v>1886</v>
      </c>
      <c r="G156" s="1334"/>
      <c r="H156" s="1339"/>
      <c r="I156" s="1336"/>
      <c r="J156" s="1334"/>
      <c r="K156" s="1334"/>
      <c r="L156" s="1339"/>
      <c r="M156" s="2328"/>
      <c r="N156" s="2328">
        <v>155454</v>
      </c>
      <c r="O156" s="1336"/>
      <c r="P156" s="2328"/>
      <c r="Q156" s="2328">
        <v>1443746</v>
      </c>
      <c r="R156" s="1336"/>
      <c r="S156" s="2328"/>
      <c r="T156" s="2328">
        <v>1443746</v>
      </c>
      <c r="U156" s="1336"/>
      <c r="V156" s="1340"/>
      <c r="W156" s="1338"/>
      <c r="X156" s="1338"/>
      <c r="Y156" s="2328"/>
      <c r="Z156" s="2328">
        <v>0</v>
      </c>
      <c r="AA156" s="1334"/>
      <c r="AD156" s="1334"/>
      <c r="AE156" s="747"/>
      <c r="AF156" s="2328"/>
      <c r="AG156" s="2328"/>
      <c r="AH156" s="1336"/>
      <c r="AI156" s="1336"/>
      <c r="AJ156" s="1336"/>
      <c r="AK156" s="1334"/>
      <c r="AL156" s="1334"/>
      <c r="AM156" s="1336"/>
      <c r="AN156" s="1334"/>
      <c r="AO156" s="1339"/>
      <c r="AP156" s="1334"/>
      <c r="AQ156" s="1334"/>
      <c r="AR156" s="1298"/>
      <c r="AS156" s="1296"/>
      <c r="AT156" s="1297"/>
      <c r="AU156" s="1297"/>
      <c r="AV156" s="1297"/>
      <c r="AW156" s="1297"/>
      <c r="AX156" s="1297"/>
      <c r="AY156" s="1297"/>
      <c r="AZ156" s="532"/>
      <c r="BA156" s="532"/>
      <c r="BB156" s="532"/>
      <c r="BC156" s="532"/>
      <c r="BD156" s="532"/>
      <c r="BE156" s="532"/>
      <c r="BF156" s="532"/>
      <c r="BG156" s="532"/>
      <c r="BH156" s="532"/>
      <c r="BI156" s="532"/>
      <c r="BJ156" s="529"/>
      <c r="BK156" s="532"/>
      <c r="BL156" s="532"/>
      <c r="BM156" s="532"/>
      <c r="BQ156" s="956"/>
      <c r="BR156" s="956"/>
      <c r="BS156" s="956"/>
      <c r="BT156" s="956"/>
      <c r="BU156" s="956"/>
      <c r="BV156" s="956"/>
    </row>
    <row r="157" spans="1:74" s="872" customFormat="1" ht="18">
      <c r="A157" s="1334"/>
      <c r="B157" s="1334"/>
      <c r="C157" s="1334"/>
      <c r="D157" s="1334"/>
      <c r="E157" s="1334"/>
      <c r="F157" s="1334"/>
      <c r="G157" s="1334"/>
      <c r="H157" s="1339"/>
      <c r="I157" s="1336"/>
      <c r="J157" s="1334"/>
      <c r="K157" s="1334"/>
      <c r="L157" s="1339"/>
      <c r="M157" s="2328"/>
      <c r="N157" s="2328"/>
      <c r="O157" s="1336"/>
      <c r="P157" s="2328"/>
      <c r="Q157" s="2328"/>
      <c r="R157" s="1336"/>
      <c r="S157" s="2328"/>
      <c r="T157" s="2328"/>
      <c r="U157" s="1336"/>
      <c r="V157" s="1340"/>
      <c r="W157" s="1338"/>
      <c r="X157" s="1338"/>
      <c r="Y157" s="2328"/>
      <c r="Z157" s="2328"/>
      <c r="AA157" s="1334"/>
      <c r="AD157" s="1334"/>
      <c r="AE157" s="747"/>
      <c r="AF157" s="2328"/>
      <c r="AG157" s="2328"/>
      <c r="AH157" s="1336"/>
      <c r="AI157" s="1336"/>
      <c r="AJ157" s="1336"/>
      <c r="AK157" s="1334"/>
      <c r="AL157" s="1334"/>
      <c r="AM157" s="1336"/>
      <c r="AN157" s="1334"/>
      <c r="AO157" s="1339"/>
      <c r="AP157" s="1334"/>
      <c r="AQ157" s="1334"/>
      <c r="AR157" s="1298"/>
      <c r="AS157" s="1296"/>
      <c r="AT157" s="1297"/>
      <c r="AU157" s="1297"/>
      <c r="AV157" s="1297"/>
      <c r="AW157" s="1297"/>
      <c r="AX157" s="1297"/>
      <c r="AY157" s="1297"/>
      <c r="AZ157" s="532"/>
      <c r="BA157" s="532"/>
      <c r="BB157" s="532"/>
      <c r="BC157" s="532"/>
      <c r="BD157" s="532"/>
      <c r="BE157" s="532"/>
      <c r="BF157" s="532"/>
      <c r="BG157" s="532"/>
      <c r="BH157" s="532"/>
      <c r="BI157" s="532"/>
      <c r="BJ157" s="529"/>
      <c r="BK157" s="532"/>
      <c r="BL157" s="532"/>
      <c r="BM157" s="532"/>
      <c r="BQ157" s="956"/>
      <c r="BR157" s="956"/>
      <c r="BS157" s="956"/>
      <c r="BT157" s="956"/>
      <c r="BU157" s="956"/>
      <c r="BV157" s="956"/>
    </row>
    <row r="158" spans="1:74" s="872" customFormat="1" ht="18">
      <c r="A158" s="1334"/>
      <c r="B158" s="1334"/>
      <c r="C158" s="1334"/>
      <c r="D158" s="1334"/>
      <c r="E158" s="1334"/>
      <c r="F158" s="1334"/>
      <c r="G158" s="1334"/>
      <c r="H158" s="1339"/>
      <c r="I158" s="1336"/>
      <c r="J158" s="1334"/>
      <c r="K158" s="1334"/>
      <c r="L158" s="1339"/>
      <c r="M158" s="1380">
        <v>24546546</v>
      </c>
      <c r="N158" s="1380">
        <v>24546546</v>
      </c>
      <c r="O158" s="1336"/>
      <c r="P158" s="1380">
        <v>23291515</v>
      </c>
      <c r="Q158" s="1380">
        <v>23291515</v>
      </c>
      <c r="R158" s="1336"/>
      <c r="S158" s="1380">
        <v>36740763</v>
      </c>
      <c r="T158" s="1380">
        <v>36740763</v>
      </c>
      <c r="U158" s="1336"/>
      <c r="V158" s="1340"/>
      <c r="W158" s="1338"/>
      <c r="X158" s="1338"/>
      <c r="Y158" s="1380">
        <v>44834262</v>
      </c>
      <c r="Z158" s="1380">
        <v>44834262</v>
      </c>
      <c r="AA158" s="1334"/>
      <c r="AD158" s="1334"/>
      <c r="AE158" s="747"/>
      <c r="AF158" s="1380">
        <v>608812920</v>
      </c>
      <c r="AG158" s="1380">
        <v>608163557</v>
      </c>
      <c r="AH158" s="1336"/>
      <c r="AI158" s="1336"/>
      <c r="AJ158" s="1336"/>
      <c r="AK158" s="1334"/>
      <c r="AL158" s="1334"/>
      <c r="AM158" s="1336"/>
      <c r="AN158" s="1334"/>
      <c r="AO158" s="1339"/>
      <c r="AP158" s="1334"/>
      <c r="AQ158" s="1334"/>
      <c r="AR158" s="1298"/>
      <c r="AS158" s="1296"/>
      <c r="AT158" s="1297"/>
      <c r="AU158" s="1297"/>
      <c r="AV158" s="1297"/>
      <c r="AW158" s="1297"/>
      <c r="AX158" s="1297"/>
      <c r="AY158" s="1297"/>
      <c r="AZ158" s="532"/>
      <c r="BA158" s="532"/>
      <c r="BB158" s="532"/>
      <c r="BC158" s="532"/>
      <c r="BD158" s="532"/>
      <c r="BE158" s="532"/>
      <c r="BF158" s="532"/>
      <c r="BG158" s="532"/>
      <c r="BH158" s="532"/>
      <c r="BI158" s="532"/>
      <c r="BJ158" s="529"/>
      <c r="BK158" s="532"/>
      <c r="BL158" s="532"/>
      <c r="BM158" s="532"/>
      <c r="BQ158" s="956"/>
      <c r="BR158" s="956"/>
      <c r="BS158" s="956"/>
      <c r="BT158" s="956"/>
      <c r="BU158" s="956"/>
      <c r="BV158" s="956"/>
    </row>
    <row r="159" spans="1:74" s="872" customFormat="1" ht="18">
      <c r="A159" s="1334"/>
      <c r="B159" s="1334"/>
      <c r="C159" s="1334"/>
      <c r="D159" s="1334"/>
      <c r="E159" s="1334"/>
      <c r="F159" s="1334"/>
      <c r="G159" s="1334"/>
      <c r="H159" s="1339"/>
      <c r="I159" s="1336"/>
      <c r="J159" s="1334"/>
      <c r="K159" s="1334"/>
      <c r="L159" s="1339"/>
      <c r="M159" s="1339"/>
      <c r="N159" s="1336"/>
      <c r="O159" s="1336"/>
      <c r="P159" s="1339"/>
      <c r="Q159" s="1336"/>
      <c r="R159" s="1336"/>
      <c r="S159" s="1339"/>
      <c r="T159" s="1336"/>
      <c r="U159" s="1336"/>
      <c r="V159" s="1340"/>
      <c r="W159" s="1338"/>
      <c r="X159" s="1338"/>
      <c r="Y159" s="1339"/>
      <c r="Z159" s="1336"/>
      <c r="AA159" s="1334"/>
      <c r="AD159" s="1334"/>
      <c r="AE159" s="747"/>
      <c r="AF159" s="1339"/>
      <c r="AG159" s="1336"/>
      <c r="AH159" s="1336"/>
      <c r="AI159" s="1336"/>
      <c r="AJ159" s="1336"/>
      <c r="AK159" s="1334"/>
      <c r="AL159" s="1334"/>
      <c r="AM159" s="1336"/>
      <c r="AN159" s="1334"/>
      <c r="AO159" s="1339"/>
      <c r="AP159" s="1334"/>
      <c r="AQ159" s="1334"/>
      <c r="AR159" s="1298"/>
      <c r="AS159" s="1296"/>
      <c r="AT159" s="1297"/>
      <c r="AU159" s="1297"/>
      <c r="AV159" s="1297"/>
      <c r="AW159" s="1297"/>
      <c r="AX159" s="1297"/>
      <c r="AY159" s="1297"/>
      <c r="AZ159" s="532"/>
      <c r="BA159" s="532"/>
      <c r="BB159" s="532"/>
      <c r="BC159" s="532"/>
      <c r="BD159" s="532"/>
      <c r="BE159" s="532"/>
      <c r="BF159" s="532"/>
      <c r="BG159" s="532"/>
      <c r="BH159" s="532"/>
      <c r="BI159" s="532"/>
      <c r="BJ159" s="529"/>
      <c r="BK159" s="532"/>
      <c r="BL159" s="532"/>
      <c r="BM159" s="532"/>
      <c r="BQ159" s="956"/>
      <c r="BR159" s="956"/>
      <c r="BS159" s="956"/>
      <c r="BT159" s="956"/>
      <c r="BU159" s="956"/>
      <c r="BV159" s="956"/>
    </row>
    <row r="160" spans="1:74" s="872" customFormat="1" ht="18">
      <c r="A160" s="1381"/>
      <c r="B160" s="1382"/>
      <c r="C160" s="1381"/>
      <c r="D160" s="1381"/>
      <c r="E160" s="1381"/>
      <c r="F160" s="1381"/>
      <c r="G160" s="1381"/>
      <c r="H160" s="1381"/>
      <c r="I160" s="1381"/>
      <c r="J160" s="1381"/>
      <c r="K160" s="1381"/>
      <c r="L160" s="1383"/>
      <c r="M160" s="1383"/>
      <c r="N160" s="1384"/>
      <c r="O160" s="1336"/>
      <c r="P160" s="1383"/>
      <c r="Q160" s="1384"/>
      <c r="R160" s="1336"/>
      <c r="S160" s="1383"/>
      <c r="T160" s="1384"/>
      <c r="U160" s="1336"/>
      <c r="V160" s="1340"/>
      <c r="W160" s="1338"/>
      <c r="X160" s="1338"/>
      <c r="Y160" s="1383"/>
      <c r="Z160" s="1384"/>
      <c r="AA160" s="1334"/>
      <c r="AD160" s="1334"/>
      <c r="AE160" s="747"/>
      <c r="AF160" s="1383"/>
      <c r="AG160" s="1384"/>
      <c r="AH160" s="1336"/>
      <c r="AI160" s="1336"/>
      <c r="AJ160" s="1336"/>
      <c r="AK160" s="1334"/>
      <c r="AL160" s="1334"/>
      <c r="AM160" s="1336"/>
      <c r="AN160" s="1334"/>
      <c r="AO160" s="1339"/>
      <c r="AP160" s="1334"/>
      <c r="AQ160" s="1334"/>
      <c r="AR160" s="1298"/>
      <c r="AS160" s="1296"/>
      <c r="AT160" s="1297"/>
      <c r="AU160" s="1297"/>
      <c r="AV160" s="1297"/>
      <c r="AW160" s="1297"/>
      <c r="AX160" s="1297"/>
      <c r="AY160" s="1297"/>
      <c r="AZ160" s="532"/>
      <c r="BA160" s="532"/>
      <c r="BB160" s="532"/>
      <c r="BC160" s="532"/>
      <c r="BD160" s="532"/>
      <c r="BE160" s="532"/>
      <c r="BF160" s="532"/>
      <c r="BG160" s="532"/>
      <c r="BH160" s="532"/>
      <c r="BI160" s="532"/>
      <c r="BJ160" s="529"/>
      <c r="BK160" s="532"/>
      <c r="BL160" s="532"/>
      <c r="BM160" s="532"/>
      <c r="BQ160" s="956"/>
      <c r="BR160" s="956"/>
      <c r="BS160" s="956"/>
      <c r="BT160" s="956"/>
      <c r="BU160" s="956"/>
      <c r="BV160" s="956"/>
    </row>
    <row r="161" spans="1:74" s="872" customFormat="1" ht="18">
      <c r="A161" s="1334"/>
      <c r="B161" s="1334"/>
      <c r="C161" s="1334"/>
      <c r="D161" s="1334"/>
      <c r="E161" s="1334"/>
      <c r="F161" s="1334"/>
      <c r="G161" s="1334"/>
      <c r="H161" s="1339"/>
      <c r="I161" s="1336"/>
      <c r="J161" s="1334"/>
      <c r="K161" s="1334"/>
      <c r="L161" s="1339"/>
      <c r="M161" s="1339"/>
      <c r="N161" s="1336"/>
      <c r="O161" s="1336"/>
      <c r="P161" s="1339"/>
      <c r="Q161" s="1336"/>
      <c r="R161" s="1336"/>
      <c r="S161" s="1339"/>
      <c r="T161" s="1336"/>
      <c r="U161" s="1336"/>
      <c r="V161" s="1340"/>
      <c r="W161" s="1338"/>
      <c r="X161" s="1338"/>
      <c r="Y161" s="1339"/>
      <c r="Z161" s="1336"/>
      <c r="AA161" s="1334"/>
      <c r="AD161" s="1334"/>
      <c r="AE161" s="747"/>
      <c r="AF161" s="1339"/>
      <c r="AG161" s="1336"/>
      <c r="AH161" s="1336"/>
      <c r="AI161" s="1336"/>
      <c r="AJ161" s="1336"/>
      <c r="AK161" s="1334"/>
      <c r="AL161" s="1334"/>
      <c r="AM161" s="1336"/>
      <c r="AN161" s="1334"/>
      <c r="AO161" s="1339"/>
      <c r="AP161" s="1334"/>
      <c r="AQ161" s="1334"/>
      <c r="AR161" s="1298"/>
      <c r="AS161" s="1296"/>
      <c r="AT161" s="1297"/>
      <c r="AU161" s="1297"/>
      <c r="AV161" s="1297"/>
      <c r="AW161" s="1297"/>
      <c r="AX161" s="1297"/>
      <c r="AY161" s="1297"/>
      <c r="AZ161" s="532"/>
      <c r="BA161" s="532"/>
      <c r="BB161" s="532"/>
      <c r="BC161" s="532"/>
      <c r="BD161" s="532"/>
      <c r="BE161" s="532"/>
      <c r="BF161" s="532"/>
      <c r="BG161" s="532"/>
      <c r="BH161" s="532"/>
      <c r="BI161" s="532"/>
      <c r="BJ161" s="529"/>
      <c r="BK161" s="532"/>
      <c r="BL161" s="532"/>
      <c r="BM161" s="532"/>
      <c r="BQ161" s="956"/>
      <c r="BR161" s="956"/>
      <c r="BS161" s="956"/>
      <c r="BT161" s="956"/>
      <c r="BU161" s="956"/>
      <c r="BV161" s="956"/>
    </row>
    <row r="162" spans="1:74" s="872" customFormat="1" ht="18">
      <c r="A162" s="1334"/>
      <c r="B162" s="1335" t="s">
        <v>1597</v>
      </c>
      <c r="C162" s="1334"/>
      <c r="D162" s="1334"/>
      <c r="E162" s="1334"/>
      <c r="F162" s="1334" t="s">
        <v>1901</v>
      </c>
      <c r="G162" s="1334"/>
      <c r="H162" s="1339"/>
      <c r="I162" s="1336"/>
      <c r="J162" s="1334"/>
      <c r="K162" s="1334"/>
      <c r="L162" s="1339"/>
      <c r="M162" s="1334">
        <v>1200000</v>
      </c>
      <c r="N162" s="1334">
        <v>5480000</v>
      </c>
      <c r="O162" s="1336"/>
      <c r="P162" s="1334">
        <v>320000</v>
      </c>
      <c r="Q162" s="1334">
        <v>3782000</v>
      </c>
      <c r="R162" s="1336"/>
      <c r="S162" s="1334">
        <v>0</v>
      </c>
      <c r="T162" s="1334">
        <v>6480000</v>
      </c>
      <c r="U162" s="1336"/>
      <c r="V162" s="1340"/>
      <c r="W162" s="1338"/>
      <c r="X162" s="1338"/>
      <c r="Y162" s="1334">
        <v>5419500</v>
      </c>
      <c r="Z162" s="1334">
        <v>12564500</v>
      </c>
      <c r="AA162" s="1334"/>
      <c r="AD162" s="1334"/>
      <c r="AE162" s="747"/>
      <c r="AF162" s="1334">
        <v>25360784</v>
      </c>
      <c r="AG162" s="1334">
        <v>145933195</v>
      </c>
      <c r="AH162" s="1336"/>
      <c r="AI162" s="1336"/>
      <c r="AJ162" s="1336"/>
      <c r="AK162" s="1334"/>
      <c r="AL162" s="1334"/>
      <c r="AM162" s="1336"/>
      <c r="AN162" s="1334"/>
      <c r="AO162" s="1339"/>
      <c r="AP162" s="1334"/>
      <c r="AQ162" s="1334"/>
      <c r="AR162" s="1298"/>
      <c r="AS162" s="1296"/>
      <c r="AT162" s="1297"/>
      <c r="AU162" s="1297"/>
      <c r="AV162" s="1297"/>
      <c r="AW162" s="1297"/>
      <c r="AX162" s="1297"/>
      <c r="AY162" s="1297"/>
      <c r="AZ162" s="532"/>
      <c r="BA162" s="532"/>
      <c r="BB162" s="532"/>
      <c r="BC162" s="532"/>
      <c r="BD162" s="532"/>
      <c r="BE162" s="532"/>
      <c r="BF162" s="532"/>
      <c r="BG162" s="532"/>
      <c r="BH162" s="532"/>
      <c r="BI162" s="532"/>
      <c r="BJ162" s="529"/>
      <c r="BK162" s="532"/>
      <c r="BL162" s="532"/>
      <c r="BM162" s="532"/>
      <c r="BQ162" s="956"/>
      <c r="BR162" s="956"/>
      <c r="BS162" s="956"/>
      <c r="BT162" s="956"/>
      <c r="BU162" s="956"/>
      <c r="BV162" s="956"/>
    </row>
    <row r="163" spans="1:74" s="872" customFormat="1" ht="18">
      <c r="A163" s="1334"/>
      <c r="B163" s="1335" t="s">
        <v>1592</v>
      </c>
      <c r="C163" s="1334"/>
      <c r="D163" s="1334"/>
      <c r="E163" s="1334"/>
      <c r="F163" s="1334" t="s">
        <v>1902</v>
      </c>
      <c r="G163" s="1334"/>
      <c r="H163" s="1339"/>
      <c r="I163" s="1336"/>
      <c r="J163" s="1334"/>
      <c r="K163" s="1334"/>
      <c r="L163" s="1339"/>
      <c r="M163" s="1334">
        <v>2999929</v>
      </c>
      <c r="N163" s="1334">
        <v>0</v>
      </c>
      <c r="O163" s="1336"/>
      <c r="P163" s="1334">
        <v>3699280</v>
      </c>
      <c r="Q163" s="1334">
        <v>0</v>
      </c>
      <c r="R163" s="1336"/>
      <c r="S163" s="1334">
        <v>4695904</v>
      </c>
      <c r="T163" s="1334">
        <v>0</v>
      </c>
      <c r="U163" s="1336"/>
      <c r="V163" s="1340"/>
      <c r="W163" s="1338"/>
      <c r="X163" s="1338"/>
      <c r="Y163" s="1334">
        <v>4803289</v>
      </c>
      <c r="Z163" s="1334">
        <v>0</v>
      </c>
      <c r="AA163" s="1334"/>
      <c r="AD163" s="1334"/>
      <c r="AE163" s="747"/>
      <c r="AF163" s="1334">
        <v>0</v>
      </c>
      <c r="AG163" s="1334">
        <v>0</v>
      </c>
      <c r="AH163" s="1336"/>
      <c r="AI163" s="1336"/>
      <c r="AJ163" s="1336"/>
      <c r="AK163" s="1334"/>
      <c r="AL163" s="1334"/>
      <c r="AM163" s="1336"/>
      <c r="AN163" s="1334"/>
      <c r="AO163" s="1339"/>
      <c r="AP163" s="1334"/>
      <c r="AQ163" s="1334"/>
      <c r="AR163" s="1298"/>
      <c r="AS163" s="1296"/>
      <c r="AT163" s="1297"/>
      <c r="AU163" s="1297"/>
      <c r="AV163" s="1297"/>
      <c r="AW163" s="1297"/>
      <c r="AX163" s="1297"/>
      <c r="AY163" s="1297"/>
      <c r="AZ163" s="532"/>
      <c r="BA163" s="532"/>
      <c r="BB163" s="532"/>
      <c r="BC163" s="532"/>
      <c r="BD163" s="532"/>
      <c r="BE163" s="532"/>
      <c r="BF163" s="532"/>
      <c r="BG163" s="532"/>
      <c r="BH163" s="532"/>
      <c r="BI163" s="532"/>
      <c r="BJ163" s="529"/>
      <c r="BK163" s="532"/>
      <c r="BL163" s="532"/>
      <c r="BM163" s="532"/>
      <c r="BQ163" s="956"/>
      <c r="BR163" s="956"/>
      <c r="BS163" s="956"/>
      <c r="BT163" s="956"/>
      <c r="BU163" s="956"/>
      <c r="BV163" s="956"/>
    </row>
    <row r="164" spans="1:74" s="872" customFormat="1" ht="18">
      <c r="A164" s="1334"/>
      <c r="B164" s="1335" t="s">
        <v>1593</v>
      </c>
      <c r="C164" s="1334"/>
      <c r="D164" s="1334"/>
      <c r="E164" s="1334"/>
      <c r="F164" s="1334" t="s">
        <v>1903</v>
      </c>
      <c r="G164" s="1334"/>
      <c r="H164" s="1339"/>
      <c r="I164" s="1336"/>
      <c r="J164" s="1334"/>
      <c r="K164" s="1334"/>
      <c r="L164" s="1339"/>
      <c r="M164" s="1334"/>
      <c r="N164" s="1334"/>
      <c r="O164" s="1336"/>
      <c r="P164" s="1334"/>
      <c r="Q164" s="1334"/>
      <c r="R164" s="1336"/>
      <c r="S164" s="1334"/>
      <c r="T164" s="1334"/>
      <c r="U164" s="1336"/>
      <c r="V164" s="1340"/>
      <c r="W164" s="1338"/>
      <c r="X164" s="1338"/>
      <c r="Y164" s="1334"/>
      <c r="Z164" s="1334"/>
      <c r="AA164" s="1334"/>
      <c r="AD164" s="1334"/>
      <c r="AE164" s="747"/>
      <c r="AF164" s="1334"/>
      <c r="AG164" s="1334"/>
      <c r="AH164" s="1336"/>
      <c r="AI164" s="1336"/>
      <c r="AJ164" s="1336"/>
      <c r="AK164" s="1334"/>
      <c r="AL164" s="1334"/>
      <c r="AM164" s="1336"/>
      <c r="AN164" s="1334"/>
      <c r="AO164" s="1339"/>
      <c r="AP164" s="1334"/>
      <c r="AQ164" s="1334"/>
      <c r="AR164" s="1298"/>
      <c r="AS164" s="1296"/>
      <c r="AT164" s="1297"/>
      <c r="AU164" s="1297"/>
      <c r="AV164" s="1297"/>
      <c r="AW164" s="1297"/>
      <c r="AX164" s="1297"/>
      <c r="AY164" s="1297"/>
      <c r="AZ164" s="532"/>
      <c r="BA164" s="532"/>
      <c r="BB164" s="532"/>
      <c r="BC164" s="532"/>
      <c r="BD164" s="532"/>
      <c r="BE164" s="532"/>
      <c r="BF164" s="532"/>
      <c r="BG164" s="532"/>
      <c r="BH164" s="532"/>
      <c r="BI164" s="532"/>
      <c r="BJ164" s="529"/>
      <c r="BK164" s="532"/>
      <c r="BL164" s="532"/>
      <c r="BM164" s="532"/>
      <c r="BQ164" s="956"/>
      <c r="BR164" s="956"/>
      <c r="BS164" s="956"/>
      <c r="BT164" s="956"/>
      <c r="BU164" s="956"/>
      <c r="BV164" s="956"/>
    </row>
    <row r="165" spans="1:74" s="872" customFormat="1" ht="18">
      <c r="A165" s="1334"/>
      <c r="B165" s="1334"/>
      <c r="C165" s="1334"/>
      <c r="D165" s="1334"/>
      <c r="E165" s="1334"/>
      <c r="F165" s="1334"/>
      <c r="G165" s="1334"/>
      <c r="H165" s="1339"/>
      <c r="I165" s="1336"/>
      <c r="J165" s="1334"/>
      <c r="K165" s="1334"/>
      <c r="L165" s="1339"/>
      <c r="M165" s="1339"/>
      <c r="N165" s="1336"/>
      <c r="O165" s="1336"/>
      <c r="P165" s="1339"/>
      <c r="Q165" s="1336"/>
      <c r="R165" s="1336"/>
      <c r="S165" s="1339"/>
      <c r="T165" s="1336"/>
      <c r="U165" s="1336"/>
      <c r="V165" s="1340"/>
      <c r="W165" s="1338"/>
      <c r="X165" s="1338"/>
      <c r="Y165" s="1339"/>
      <c r="Z165" s="1336"/>
      <c r="AA165" s="1334"/>
      <c r="AD165" s="1334"/>
      <c r="AE165" s="747"/>
      <c r="AF165" s="1339"/>
      <c r="AG165" s="1336"/>
      <c r="AH165" s="1336"/>
      <c r="AI165" s="1336"/>
      <c r="AJ165" s="1336"/>
      <c r="AK165" s="1334"/>
      <c r="AL165" s="1334"/>
      <c r="AM165" s="1336"/>
      <c r="AN165" s="1334"/>
      <c r="AO165" s="1339"/>
      <c r="AP165" s="1334"/>
      <c r="AQ165" s="1334"/>
      <c r="AR165" s="1298"/>
      <c r="AS165" s="1296"/>
      <c r="AT165" s="1297"/>
      <c r="AU165" s="1297"/>
      <c r="AV165" s="1297"/>
      <c r="AW165" s="1297"/>
      <c r="AX165" s="1297"/>
      <c r="AY165" s="1297"/>
      <c r="AZ165" s="532"/>
      <c r="BA165" s="532"/>
      <c r="BB165" s="532"/>
      <c r="BC165" s="532"/>
      <c r="BD165" s="532"/>
      <c r="BE165" s="532"/>
      <c r="BF165" s="532"/>
      <c r="BG165" s="532"/>
      <c r="BH165" s="532"/>
      <c r="BI165" s="532"/>
      <c r="BJ165" s="529"/>
      <c r="BK165" s="532"/>
      <c r="BL165" s="532"/>
      <c r="BM165" s="532"/>
      <c r="BQ165" s="956"/>
      <c r="BR165" s="956"/>
      <c r="BS165" s="956"/>
      <c r="BT165" s="956"/>
      <c r="BU165" s="956"/>
      <c r="BV165" s="956"/>
    </row>
    <row r="166" spans="1:74" s="872" customFormat="1" ht="18">
      <c r="A166" s="1381"/>
      <c r="B166" s="1381"/>
      <c r="C166" s="1381"/>
      <c r="D166" s="1381"/>
      <c r="E166" s="1381"/>
      <c r="F166" s="1381"/>
      <c r="G166" s="1381"/>
      <c r="H166" s="1381"/>
      <c r="I166" s="1381"/>
      <c r="J166" s="1381"/>
      <c r="K166" s="1381"/>
      <c r="L166" s="1383"/>
      <c r="M166" s="1383"/>
      <c r="N166" s="1384"/>
      <c r="O166" s="1336"/>
      <c r="P166" s="1383"/>
      <c r="Q166" s="1384"/>
      <c r="R166" s="1336"/>
      <c r="S166" s="1383"/>
      <c r="T166" s="1384"/>
      <c r="U166" s="1336"/>
      <c r="V166" s="1340"/>
      <c r="W166" s="1338"/>
      <c r="X166" s="1338"/>
      <c r="Y166" s="1383"/>
      <c r="Z166" s="1384"/>
      <c r="AA166" s="1334"/>
      <c r="AD166" s="1334"/>
      <c r="AE166" s="747"/>
      <c r="AF166" s="1383"/>
      <c r="AG166" s="1384"/>
      <c r="AH166" s="1336"/>
      <c r="AI166" s="1336"/>
      <c r="AJ166" s="1336"/>
      <c r="AK166" s="1334"/>
      <c r="AL166" s="1334"/>
      <c r="AM166" s="1336"/>
      <c r="AN166" s="1334"/>
      <c r="AO166" s="1339"/>
      <c r="AP166" s="1334"/>
      <c r="AQ166" s="1334"/>
      <c r="AR166" s="1298"/>
      <c r="AS166" s="1296"/>
      <c r="AT166" s="1297"/>
      <c r="AU166" s="1297"/>
      <c r="AV166" s="1297"/>
      <c r="AW166" s="1297"/>
      <c r="AX166" s="1297"/>
      <c r="AY166" s="1297"/>
      <c r="AZ166" s="532"/>
      <c r="BA166" s="532"/>
      <c r="BB166" s="532"/>
      <c r="BC166" s="532"/>
      <c r="BD166" s="532"/>
      <c r="BE166" s="532"/>
      <c r="BF166" s="532"/>
      <c r="BG166" s="532"/>
      <c r="BH166" s="532"/>
      <c r="BI166" s="532"/>
      <c r="BJ166" s="529"/>
      <c r="BK166" s="532"/>
      <c r="BL166" s="532"/>
      <c r="BM166" s="532"/>
      <c r="BQ166" s="956"/>
      <c r="BR166" s="956"/>
      <c r="BS166" s="956"/>
      <c r="BT166" s="956"/>
      <c r="BU166" s="956"/>
      <c r="BV166" s="956"/>
    </row>
    <row r="167" spans="1:74" s="872" customFormat="1" ht="18">
      <c r="A167" s="1334"/>
      <c r="B167" s="1334"/>
      <c r="C167" s="1334"/>
      <c r="D167" s="1334"/>
      <c r="E167" s="1334"/>
      <c r="F167" s="1334"/>
      <c r="G167" s="1334"/>
      <c r="H167" s="1339"/>
      <c r="I167" s="1336"/>
      <c r="J167" s="1334"/>
      <c r="K167" s="1334"/>
      <c r="L167" s="1339"/>
      <c r="M167" s="1339"/>
      <c r="N167" s="1336"/>
      <c r="O167" s="1336"/>
      <c r="P167" s="1339"/>
      <c r="Q167" s="1336"/>
      <c r="R167" s="1336"/>
      <c r="S167" s="1339"/>
      <c r="T167" s="1336"/>
      <c r="U167" s="1336"/>
      <c r="V167" s="1340"/>
      <c r="W167" s="1338"/>
      <c r="X167" s="1338"/>
      <c r="Y167" s="1339"/>
      <c r="Z167" s="1336"/>
      <c r="AA167" s="1334"/>
      <c r="AD167" s="1334"/>
      <c r="AE167" s="747"/>
      <c r="AF167" s="1339"/>
      <c r="AG167" s="1336"/>
      <c r="AH167" s="1336"/>
      <c r="AI167" s="1336"/>
      <c r="AJ167" s="1336"/>
      <c r="AK167" s="1334"/>
      <c r="AL167" s="1334"/>
      <c r="AM167" s="1336"/>
      <c r="AN167" s="1334"/>
      <c r="AO167" s="1339"/>
      <c r="AP167" s="1334"/>
      <c r="AQ167" s="1334"/>
      <c r="AR167" s="1298"/>
      <c r="AS167" s="1296"/>
      <c r="AT167" s="1297"/>
      <c r="AU167" s="1297"/>
      <c r="AV167" s="1297"/>
      <c r="AW167" s="1297"/>
      <c r="AX167" s="1297"/>
      <c r="AY167" s="1297"/>
      <c r="AZ167" s="532"/>
      <c r="BA167" s="532"/>
      <c r="BB167" s="532"/>
      <c r="BC167" s="532"/>
      <c r="BD167" s="532"/>
      <c r="BE167" s="532"/>
      <c r="BF167" s="532"/>
      <c r="BG167" s="532"/>
      <c r="BH167" s="532"/>
      <c r="BI167" s="532"/>
      <c r="BJ167" s="529"/>
      <c r="BK167" s="532"/>
      <c r="BL167" s="532"/>
      <c r="BM167" s="532"/>
      <c r="BQ167" s="956"/>
      <c r="BR167" s="956"/>
      <c r="BS167" s="956"/>
      <c r="BT167" s="956"/>
      <c r="BU167" s="956"/>
      <c r="BV167" s="956"/>
    </row>
    <row r="168" spans="1:74" s="872" customFormat="1" ht="18">
      <c r="A168" s="1334"/>
      <c r="B168" s="1334"/>
      <c r="C168" s="1334"/>
      <c r="D168" s="1334"/>
      <c r="E168" s="1334"/>
      <c r="F168" s="1334"/>
      <c r="G168" s="1334"/>
      <c r="H168" s="1339"/>
      <c r="I168" s="1336"/>
      <c r="J168" s="1334"/>
      <c r="K168" s="1334"/>
      <c r="L168" s="1339"/>
      <c r="M168" s="1339"/>
      <c r="N168" s="1336"/>
      <c r="O168" s="1336"/>
      <c r="P168" s="1339"/>
      <c r="Q168" s="1336"/>
      <c r="R168" s="1336"/>
      <c r="S168" s="1339"/>
      <c r="T168" s="1336"/>
      <c r="U168" s="1336"/>
      <c r="V168" s="1340"/>
      <c r="W168" s="1338"/>
      <c r="X168" s="1338"/>
      <c r="Y168" s="1339"/>
      <c r="Z168" s="1336"/>
      <c r="AA168" s="1334"/>
      <c r="AD168" s="1334"/>
      <c r="AE168" s="747"/>
      <c r="AF168" s="1339"/>
      <c r="AG168" s="1336"/>
      <c r="AH168" s="1336"/>
      <c r="AI168" s="1336"/>
      <c r="AJ168" s="1336"/>
      <c r="AK168" s="1334"/>
      <c r="AL168" s="1334"/>
      <c r="AM168" s="1336"/>
      <c r="AN168" s="1334"/>
      <c r="AO168" s="1339"/>
      <c r="AP168" s="1334"/>
      <c r="AQ168" s="1334"/>
      <c r="AR168" s="1298"/>
      <c r="AS168" s="1296"/>
      <c r="AT168" s="1297"/>
      <c r="AU168" s="1297"/>
      <c r="AV168" s="1297"/>
      <c r="AW168" s="1297"/>
      <c r="AX168" s="1297"/>
      <c r="AY168" s="1297"/>
      <c r="AZ168" s="532"/>
      <c r="BA168" s="532"/>
      <c r="BB168" s="532"/>
      <c r="BC168" s="532"/>
      <c r="BD168" s="532"/>
      <c r="BE168" s="532"/>
      <c r="BF168" s="532"/>
      <c r="BG168" s="532"/>
      <c r="BH168" s="532"/>
      <c r="BI168" s="532"/>
      <c r="BJ168" s="529"/>
      <c r="BK168" s="532"/>
      <c r="BL168" s="532"/>
      <c r="BM168" s="532"/>
      <c r="BQ168" s="956"/>
      <c r="BR168" s="956"/>
      <c r="BS168" s="956"/>
      <c r="BT168" s="956"/>
      <c r="BU168" s="956"/>
      <c r="BV168" s="956"/>
    </row>
    <row r="169" spans="1:74" s="872" customFormat="1" ht="18">
      <c r="A169" s="1334"/>
      <c r="B169" s="1334"/>
      <c r="C169" s="1334"/>
      <c r="D169" s="1334"/>
      <c r="E169" s="1334"/>
      <c r="F169" s="1334"/>
      <c r="G169" s="1334"/>
      <c r="H169" s="1339"/>
      <c r="I169" s="1336"/>
      <c r="J169" s="1334"/>
      <c r="K169" s="1334"/>
      <c r="L169" s="1339"/>
      <c r="M169" s="1339"/>
      <c r="N169" s="1336"/>
      <c r="O169" s="1336"/>
      <c r="P169" s="1339"/>
      <c r="Q169" s="1336"/>
      <c r="R169" s="1336"/>
      <c r="S169" s="1339"/>
      <c r="T169" s="1336"/>
      <c r="U169" s="1336"/>
      <c r="V169" s="1340"/>
      <c r="W169" s="1338"/>
      <c r="X169" s="1338"/>
      <c r="Y169" s="1339"/>
      <c r="Z169" s="1336"/>
      <c r="AA169" s="1334"/>
      <c r="AD169" s="1334"/>
      <c r="AE169" s="747"/>
      <c r="AF169" s="1339"/>
      <c r="AG169" s="1336"/>
      <c r="AH169" s="1336"/>
      <c r="AI169" s="1336"/>
      <c r="AJ169" s="1336"/>
      <c r="AK169" s="1334"/>
      <c r="AL169" s="1334"/>
      <c r="AM169" s="1336"/>
      <c r="AN169" s="1334"/>
      <c r="AO169" s="1339"/>
      <c r="AP169" s="1334"/>
      <c r="AQ169" s="1334"/>
      <c r="AR169" s="1298"/>
      <c r="AS169" s="1296"/>
      <c r="AT169" s="1297"/>
      <c r="AU169" s="1297"/>
      <c r="AV169" s="1297"/>
      <c r="AW169" s="1297"/>
      <c r="AX169" s="1297"/>
      <c r="AY169" s="1297"/>
      <c r="AZ169" s="532"/>
      <c r="BA169" s="532"/>
      <c r="BB169" s="532"/>
      <c r="BC169" s="532"/>
      <c r="BD169" s="532"/>
      <c r="BE169" s="532"/>
      <c r="BF169" s="532"/>
      <c r="BG169" s="532"/>
      <c r="BH169" s="532"/>
      <c r="BI169" s="532"/>
      <c r="BJ169" s="529"/>
      <c r="BK169" s="532"/>
      <c r="BL169" s="532"/>
      <c r="BM169" s="532"/>
      <c r="BQ169" s="956"/>
      <c r="BR169" s="956"/>
      <c r="BS169" s="956"/>
      <c r="BT169" s="956"/>
      <c r="BU169" s="956"/>
      <c r="BV169" s="956"/>
    </row>
    <row r="170" spans="1:74" s="872" customFormat="1" ht="18">
      <c r="A170" s="1385" t="s">
        <v>1904</v>
      </c>
      <c r="B170" s="1369"/>
      <c r="C170" s="1369"/>
      <c r="D170" s="1369"/>
      <c r="E170" s="1369"/>
      <c r="F170" s="1369"/>
      <c r="G170" s="1369"/>
      <c r="H170" s="1386"/>
      <c r="I170" s="1370"/>
      <c r="J170" s="1369"/>
      <c r="K170" s="1369"/>
      <c r="L170" s="1386"/>
      <c r="M170" s="1370" t="s">
        <v>535</v>
      </c>
      <c r="N170" s="1370"/>
      <c r="O170" s="1336"/>
      <c r="P170" s="1370" t="s">
        <v>536</v>
      </c>
      <c r="Q170" s="1370"/>
      <c r="R170" s="1336"/>
      <c r="S170" s="1370" t="s">
        <v>537</v>
      </c>
      <c r="T170" s="1370"/>
      <c r="U170" s="1336"/>
      <c r="V170" s="1340"/>
      <c r="W170" s="1338"/>
      <c r="X170" s="1338"/>
      <c r="Y170" s="1370" t="s">
        <v>538</v>
      </c>
      <c r="Z170" s="1370"/>
      <c r="AA170" s="1334"/>
      <c r="AD170" s="1334"/>
      <c r="AE170" s="747"/>
      <c r="AF170" s="1370" t="s">
        <v>1959</v>
      </c>
      <c r="AG170" s="1370"/>
      <c r="AH170" s="1336"/>
      <c r="AI170" s="1336"/>
      <c r="AJ170" s="1336"/>
      <c r="AK170" s="1334"/>
      <c r="AL170" s="1334"/>
      <c r="AM170" s="1336"/>
      <c r="AN170" s="1334"/>
      <c r="AO170" s="1339"/>
      <c r="AP170" s="1334"/>
      <c r="AQ170" s="1334"/>
      <c r="AR170" s="1298"/>
      <c r="AS170" s="1296"/>
      <c r="AT170" s="1297"/>
      <c r="AU170" s="1297"/>
      <c r="AV170" s="1297"/>
      <c r="AW170" s="1297"/>
      <c r="AX170" s="1297"/>
      <c r="AY170" s="1297"/>
      <c r="AZ170" s="532"/>
      <c r="BA170" s="532"/>
      <c r="BB170" s="532"/>
      <c r="BC170" s="532"/>
      <c r="BD170" s="532"/>
      <c r="BE170" s="532"/>
      <c r="BF170" s="532"/>
      <c r="BG170" s="532"/>
      <c r="BH170" s="532"/>
      <c r="BI170" s="532"/>
      <c r="BJ170" s="529"/>
      <c r="BK170" s="532"/>
      <c r="BL170" s="532"/>
      <c r="BM170" s="532"/>
      <c r="BQ170" s="956"/>
      <c r="BR170" s="956"/>
      <c r="BS170" s="956"/>
      <c r="BT170" s="956"/>
      <c r="BU170" s="956"/>
      <c r="BV170" s="956"/>
    </row>
    <row r="171" spans="1:74" s="872" customFormat="1" ht="18">
      <c r="A171" s="1334" t="s">
        <v>1868</v>
      </c>
      <c r="B171" s="1334"/>
      <c r="C171" s="1334"/>
      <c r="D171" s="1334"/>
      <c r="E171" s="1334"/>
      <c r="F171" s="1334"/>
      <c r="G171" s="1334"/>
      <c r="H171" s="1339"/>
      <c r="I171" s="1336"/>
      <c r="J171" s="1334"/>
      <c r="K171" s="1334"/>
      <c r="L171" s="1339"/>
      <c r="M171" s="1334">
        <v>5540000</v>
      </c>
      <c r="N171" s="1336"/>
      <c r="O171" s="1336"/>
      <c r="P171" s="1334">
        <v>3798000</v>
      </c>
      <c r="Q171" s="1336"/>
      <c r="R171" s="1336"/>
      <c r="S171" s="1334">
        <v>6480000</v>
      </c>
      <c r="T171" s="1336"/>
      <c r="U171" s="1336"/>
      <c r="V171" s="1340"/>
      <c r="W171" s="1338"/>
      <c r="X171" s="1338"/>
      <c r="Y171" s="1334">
        <v>12835475</v>
      </c>
      <c r="Z171" s="1336"/>
      <c r="AA171" s="1334"/>
      <c r="AD171" s="1334"/>
      <c r="AE171" s="747"/>
      <c r="AF171" s="1334">
        <v>0</v>
      </c>
      <c r="AG171" s="1336"/>
      <c r="AH171" s="1336"/>
      <c r="AI171" s="1336"/>
      <c r="AJ171" s="1336"/>
      <c r="AK171" s="1334"/>
      <c r="AL171" s="1334"/>
      <c r="AM171" s="1336"/>
      <c r="AN171" s="1334"/>
      <c r="AO171" s="1339"/>
      <c r="AP171" s="1334"/>
      <c r="AQ171" s="1334"/>
      <c r="AR171" s="1298"/>
      <c r="AS171" s="1296"/>
      <c r="AT171" s="1297"/>
      <c r="AU171" s="1297"/>
      <c r="AV171" s="1297"/>
      <c r="AW171" s="1297"/>
      <c r="AX171" s="1297"/>
      <c r="AY171" s="1297"/>
      <c r="AZ171" s="532"/>
      <c r="BA171" s="532"/>
      <c r="BB171" s="532"/>
      <c r="BC171" s="532"/>
      <c r="BD171" s="532"/>
      <c r="BE171" s="532"/>
      <c r="BF171" s="532"/>
      <c r="BG171" s="532"/>
      <c r="BH171" s="532"/>
      <c r="BI171" s="532"/>
      <c r="BJ171" s="529"/>
      <c r="BK171" s="532"/>
      <c r="BL171" s="532"/>
      <c r="BM171" s="532"/>
      <c r="BQ171" s="956"/>
      <c r="BR171" s="956"/>
      <c r="BS171" s="956"/>
      <c r="BT171" s="956"/>
      <c r="BU171" s="956"/>
      <c r="BV171" s="956"/>
    </row>
    <row r="172" spans="1:74" s="872" customFormat="1" ht="18">
      <c r="A172" s="1334" t="s">
        <v>1848</v>
      </c>
      <c r="B172" s="1354"/>
      <c r="C172" s="1334"/>
      <c r="D172" s="1334"/>
      <c r="E172" s="1334"/>
      <c r="F172" s="1334"/>
      <c r="G172" s="1334"/>
      <c r="H172" s="1339"/>
      <c r="I172" s="1336"/>
      <c r="J172" s="1334"/>
      <c r="K172" s="1334"/>
      <c r="L172" s="1339"/>
      <c r="M172" s="1334">
        <v>2835709</v>
      </c>
      <c r="N172" s="1336"/>
      <c r="O172" s="1336"/>
      <c r="P172" s="1334">
        <v>3525085</v>
      </c>
      <c r="Q172" s="1336"/>
      <c r="R172" s="1336"/>
      <c r="S172" s="1334">
        <v>4414803</v>
      </c>
      <c r="T172" s="1336"/>
      <c r="U172" s="1336"/>
      <c r="V172" s="1340"/>
      <c r="W172" s="1338"/>
      <c r="X172" s="1338"/>
      <c r="Y172" s="1334">
        <v>4524088</v>
      </c>
      <c r="Z172" s="1336"/>
      <c r="AA172" s="1334"/>
      <c r="AD172" s="1334"/>
      <c r="AE172" s="747"/>
      <c r="AF172" s="1334">
        <v>118767228</v>
      </c>
      <c r="AG172" s="1336"/>
      <c r="AH172" s="1336"/>
      <c r="AI172" s="1336"/>
      <c r="AJ172" s="1336"/>
      <c r="AK172" s="1334"/>
      <c r="AL172" s="1334"/>
      <c r="AM172" s="1336"/>
      <c r="AN172" s="1334"/>
      <c r="AO172" s="1339"/>
      <c r="AP172" s="1334"/>
      <c r="AQ172" s="1334"/>
      <c r="AR172" s="1298"/>
      <c r="AS172" s="1296"/>
      <c r="AT172" s="1297"/>
      <c r="AU172" s="1297"/>
      <c r="AV172" s="1297"/>
      <c r="AW172" s="1297"/>
      <c r="AX172" s="1297"/>
      <c r="AY172" s="1297"/>
      <c r="AZ172" s="532"/>
      <c r="BA172" s="532"/>
      <c r="BB172" s="532"/>
      <c r="BC172" s="532"/>
      <c r="BD172" s="532"/>
      <c r="BE172" s="532"/>
      <c r="BF172" s="532"/>
      <c r="BG172" s="532"/>
      <c r="BH172" s="532"/>
      <c r="BI172" s="532"/>
      <c r="BJ172" s="529"/>
      <c r="BK172" s="532"/>
      <c r="BL172" s="532"/>
      <c r="BM172" s="532"/>
      <c r="BQ172" s="956"/>
      <c r="BR172" s="956"/>
      <c r="BS172" s="956"/>
      <c r="BT172" s="956"/>
      <c r="BU172" s="956"/>
      <c r="BV172" s="956"/>
    </row>
    <row r="173" spans="1:74" s="872" customFormat="1" ht="18">
      <c r="A173" s="1334" t="s">
        <v>1858</v>
      </c>
      <c r="B173" s="1334"/>
      <c r="C173" s="1334"/>
      <c r="D173" s="1334"/>
      <c r="E173" s="1334"/>
      <c r="F173" s="1334"/>
      <c r="G173" s="1334"/>
      <c r="H173" s="1339"/>
      <c r="I173" s="1336"/>
      <c r="J173" s="1334"/>
      <c r="K173" s="1334"/>
      <c r="L173" s="1339"/>
      <c r="M173" s="1334">
        <v>0</v>
      </c>
      <c r="N173" s="1336"/>
      <c r="O173" s="1336"/>
      <c r="P173" s="1334">
        <v>0</v>
      </c>
      <c r="Q173" s="1336"/>
      <c r="R173" s="1336"/>
      <c r="S173" s="1334">
        <v>0</v>
      </c>
      <c r="T173" s="1336"/>
      <c r="U173" s="1336"/>
      <c r="V173" s="1340"/>
      <c r="W173" s="1338"/>
      <c r="X173" s="1338"/>
      <c r="Y173" s="1334">
        <v>0</v>
      </c>
      <c r="Z173" s="1336"/>
      <c r="AA173" s="1334"/>
      <c r="AD173" s="1334"/>
      <c r="AE173" s="747"/>
      <c r="AF173" s="1334">
        <v>-93458944</v>
      </c>
      <c r="AG173" s="1336"/>
      <c r="AH173" s="1336"/>
      <c r="AI173" s="1336"/>
      <c r="AJ173" s="1336"/>
      <c r="AK173" s="1334"/>
      <c r="AL173" s="1334"/>
      <c r="AM173" s="1336"/>
      <c r="AN173" s="1334"/>
      <c r="AO173" s="1339"/>
      <c r="AP173" s="1334"/>
      <c r="AQ173" s="1334"/>
      <c r="AR173" s="1298"/>
      <c r="AS173" s="1296"/>
      <c r="AT173" s="1297"/>
      <c r="AU173" s="1297"/>
      <c r="AV173" s="1297"/>
      <c r="AW173" s="1297"/>
      <c r="AX173" s="1297"/>
      <c r="AY173" s="1297"/>
      <c r="AZ173" s="532"/>
      <c r="BA173" s="532"/>
      <c r="BB173" s="532"/>
      <c r="BC173" s="532"/>
      <c r="BD173" s="532"/>
      <c r="BE173" s="532"/>
      <c r="BF173" s="532"/>
      <c r="BG173" s="532"/>
      <c r="BH173" s="532"/>
      <c r="BI173" s="532"/>
      <c r="BJ173" s="529"/>
      <c r="BK173" s="532"/>
      <c r="BL173" s="532"/>
      <c r="BM173" s="532"/>
      <c r="BQ173" s="956"/>
      <c r="BR173" s="956"/>
      <c r="BS173" s="956"/>
      <c r="BT173" s="956"/>
      <c r="BU173" s="956"/>
      <c r="BV173" s="956"/>
    </row>
    <row r="174" spans="1:74" s="872" customFormat="1" ht="18">
      <c r="A174" s="1334" t="s">
        <v>1905</v>
      </c>
      <c r="B174" s="1334"/>
      <c r="C174" s="1334"/>
      <c r="D174" s="1334"/>
      <c r="E174" s="1334"/>
      <c r="F174" s="1334"/>
      <c r="G174" s="1334"/>
      <c r="H174" s="1339"/>
      <c r="I174" s="1336"/>
      <c r="J174" s="1334"/>
      <c r="K174" s="1334"/>
      <c r="L174" s="1339"/>
      <c r="M174" s="1334">
        <v>0</v>
      </c>
      <c r="N174" s="1336"/>
      <c r="O174" s="1336"/>
      <c r="P174" s="1334">
        <v>0</v>
      </c>
      <c r="Q174" s="1336"/>
      <c r="R174" s="1336"/>
      <c r="S174" s="1334">
        <v>0</v>
      </c>
      <c r="T174" s="1336"/>
      <c r="U174" s="1336"/>
      <c r="V174" s="1340"/>
      <c r="W174" s="1338"/>
      <c r="X174" s="1338"/>
      <c r="Y174" s="1334">
        <v>0</v>
      </c>
      <c r="Z174" s="1336"/>
      <c r="AA174" s="1334"/>
      <c r="AD174" s="1334"/>
      <c r="AE174" s="747"/>
      <c r="AF174" s="1334">
        <v>0</v>
      </c>
      <c r="AG174" s="1336"/>
      <c r="AH174" s="1336"/>
      <c r="AI174" s="1336"/>
      <c r="AJ174" s="1336"/>
      <c r="AK174" s="1334"/>
      <c r="AL174" s="1334"/>
      <c r="AM174" s="1336"/>
      <c r="AN174" s="1334"/>
      <c r="AO174" s="1339"/>
      <c r="AP174" s="1334"/>
      <c r="AQ174" s="1334"/>
      <c r="AR174" s="1298"/>
      <c r="AS174" s="1296"/>
      <c r="AT174" s="1297"/>
      <c r="AU174" s="1297"/>
      <c r="AV174" s="1297"/>
      <c r="AW174" s="1297"/>
      <c r="AX174" s="1297"/>
      <c r="AY174" s="1297"/>
      <c r="AZ174" s="532"/>
      <c r="BA174" s="532"/>
      <c r="BB174" s="532"/>
      <c r="BC174" s="532"/>
      <c r="BD174" s="532"/>
      <c r="BE174" s="532"/>
      <c r="BF174" s="532"/>
      <c r="BG174" s="532"/>
      <c r="BH174" s="532"/>
      <c r="BI174" s="532"/>
      <c r="BJ174" s="529"/>
      <c r="BK174" s="532"/>
      <c r="BL174" s="532"/>
      <c r="BM174" s="532"/>
      <c r="BQ174" s="956"/>
      <c r="BR174" s="956"/>
      <c r="BS174" s="956"/>
      <c r="BT174" s="956"/>
      <c r="BU174" s="956"/>
      <c r="BV174" s="956"/>
    </row>
    <row r="175" spans="1:74" s="872" customFormat="1" ht="18">
      <c r="A175" s="1334" t="s">
        <v>1906</v>
      </c>
      <c r="B175" s="1334"/>
      <c r="C175" s="1334"/>
      <c r="D175" s="1334"/>
      <c r="E175" s="1334"/>
      <c r="F175" s="1334"/>
      <c r="G175" s="1334"/>
      <c r="H175" s="1339"/>
      <c r="I175" s="1336"/>
      <c r="J175" s="1334"/>
      <c r="K175" s="1334"/>
      <c r="L175" s="1339"/>
      <c r="M175" s="1380">
        <v>8375709</v>
      </c>
      <c r="N175" s="1336"/>
      <c r="O175" s="1336"/>
      <c r="P175" s="1380">
        <v>7323085</v>
      </c>
      <c r="Q175" s="1336"/>
      <c r="R175" s="1336"/>
      <c r="S175" s="1380">
        <v>10894803</v>
      </c>
      <c r="T175" s="1336"/>
      <c r="U175" s="1336"/>
      <c r="V175" s="1340"/>
      <c r="W175" s="1338"/>
      <c r="X175" s="1338"/>
      <c r="Y175" s="1380">
        <v>17359563</v>
      </c>
      <c r="Z175" s="1336"/>
      <c r="AA175" s="1334"/>
      <c r="AD175" s="1334"/>
      <c r="AE175" s="747"/>
      <c r="AF175" s="1380">
        <v>25308284</v>
      </c>
      <c r="AG175" s="1336"/>
      <c r="AH175" s="1336"/>
      <c r="AI175" s="1336"/>
      <c r="AJ175" s="1336"/>
      <c r="AK175" s="1334"/>
      <c r="AL175" s="1334"/>
      <c r="AM175" s="1336"/>
      <c r="AN175" s="1334"/>
      <c r="AO175" s="1339"/>
      <c r="AP175" s="1334"/>
      <c r="AQ175" s="1334"/>
      <c r="AR175" s="1298"/>
      <c r="AS175" s="1296"/>
      <c r="AT175" s="1297"/>
      <c r="AU175" s="1297"/>
      <c r="AV175" s="1297"/>
      <c r="AW175" s="1297"/>
      <c r="AX175" s="1297"/>
      <c r="AY175" s="1297"/>
      <c r="AZ175" s="532"/>
      <c r="BA175" s="532"/>
      <c r="BB175" s="532"/>
      <c r="BC175" s="532"/>
      <c r="BD175" s="532"/>
      <c r="BE175" s="532"/>
      <c r="BF175" s="532"/>
      <c r="BG175" s="532"/>
      <c r="BH175" s="532"/>
      <c r="BI175" s="532"/>
      <c r="BJ175" s="529"/>
      <c r="BK175" s="532"/>
      <c r="BL175" s="532"/>
      <c r="BM175" s="532"/>
      <c r="BQ175" s="956"/>
      <c r="BR175" s="956"/>
      <c r="BS175" s="956"/>
      <c r="BT175" s="956"/>
      <c r="BU175" s="956"/>
      <c r="BV175" s="956"/>
    </row>
    <row r="176" spans="1:74" s="872" customFormat="1" ht="18">
      <c r="A176" s="1334" t="s">
        <v>1842</v>
      </c>
      <c r="B176" s="1334"/>
      <c r="C176" s="1334"/>
      <c r="D176" s="1334"/>
      <c r="E176" s="1334"/>
      <c r="F176" s="1334"/>
      <c r="G176" s="1334"/>
      <c r="H176" s="1339"/>
      <c r="I176" s="1336"/>
      <c r="J176" s="1334"/>
      <c r="K176" s="1334"/>
      <c r="L176" s="1339"/>
      <c r="M176" s="1334">
        <v>4300000</v>
      </c>
      <c r="N176" s="1336"/>
      <c r="O176" s="1336"/>
      <c r="P176" s="1334">
        <v>3782000</v>
      </c>
      <c r="Q176" s="1336"/>
      <c r="R176" s="1336"/>
      <c r="S176" s="1334">
        <v>6480000</v>
      </c>
      <c r="T176" s="1336"/>
      <c r="U176" s="1336"/>
      <c r="V176" s="1340"/>
      <c r="W176" s="1338"/>
      <c r="X176" s="1338"/>
      <c r="Y176" s="1334">
        <v>10317000</v>
      </c>
      <c r="Z176" s="1336"/>
      <c r="AA176" s="1334"/>
      <c r="AD176" s="1334"/>
      <c r="AE176" s="747"/>
      <c r="AF176" s="1334">
        <v>25360784</v>
      </c>
      <c r="AG176" s="1336"/>
      <c r="AH176" s="1336"/>
      <c r="AI176" s="1336"/>
      <c r="AJ176" s="1336"/>
      <c r="AK176" s="1334"/>
      <c r="AL176" s="1334"/>
      <c r="AM176" s="1336"/>
      <c r="AN176" s="1334"/>
      <c r="AO176" s="1339"/>
      <c r="AP176" s="1334"/>
      <c r="AQ176" s="1334"/>
      <c r="AR176" s="1298"/>
      <c r="AS176" s="1296"/>
      <c r="AT176" s="1297"/>
      <c r="AU176" s="1297"/>
      <c r="AV176" s="1297"/>
      <c r="AW176" s="1297"/>
      <c r="AX176" s="1297"/>
      <c r="AY176" s="1297"/>
      <c r="AZ176" s="532"/>
      <c r="BA176" s="532"/>
      <c r="BB176" s="532"/>
      <c r="BC176" s="532"/>
      <c r="BD176" s="532"/>
      <c r="BE176" s="532"/>
      <c r="BF176" s="532"/>
      <c r="BG176" s="532"/>
      <c r="BH176" s="532"/>
      <c r="BI176" s="532"/>
      <c r="BJ176" s="529"/>
      <c r="BK176" s="532"/>
      <c r="BL176" s="532"/>
      <c r="BM176" s="532"/>
      <c r="BQ176" s="956"/>
      <c r="BR176" s="956"/>
      <c r="BS176" s="956"/>
      <c r="BT176" s="956"/>
      <c r="BU176" s="956"/>
      <c r="BV176" s="956"/>
    </row>
    <row r="177" spans="1:74" s="872" customFormat="1" ht="18">
      <c r="A177" s="1334" t="s">
        <v>1896</v>
      </c>
      <c r="B177" s="1334"/>
      <c r="C177" s="1334"/>
      <c r="D177" s="1334"/>
      <c r="E177" s="1334"/>
      <c r="F177" s="1334"/>
      <c r="G177" s="1334"/>
      <c r="H177" s="1339"/>
      <c r="I177" s="1336"/>
      <c r="J177" s="1334"/>
      <c r="K177" s="1334"/>
      <c r="L177" s="1339"/>
      <c r="M177" s="1334">
        <v>2999929</v>
      </c>
      <c r="N177" s="1336"/>
      <c r="P177" s="1334">
        <v>3699280</v>
      </c>
      <c r="Q177" s="1336"/>
      <c r="R177" s="1336"/>
      <c r="S177" s="1334">
        <v>4735904</v>
      </c>
      <c r="T177" s="1336"/>
      <c r="U177" s="1336"/>
      <c r="V177" s="1340"/>
      <c r="W177" s="1338"/>
      <c r="X177" s="1338"/>
      <c r="Y177" s="1334">
        <v>4803289</v>
      </c>
      <c r="Z177" s="1336"/>
      <c r="AA177" s="1334"/>
      <c r="AD177" s="1334"/>
      <c r="AE177" s="747"/>
      <c r="AF177" s="1334">
        <v>0</v>
      </c>
      <c r="AG177" s="1336"/>
      <c r="AH177" s="1336"/>
      <c r="AI177" s="1336"/>
      <c r="AJ177" s="1336"/>
      <c r="AK177" s="1334"/>
      <c r="AL177" s="1334"/>
      <c r="AM177" s="1336"/>
      <c r="AN177" s="1334"/>
      <c r="AO177" s="1339"/>
      <c r="AP177" s="1334"/>
      <c r="AQ177" s="1334"/>
      <c r="AR177" s="1298"/>
      <c r="AS177" s="1296"/>
      <c r="AT177" s="1297"/>
      <c r="AU177" s="1297"/>
      <c r="AV177" s="1297"/>
      <c r="AW177" s="1297"/>
      <c r="AX177" s="1297"/>
      <c r="AY177" s="1297"/>
      <c r="AZ177" s="532"/>
      <c r="BA177" s="532"/>
      <c r="BB177" s="532"/>
      <c r="BC177" s="532"/>
      <c r="BD177" s="532"/>
      <c r="BE177" s="532"/>
      <c r="BF177" s="532"/>
      <c r="BG177" s="532"/>
      <c r="BH177" s="532"/>
      <c r="BI177" s="532"/>
      <c r="BJ177" s="529"/>
      <c r="BK177" s="532"/>
      <c r="BL177" s="532"/>
      <c r="BM177" s="532"/>
      <c r="BQ177" s="956"/>
      <c r="BR177" s="956"/>
      <c r="BS177" s="956"/>
      <c r="BT177" s="956"/>
      <c r="BU177" s="956"/>
      <c r="BV177" s="956"/>
    </row>
    <row r="178" spans="1:74" s="872" customFormat="1" ht="18">
      <c r="A178" s="1387" t="s">
        <v>1907</v>
      </c>
      <c r="B178" s="1334"/>
      <c r="C178" s="1334"/>
      <c r="D178" s="1334"/>
      <c r="E178" s="1334"/>
      <c r="F178" s="1334"/>
      <c r="G178" s="1334"/>
      <c r="H178" s="1339"/>
      <c r="I178" s="1336"/>
      <c r="J178" s="1334"/>
      <c r="K178" s="1334"/>
      <c r="L178" s="1339"/>
      <c r="M178" s="1334">
        <v>0</v>
      </c>
      <c r="N178" s="1336"/>
      <c r="O178" s="1336"/>
      <c r="P178" s="1334">
        <v>0</v>
      </c>
      <c r="Q178" s="1336"/>
      <c r="R178" s="1336"/>
      <c r="S178" s="1334">
        <v>0</v>
      </c>
      <c r="T178" s="1336"/>
      <c r="U178" s="1336"/>
      <c r="V178" s="1340"/>
      <c r="W178" s="1338"/>
      <c r="X178" s="1338"/>
      <c r="Y178" s="1334">
        <v>0</v>
      </c>
      <c r="Z178" s="1336"/>
      <c r="AA178" s="1334"/>
      <c r="AD178" s="1334"/>
      <c r="AE178" s="747"/>
      <c r="AF178" s="1334">
        <v>0</v>
      </c>
      <c r="AG178" s="1336"/>
      <c r="AH178" s="1336"/>
      <c r="AI178" s="1336"/>
      <c r="AJ178" s="1336"/>
      <c r="AK178" s="1334"/>
      <c r="AL178" s="1334"/>
      <c r="AM178" s="1336"/>
      <c r="AN178" s="1334"/>
      <c r="AO178" s="1339"/>
      <c r="AP178" s="1334"/>
      <c r="AQ178" s="1334"/>
      <c r="AR178" s="1298"/>
      <c r="AS178" s="1296"/>
      <c r="AT178" s="1297"/>
      <c r="AU178" s="1297"/>
      <c r="AV178" s="1297"/>
      <c r="AW178" s="1297"/>
      <c r="AX178" s="1297"/>
      <c r="AY178" s="1297"/>
      <c r="AZ178" s="532"/>
      <c r="BA178" s="532"/>
      <c r="BB178" s="532"/>
      <c r="BC178" s="532"/>
      <c r="BD178" s="532"/>
      <c r="BE178" s="532"/>
      <c r="BF178" s="532"/>
      <c r="BG178" s="532"/>
      <c r="BH178" s="532"/>
      <c r="BI178" s="532"/>
      <c r="BJ178" s="529"/>
      <c r="BK178" s="532"/>
      <c r="BL178" s="532"/>
      <c r="BM178" s="532"/>
      <c r="BQ178" s="956"/>
      <c r="BR178" s="956"/>
      <c r="BS178" s="956"/>
      <c r="BT178" s="956"/>
      <c r="BU178" s="956"/>
      <c r="BV178" s="956"/>
    </row>
    <row r="179" spans="1:74" s="872" customFormat="1" ht="18">
      <c r="A179" s="1334" t="s">
        <v>1877</v>
      </c>
      <c r="B179" s="1334"/>
      <c r="C179" s="1334"/>
      <c r="D179" s="1334"/>
      <c r="E179" s="1334"/>
      <c r="F179" s="1334"/>
      <c r="G179" s="1334"/>
      <c r="H179" s="1339"/>
      <c r="I179" s="1336"/>
      <c r="J179" s="1334"/>
      <c r="K179" s="1334"/>
      <c r="L179" s="1339"/>
      <c r="M179" s="1334">
        <v>60000</v>
      </c>
      <c r="N179" s="1336"/>
      <c r="O179" s="1336"/>
      <c r="P179" s="1334">
        <v>16000</v>
      </c>
      <c r="Q179" s="1336"/>
      <c r="R179" s="1336"/>
      <c r="S179" s="1334">
        <v>-40000</v>
      </c>
      <c r="T179" s="1336"/>
      <c r="U179" s="1336"/>
      <c r="V179" s="1340"/>
      <c r="W179" s="1338"/>
      <c r="X179" s="1338"/>
      <c r="Y179" s="1334">
        <v>270975</v>
      </c>
      <c r="Z179" s="1336"/>
      <c r="AA179" s="1334"/>
      <c r="AD179" s="1334"/>
      <c r="AE179" s="747"/>
      <c r="AF179" s="1334">
        <v>0</v>
      </c>
      <c r="AG179" s="1336"/>
      <c r="AH179" s="1336"/>
      <c r="AI179" s="1336"/>
      <c r="AJ179" s="1336"/>
      <c r="AK179" s="1334"/>
      <c r="AL179" s="1334"/>
      <c r="AM179" s="1336"/>
      <c r="AN179" s="1334"/>
      <c r="AO179" s="1339"/>
      <c r="AP179" s="1334"/>
      <c r="AQ179" s="1334"/>
      <c r="AR179" s="1298"/>
      <c r="AS179" s="1296"/>
      <c r="AT179" s="1297"/>
      <c r="AU179" s="1297"/>
      <c r="AV179" s="1297"/>
      <c r="AW179" s="1297"/>
      <c r="AX179" s="1297"/>
      <c r="AY179" s="1297"/>
      <c r="AZ179" s="532"/>
      <c r="BA179" s="532"/>
      <c r="BB179" s="532"/>
      <c r="BC179" s="532"/>
      <c r="BD179" s="532"/>
      <c r="BE179" s="532"/>
      <c r="BF179" s="532"/>
      <c r="BG179" s="532"/>
      <c r="BH179" s="532"/>
      <c r="BI179" s="532"/>
      <c r="BJ179" s="529"/>
      <c r="BK179" s="532"/>
      <c r="BL179" s="532"/>
      <c r="BM179" s="532"/>
      <c r="BQ179" s="956"/>
      <c r="BR179" s="956"/>
      <c r="BS179" s="956"/>
      <c r="BT179" s="956"/>
      <c r="BU179" s="956"/>
      <c r="BV179" s="956"/>
    </row>
    <row r="180" spans="1:74" s="872" customFormat="1" ht="18">
      <c r="A180" s="1334" t="s">
        <v>1908</v>
      </c>
      <c r="B180" s="1334"/>
      <c r="C180" s="1334"/>
      <c r="D180" s="1334"/>
      <c r="E180" s="1334"/>
      <c r="F180" s="1334"/>
      <c r="G180" s="1334"/>
      <c r="H180" s="1339"/>
      <c r="I180" s="1336"/>
      <c r="J180" s="1334"/>
      <c r="K180" s="1334"/>
      <c r="L180" s="1339"/>
      <c r="M180" s="1334">
        <v>0</v>
      </c>
      <c r="N180" s="1336"/>
      <c r="O180" s="1336"/>
      <c r="P180" s="1334">
        <v>0</v>
      </c>
      <c r="Q180" s="1336"/>
      <c r="R180" s="1336"/>
      <c r="S180" s="1334">
        <v>0</v>
      </c>
      <c r="T180" s="1336"/>
      <c r="U180" s="1336"/>
      <c r="V180" s="1340"/>
      <c r="W180" s="1338"/>
      <c r="X180" s="1338"/>
      <c r="Y180" s="1334">
        <v>0</v>
      </c>
      <c r="Z180" s="1336"/>
      <c r="AA180" s="1334"/>
      <c r="AD180" s="1334"/>
      <c r="AE180" s="747"/>
      <c r="AF180" s="1334">
        <v>278313</v>
      </c>
      <c r="AG180" s="1336"/>
      <c r="AH180" s="1336"/>
      <c r="AI180" s="1336"/>
      <c r="AJ180" s="1336"/>
      <c r="AK180" s="1334"/>
      <c r="AL180" s="1334"/>
      <c r="AM180" s="1336"/>
      <c r="AN180" s="1334"/>
      <c r="AO180" s="1339"/>
      <c r="AP180" s="1334"/>
      <c r="AQ180" s="1334"/>
      <c r="AR180" s="1298"/>
      <c r="AS180" s="1296"/>
      <c r="AT180" s="1297"/>
      <c r="AU180" s="1297"/>
      <c r="AV180" s="1297"/>
      <c r="AW180" s="1297"/>
      <c r="AX180" s="1297"/>
      <c r="AY180" s="1297"/>
      <c r="AZ180" s="532"/>
      <c r="BA180" s="532"/>
      <c r="BB180" s="532"/>
      <c r="BC180" s="532"/>
      <c r="BD180" s="532"/>
      <c r="BE180" s="532"/>
      <c r="BF180" s="532"/>
      <c r="BG180" s="532"/>
      <c r="BH180" s="532"/>
      <c r="BI180" s="532"/>
      <c r="BJ180" s="529"/>
      <c r="BK180" s="532"/>
      <c r="BL180" s="532"/>
      <c r="BM180" s="532"/>
      <c r="BQ180" s="956"/>
      <c r="BR180" s="956"/>
      <c r="BS180" s="956"/>
      <c r="BT180" s="956"/>
      <c r="BU180" s="956"/>
      <c r="BV180" s="956"/>
    </row>
    <row r="181" spans="1:74" s="872" customFormat="1" ht="18">
      <c r="A181" s="1335" t="s">
        <v>1837</v>
      </c>
      <c r="B181" s="1334"/>
      <c r="C181" s="1334"/>
      <c r="D181" s="1334"/>
      <c r="E181" s="1334"/>
      <c r="F181" s="1334"/>
      <c r="G181" s="1334"/>
      <c r="H181" s="1339"/>
      <c r="I181" s="1336"/>
      <c r="J181" s="1334"/>
      <c r="K181" s="1334"/>
      <c r="L181" s="1339"/>
      <c r="M181" s="1334">
        <v>1015780</v>
      </c>
      <c r="N181" s="1336"/>
      <c r="O181" s="1336"/>
      <c r="P181" s="1334">
        <v>-174195</v>
      </c>
      <c r="Q181" s="1336"/>
      <c r="R181" s="1336"/>
      <c r="S181" s="1334">
        <v>-281101</v>
      </c>
      <c r="T181" s="1336"/>
      <c r="U181" s="1336"/>
      <c r="V181" s="1340"/>
      <c r="W181" s="1338"/>
      <c r="X181" s="1338"/>
      <c r="Y181" s="1334">
        <v>1968299</v>
      </c>
      <c r="Z181" s="1336"/>
      <c r="AA181" s="1334"/>
      <c r="AD181" s="1334"/>
      <c r="AE181" s="747"/>
      <c r="AF181" s="1334">
        <v>-980176</v>
      </c>
      <c r="AG181" s="1336"/>
      <c r="AH181" s="1336"/>
      <c r="AI181" s="1336"/>
      <c r="AJ181" s="1336"/>
      <c r="AK181" s="1334"/>
      <c r="AL181" s="1334"/>
      <c r="AM181" s="1336"/>
      <c r="AN181" s="1334"/>
      <c r="AO181" s="1339"/>
      <c r="AP181" s="1334"/>
      <c r="AQ181" s="1334"/>
      <c r="AR181" s="1298"/>
      <c r="AS181" s="1296"/>
      <c r="AT181" s="1297"/>
      <c r="AU181" s="1297"/>
      <c r="AV181" s="1297"/>
      <c r="AW181" s="1297"/>
      <c r="AX181" s="1297"/>
      <c r="AY181" s="1297"/>
      <c r="AZ181" s="532"/>
      <c r="BA181" s="532"/>
      <c r="BB181" s="532"/>
      <c r="BC181" s="532"/>
      <c r="BD181" s="532"/>
      <c r="BE181" s="532"/>
      <c r="BF181" s="532"/>
      <c r="BG181" s="532"/>
      <c r="BH181" s="532"/>
      <c r="BI181" s="532"/>
      <c r="BJ181" s="529"/>
      <c r="BK181" s="532"/>
      <c r="BL181" s="532"/>
      <c r="BM181" s="532"/>
      <c r="BQ181" s="956"/>
      <c r="BR181" s="956"/>
      <c r="BS181" s="956"/>
      <c r="BT181" s="956"/>
      <c r="BU181" s="956"/>
      <c r="BV181" s="956"/>
    </row>
    <row r="182" spans="1:74" s="872" customFormat="1" ht="18">
      <c r="A182" s="1334" t="s">
        <v>1909</v>
      </c>
      <c r="B182" s="1334"/>
      <c r="C182" s="1334"/>
      <c r="D182" s="1334"/>
      <c r="E182" s="1334"/>
      <c r="F182" s="1334"/>
      <c r="G182" s="1334"/>
      <c r="H182" s="1339"/>
      <c r="I182" s="1336"/>
      <c r="J182" s="1334"/>
      <c r="K182" s="1334"/>
      <c r="L182" s="1339"/>
      <c r="M182" s="1380">
        <v>8375709</v>
      </c>
      <c r="N182" s="1336">
        <v>0</v>
      </c>
      <c r="O182" s="1336"/>
      <c r="P182" s="1380">
        <v>7323085</v>
      </c>
      <c r="Q182" s="1336">
        <v>0</v>
      </c>
      <c r="R182" s="1336"/>
      <c r="S182" s="1380">
        <v>10894803</v>
      </c>
      <c r="T182" s="1336">
        <v>0</v>
      </c>
      <c r="U182" s="1336"/>
      <c r="V182" s="1340"/>
      <c r="W182" s="1338"/>
      <c r="X182" s="1338"/>
      <c r="Y182" s="1380">
        <v>17359563</v>
      </c>
      <c r="Z182" s="1336">
        <v>0</v>
      </c>
      <c r="AA182" s="1334"/>
      <c r="AD182" s="1334"/>
      <c r="AE182" s="747"/>
      <c r="AF182" s="1380">
        <v>24658921</v>
      </c>
      <c r="AG182" s="1336">
        <v>649363</v>
      </c>
      <c r="AH182" s="1336"/>
      <c r="AI182" s="1336"/>
      <c r="AJ182" s="1336"/>
      <c r="AK182" s="1334"/>
      <c r="AL182" s="1334"/>
      <c r="AM182" s="1336"/>
      <c r="AN182" s="1334"/>
      <c r="AO182" s="1339"/>
      <c r="AP182" s="1334"/>
      <c r="AQ182" s="1334"/>
      <c r="AR182" s="1298"/>
      <c r="AS182" s="1296"/>
      <c r="AT182" s="1297"/>
      <c r="AU182" s="1297"/>
      <c r="AV182" s="1297"/>
      <c r="AW182" s="1297"/>
      <c r="AX182" s="1297"/>
      <c r="AY182" s="1297"/>
      <c r="AZ182" s="532"/>
      <c r="BA182" s="532"/>
      <c r="BB182" s="532"/>
      <c r="BC182" s="532"/>
      <c r="BD182" s="532"/>
      <c r="BE182" s="532"/>
      <c r="BF182" s="532"/>
      <c r="BG182" s="532"/>
      <c r="BH182" s="532"/>
      <c r="BI182" s="532"/>
      <c r="BJ182" s="529"/>
      <c r="BK182" s="532"/>
      <c r="BL182" s="532"/>
      <c r="BM182" s="532"/>
      <c r="BQ182" s="956"/>
      <c r="BR182" s="956"/>
      <c r="BS182" s="956"/>
      <c r="BT182" s="956"/>
      <c r="BU182" s="956"/>
      <c r="BV182" s="956"/>
    </row>
    <row r="183" spans="1:74" s="872" customFormat="1" ht="18">
      <c r="A183" s="1369"/>
      <c r="B183" s="1369"/>
      <c r="C183" s="1369"/>
      <c r="D183" s="1369"/>
      <c r="E183" s="1369"/>
      <c r="F183" s="1369"/>
      <c r="G183" s="1369"/>
      <c r="H183" s="1386"/>
      <c r="I183" s="1370"/>
      <c r="J183" s="1369"/>
      <c r="K183" s="1369"/>
      <c r="L183" s="1386"/>
      <c r="M183" s="1386"/>
      <c r="N183" s="1370"/>
      <c r="O183" s="1336"/>
      <c r="P183" s="1386"/>
      <c r="Q183" s="1370"/>
      <c r="R183" s="1336"/>
      <c r="S183" s="1386"/>
      <c r="T183" s="1370"/>
      <c r="U183" s="1336"/>
      <c r="V183" s="1340"/>
      <c r="W183" s="1338"/>
      <c r="X183" s="1338"/>
      <c r="Y183" s="1386"/>
      <c r="Z183" s="1370"/>
      <c r="AA183" s="1334"/>
      <c r="AD183" s="1334"/>
      <c r="AE183" s="747"/>
      <c r="AF183" s="1386"/>
      <c r="AG183" s="1370"/>
      <c r="AH183" s="1336"/>
      <c r="AI183" s="1336"/>
      <c r="AJ183" s="1336"/>
      <c r="AK183" s="1334"/>
      <c r="AL183" s="1334"/>
      <c r="AM183" s="1336"/>
      <c r="AN183" s="1334"/>
      <c r="AO183" s="1339"/>
      <c r="AP183" s="1334"/>
      <c r="AQ183" s="1334"/>
      <c r="AR183" s="1298"/>
      <c r="AS183" s="1296"/>
      <c r="AT183" s="1297"/>
      <c r="AU183" s="1297"/>
      <c r="AV183" s="1297"/>
      <c r="AW183" s="1297"/>
      <c r="AX183" s="1297"/>
      <c r="AY183" s="1297"/>
      <c r="AZ183" s="532"/>
      <c r="BA183" s="532"/>
      <c r="BB183" s="532"/>
      <c r="BC183" s="532"/>
      <c r="BD183" s="532"/>
      <c r="BE183" s="532"/>
      <c r="BF183" s="532"/>
      <c r="BG183" s="532"/>
      <c r="BH183" s="532"/>
      <c r="BI183" s="532"/>
      <c r="BJ183" s="529"/>
      <c r="BK183" s="532"/>
      <c r="BL183" s="532"/>
      <c r="BM183" s="532"/>
      <c r="BQ183" s="956"/>
      <c r="BR183" s="956"/>
      <c r="BS183" s="956"/>
      <c r="BT183" s="956"/>
      <c r="BU183" s="956"/>
      <c r="BV183" s="956"/>
    </row>
    <row r="184" spans="1:74" s="872" customFormat="1" ht="18">
      <c r="A184" s="1334"/>
      <c r="B184" s="1334"/>
      <c r="C184" s="1334"/>
      <c r="D184" s="1334"/>
      <c r="E184" s="1334"/>
      <c r="F184" s="1334"/>
      <c r="G184" s="1334"/>
      <c r="H184" s="1339"/>
      <c r="I184" s="1336"/>
      <c r="J184" s="1334"/>
      <c r="K184" s="1334"/>
      <c r="L184" s="1339"/>
      <c r="M184" s="1339"/>
      <c r="N184" s="1336"/>
      <c r="O184" s="1336"/>
      <c r="P184" s="1334"/>
      <c r="Q184" s="1336"/>
      <c r="R184" s="1336"/>
      <c r="S184" s="1336"/>
      <c r="T184" s="1336"/>
      <c r="U184" s="1336"/>
      <c r="V184" s="1340"/>
      <c r="W184" s="1338"/>
      <c r="X184" s="1338"/>
      <c r="Y184" s="1334"/>
      <c r="Z184" s="747"/>
      <c r="AA184" s="1334"/>
      <c r="AD184" s="1334"/>
      <c r="AE184" s="747"/>
      <c r="AF184" s="1334"/>
      <c r="AG184" s="1336"/>
      <c r="AH184" s="1336"/>
      <c r="AI184" s="1336"/>
      <c r="AJ184" s="1336"/>
      <c r="AK184" s="1334"/>
      <c r="AL184" s="1334"/>
      <c r="AM184" s="1336"/>
      <c r="AN184" s="1334"/>
      <c r="AO184" s="1339"/>
      <c r="AP184" s="1334"/>
      <c r="AQ184" s="1334"/>
      <c r="AR184" s="1298"/>
      <c r="AS184" s="1296"/>
      <c r="AT184" s="1297"/>
      <c r="AU184" s="1297"/>
      <c r="AV184" s="1297"/>
      <c r="AW184" s="1297"/>
      <c r="AX184" s="1297"/>
      <c r="AY184" s="1297"/>
      <c r="AZ184" s="532"/>
      <c r="BA184" s="532"/>
      <c r="BB184" s="532"/>
      <c r="BC184" s="532"/>
      <c r="BD184" s="532"/>
      <c r="BE184" s="532"/>
      <c r="BF184" s="532"/>
      <c r="BG184" s="532"/>
      <c r="BH184" s="532"/>
      <c r="BI184" s="532"/>
      <c r="BJ184" s="529"/>
      <c r="BK184" s="532"/>
      <c r="BL184" s="532"/>
      <c r="BM184" s="532"/>
      <c r="BQ184" s="956"/>
      <c r="BR184" s="956"/>
      <c r="BS184" s="956"/>
      <c r="BT184" s="956"/>
      <c r="BU184" s="956"/>
      <c r="BV184" s="956"/>
    </row>
    <row r="185" spans="1:74" s="872" customFormat="1" ht="18">
      <c r="A185" s="1334"/>
      <c r="B185" s="1334"/>
      <c r="C185" s="1334"/>
      <c r="D185" s="1334"/>
      <c r="E185" s="1334"/>
      <c r="F185" s="1334"/>
      <c r="G185" s="1334"/>
      <c r="H185" s="1339"/>
      <c r="I185" s="1336"/>
      <c r="J185" s="1334"/>
      <c r="K185" s="1334"/>
      <c r="L185" s="1339"/>
      <c r="M185" s="1339"/>
      <c r="N185" s="1336"/>
      <c r="O185" s="1336"/>
      <c r="P185" s="1334"/>
      <c r="Q185" s="1336"/>
      <c r="R185" s="1336"/>
      <c r="S185" s="1336"/>
      <c r="T185" s="1336"/>
      <c r="U185" s="1336"/>
      <c r="V185" s="1340"/>
      <c r="W185" s="1338"/>
      <c r="X185" s="1338"/>
      <c r="Y185" s="1334"/>
      <c r="Z185" s="747"/>
      <c r="AA185" s="1334"/>
      <c r="AD185" s="1334"/>
      <c r="AE185" s="747"/>
      <c r="AF185" s="1334"/>
      <c r="AG185" s="1336"/>
      <c r="AH185" s="1336"/>
      <c r="AI185" s="1336"/>
      <c r="AJ185" s="1336"/>
      <c r="AK185" s="1334"/>
      <c r="AL185" s="1334"/>
      <c r="AM185" s="1336"/>
      <c r="AN185" s="1334"/>
      <c r="AO185" s="1339"/>
      <c r="AP185" s="1334"/>
      <c r="AQ185" s="1334"/>
      <c r="AR185" s="1298"/>
      <c r="AS185" s="1296"/>
      <c r="AT185" s="1297"/>
      <c r="AU185" s="1297"/>
      <c r="AV185" s="1297"/>
      <c r="AW185" s="1297"/>
      <c r="AX185" s="1297"/>
      <c r="AY185" s="1297"/>
      <c r="AZ185" s="532"/>
      <c r="BA185" s="532"/>
      <c r="BB185" s="532"/>
      <c r="BC185" s="532"/>
      <c r="BD185" s="532"/>
      <c r="BE185" s="532"/>
      <c r="BF185" s="532"/>
      <c r="BG185" s="532"/>
      <c r="BH185" s="532"/>
      <c r="BI185" s="532"/>
      <c r="BJ185" s="529"/>
      <c r="BK185" s="532"/>
      <c r="BL185" s="532"/>
      <c r="BM185" s="532"/>
      <c r="BQ185" s="956"/>
      <c r="BR185" s="956"/>
      <c r="BS185" s="956"/>
      <c r="BT185" s="956"/>
      <c r="BU185" s="956"/>
      <c r="BV185" s="956"/>
    </row>
    <row r="186" spans="1:74" s="872" customFormat="1" ht="18">
      <c r="A186" s="1334"/>
      <c r="B186" s="1334"/>
      <c r="C186" s="1334"/>
      <c r="D186" s="1334"/>
      <c r="E186" s="1334"/>
      <c r="F186" s="1334"/>
      <c r="G186" s="1334"/>
      <c r="H186" s="1339"/>
      <c r="I186" s="1336"/>
      <c r="J186" s="1334"/>
      <c r="K186" s="1334"/>
      <c r="L186" s="1339"/>
      <c r="M186" s="1339"/>
      <c r="N186" s="1336"/>
      <c r="O186" s="1336"/>
      <c r="P186" s="1334"/>
      <c r="Q186" s="1336"/>
      <c r="R186" s="1336"/>
      <c r="S186" s="1336"/>
      <c r="T186" s="1336"/>
      <c r="U186" s="1336"/>
      <c r="V186" s="1340"/>
      <c r="W186" s="1338"/>
      <c r="X186" s="1338"/>
      <c r="Y186" s="1334"/>
      <c r="Z186" s="747"/>
      <c r="AA186" s="1334"/>
      <c r="AD186" s="1334"/>
      <c r="AE186" s="747"/>
      <c r="AF186" s="1334"/>
      <c r="AG186" s="1336"/>
      <c r="AH186" s="1336"/>
      <c r="AI186" s="1336"/>
      <c r="AJ186" s="1336"/>
      <c r="AK186" s="1334"/>
      <c r="AL186" s="1334"/>
      <c r="AM186" s="1336"/>
      <c r="AN186" s="1334"/>
      <c r="AO186" s="1339"/>
      <c r="AP186" s="1334"/>
      <c r="AQ186" s="1334"/>
      <c r="AR186" s="1298"/>
      <c r="AS186" s="1296"/>
      <c r="AT186" s="1297"/>
      <c r="AU186" s="1297"/>
      <c r="AV186" s="1297"/>
      <c r="AW186" s="1297"/>
      <c r="AX186" s="1297"/>
      <c r="AY186" s="1297"/>
      <c r="AZ186" s="532"/>
      <c r="BA186" s="532"/>
      <c r="BB186" s="532"/>
      <c r="BC186" s="532"/>
      <c r="BD186" s="532"/>
      <c r="BE186" s="532"/>
      <c r="BF186" s="532"/>
      <c r="BG186" s="532"/>
      <c r="BH186" s="532"/>
      <c r="BI186" s="532"/>
      <c r="BJ186" s="529"/>
      <c r="BK186" s="532"/>
      <c r="BL186" s="532"/>
      <c r="BM186" s="532"/>
      <c r="BQ186" s="956"/>
      <c r="BR186" s="956"/>
      <c r="BS186" s="956"/>
      <c r="BT186" s="956"/>
      <c r="BU186" s="956"/>
      <c r="BV186" s="956"/>
    </row>
    <row r="187" spans="1:74" s="872" customFormat="1" ht="18">
      <c r="A187" s="1334"/>
      <c r="B187" s="1334"/>
      <c r="C187" s="1334"/>
      <c r="D187" s="1334"/>
      <c r="E187" s="1334"/>
      <c r="F187" s="1334"/>
      <c r="G187" s="1334"/>
      <c r="H187" s="1339"/>
      <c r="I187" s="1336"/>
      <c r="J187" s="1334"/>
      <c r="K187" s="1334"/>
      <c r="L187" s="1339"/>
      <c r="M187" s="1339"/>
      <c r="N187" s="1336"/>
      <c r="O187" s="1336"/>
      <c r="P187" s="1334"/>
      <c r="Q187" s="1336"/>
      <c r="R187" s="1336"/>
      <c r="S187" s="1336"/>
      <c r="T187" s="1336"/>
      <c r="U187" s="1336"/>
      <c r="V187" s="1340"/>
      <c r="W187" s="1338"/>
      <c r="X187" s="1338"/>
      <c r="Y187" s="1334"/>
      <c r="Z187" s="747"/>
      <c r="AA187" s="1334"/>
      <c r="AD187" s="1334"/>
      <c r="AE187" s="747"/>
      <c r="AF187" s="1334"/>
      <c r="AG187" s="1336"/>
      <c r="AH187" s="1336"/>
      <c r="AI187" s="1336"/>
      <c r="AJ187" s="1336"/>
      <c r="AK187" s="1334"/>
      <c r="AL187" s="1334"/>
      <c r="AM187" s="1336"/>
      <c r="AN187" s="1334"/>
      <c r="AO187" s="1339"/>
      <c r="AP187" s="1334"/>
      <c r="AQ187" s="1334"/>
      <c r="AR187" s="1298"/>
      <c r="AS187" s="1296"/>
      <c r="AT187" s="1297"/>
      <c r="AU187" s="1297"/>
      <c r="AV187" s="1297"/>
      <c r="AW187" s="1297"/>
      <c r="AX187" s="1297"/>
      <c r="AY187" s="1297"/>
      <c r="AZ187" s="532"/>
      <c r="BA187" s="532"/>
      <c r="BB187" s="532"/>
      <c r="BC187" s="532"/>
      <c r="BD187" s="532"/>
      <c r="BE187" s="532"/>
      <c r="BF187" s="532"/>
      <c r="BG187" s="532"/>
      <c r="BH187" s="532"/>
      <c r="BI187" s="532"/>
      <c r="BJ187" s="529"/>
      <c r="BK187" s="532"/>
      <c r="BL187" s="532"/>
      <c r="BM187" s="532"/>
      <c r="BQ187" s="956"/>
      <c r="BR187" s="956"/>
      <c r="BS187" s="956"/>
      <c r="BT187" s="956"/>
      <c r="BU187" s="956"/>
      <c r="BV187" s="956"/>
    </row>
    <row r="188" spans="1:74" s="872" customFormat="1" ht="18">
      <c r="A188" s="1334"/>
      <c r="B188" s="1334"/>
      <c r="C188" s="1334"/>
      <c r="D188" s="1334"/>
      <c r="E188" s="1334"/>
      <c r="F188" s="1334"/>
      <c r="G188" s="1334"/>
      <c r="H188" s="1339"/>
      <c r="I188" s="1336"/>
      <c r="J188" s="1334"/>
      <c r="K188" s="1334"/>
      <c r="L188" s="1339"/>
      <c r="M188" s="1339"/>
      <c r="N188" s="1336"/>
      <c r="O188" s="1336"/>
      <c r="P188" s="1334"/>
      <c r="Q188" s="1336"/>
      <c r="R188" s="1336"/>
      <c r="S188" s="1336"/>
      <c r="T188" s="1336"/>
      <c r="U188" s="1336"/>
      <c r="V188" s="1340"/>
      <c r="W188" s="1338"/>
      <c r="X188" s="1338"/>
      <c r="Y188" s="1334"/>
      <c r="Z188" s="747"/>
      <c r="AA188" s="1334"/>
      <c r="AD188" s="1334"/>
      <c r="AE188" s="747"/>
      <c r="AF188" s="1334"/>
      <c r="AG188" s="1336"/>
      <c r="AH188" s="1336"/>
      <c r="AI188" s="1336"/>
      <c r="AJ188" s="1336"/>
      <c r="AK188" s="1334"/>
      <c r="AL188" s="1334"/>
      <c r="AM188" s="1336"/>
      <c r="AN188" s="1334"/>
      <c r="AO188" s="1339"/>
      <c r="AP188" s="1334"/>
      <c r="AQ188" s="1334"/>
      <c r="AR188" s="1298"/>
      <c r="AS188" s="1296"/>
      <c r="AT188" s="1297"/>
      <c r="AU188" s="1297"/>
      <c r="AV188" s="1297"/>
      <c r="AW188" s="1297"/>
      <c r="AX188" s="1297"/>
      <c r="AY188" s="1297"/>
      <c r="AZ188" s="532"/>
      <c r="BA188" s="532"/>
      <c r="BB188" s="532"/>
      <c r="BC188" s="532"/>
      <c r="BD188" s="532"/>
      <c r="BE188" s="532"/>
      <c r="BF188" s="532"/>
      <c r="BG188" s="532"/>
      <c r="BH188" s="532"/>
      <c r="BI188" s="532"/>
      <c r="BJ188" s="529"/>
      <c r="BK188" s="532"/>
      <c r="BL188" s="532"/>
      <c r="BM188" s="532"/>
      <c r="BQ188" s="956"/>
      <c r="BR188" s="956"/>
      <c r="BS188" s="956"/>
      <c r="BT188" s="956"/>
      <c r="BU188" s="956"/>
      <c r="BV188" s="956"/>
    </row>
    <row r="189" spans="1:74" s="872" customFormat="1" ht="18">
      <c r="A189" s="1334"/>
      <c r="B189" s="1334"/>
      <c r="C189" s="1334"/>
      <c r="D189" s="1334"/>
      <c r="E189" s="1334"/>
      <c r="F189" s="1334"/>
      <c r="G189" s="1334"/>
      <c r="H189" s="1339"/>
      <c r="I189" s="1336"/>
      <c r="J189" s="1334"/>
      <c r="K189" s="1334"/>
      <c r="L189" s="1339"/>
      <c r="M189" s="1339"/>
      <c r="N189" s="1336"/>
      <c r="O189" s="1336"/>
      <c r="P189" s="1334"/>
      <c r="Q189" s="1336"/>
      <c r="R189" s="1336"/>
      <c r="S189" s="1336"/>
      <c r="T189" s="1336"/>
      <c r="U189" s="1336"/>
      <c r="V189" s="1340"/>
      <c r="W189" s="1338"/>
      <c r="X189" s="1338"/>
      <c r="Y189" s="1334"/>
      <c r="Z189" s="747"/>
      <c r="AA189" s="1334"/>
      <c r="AD189" s="1334"/>
      <c r="AE189" s="747"/>
      <c r="AF189" s="1334"/>
      <c r="AG189" s="1336"/>
      <c r="AH189" s="1336"/>
      <c r="AI189" s="1336"/>
      <c r="AJ189" s="1336"/>
      <c r="AK189" s="1334"/>
      <c r="AL189" s="1334"/>
      <c r="AM189" s="1336"/>
      <c r="AN189" s="1334"/>
      <c r="AO189" s="1339"/>
      <c r="AP189" s="1334"/>
      <c r="AQ189" s="1334"/>
      <c r="AR189" s="1298"/>
      <c r="AS189" s="1296"/>
      <c r="AT189" s="1297"/>
      <c r="AU189" s="1297"/>
      <c r="AV189" s="1297"/>
      <c r="AW189" s="1297"/>
      <c r="AX189" s="1297"/>
      <c r="AY189" s="1297"/>
      <c r="AZ189" s="532"/>
      <c r="BA189" s="532"/>
      <c r="BB189" s="532"/>
      <c r="BC189" s="532"/>
      <c r="BD189" s="532"/>
      <c r="BE189" s="532"/>
      <c r="BF189" s="532"/>
      <c r="BG189" s="532"/>
      <c r="BH189" s="532"/>
      <c r="BI189" s="532"/>
      <c r="BJ189" s="529"/>
      <c r="BK189" s="532"/>
      <c r="BL189" s="532"/>
      <c r="BM189" s="532"/>
      <c r="BQ189" s="956"/>
      <c r="BR189" s="956"/>
      <c r="BS189" s="956"/>
      <c r="BT189" s="956"/>
      <c r="BU189" s="956"/>
      <c r="BV189" s="956"/>
    </row>
    <row r="190" spans="1:74" s="872" customFormat="1" ht="18">
      <c r="A190" s="1334"/>
      <c r="B190" s="1371" t="s">
        <v>1910</v>
      </c>
      <c r="C190" s="1334"/>
      <c r="D190" s="1334"/>
      <c r="E190" s="1334"/>
      <c r="F190" s="1334"/>
      <c r="G190" s="1334"/>
      <c r="H190" s="1339"/>
      <c r="I190" s="1336"/>
      <c r="J190" s="1334"/>
      <c r="K190" s="1334"/>
      <c r="L190" s="1339"/>
      <c r="M190" s="1339"/>
      <c r="N190" s="1336"/>
      <c r="O190" s="1336"/>
      <c r="P190" s="1334"/>
      <c r="Q190" s="1336"/>
      <c r="R190" s="1336"/>
      <c r="S190" s="1336"/>
      <c r="T190" s="1336"/>
      <c r="U190" s="1336"/>
      <c r="V190" s="1340"/>
      <c r="W190" s="1338"/>
      <c r="X190" s="1338"/>
      <c r="Y190" s="1334"/>
      <c r="Z190" s="747"/>
      <c r="AA190" s="1334"/>
      <c r="AD190" s="1334"/>
      <c r="AE190" s="747"/>
      <c r="AF190" s="1334"/>
      <c r="AG190" s="1336"/>
      <c r="AH190" s="1336"/>
      <c r="AI190" s="1336"/>
      <c r="AJ190" s="1336"/>
      <c r="AK190" s="1334"/>
      <c r="AL190" s="1334"/>
      <c r="AM190" s="1336"/>
      <c r="AN190" s="1334"/>
      <c r="AO190" s="1339"/>
      <c r="AP190" s="1334"/>
      <c r="AQ190" s="1334"/>
      <c r="AR190" s="1298"/>
      <c r="AS190" s="1296"/>
      <c r="AT190" s="1297"/>
      <c r="AU190" s="1297"/>
      <c r="AV190" s="1297"/>
      <c r="AW190" s="1297"/>
      <c r="AX190" s="1297"/>
      <c r="AY190" s="1297"/>
      <c r="AZ190" s="532"/>
      <c r="BA190" s="532"/>
      <c r="BB190" s="532"/>
      <c r="BC190" s="532"/>
      <c r="BD190" s="532"/>
      <c r="BE190" s="532"/>
      <c r="BF190" s="532"/>
      <c r="BG190" s="532"/>
      <c r="BH190" s="532"/>
      <c r="BI190" s="532"/>
      <c r="BJ190" s="529"/>
      <c r="BK190" s="532"/>
      <c r="BL190" s="532"/>
      <c r="BM190" s="532"/>
      <c r="BQ190" s="956"/>
      <c r="BR190" s="956"/>
      <c r="BS190" s="956"/>
      <c r="BT190" s="956"/>
      <c r="BU190" s="956"/>
      <c r="BV190" s="956"/>
    </row>
    <row r="191" spans="1:74" s="872" customFormat="1" ht="18">
      <c r="A191" s="1334"/>
      <c r="B191" s="1334"/>
      <c r="C191" s="1334"/>
      <c r="D191" s="1334"/>
      <c r="E191" s="1334"/>
      <c r="F191" s="1334"/>
      <c r="G191" s="1334"/>
      <c r="H191" s="1339"/>
      <c r="I191" s="1336"/>
      <c r="J191" s="1334"/>
      <c r="K191" s="1334"/>
      <c r="L191" s="1339"/>
      <c r="M191" s="1339"/>
      <c r="N191" s="1336"/>
      <c r="O191" s="1336"/>
      <c r="P191" s="1334"/>
      <c r="Q191" s="1336"/>
      <c r="R191" s="1336"/>
      <c r="S191" s="1336"/>
      <c r="T191" s="1336"/>
      <c r="U191" s="1336"/>
      <c r="V191" s="1340"/>
      <c r="W191" s="1338"/>
      <c r="X191" s="1338"/>
      <c r="Y191" s="1334"/>
      <c r="Z191" s="747"/>
      <c r="AA191" s="1334"/>
      <c r="AD191" s="1334"/>
      <c r="AE191" s="747"/>
      <c r="AF191" s="1334"/>
      <c r="AG191" s="1336"/>
      <c r="AH191" s="1336"/>
      <c r="AI191" s="1336"/>
      <c r="AJ191" s="1336"/>
      <c r="AK191" s="1334"/>
      <c r="AL191" s="1334"/>
      <c r="AM191" s="1336"/>
      <c r="AN191" s="1334"/>
      <c r="AO191" s="1339"/>
      <c r="AP191" s="1334"/>
      <c r="AQ191" s="1334"/>
      <c r="AR191" s="1298"/>
      <c r="AS191" s="1296"/>
      <c r="AT191" s="1297"/>
      <c r="AU191" s="1297"/>
      <c r="AV191" s="1297"/>
      <c r="AW191" s="1297"/>
      <c r="AX191" s="1297"/>
      <c r="AY191" s="1297"/>
      <c r="AZ191" s="532"/>
      <c r="BA191" s="532"/>
      <c r="BB191" s="532"/>
      <c r="BC191" s="532"/>
      <c r="BD191" s="532"/>
      <c r="BE191" s="532"/>
      <c r="BF191" s="532"/>
      <c r="BG191" s="532"/>
      <c r="BH191" s="532"/>
      <c r="BI191" s="532"/>
      <c r="BJ191" s="529"/>
      <c r="BK191" s="532"/>
      <c r="BL191" s="532"/>
      <c r="BM191" s="532"/>
      <c r="BQ191" s="956"/>
      <c r="BR191" s="956"/>
      <c r="BS191" s="956"/>
      <c r="BT191" s="956"/>
      <c r="BU191" s="956"/>
      <c r="BV191" s="956"/>
    </row>
    <row r="192" spans="1:74" s="872" customFormat="1" ht="18">
      <c r="A192" s="1334"/>
      <c r="B192" s="1334"/>
      <c r="C192" s="1334"/>
      <c r="D192" s="1334"/>
      <c r="E192" s="1334"/>
      <c r="F192" s="1334"/>
      <c r="G192" s="1334"/>
      <c r="H192" s="1339"/>
      <c r="I192" s="1336"/>
      <c r="J192" s="1334"/>
      <c r="K192" s="1334"/>
      <c r="L192" s="1339"/>
      <c r="M192" s="1334"/>
      <c r="N192" s="1334"/>
      <c r="O192" s="1336"/>
      <c r="P192" s="1334"/>
      <c r="Q192" s="1336"/>
      <c r="R192" s="1336"/>
      <c r="S192" s="1336"/>
      <c r="T192" s="1336"/>
      <c r="U192" s="1336"/>
      <c r="V192" s="1340"/>
      <c r="W192" s="1338"/>
      <c r="X192" s="1338"/>
      <c r="Y192" s="1334"/>
      <c r="Z192" s="747"/>
      <c r="AA192" s="1334"/>
      <c r="AD192" s="1334"/>
      <c r="AE192" s="747"/>
      <c r="AF192" s="1334"/>
      <c r="AG192" s="1336"/>
      <c r="AH192" s="1336"/>
      <c r="AI192" s="1336"/>
      <c r="AJ192" s="1336"/>
      <c r="AK192" s="1334"/>
      <c r="AL192" s="1334"/>
      <c r="AM192" s="1336"/>
      <c r="AN192" s="1334"/>
      <c r="AO192" s="1339"/>
      <c r="AP192" s="1334"/>
      <c r="AQ192" s="1334"/>
      <c r="AR192" s="1298"/>
      <c r="AS192" s="1296"/>
      <c r="AT192" s="1297"/>
      <c r="AU192" s="1297"/>
      <c r="AV192" s="1297"/>
      <c r="AW192" s="1297"/>
      <c r="AX192" s="1297"/>
      <c r="AY192" s="1297"/>
      <c r="AZ192" s="532"/>
      <c r="BA192" s="532"/>
      <c r="BB192" s="532"/>
      <c r="BC192" s="532"/>
      <c r="BD192" s="532"/>
      <c r="BE192" s="532"/>
      <c r="BF192" s="532"/>
      <c r="BG192" s="532"/>
      <c r="BH192" s="532"/>
      <c r="BI192" s="532"/>
      <c r="BJ192" s="529"/>
      <c r="BK192" s="532"/>
      <c r="BL192" s="532"/>
      <c r="BM192" s="532"/>
      <c r="BQ192" s="956"/>
      <c r="BR192" s="956"/>
      <c r="BS192" s="956"/>
      <c r="BT192" s="956"/>
      <c r="BU192" s="956"/>
      <c r="BV192" s="956"/>
    </row>
    <row r="193" spans="1:74" s="872" customFormat="1" ht="18">
      <c r="A193" s="1334" t="s">
        <v>1837</v>
      </c>
      <c r="B193" s="1334"/>
      <c r="C193" s="1334"/>
      <c r="D193" s="1334"/>
      <c r="E193" s="1334"/>
      <c r="F193" s="1334" t="s">
        <v>1911</v>
      </c>
      <c r="G193" s="1334"/>
      <c r="H193" s="1339"/>
      <c r="I193" s="1336"/>
      <c r="J193" s="1334"/>
      <c r="K193" s="1334"/>
      <c r="L193" s="1339"/>
      <c r="M193" s="2328"/>
      <c r="N193" s="2328"/>
      <c r="O193" s="1336"/>
      <c r="P193" s="1334"/>
      <c r="Q193" s="1336"/>
      <c r="R193" s="1336"/>
      <c r="S193" s="1336"/>
      <c r="T193" s="1336"/>
      <c r="U193" s="1336"/>
      <c r="V193" s="1340"/>
      <c r="W193" s="1338"/>
      <c r="X193" s="1338"/>
      <c r="Y193" s="1334"/>
      <c r="Z193" s="747"/>
      <c r="AA193" s="1334"/>
      <c r="AD193" s="1334"/>
      <c r="AE193" s="747"/>
      <c r="AF193" s="1334"/>
      <c r="AG193" s="1336"/>
      <c r="AH193" s="1336"/>
      <c r="AI193" s="1336"/>
      <c r="AJ193" s="1336"/>
      <c r="AK193" s="1334"/>
      <c r="AL193" s="1334"/>
      <c r="AM193" s="1336"/>
      <c r="AN193" s="1334"/>
      <c r="AO193" s="1339"/>
      <c r="AP193" s="1334"/>
      <c r="AQ193" s="1334"/>
      <c r="AR193" s="1298"/>
      <c r="AS193" s="1296"/>
      <c r="AT193" s="1297"/>
      <c r="AU193" s="1297"/>
      <c r="AV193" s="1297"/>
      <c r="AW193" s="1297"/>
      <c r="AX193" s="1297"/>
      <c r="AY193" s="1297"/>
      <c r="AZ193" s="532"/>
      <c r="BA193" s="532"/>
      <c r="BB193" s="532"/>
      <c r="BC193" s="532"/>
      <c r="BD193" s="532"/>
      <c r="BE193" s="532"/>
      <c r="BF193" s="532"/>
      <c r="BG193" s="532"/>
      <c r="BH193" s="532"/>
      <c r="BI193" s="532"/>
      <c r="BJ193" s="529"/>
      <c r="BK193" s="532"/>
      <c r="BL193" s="532"/>
      <c r="BM193" s="532"/>
      <c r="BQ193" s="956"/>
      <c r="BR193" s="956"/>
      <c r="BS193" s="956"/>
      <c r="BT193" s="956"/>
      <c r="BU193" s="956"/>
      <c r="BV193" s="956"/>
    </row>
    <row r="194" spans="1:74" s="872" customFormat="1" ht="18">
      <c r="A194" s="1334" t="s">
        <v>1877</v>
      </c>
      <c r="B194" s="1334"/>
      <c r="C194" s="1334"/>
      <c r="D194" s="1334"/>
      <c r="E194" s="1334"/>
      <c r="F194" s="1334" t="s">
        <v>1912</v>
      </c>
      <c r="G194" s="1334"/>
      <c r="H194" s="1339"/>
      <c r="I194" s="1336"/>
      <c r="J194" s="1334"/>
      <c r="K194" s="1334"/>
      <c r="L194" s="1339"/>
      <c r="M194" s="2328"/>
      <c r="N194" s="2328"/>
      <c r="O194" s="1336"/>
      <c r="P194" s="1334"/>
      <c r="Q194" s="1336"/>
      <c r="R194" s="1336"/>
      <c r="S194" s="1336"/>
      <c r="T194" s="1336"/>
      <c r="U194" s="1336"/>
      <c r="V194" s="1340"/>
      <c r="W194" s="1338"/>
      <c r="X194" s="1338"/>
      <c r="Y194" s="1334"/>
      <c r="Z194" s="747"/>
      <c r="AA194" s="1334"/>
      <c r="AD194" s="1334"/>
      <c r="AE194" s="747"/>
      <c r="AF194" s="1334"/>
      <c r="AG194" s="1336"/>
      <c r="AH194" s="1336"/>
      <c r="AI194" s="1336"/>
      <c r="AJ194" s="1336"/>
      <c r="AK194" s="1334"/>
      <c r="AL194" s="1334"/>
      <c r="AM194" s="1336"/>
      <c r="AN194" s="1334"/>
      <c r="AO194" s="1339"/>
      <c r="AP194" s="1334"/>
      <c r="AQ194" s="1334"/>
      <c r="AR194" s="1298"/>
      <c r="AS194" s="1296"/>
      <c r="AT194" s="1297"/>
      <c r="AU194" s="1297"/>
      <c r="AV194" s="1297"/>
      <c r="AW194" s="1297"/>
      <c r="AX194" s="1297"/>
      <c r="AY194" s="1297"/>
      <c r="AZ194" s="532"/>
      <c r="BA194" s="532"/>
      <c r="BB194" s="532"/>
      <c r="BC194" s="532"/>
      <c r="BD194" s="532"/>
      <c r="BE194" s="532"/>
      <c r="BF194" s="532"/>
      <c r="BG194" s="532"/>
      <c r="BH194" s="532"/>
      <c r="BI194" s="532"/>
      <c r="BJ194" s="529"/>
      <c r="BK194" s="532"/>
      <c r="BL194" s="532"/>
      <c r="BM194" s="532"/>
      <c r="BQ194" s="956"/>
      <c r="BR194" s="956"/>
      <c r="BS194" s="956"/>
      <c r="BT194" s="956"/>
      <c r="BU194" s="956"/>
      <c r="BV194" s="956"/>
    </row>
    <row r="195" spans="1:74" s="872" customFormat="1" ht="18">
      <c r="A195" s="1334" t="s">
        <v>1907</v>
      </c>
      <c r="B195" s="1334"/>
      <c r="C195" s="1334"/>
      <c r="D195" s="1334"/>
      <c r="E195" s="1334"/>
      <c r="F195" s="1334" t="s">
        <v>1913</v>
      </c>
      <c r="G195" s="1334"/>
      <c r="H195" s="1339"/>
      <c r="I195" s="1336"/>
      <c r="J195" s="1334"/>
      <c r="K195" s="1334"/>
      <c r="L195" s="1339"/>
      <c r="M195" s="2328"/>
      <c r="N195" s="2328"/>
      <c r="O195" s="1336"/>
      <c r="P195" s="1334"/>
      <c r="Q195" s="1336"/>
      <c r="R195" s="1336"/>
      <c r="S195" s="1336"/>
      <c r="T195" s="1336"/>
      <c r="U195" s="1336"/>
      <c r="V195" s="1340"/>
      <c r="W195" s="1338"/>
      <c r="X195" s="1338"/>
      <c r="Y195" s="1334"/>
      <c r="Z195" s="747"/>
      <c r="AA195" s="1334"/>
      <c r="AD195" s="1334"/>
      <c r="AE195" s="747"/>
      <c r="AF195" s="1334"/>
      <c r="AG195" s="1336"/>
      <c r="AH195" s="1336"/>
      <c r="AI195" s="1336"/>
      <c r="AJ195" s="1336"/>
      <c r="AK195" s="1334"/>
      <c r="AL195" s="1334"/>
      <c r="AM195" s="1336"/>
      <c r="AN195" s="1334"/>
      <c r="AO195" s="1339"/>
      <c r="AP195" s="1334"/>
      <c r="AQ195" s="1334"/>
      <c r="AR195" s="1298"/>
      <c r="AS195" s="1296"/>
      <c r="AT195" s="1297"/>
      <c r="AU195" s="1297"/>
      <c r="AV195" s="1297"/>
      <c r="AW195" s="1297"/>
      <c r="AX195" s="1297"/>
      <c r="AY195" s="1297"/>
      <c r="AZ195" s="532"/>
      <c r="BA195" s="532"/>
      <c r="BB195" s="532"/>
      <c r="BC195" s="532"/>
      <c r="BD195" s="532"/>
      <c r="BE195" s="532"/>
      <c r="BF195" s="532"/>
      <c r="BG195" s="532"/>
      <c r="BH195" s="532"/>
      <c r="BI195" s="532"/>
      <c r="BJ195" s="529"/>
      <c r="BK195" s="532"/>
      <c r="BL195" s="532"/>
      <c r="BM195" s="532"/>
      <c r="BQ195" s="956"/>
      <c r="BR195" s="956"/>
      <c r="BS195" s="956"/>
      <c r="BT195" s="956"/>
      <c r="BU195" s="956"/>
      <c r="BV195" s="956"/>
    </row>
    <row r="196" spans="1:74" s="872" customFormat="1" ht="18">
      <c r="A196" s="1334" t="s">
        <v>1837</v>
      </c>
      <c r="B196" s="1334"/>
      <c r="C196" s="1334"/>
      <c r="D196" s="1334"/>
      <c r="E196" s="1334"/>
      <c r="F196" s="1334" t="s">
        <v>1914</v>
      </c>
      <c r="G196" s="1334"/>
      <c r="H196" s="1339"/>
      <c r="I196" s="1336"/>
      <c r="J196" s="1334"/>
      <c r="K196" s="1334"/>
      <c r="L196" s="1339"/>
      <c r="M196" s="1339"/>
      <c r="N196" s="1336"/>
      <c r="O196" s="1336"/>
      <c r="P196" s="1334"/>
      <c r="Q196" s="1336"/>
      <c r="R196" s="1336"/>
      <c r="S196" s="1336"/>
      <c r="T196" s="1336"/>
      <c r="U196" s="1336"/>
      <c r="V196" s="1340"/>
      <c r="W196" s="1338"/>
      <c r="X196" s="1338"/>
      <c r="Y196" s="1334"/>
      <c r="Z196" s="747"/>
      <c r="AA196" s="1334"/>
      <c r="AD196" s="1334"/>
      <c r="AE196" s="747"/>
      <c r="AF196" s="1334"/>
      <c r="AG196" s="1336"/>
      <c r="AH196" s="1336"/>
      <c r="AI196" s="1336"/>
      <c r="AJ196" s="1336"/>
      <c r="AK196" s="1334"/>
      <c r="AL196" s="1334"/>
      <c r="AM196" s="1336"/>
      <c r="AN196" s="1334"/>
      <c r="AO196" s="1339"/>
      <c r="AP196" s="1334"/>
      <c r="AQ196" s="1334"/>
      <c r="AR196" s="1298"/>
      <c r="AS196" s="1296"/>
      <c r="AT196" s="1297"/>
      <c r="AU196" s="1297"/>
      <c r="AV196" s="1297"/>
      <c r="AW196" s="1297"/>
      <c r="AX196" s="1297"/>
      <c r="AY196" s="1297"/>
      <c r="AZ196" s="532"/>
      <c r="BA196" s="532"/>
      <c r="BB196" s="532"/>
      <c r="BC196" s="532"/>
      <c r="BD196" s="532"/>
      <c r="BE196" s="532"/>
      <c r="BF196" s="532"/>
      <c r="BG196" s="532"/>
      <c r="BH196" s="532"/>
      <c r="BI196" s="532"/>
      <c r="BJ196" s="529"/>
      <c r="BK196" s="532"/>
      <c r="BL196" s="532"/>
      <c r="BM196" s="532"/>
      <c r="BQ196" s="956"/>
      <c r="BR196" s="956"/>
      <c r="BS196" s="956"/>
      <c r="BT196" s="956"/>
      <c r="BU196" s="956"/>
      <c r="BV196" s="956"/>
    </row>
    <row r="197" spans="1:74" s="872" customFormat="1" ht="18">
      <c r="A197" s="1334" t="s">
        <v>1907</v>
      </c>
      <c r="B197" s="1334"/>
      <c r="C197" s="1334"/>
      <c r="D197" s="1334"/>
      <c r="E197" s="1334"/>
      <c r="F197" s="1334" t="s">
        <v>1913</v>
      </c>
      <c r="G197" s="1334"/>
      <c r="H197" s="1339"/>
      <c r="I197" s="1336"/>
      <c r="J197" s="1334"/>
      <c r="K197" s="1334"/>
      <c r="L197" s="1339"/>
      <c r="M197" s="1339"/>
      <c r="N197" s="1336"/>
      <c r="O197" s="1336"/>
      <c r="P197" s="1334"/>
      <c r="Q197" s="1336"/>
      <c r="R197" s="1336"/>
      <c r="S197" s="1336"/>
      <c r="T197" s="1336"/>
      <c r="U197" s="1336"/>
      <c r="V197" s="1340"/>
      <c r="W197" s="1338"/>
      <c r="X197" s="1338"/>
      <c r="Y197" s="1334"/>
      <c r="Z197" s="747"/>
      <c r="AA197" s="1334"/>
      <c r="AD197" s="1334"/>
      <c r="AE197" s="747"/>
      <c r="AF197" s="1334"/>
      <c r="AG197" s="1336"/>
      <c r="AH197" s="1336"/>
      <c r="AI197" s="1336"/>
      <c r="AJ197" s="1336"/>
      <c r="AK197" s="1334"/>
      <c r="AL197" s="1334"/>
      <c r="AM197" s="1336"/>
      <c r="AN197" s="1334"/>
      <c r="AO197" s="1339"/>
      <c r="AP197" s="1334"/>
      <c r="AQ197" s="1334"/>
      <c r="AR197" s="1298"/>
      <c r="AS197" s="1296"/>
      <c r="AT197" s="1297"/>
      <c r="AU197" s="1297"/>
      <c r="AV197" s="1297"/>
      <c r="AW197" s="1297"/>
      <c r="AX197" s="1297"/>
      <c r="AY197" s="1297"/>
      <c r="AZ197" s="532"/>
      <c r="BA197" s="532"/>
      <c r="BB197" s="532"/>
      <c r="BC197" s="532"/>
      <c r="BD197" s="532"/>
      <c r="BE197" s="532"/>
      <c r="BF197" s="532"/>
      <c r="BG197" s="532"/>
      <c r="BH197" s="532"/>
      <c r="BI197" s="532"/>
      <c r="BJ197" s="529"/>
      <c r="BK197" s="532"/>
      <c r="BL197" s="532"/>
      <c r="BM197" s="532"/>
      <c r="BQ197" s="956"/>
      <c r="BR197" s="956"/>
      <c r="BS197" s="956"/>
      <c r="BT197" s="956"/>
      <c r="BU197" s="956"/>
      <c r="BV197" s="956"/>
    </row>
    <row r="198" spans="1:74" s="872" customFormat="1" ht="18">
      <c r="A198" s="1334" t="s">
        <v>1837</v>
      </c>
      <c r="B198" s="1334"/>
      <c r="C198" s="1334"/>
      <c r="D198" s="1334"/>
      <c r="E198" s="1334"/>
      <c r="F198" s="1334" t="s">
        <v>1915</v>
      </c>
      <c r="G198" s="1334"/>
      <c r="H198" s="1339"/>
      <c r="I198" s="1336"/>
      <c r="J198" s="1334"/>
      <c r="K198" s="1334"/>
      <c r="L198" s="1339"/>
      <c r="M198" s="1339"/>
      <c r="N198" s="1336"/>
      <c r="O198" s="1336"/>
      <c r="P198" s="1334"/>
      <c r="Q198" s="1336"/>
      <c r="R198" s="1336"/>
      <c r="S198" s="1336"/>
      <c r="T198" s="1336"/>
      <c r="U198" s="1336"/>
      <c r="V198" s="1340"/>
      <c r="W198" s="1338"/>
      <c r="X198" s="1338"/>
      <c r="Y198" s="1334"/>
      <c r="Z198" s="747"/>
      <c r="AA198" s="1334"/>
      <c r="AD198" s="1334"/>
      <c r="AE198" s="747"/>
      <c r="AF198" s="1334"/>
      <c r="AG198" s="1336"/>
      <c r="AH198" s="1336"/>
      <c r="AI198" s="1336"/>
      <c r="AJ198" s="1336"/>
      <c r="AK198" s="1334"/>
      <c r="AL198" s="1334"/>
      <c r="AM198" s="1336"/>
      <c r="AN198" s="1334"/>
      <c r="AO198" s="1339"/>
      <c r="AP198" s="1334"/>
      <c r="AQ198" s="1334"/>
      <c r="AR198" s="1298"/>
      <c r="AS198" s="1296"/>
      <c r="AT198" s="1297"/>
      <c r="AU198" s="1297"/>
      <c r="AV198" s="1297"/>
      <c r="AW198" s="1297"/>
      <c r="AX198" s="1297"/>
      <c r="AY198" s="1297"/>
      <c r="AZ198" s="532"/>
      <c r="BA198" s="532"/>
      <c r="BB198" s="532"/>
      <c r="BC198" s="532"/>
      <c r="BD198" s="532"/>
      <c r="BE198" s="532"/>
      <c r="BF198" s="532"/>
      <c r="BG198" s="532"/>
      <c r="BH198" s="532"/>
      <c r="BI198" s="532"/>
      <c r="BJ198" s="529"/>
      <c r="BK198" s="532"/>
      <c r="BL198" s="532"/>
      <c r="BM198" s="532"/>
      <c r="BQ198" s="956"/>
      <c r="BR198" s="956"/>
      <c r="BS198" s="956"/>
      <c r="BT198" s="956"/>
      <c r="BU198" s="956"/>
      <c r="BV198" s="956"/>
    </row>
    <row r="199" spans="1:74" s="872" customFormat="1" ht="18">
      <c r="A199" s="1334" t="s">
        <v>1916</v>
      </c>
      <c r="B199" s="1334"/>
      <c r="C199" s="1334"/>
      <c r="D199" s="1334"/>
      <c r="E199" s="1334"/>
      <c r="F199" s="1334" t="s">
        <v>1917</v>
      </c>
      <c r="G199" s="1334"/>
      <c r="H199" s="1339"/>
      <c r="I199" s="1336"/>
      <c r="J199" s="1334"/>
      <c r="K199" s="1334"/>
      <c r="L199" s="1339"/>
      <c r="M199" s="1339"/>
      <c r="N199" s="1336"/>
      <c r="O199" s="1336"/>
      <c r="P199" s="1334"/>
      <c r="Q199" s="1336"/>
      <c r="R199" s="1336"/>
      <c r="S199" s="1336"/>
      <c r="T199" s="1336"/>
      <c r="U199" s="1336"/>
      <c r="V199" s="1340"/>
      <c r="W199" s="1338"/>
      <c r="X199" s="1338"/>
      <c r="Y199" s="1334"/>
      <c r="Z199" s="747"/>
      <c r="AA199" s="1334"/>
      <c r="AD199" s="1334"/>
      <c r="AE199" s="747"/>
      <c r="AF199" s="1334"/>
      <c r="AG199" s="1336"/>
      <c r="AH199" s="1336"/>
      <c r="AI199" s="1336"/>
      <c r="AJ199" s="1336"/>
      <c r="AK199" s="1334"/>
      <c r="AL199" s="1334"/>
      <c r="AM199" s="1336"/>
      <c r="AN199" s="1334"/>
      <c r="AO199" s="1339"/>
      <c r="AP199" s="1334"/>
      <c r="AQ199" s="1334"/>
      <c r="AR199" s="1298"/>
      <c r="AS199" s="1296"/>
      <c r="AT199" s="1297"/>
      <c r="AU199" s="1297"/>
      <c r="AV199" s="1297"/>
      <c r="AW199" s="1297"/>
      <c r="AX199" s="1297"/>
      <c r="AY199" s="1297"/>
      <c r="AZ199" s="532"/>
      <c r="BA199" s="532"/>
      <c r="BB199" s="532"/>
      <c r="BC199" s="532"/>
      <c r="BD199" s="532"/>
      <c r="BE199" s="532"/>
      <c r="BF199" s="532"/>
      <c r="BG199" s="532"/>
      <c r="BH199" s="532"/>
      <c r="BI199" s="532"/>
      <c r="BJ199" s="529"/>
      <c r="BK199" s="532"/>
      <c r="BL199" s="532"/>
      <c r="BM199" s="532"/>
      <c r="BQ199" s="956"/>
      <c r="BR199" s="956"/>
      <c r="BS199" s="956"/>
      <c r="BT199" s="956"/>
      <c r="BU199" s="956"/>
      <c r="BV199" s="956"/>
    </row>
    <row r="200" spans="1:74" s="872" customFormat="1" ht="18">
      <c r="A200" s="1334" t="s">
        <v>1907</v>
      </c>
      <c r="B200" s="1334"/>
      <c r="C200" s="1334"/>
      <c r="D200" s="1334"/>
      <c r="E200" s="1334"/>
      <c r="F200" s="1334" t="s">
        <v>1918</v>
      </c>
      <c r="G200" s="1334"/>
      <c r="H200" s="1339"/>
      <c r="I200" s="1336"/>
      <c r="J200" s="1334"/>
      <c r="K200" s="1334"/>
      <c r="L200" s="1339"/>
      <c r="M200" s="1339"/>
      <c r="N200" s="1336"/>
      <c r="O200" s="1336"/>
      <c r="P200" s="1334"/>
      <c r="Q200" s="1336"/>
      <c r="R200" s="1336"/>
      <c r="S200" s="1336"/>
      <c r="T200" s="1336"/>
      <c r="U200" s="1336"/>
      <c r="V200" s="1340"/>
      <c r="W200" s="1338"/>
      <c r="X200" s="1338"/>
      <c r="Y200" s="1334"/>
      <c r="Z200" s="747"/>
      <c r="AA200" s="1334"/>
      <c r="AD200" s="1334"/>
      <c r="AE200" s="747"/>
      <c r="AF200" s="1334"/>
      <c r="AG200" s="1336"/>
      <c r="AH200" s="1336"/>
      <c r="AI200" s="1336"/>
      <c r="AJ200" s="1336"/>
      <c r="AK200" s="1334"/>
      <c r="AL200" s="1334"/>
      <c r="AM200" s="1336"/>
      <c r="AN200" s="1334"/>
      <c r="AO200" s="1339"/>
      <c r="AP200" s="1334"/>
      <c r="AQ200" s="1334"/>
      <c r="AR200" s="1298"/>
      <c r="AS200" s="1296"/>
      <c r="AT200" s="1297"/>
      <c r="AU200" s="1297"/>
      <c r="AV200" s="1297"/>
      <c r="AW200" s="1297"/>
      <c r="AX200" s="1297"/>
      <c r="AY200" s="1297"/>
      <c r="AZ200" s="532"/>
      <c r="BA200" s="532"/>
      <c r="BB200" s="532"/>
      <c r="BC200" s="532"/>
      <c r="BD200" s="532"/>
      <c r="BE200" s="532"/>
      <c r="BF200" s="532"/>
      <c r="BG200" s="532"/>
      <c r="BH200" s="532"/>
      <c r="BI200" s="532"/>
      <c r="BJ200" s="529"/>
      <c r="BK200" s="532"/>
      <c r="BL200" s="532"/>
      <c r="BM200" s="532"/>
      <c r="BQ200" s="956"/>
      <c r="BR200" s="956"/>
      <c r="BS200" s="956"/>
      <c r="BT200" s="956"/>
      <c r="BU200" s="956"/>
      <c r="BV200" s="956"/>
    </row>
    <row r="201" spans="1:74" s="872" customFormat="1" ht="18">
      <c r="A201" s="1334" t="s">
        <v>1907</v>
      </c>
      <c r="B201" s="1334"/>
      <c r="C201" s="1334"/>
      <c r="D201" s="1334"/>
      <c r="E201" s="1334"/>
      <c r="F201" s="1334" t="s">
        <v>1913</v>
      </c>
      <c r="G201" s="1334"/>
      <c r="H201" s="1339"/>
      <c r="I201" s="1336"/>
      <c r="J201" s="1334"/>
      <c r="K201" s="1334"/>
      <c r="L201" s="1339"/>
      <c r="M201" s="1339"/>
      <c r="N201" s="1336"/>
      <c r="O201" s="1336"/>
      <c r="P201" s="1334"/>
      <c r="Q201" s="1336"/>
      <c r="R201" s="1336"/>
      <c r="S201" s="1336"/>
      <c r="T201" s="1336"/>
      <c r="U201" s="1336"/>
      <c r="V201" s="1340"/>
      <c r="W201" s="1338"/>
      <c r="X201" s="1338"/>
      <c r="Y201" s="1334"/>
      <c r="Z201" s="747"/>
      <c r="AA201" s="1334"/>
      <c r="AD201" s="1334"/>
      <c r="AE201" s="747"/>
      <c r="AF201" s="1334"/>
      <c r="AG201" s="1336"/>
      <c r="AH201" s="1336"/>
      <c r="AI201" s="1336"/>
      <c r="AJ201" s="1336"/>
      <c r="AK201" s="1334"/>
      <c r="AL201" s="1334"/>
      <c r="AM201" s="1336"/>
      <c r="AN201" s="1334"/>
      <c r="AO201" s="1339"/>
      <c r="AP201" s="1334"/>
      <c r="AQ201" s="1334"/>
      <c r="AR201" s="1298"/>
      <c r="AS201" s="1296"/>
      <c r="AT201" s="1297"/>
      <c r="AU201" s="1297"/>
      <c r="AV201" s="1297"/>
      <c r="AW201" s="1297"/>
      <c r="AX201" s="1297"/>
      <c r="AY201" s="1297"/>
      <c r="AZ201" s="532"/>
      <c r="BA201" s="532"/>
      <c r="BB201" s="532"/>
      <c r="BC201" s="532"/>
      <c r="BD201" s="532"/>
      <c r="BE201" s="532"/>
      <c r="BF201" s="532"/>
      <c r="BG201" s="532"/>
      <c r="BH201" s="532"/>
      <c r="BI201" s="532"/>
      <c r="BJ201" s="529"/>
      <c r="BK201" s="532"/>
      <c r="BL201" s="532"/>
      <c r="BM201" s="532"/>
      <c r="BQ201" s="956"/>
      <c r="BR201" s="956"/>
      <c r="BS201" s="956"/>
      <c r="BT201" s="956"/>
      <c r="BU201" s="956"/>
      <c r="BV201" s="956"/>
    </row>
    <row r="202" spans="1:74" s="872" customFormat="1" ht="18">
      <c r="A202" s="1334" t="s">
        <v>1837</v>
      </c>
      <c r="B202" s="1334"/>
      <c r="C202" s="1334"/>
      <c r="D202" s="1334"/>
      <c r="E202" s="1334"/>
      <c r="F202" s="1334" t="s">
        <v>1919</v>
      </c>
      <c r="G202" s="1334"/>
      <c r="H202" s="1339"/>
      <c r="I202" s="1336"/>
      <c r="J202" s="1334"/>
      <c r="K202" s="1334"/>
      <c r="L202" s="1339"/>
      <c r="M202" s="1339"/>
      <c r="N202" s="1336"/>
      <c r="O202" s="1336"/>
      <c r="P202" s="1334"/>
      <c r="Q202" s="1336"/>
      <c r="R202" s="1336"/>
      <c r="S202" s="1336"/>
      <c r="T202" s="1336"/>
      <c r="U202" s="1336"/>
      <c r="V202" s="1340"/>
      <c r="W202" s="1338"/>
      <c r="X202" s="1338"/>
      <c r="Y202" s="1334"/>
      <c r="Z202" s="747"/>
      <c r="AA202" s="1334"/>
      <c r="AD202" s="1334"/>
      <c r="AE202" s="747"/>
      <c r="AF202" s="1334"/>
      <c r="AG202" s="1336"/>
      <c r="AH202" s="1336"/>
      <c r="AI202" s="1336"/>
      <c r="AJ202" s="1336"/>
      <c r="AK202" s="1334"/>
      <c r="AL202" s="1334"/>
      <c r="AM202" s="1336"/>
      <c r="AN202" s="1334"/>
      <c r="AO202" s="1339"/>
      <c r="AP202" s="1334"/>
      <c r="AQ202" s="1334"/>
      <c r="AR202" s="1298"/>
      <c r="AS202" s="1296"/>
      <c r="AT202" s="1297"/>
      <c r="AU202" s="1297"/>
      <c r="AV202" s="1297"/>
      <c r="AW202" s="1297"/>
      <c r="AX202" s="1297"/>
      <c r="AY202" s="1297"/>
      <c r="AZ202" s="532"/>
      <c r="BA202" s="532"/>
      <c r="BB202" s="532"/>
      <c r="BC202" s="532"/>
      <c r="BD202" s="532"/>
      <c r="BE202" s="532"/>
      <c r="BF202" s="532"/>
      <c r="BG202" s="532"/>
      <c r="BH202" s="532"/>
      <c r="BI202" s="532"/>
      <c r="BJ202" s="529"/>
      <c r="BK202" s="532"/>
      <c r="BL202" s="532"/>
      <c r="BM202" s="532"/>
      <c r="BQ202" s="956"/>
      <c r="BR202" s="956"/>
      <c r="BS202" s="956"/>
      <c r="BT202" s="956"/>
      <c r="BU202" s="956"/>
      <c r="BV202" s="956"/>
    </row>
    <row r="203" spans="1:74" s="872" customFormat="1" ht="18">
      <c r="A203" s="1334" t="s">
        <v>1907</v>
      </c>
      <c r="B203" s="1334"/>
      <c r="C203" s="1334"/>
      <c r="D203" s="1334"/>
      <c r="E203" s="1334"/>
      <c r="F203" s="1334" t="s">
        <v>1913</v>
      </c>
      <c r="G203" s="1334"/>
      <c r="H203" s="1339"/>
      <c r="I203" s="1336"/>
      <c r="J203" s="1334"/>
      <c r="K203" s="1334"/>
      <c r="L203" s="1339"/>
      <c r="M203" s="1339"/>
      <c r="N203" s="1336"/>
      <c r="O203" s="1336"/>
      <c r="P203" s="1334"/>
      <c r="Q203" s="1336"/>
      <c r="R203" s="1336"/>
      <c r="S203" s="1336"/>
      <c r="T203" s="1336"/>
      <c r="U203" s="1336"/>
      <c r="V203" s="1340"/>
      <c r="W203" s="1338"/>
      <c r="X203" s="1338"/>
      <c r="Y203" s="1334"/>
      <c r="Z203" s="747"/>
      <c r="AA203" s="1334"/>
      <c r="AD203" s="1334"/>
      <c r="AE203" s="747"/>
      <c r="AF203" s="1334"/>
      <c r="AG203" s="1336"/>
      <c r="AH203" s="1336"/>
      <c r="AI203" s="1336"/>
      <c r="AJ203" s="1336"/>
      <c r="AK203" s="1334"/>
      <c r="AL203" s="1334"/>
      <c r="AM203" s="1336"/>
      <c r="AN203" s="1334"/>
      <c r="AO203" s="1339"/>
      <c r="AP203" s="1334"/>
      <c r="AQ203" s="1334"/>
      <c r="AR203" s="1298"/>
      <c r="AS203" s="1296"/>
      <c r="AT203" s="1297"/>
      <c r="AU203" s="1297"/>
      <c r="AV203" s="1297"/>
      <c r="AW203" s="1297"/>
      <c r="AX203" s="1297"/>
      <c r="AY203" s="1297"/>
      <c r="AZ203" s="532"/>
      <c r="BA203" s="532"/>
      <c r="BB203" s="532"/>
      <c r="BC203" s="532"/>
      <c r="BD203" s="532"/>
      <c r="BE203" s="532"/>
      <c r="BF203" s="532"/>
      <c r="BG203" s="532"/>
      <c r="BH203" s="532"/>
      <c r="BI203" s="532"/>
      <c r="BJ203" s="529"/>
      <c r="BK203" s="532"/>
      <c r="BL203" s="532"/>
      <c r="BM203" s="532"/>
      <c r="BQ203" s="956"/>
      <c r="BR203" s="956"/>
      <c r="BS203" s="956"/>
      <c r="BT203" s="956"/>
      <c r="BU203" s="956"/>
      <c r="BV203" s="956"/>
    </row>
    <row r="204" spans="1:74" s="872" customFormat="1" ht="18">
      <c r="A204" s="1334" t="s">
        <v>1920</v>
      </c>
      <c r="B204" s="1334"/>
      <c r="C204" s="1334"/>
      <c r="D204" s="1334"/>
      <c r="E204" s="1334"/>
      <c r="F204" s="1334" t="s">
        <v>1921</v>
      </c>
      <c r="G204" s="1334"/>
      <c r="H204" s="1339"/>
      <c r="I204" s="1336"/>
      <c r="J204" s="1334"/>
      <c r="K204" s="1334"/>
      <c r="L204" s="1339"/>
      <c r="M204" s="1339"/>
      <c r="N204" s="1336"/>
      <c r="O204" s="1336"/>
      <c r="P204" s="1334"/>
      <c r="Q204" s="1336"/>
      <c r="R204" s="1336"/>
      <c r="S204" s="1336"/>
      <c r="T204" s="1336"/>
      <c r="U204" s="1336"/>
      <c r="V204" s="1340"/>
      <c r="W204" s="1338"/>
      <c r="X204" s="1338"/>
      <c r="Y204" s="1334"/>
      <c r="Z204" s="747"/>
      <c r="AA204" s="1334"/>
      <c r="AD204" s="1334"/>
      <c r="AE204" s="747"/>
      <c r="AF204" s="1334"/>
      <c r="AG204" s="1336"/>
      <c r="AH204" s="1336"/>
      <c r="AI204" s="1336"/>
      <c r="AJ204" s="1336"/>
      <c r="AK204" s="1334"/>
      <c r="AL204" s="1334"/>
      <c r="AM204" s="1336"/>
      <c r="AN204" s="1334"/>
      <c r="AO204" s="1339"/>
      <c r="AP204" s="1334"/>
      <c r="AQ204" s="1334"/>
      <c r="AR204" s="1298"/>
      <c r="AS204" s="1296"/>
      <c r="AT204" s="1297"/>
      <c r="AU204" s="1297"/>
      <c r="AV204" s="1297"/>
      <c r="AW204" s="1297"/>
      <c r="AX204" s="1297"/>
      <c r="AY204" s="1297"/>
      <c r="AZ204" s="532"/>
      <c r="BA204" s="532"/>
      <c r="BB204" s="532"/>
      <c r="BC204" s="532"/>
      <c r="BD204" s="532"/>
      <c r="BE204" s="532"/>
      <c r="BF204" s="532"/>
      <c r="BG204" s="532"/>
      <c r="BH204" s="532"/>
      <c r="BI204" s="532"/>
      <c r="BJ204" s="529"/>
      <c r="BK204" s="532"/>
      <c r="BL204" s="532"/>
      <c r="BM204" s="532"/>
      <c r="BQ204" s="956"/>
      <c r="BR204" s="956"/>
      <c r="BS204" s="956"/>
      <c r="BT204" s="956"/>
      <c r="BU204" s="956"/>
      <c r="BV204" s="956"/>
    </row>
    <row r="205" spans="1:74" s="872" customFormat="1" ht="18">
      <c r="A205" s="1334" t="s">
        <v>1907</v>
      </c>
      <c r="B205" s="1334"/>
      <c r="C205" s="1334"/>
      <c r="D205" s="1334"/>
      <c r="E205" s="1334"/>
      <c r="F205" s="1334" t="s">
        <v>1913</v>
      </c>
      <c r="G205" s="1334"/>
      <c r="H205" s="1339"/>
      <c r="I205" s="1336"/>
      <c r="J205" s="1334"/>
      <c r="K205" s="1334"/>
      <c r="L205" s="1339"/>
      <c r="M205" s="1339"/>
      <c r="N205" s="1336"/>
      <c r="O205" s="1336"/>
      <c r="P205" s="1334"/>
      <c r="Q205" s="1336"/>
      <c r="R205" s="1336"/>
      <c r="S205" s="1336"/>
      <c r="T205" s="1336"/>
      <c r="U205" s="1336"/>
      <c r="V205" s="1340"/>
      <c r="W205" s="1338"/>
      <c r="X205" s="1338"/>
      <c r="Y205" s="1334"/>
      <c r="Z205" s="747"/>
      <c r="AA205" s="1334"/>
      <c r="AD205" s="1334"/>
      <c r="AE205" s="747"/>
      <c r="AF205" s="1334"/>
      <c r="AG205" s="1336"/>
      <c r="AH205" s="1336"/>
      <c r="AI205" s="1336"/>
      <c r="AJ205" s="1336"/>
      <c r="AK205" s="1334"/>
      <c r="AL205" s="1334"/>
      <c r="AM205" s="1336"/>
      <c r="AN205" s="1334"/>
      <c r="AO205" s="1339"/>
      <c r="AP205" s="1334"/>
      <c r="AQ205" s="1334"/>
      <c r="AR205" s="1298"/>
      <c r="AS205" s="1296"/>
      <c r="AT205" s="1297"/>
      <c r="AU205" s="1297"/>
      <c r="AV205" s="1297"/>
      <c r="AW205" s="1297"/>
      <c r="AX205" s="1297"/>
      <c r="AY205" s="1297"/>
      <c r="AZ205" s="532"/>
      <c r="BA205" s="532"/>
      <c r="BB205" s="532"/>
      <c r="BC205" s="532"/>
      <c r="BD205" s="532"/>
      <c r="BE205" s="532"/>
      <c r="BF205" s="532"/>
      <c r="BG205" s="532"/>
      <c r="BH205" s="532"/>
      <c r="BI205" s="532"/>
      <c r="BJ205" s="529"/>
      <c r="BK205" s="532"/>
      <c r="BL205" s="532"/>
      <c r="BM205" s="532"/>
      <c r="BQ205" s="956"/>
      <c r="BR205" s="956"/>
      <c r="BS205" s="956"/>
      <c r="BT205" s="956"/>
      <c r="BU205" s="956"/>
      <c r="BV205" s="956"/>
    </row>
    <row r="206" spans="1:74" s="872" customFormat="1" ht="18">
      <c r="A206" s="1334" t="s">
        <v>1922</v>
      </c>
      <c r="B206" s="1334"/>
      <c r="C206" s="1334"/>
      <c r="D206" s="1334"/>
      <c r="E206" s="1334"/>
      <c r="F206" s="1334" t="s">
        <v>1923</v>
      </c>
      <c r="G206" s="1334"/>
      <c r="H206" s="1339"/>
      <c r="I206" s="1336"/>
      <c r="J206" s="1334"/>
      <c r="K206" s="1334"/>
      <c r="L206" s="1339"/>
      <c r="M206" s="1339"/>
      <c r="N206" s="1336"/>
      <c r="O206" s="1336"/>
      <c r="P206" s="1334"/>
      <c r="Q206" s="1336"/>
      <c r="R206" s="1336"/>
      <c r="S206" s="1336"/>
      <c r="T206" s="1336"/>
      <c r="U206" s="1336"/>
      <c r="V206" s="1340"/>
      <c r="W206" s="1338"/>
      <c r="X206" s="1338"/>
      <c r="Y206" s="1334"/>
      <c r="Z206" s="747"/>
      <c r="AA206" s="1334"/>
      <c r="AD206" s="1334"/>
      <c r="AE206" s="747"/>
      <c r="AF206" s="1334"/>
      <c r="AG206" s="1336"/>
      <c r="AH206" s="1336"/>
      <c r="AI206" s="1336"/>
      <c r="AJ206" s="1336"/>
      <c r="AK206" s="1334"/>
      <c r="AL206" s="1334"/>
      <c r="AM206" s="1336"/>
      <c r="AN206" s="1334"/>
      <c r="AO206" s="1339"/>
      <c r="AP206" s="1334"/>
      <c r="AQ206" s="1334"/>
      <c r="AR206" s="1298"/>
      <c r="AS206" s="1296"/>
      <c r="AT206" s="1297"/>
      <c r="AU206" s="1297"/>
      <c r="AV206" s="1297"/>
      <c r="AW206" s="1297"/>
      <c r="AX206" s="1297"/>
      <c r="AY206" s="1297"/>
      <c r="AZ206" s="532"/>
      <c r="BA206" s="532"/>
      <c r="BB206" s="532"/>
      <c r="BC206" s="532"/>
      <c r="BD206" s="532"/>
      <c r="BE206" s="532"/>
      <c r="BF206" s="532"/>
      <c r="BG206" s="532"/>
      <c r="BH206" s="532"/>
      <c r="BI206" s="532"/>
      <c r="BJ206" s="529"/>
      <c r="BK206" s="532"/>
      <c r="BL206" s="532"/>
      <c r="BM206" s="532"/>
      <c r="BQ206" s="956"/>
      <c r="BR206" s="956"/>
      <c r="BS206" s="956"/>
      <c r="BT206" s="956"/>
      <c r="BU206" s="956"/>
      <c r="BV206" s="956"/>
    </row>
    <row r="207" spans="1:74" s="872" customFormat="1" ht="18">
      <c r="A207" s="1334" t="s">
        <v>1924</v>
      </c>
      <c r="B207" s="1334"/>
      <c r="C207" s="1334"/>
      <c r="D207" s="1334"/>
      <c r="E207" s="1334"/>
      <c r="F207" s="1334" t="s">
        <v>1925</v>
      </c>
      <c r="G207" s="1334"/>
      <c r="H207" s="1339"/>
      <c r="I207" s="1336"/>
      <c r="J207" s="1334"/>
      <c r="K207" s="1334"/>
      <c r="L207" s="1339"/>
      <c r="M207" s="1339"/>
      <c r="N207" s="1336"/>
      <c r="O207" s="1336"/>
      <c r="P207" s="1334"/>
      <c r="Q207" s="1336"/>
      <c r="R207" s="1336"/>
      <c r="S207" s="1336"/>
      <c r="T207" s="1336"/>
      <c r="U207" s="1336"/>
      <c r="V207" s="1340"/>
      <c r="W207" s="1338"/>
      <c r="X207" s="1338"/>
      <c r="Y207" s="1334"/>
      <c r="Z207" s="747"/>
      <c r="AA207" s="1334"/>
      <c r="AD207" s="1334"/>
      <c r="AE207" s="747"/>
      <c r="AF207" s="1334"/>
      <c r="AG207" s="1336"/>
      <c r="AH207" s="1336"/>
      <c r="AI207" s="1336"/>
      <c r="AJ207" s="1336"/>
      <c r="AK207" s="1334"/>
      <c r="AL207" s="1334"/>
      <c r="AM207" s="1336"/>
      <c r="AN207" s="1334"/>
      <c r="AO207" s="1339"/>
      <c r="AP207" s="1334"/>
      <c r="AQ207" s="1334"/>
      <c r="AR207" s="1298"/>
      <c r="AS207" s="1296"/>
      <c r="AT207" s="1297"/>
      <c r="AU207" s="1297"/>
      <c r="AV207" s="1297"/>
      <c r="AW207" s="1297"/>
      <c r="AX207" s="1297"/>
      <c r="AY207" s="1297"/>
      <c r="AZ207" s="532"/>
      <c r="BA207" s="532"/>
      <c r="BB207" s="532"/>
      <c r="BC207" s="532"/>
      <c r="BD207" s="532"/>
      <c r="BE207" s="532"/>
      <c r="BF207" s="532"/>
      <c r="BG207" s="532"/>
      <c r="BH207" s="532"/>
      <c r="BI207" s="532"/>
      <c r="BJ207" s="529"/>
      <c r="BK207" s="532"/>
      <c r="BL207" s="532"/>
      <c r="BM207" s="532"/>
      <c r="BQ207" s="956"/>
      <c r="BR207" s="956"/>
      <c r="BS207" s="956"/>
      <c r="BT207" s="956"/>
      <c r="BU207" s="956"/>
      <c r="BV207" s="956"/>
    </row>
    <row r="208" spans="1:74" s="872" customFormat="1" ht="18">
      <c r="A208" s="1334" t="s">
        <v>1926</v>
      </c>
      <c r="B208" s="1334"/>
      <c r="C208" s="1334"/>
      <c r="D208" s="1334"/>
      <c r="E208" s="1334"/>
      <c r="F208" s="1334" t="s">
        <v>1927</v>
      </c>
      <c r="G208" s="1334"/>
      <c r="H208" s="1339"/>
      <c r="I208" s="1336"/>
      <c r="J208" s="1334"/>
      <c r="K208" s="1334"/>
      <c r="L208" s="1339"/>
      <c r="M208" s="1339"/>
      <c r="N208" s="1336"/>
      <c r="O208" s="1336"/>
      <c r="P208" s="1334"/>
      <c r="Q208" s="1336"/>
      <c r="R208" s="1336"/>
      <c r="S208" s="1336"/>
      <c r="T208" s="1336"/>
      <c r="U208" s="1336"/>
      <c r="V208" s="1340"/>
      <c r="W208" s="1338"/>
      <c r="X208" s="1338"/>
      <c r="Y208" s="1334"/>
      <c r="Z208" s="747"/>
      <c r="AA208" s="1334"/>
      <c r="AD208" s="1334"/>
      <c r="AE208" s="747"/>
      <c r="AF208" s="1334"/>
      <c r="AG208" s="1336"/>
      <c r="AH208" s="1336"/>
      <c r="AI208" s="1336"/>
      <c r="AJ208" s="1336"/>
      <c r="AK208" s="1334"/>
      <c r="AL208" s="1334"/>
      <c r="AM208" s="1336"/>
      <c r="AN208" s="1334"/>
      <c r="AO208" s="1339"/>
      <c r="AP208" s="1334"/>
      <c r="AQ208" s="1334"/>
      <c r="AR208" s="1298"/>
      <c r="AS208" s="1296"/>
      <c r="AT208" s="1297"/>
      <c r="AU208" s="1297"/>
      <c r="AV208" s="1297"/>
      <c r="AW208" s="1297"/>
      <c r="AX208" s="1297"/>
      <c r="AY208" s="1297"/>
      <c r="AZ208" s="532"/>
      <c r="BA208" s="532"/>
      <c r="BB208" s="532"/>
      <c r="BC208" s="532"/>
      <c r="BD208" s="532"/>
      <c r="BE208" s="532"/>
      <c r="BF208" s="532"/>
      <c r="BG208" s="532"/>
      <c r="BH208" s="532"/>
      <c r="BI208" s="532"/>
      <c r="BJ208" s="529"/>
      <c r="BK208" s="532"/>
      <c r="BL208" s="532"/>
      <c r="BM208" s="532"/>
      <c r="BQ208" s="956"/>
      <c r="BR208" s="956"/>
      <c r="BS208" s="956"/>
      <c r="BT208" s="956"/>
      <c r="BU208" s="956"/>
      <c r="BV208" s="956"/>
    </row>
    <row r="209" spans="1:74" s="872" customFormat="1" ht="18">
      <c r="A209" s="1334" t="s">
        <v>1907</v>
      </c>
      <c r="B209" s="1334"/>
      <c r="C209" s="1334"/>
      <c r="D209" s="1334"/>
      <c r="E209" s="1334"/>
      <c r="F209" s="1334" t="s">
        <v>1913</v>
      </c>
      <c r="G209" s="1334"/>
      <c r="H209" s="1339"/>
      <c r="I209" s="1336"/>
      <c r="J209" s="1334"/>
      <c r="K209" s="1334"/>
      <c r="L209" s="1339"/>
      <c r="M209" s="1339"/>
      <c r="N209" s="1336"/>
      <c r="O209" s="1336"/>
      <c r="P209" s="1334"/>
      <c r="Q209" s="1336"/>
      <c r="R209" s="1336"/>
      <c r="S209" s="1336"/>
      <c r="T209" s="1336"/>
      <c r="U209" s="1336"/>
      <c r="V209" s="1340"/>
      <c r="W209" s="1338"/>
      <c r="X209" s="1338"/>
      <c r="Y209" s="1334"/>
      <c r="Z209" s="747"/>
      <c r="AA209" s="1334"/>
      <c r="AD209" s="1334"/>
      <c r="AE209" s="747"/>
      <c r="AF209" s="1334"/>
      <c r="AG209" s="1336"/>
      <c r="AH209" s="1336"/>
      <c r="AI209" s="1336"/>
      <c r="AJ209" s="1336"/>
      <c r="AK209" s="1334"/>
      <c r="AL209" s="1334"/>
      <c r="AM209" s="1336"/>
      <c r="AN209" s="1334"/>
      <c r="AO209" s="1339"/>
      <c r="AP209" s="1334"/>
      <c r="AQ209" s="1334"/>
      <c r="AR209" s="1298"/>
      <c r="AS209" s="1296"/>
      <c r="AT209" s="1297"/>
      <c r="AU209" s="1297"/>
      <c r="AV209" s="1297"/>
      <c r="AW209" s="1297"/>
      <c r="AX209" s="1297"/>
      <c r="AY209" s="1297"/>
      <c r="AZ209" s="532"/>
      <c r="BA209" s="532"/>
      <c r="BB209" s="532"/>
      <c r="BC209" s="532"/>
      <c r="BD209" s="532"/>
      <c r="BE209" s="532"/>
      <c r="BF209" s="532"/>
      <c r="BG209" s="532"/>
      <c r="BH209" s="532"/>
      <c r="BI209" s="532"/>
      <c r="BJ209" s="529"/>
      <c r="BK209" s="532"/>
      <c r="BL209" s="532"/>
      <c r="BM209" s="532"/>
      <c r="BQ209" s="956"/>
      <c r="BR209" s="956"/>
      <c r="BS209" s="956"/>
      <c r="BT209" s="956"/>
      <c r="BU209" s="956"/>
      <c r="BV209" s="956"/>
    </row>
    <row r="210" spans="1:74" s="872" customFormat="1" ht="18">
      <c r="A210" s="1334" t="s">
        <v>1928</v>
      </c>
      <c r="B210" s="1334"/>
      <c r="C210" s="1334"/>
      <c r="D210" s="1334"/>
      <c r="E210" s="1334"/>
      <c r="F210" s="1334" t="s">
        <v>1929</v>
      </c>
      <c r="G210" s="1334"/>
      <c r="H210" s="1339"/>
      <c r="I210" s="1336"/>
      <c r="J210" s="1334"/>
      <c r="K210" s="1334"/>
      <c r="L210" s="1339"/>
      <c r="M210" s="1339"/>
      <c r="N210" s="1336"/>
      <c r="O210" s="1336"/>
      <c r="P210" s="1334"/>
      <c r="Q210" s="1336"/>
      <c r="R210" s="1336"/>
      <c r="S210" s="1336"/>
      <c r="T210" s="1336"/>
      <c r="U210" s="1336"/>
      <c r="V210" s="1340"/>
      <c r="W210" s="1338"/>
      <c r="X210" s="1338"/>
      <c r="Y210" s="1334"/>
      <c r="Z210" s="747"/>
      <c r="AA210" s="1334"/>
      <c r="AD210" s="1334"/>
      <c r="AE210" s="747"/>
      <c r="AF210" s="1334"/>
      <c r="AG210" s="1336"/>
      <c r="AH210" s="1336"/>
      <c r="AI210" s="1336"/>
      <c r="AJ210" s="1336"/>
      <c r="AK210" s="1334"/>
      <c r="AL210" s="1334"/>
      <c r="AM210" s="1336"/>
      <c r="AN210" s="1334"/>
      <c r="AO210" s="1339"/>
      <c r="AP210" s="1334"/>
      <c r="AQ210" s="1334"/>
      <c r="AR210" s="1298"/>
      <c r="AS210" s="1296"/>
      <c r="AT210" s="1297"/>
      <c r="AU210" s="1297"/>
      <c r="AV210" s="1297"/>
      <c r="AW210" s="1297"/>
      <c r="AX210" s="1297"/>
      <c r="AY210" s="1297"/>
      <c r="AZ210" s="532"/>
      <c r="BA210" s="532"/>
      <c r="BB210" s="532"/>
      <c r="BC210" s="532"/>
      <c r="BD210" s="532"/>
      <c r="BE210" s="532"/>
      <c r="BF210" s="532"/>
      <c r="BG210" s="532"/>
      <c r="BH210" s="532"/>
      <c r="BI210" s="532"/>
      <c r="BJ210" s="529"/>
      <c r="BK210" s="532"/>
      <c r="BL210" s="532"/>
      <c r="BM210" s="532"/>
      <c r="BQ210" s="956"/>
      <c r="BR210" s="956"/>
      <c r="BS210" s="956"/>
      <c r="BT210" s="956"/>
      <c r="BU210" s="956"/>
      <c r="BV210" s="956"/>
    </row>
    <row r="211" spans="1:74" s="872" customFormat="1" ht="18">
      <c r="A211" s="1334" t="s">
        <v>1907</v>
      </c>
      <c r="B211" s="1334"/>
      <c r="C211" s="1334"/>
      <c r="D211" s="1334"/>
      <c r="E211" s="1334"/>
      <c r="F211" s="1334" t="s">
        <v>1930</v>
      </c>
      <c r="G211" s="1334"/>
      <c r="H211" s="1339"/>
      <c r="I211" s="1336"/>
      <c r="J211" s="1334"/>
      <c r="K211" s="1334"/>
      <c r="L211" s="1339"/>
      <c r="M211" s="1339"/>
      <c r="N211" s="1336"/>
      <c r="O211" s="1336"/>
      <c r="P211" s="1334"/>
      <c r="Q211" s="1336"/>
      <c r="R211" s="1336"/>
      <c r="S211" s="1336"/>
      <c r="T211" s="1336"/>
      <c r="U211" s="1336"/>
      <c r="V211" s="1340"/>
      <c r="W211" s="1338"/>
      <c r="X211" s="1338"/>
      <c r="Y211" s="1334"/>
      <c r="Z211" s="747"/>
      <c r="AA211" s="1334"/>
      <c r="AD211" s="1334"/>
      <c r="AE211" s="747"/>
      <c r="AF211" s="1334"/>
      <c r="AG211" s="1336"/>
      <c r="AH211" s="1336"/>
      <c r="AI211" s="1336"/>
      <c r="AJ211" s="1336"/>
      <c r="AK211" s="1334"/>
      <c r="AL211" s="1334"/>
      <c r="AM211" s="1336"/>
      <c r="AN211" s="1334"/>
      <c r="AO211" s="1339"/>
      <c r="AP211" s="1334"/>
      <c r="AQ211" s="1334"/>
      <c r="AR211" s="1298"/>
      <c r="AS211" s="1296"/>
      <c r="AT211" s="1297"/>
      <c r="AU211" s="1297"/>
      <c r="AV211" s="1297"/>
      <c r="AW211" s="1297"/>
      <c r="AX211" s="1297"/>
      <c r="AY211" s="1297"/>
      <c r="AZ211" s="532"/>
      <c r="BA211" s="532"/>
      <c r="BB211" s="532"/>
      <c r="BC211" s="532"/>
      <c r="BD211" s="532"/>
      <c r="BE211" s="532"/>
      <c r="BF211" s="532"/>
      <c r="BG211" s="532"/>
      <c r="BH211" s="532"/>
      <c r="BI211" s="532"/>
      <c r="BJ211" s="529"/>
      <c r="BK211" s="532"/>
      <c r="BL211" s="532"/>
      <c r="BM211" s="532"/>
      <c r="BQ211" s="956"/>
      <c r="BR211" s="956"/>
      <c r="BS211" s="956"/>
      <c r="BT211" s="956"/>
      <c r="BU211" s="956"/>
      <c r="BV211" s="956"/>
    </row>
    <row r="212" spans="1:74" s="872" customFormat="1" ht="18">
      <c r="A212" s="1334" t="s">
        <v>1837</v>
      </c>
      <c r="B212" s="1334"/>
      <c r="C212" s="1334"/>
      <c r="D212" s="1334"/>
      <c r="E212" s="1334"/>
      <c r="F212" s="1334" t="s">
        <v>1931</v>
      </c>
      <c r="G212" s="1334"/>
      <c r="H212" s="1339"/>
      <c r="I212" s="1336"/>
      <c r="J212" s="1334"/>
      <c r="K212" s="1334"/>
      <c r="L212" s="1339"/>
      <c r="M212" s="1339"/>
      <c r="N212" s="1336"/>
      <c r="O212" s="1336"/>
      <c r="P212" s="1334"/>
      <c r="Q212" s="1336"/>
      <c r="R212" s="1336"/>
      <c r="S212" s="1336"/>
      <c r="T212" s="1336"/>
      <c r="U212" s="1336"/>
      <c r="V212" s="1340"/>
      <c r="W212" s="1338"/>
      <c r="X212" s="1338"/>
      <c r="Y212" s="1334"/>
      <c r="Z212" s="747"/>
      <c r="AA212" s="1334"/>
      <c r="AD212" s="1334"/>
      <c r="AE212" s="747"/>
      <c r="AF212" s="1334"/>
      <c r="AG212" s="1336"/>
      <c r="AH212" s="1336"/>
      <c r="AI212" s="1336"/>
      <c r="AJ212" s="1336"/>
      <c r="AK212" s="1334"/>
      <c r="AL212" s="1334"/>
      <c r="AM212" s="1336"/>
      <c r="AN212" s="1334"/>
      <c r="AO212" s="1339"/>
      <c r="AP212" s="1334"/>
      <c r="AQ212" s="1334"/>
      <c r="AR212" s="1298"/>
      <c r="AS212" s="1296"/>
      <c r="AT212" s="1297"/>
      <c r="AU212" s="1297"/>
      <c r="AV212" s="1297"/>
      <c r="AW212" s="1297"/>
      <c r="AX212" s="1297"/>
      <c r="AY212" s="1297"/>
      <c r="AZ212" s="532"/>
      <c r="BA212" s="532"/>
      <c r="BB212" s="532"/>
      <c r="BC212" s="532"/>
      <c r="BD212" s="532"/>
      <c r="BE212" s="532"/>
      <c r="BF212" s="532"/>
      <c r="BG212" s="532"/>
      <c r="BH212" s="532"/>
      <c r="BI212" s="532"/>
      <c r="BJ212" s="529"/>
      <c r="BK212" s="532"/>
      <c r="BL212" s="532"/>
      <c r="BM212" s="532"/>
      <c r="BQ212" s="956"/>
      <c r="BR212" s="956"/>
      <c r="BS212" s="956"/>
      <c r="BT212" s="956"/>
      <c r="BU212" s="956"/>
      <c r="BV212" s="956"/>
    </row>
    <row r="213" spans="1:74" s="872" customFormat="1" ht="18">
      <c r="A213" s="1334" t="s">
        <v>1932</v>
      </c>
      <c r="B213" s="1334"/>
      <c r="C213" s="1334"/>
      <c r="D213" s="1334"/>
      <c r="E213" s="1334"/>
      <c r="F213" s="1334" t="s">
        <v>1933</v>
      </c>
      <c r="G213" s="1334"/>
      <c r="H213" s="1339"/>
      <c r="I213" s="1336"/>
      <c r="J213" s="1334"/>
      <c r="K213" s="1334"/>
      <c r="L213" s="1339"/>
      <c r="M213" s="1339"/>
      <c r="N213" s="1336"/>
      <c r="O213" s="1336"/>
      <c r="P213" s="1334"/>
      <c r="Q213" s="1336"/>
      <c r="R213" s="1336"/>
      <c r="S213" s="1336"/>
      <c r="T213" s="1336"/>
      <c r="U213" s="1336"/>
      <c r="V213" s="1340"/>
      <c r="W213" s="1338"/>
      <c r="X213" s="1338"/>
      <c r="Y213" s="1334"/>
      <c r="Z213" s="747"/>
      <c r="AA213" s="1334"/>
      <c r="AD213" s="1334"/>
      <c r="AE213" s="747"/>
      <c r="AF213" s="1334"/>
      <c r="AG213" s="1336"/>
      <c r="AH213" s="1336"/>
      <c r="AI213" s="1336"/>
      <c r="AJ213" s="1336"/>
      <c r="AK213" s="1334"/>
      <c r="AL213" s="1334"/>
      <c r="AM213" s="1336"/>
      <c r="AN213" s="1334"/>
      <c r="AO213" s="1339"/>
      <c r="AP213" s="1334"/>
      <c r="AQ213" s="1334"/>
      <c r="AR213" s="1298"/>
      <c r="AS213" s="1296"/>
      <c r="AT213" s="1297"/>
      <c r="AU213" s="1297"/>
      <c r="AV213" s="1297"/>
      <c r="AW213" s="1297"/>
      <c r="AX213" s="1297"/>
      <c r="AY213" s="1297"/>
      <c r="AZ213" s="532"/>
      <c r="BA213" s="532"/>
      <c r="BB213" s="532"/>
      <c r="BC213" s="532"/>
      <c r="BD213" s="532"/>
      <c r="BE213" s="532"/>
      <c r="BF213" s="532"/>
      <c r="BG213" s="532"/>
      <c r="BH213" s="532"/>
      <c r="BI213" s="532"/>
      <c r="BJ213" s="529"/>
      <c r="BK213" s="532"/>
      <c r="BL213" s="532"/>
      <c r="BM213" s="532"/>
      <c r="BQ213" s="956"/>
      <c r="BR213" s="956"/>
      <c r="BS213" s="956"/>
      <c r="BT213" s="956"/>
      <c r="BU213" s="956"/>
      <c r="BV213" s="956"/>
    </row>
    <row r="214" spans="1:74" s="872" customFormat="1" ht="18">
      <c r="A214" s="1334" t="s">
        <v>1896</v>
      </c>
      <c r="B214" s="1334"/>
      <c r="C214" s="1334"/>
      <c r="D214" s="1334"/>
      <c r="E214" s="1334"/>
      <c r="F214" s="1334" t="s">
        <v>1934</v>
      </c>
      <c r="G214" s="1334"/>
      <c r="H214" s="1339"/>
      <c r="I214" s="1336"/>
      <c r="J214" s="1334"/>
      <c r="K214" s="1334"/>
      <c r="L214" s="1339"/>
      <c r="M214" s="1339"/>
      <c r="N214" s="1336"/>
      <c r="O214" s="1336"/>
      <c r="P214" s="1334"/>
      <c r="Q214" s="1336"/>
      <c r="R214" s="1336"/>
      <c r="S214" s="1336"/>
      <c r="T214" s="1336"/>
      <c r="U214" s="1336"/>
      <c r="V214" s="1340"/>
      <c r="W214" s="1338"/>
      <c r="X214" s="1338"/>
      <c r="Y214" s="1334"/>
      <c r="Z214" s="747"/>
      <c r="AA214" s="1334"/>
      <c r="AD214" s="1334"/>
      <c r="AE214" s="747"/>
      <c r="AF214" s="1334"/>
      <c r="AG214" s="1336"/>
      <c r="AH214" s="1336"/>
      <c r="AI214" s="1336"/>
      <c r="AJ214" s="1336"/>
      <c r="AK214" s="1334"/>
      <c r="AL214" s="1334"/>
      <c r="AM214" s="1336"/>
      <c r="AN214" s="1334"/>
      <c r="AO214" s="1339"/>
      <c r="AP214" s="1334"/>
      <c r="AQ214" s="1334"/>
      <c r="AR214" s="1298"/>
      <c r="AS214" s="1296"/>
      <c r="AT214" s="1297"/>
      <c r="AU214" s="1297"/>
      <c r="AV214" s="1297"/>
      <c r="AW214" s="1297"/>
      <c r="AX214" s="1297"/>
      <c r="AY214" s="1297"/>
      <c r="AZ214" s="532"/>
      <c r="BA214" s="532"/>
      <c r="BB214" s="532"/>
      <c r="BC214" s="532"/>
      <c r="BD214" s="532"/>
      <c r="BE214" s="532"/>
      <c r="BF214" s="532"/>
      <c r="BG214" s="532"/>
      <c r="BH214" s="532"/>
      <c r="BI214" s="532"/>
      <c r="BJ214" s="529"/>
      <c r="BK214" s="532"/>
      <c r="BL214" s="532"/>
      <c r="BM214" s="532"/>
      <c r="BQ214" s="956"/>
      <c r="BR214" s="956"/>
      <c r="BS214" s="956"/>
      <c r="BT214" s="956"/>
      <c r="BU214" s="956"/>
      <c r="BV214" s="956"/>
    </row>
    <row r="215" spans="1:74" s="872" customFormat="1" ht="18">
      <c r="A215" s="1334" t="s">
        <v>1932</v>
      </c>
      <c r="B215" s="1334"/>
      <c r="C215" s="1334"/>
      <c r="D215" s="1334"/>
      <c r="E215" s="1334"/>
      <c r="F215" s="1334" t="s">
        <v>1933</v>
      </c>
      <c r="G215" s="1334"/>
      <c r="H215" s="1339"/>
      <c r="I215" s="1336"/>
      <c r="J215" s="1334"/>
      <c r="K215" s="1334"/>
      <c r="L215" s="1339"/>
      <c r="M215" s="1339"/>
      <c r="N215" s="1336"/>
      <c r="O215" s="1336"/>
      <c r="P215" s="1334"/>
      <c r="Q215" s="1336"/>
      <c r="R215" s="1336"/>
      <c r="S215" s="1336"/>
      <c r="T215" s="1336"/>
      <c r="U215" s="1336"/>
      <c r="V215" s="1340"/>
      <c r="W215" s="1338"/>
      <c r="X215" s="1338"/>
      <c r="Y215" s="1334"/>
      <c r="Z215" s="747"/>
      <c r="AA215" s="1334"/>
      <c r="AD215" s="1334"/>
      <c r="AE215" s="747"/>
      <c r="AF215" s="1334"/>
      <c r="AG215" s="1336"/>
      <c r="AH215" s="1336"/>
      <c r="AI215" s="1336"/>
      <c r="AJ215" s="1336"/>
      <c r="AK215" s="1334"/>
      <c r="AL215" s="1334"/>
      <c r="AM215" s="1336"/>
      <c r="AN215" s="1334"/>
      <c r="AO215" s="1339"/>
      <c r="AP215" s="1334"/>
      <c r="AQ215" s="1334"/>
      <c r="AR215" s="1298"/>
      <c r="AS215" s="1296"/>
      <c r="AT215" s="1297"/>
      <c r="AU215" s="1297"/>
      <c r="AV215" s="1297"/>
      <c r="AW215" s="1297"/>
      <c r="AX215" s="1297"/>
      <c r="AY215" s="1297"/>
      <c r="AZ215" s="532"/>
      <c r="BA215" s="532"/>
      <c r="BB215" s="532"/>
      <c r="BC215" s="532"/>
      <c r="BD215" s="532"/>
      <c r="BE215" s="532"/>
      <c r="BF215" s="532"/>
      <c r="BG215" s="532"/>
      <c r="BH215" s="532"/>
      <c r="BI215" s="532"/>
      <c r="BJ215" s="529"/>
      <c r="BK215" s="532"/>
      <c r="BL215" s="532"/>
      <c r="BM215" s="532"/>
      <c r="BQ215" s="956"/>
      <c r="BR215" s="956"/>
      <c r="BS215" s="956"/>
      <c r="BT215" s="956"/>
      <c r="BU215" s="956"/>
      <c r="BV215" s="956"/>
    </row>
    <row r="216" spans="1:74" s="872" customFormat="1" ht="18">
      <c r="A216" s="1334" t="s">
        <v>1896</v>
      </c>
      <c r="B216" s="1334"/>
      <c r="C216" s="1334"/>
      <c r="D216" s="1334"/>
      <c r="E216" s="1334"/>
      <c r="F216" s="1334" t="s">
        <v>1935</v>
      </c>
      <c r="G216" s="1334"/>
      <c r="H216" s="1339"/>
      <c r="I216" s="1336"/>
      <c r="J216" s="1334"/>
      <c r="K216" s="1334"/>
      <c r="L216" s="1339"/>
      <c r="M216" s="1339"/>
      <c r="N216" s="1336"/>
      <c r="O216" s="1336"/>
      <c r="P216" s="1334"/>
      <c r="Q216" s="1336"/>
      <c r="R216" s="1336"/>
      <c r="S216" s="1336"/>
      <c r="T216" s="1336"/>
      <c r="U216" s="1336"/>
      <c r="V216" s="1340"/>
      <c r="W216" s="1338"/>
      <c r="X216" s="1338"/>
      <c r="Y216" s="1334"/>
      <c r="Z216" s="747"/>
      <c r="AA216" s="1334"/>
      <c r="AD216" s="1334"/>
      <c r="AE216" s="747"/>
      <c r="AF216" s="1334"/>
      <c r="AG216" s="1336"/>
      <c r="AH216" s="1336"/>
      <c r="AI216" s="1336"/>
      <c r="AJ216" s="1336"/>
      <c r="AK216" s="1334"/>
      <c r="AL216" s="1334"/>
      <c r="AM216" s="1336"/>
      <c r="AN216" s="1334"/>
      <c r="AO216" s="1339"/>
      <c r="AP216" s="1334"/>
      <c r="AQ216" s="1334"/>
      <c r="AR216" s="1298"/>
      <c r="AS216" s="1296"/>
      <c r="AT216" s="1297"/>
      <c r="AU216" s="1297"/>
      <c r="AV216" s="1297"/>
      <c r="AW216" s="1297"/>
      <c r="AX216" s="1297"/>
      <c r="AY216" s="1297"/>
      <c r="AZ216" s="532"/>
      <c r="BA216" s="532"/>
      <c r="BB216" s="532"/>
      <c r="BC216" s="532"/>
      <c r="BD216" s="532"/>
      <c r="BE216" s="532"/>
      <c r="BF216" s="532"/>
      <c r="BG216" s="532"/>
      <c r="BH216" s="532"/>
      <c r="BI216" s="532"/>
      <c r="BJ216" s="529"/>
      <c r="BK216" s="532"/>
      <c r="BL216" s="532"/>
      <c r="BM216" s="532"/>
      <c r="BQ216" s="956"/>
      <c r="BR216" s="956"/>
      <c r="BS216" s="956"/>
      <c r="BT216" s="956"/>
      <c r="BU216" s="956"/>
      <c r="BV216" s="956"/>
    </row>
    <row r="217" spans="1:74" s="872" customFormat="1" ht="18">
      <c r="A217" s="1334" t="s">
        <v>1877</v>
      </c>
      <c r="B217" s="1334"/>
      <c r="C217" s="1334"/>
      <c r="D217" s="1334"/>
      <c r="E217" s="1334"/>
      <c r="F217" s="1334" t="s">
        <v>1936</v>
      </c>
      <c r="G217" s="1334"/>
      <c r="H217" s="1339"/>
      <c r="I217" s="1336"/>
      <c r="J217" s="1334"/>
      <c r="K217" s="1334"/>
      <c r="L217" s="1339"/>
      <c r="M217" s="1339"/>
      <c r="N217" s="1336"/>
      <c r="O217" s="1336"/>
      <c r="P217" s="1334"/>
      <c r="Q217" s="1336"/>
      <c r="R217" s="1336"/>
      <c r="S217" s="1336"/>
      <c r="T217" s="1336"/>
      <c r="U217" s="1336"/>
      <c r="V217" s="1340"/>
      <c r="W217" s="1338"/>
      <c r="X217" s="1338"/>
      <c r="Y217" s="1334"/>
      <c r="Z217" s="747"/>
      <c r="AA217" s="1334"/>
      <c r="AD217" s="1334"/>
      <c r="AE217" s="747"/>
      <c r="AF217" s="1334"/>
      <c r="AG217" s="1336"/>
      <c r="AH217" s="1336"/>
      <c r="AI217" s="1336"/>
      <c r="AJ217" s="1336"/>
      <c r="AK217" s="1334"/>
      <c r="AL217" s="1334"/>
      <c r="AM217" s="1336"/>
      <c r="AN217" s="1334"/>
      <c r="AO217" s="1339"/>
      <c r="AP217" s="1334"/>
      <c r="AQ217" s="1334"/>
      <c r="AR217" s="1298"/>
      <c r="AS217" s="1296"/>
      <c r="AT217" s="1297"/>
      <c r="AU217" s="1297"/>
      <c r="AV217" s="1297"/>
      <c r="AW217" s="1297"/>
      <c r="AX217" s="1297"/>
      <c r="AY217" s="1297"/>
      <c r="AZ217" s="532"/>
      <c r="BA217" s="532"/>
      <c r="BB217" s="532"/>
      <c r="BC217" s="532"/>
      <c r="BD217" s="532"/>
      <c r="BE217" s="532"/>
      <c r="BF217" s="532"/>
      <c r="BG217" s="532"/>
      <c r="BH217" s="532"/>
      <c r="BI217" s="532"/>
      <c r="BJ217" s="529"/>
      <c r="BK217" s="532"/>
      <c r="BL217" s="532"/>
      <c r="BM217" s="532"/>
      <c r="BQ217" s="956"/>
      <c r="BR217" s="956"/>
      <c r="BS217" s="956"/>
      <c r="BT217" s="956"/>
      <c r="BU217" s="956"/>
      <c r="BV217" s="956"/>
    </row>
    <row r="218" spans="1:74" s="872" customFormat="1" ht="18">
      <c r="A218" s="1334" t="s">
        <v>1837</v>
      </c>
      <c r="B218" s="1334"/>
      <c r="C218" s="1334"/>
      <c r="D218" s="1334"/>
      <c r="E218" s="1334"/>
      <c r="F218" s="1334" t="s">
        <v>1937</v>
      </c>
      <c r="G218" s="1334"/>
      <c r="H218" s="1339"/>
      <c r="I218" s="1336"/>
      <c r="J218" s="1334"/>
      <c r="K218" s="1334"/>
      <c r="L218" s="1339"/>
      <c r="M218" s="1339"/>
      <c r="N218" s="1336"/>
      <c r="O218" s="1336"/>
      <c r="P218" s="1334"/>
      <c r="Q218" s="1336"/>
      <c r="R218" s="1336"/>
      <c r="S218" s="1336"/>
      <c r="T218" s="1336"/>
      <c r="U218" s="1336"/>
      <c r="V218" s="1340"/>
      <c r="W218" s="1338"/>
      <c r="X218" s="1338"/>
      <c r="Y218" s="1334"/>
      <c r="Z218" s="747"/>
      <c r="AA218" s="1334"/>
      <c r="AD218" s="1334"/>
      <c r="AE218" s="747"/>
      <c r="AF218" s="1334"/>
      <c r="AG218" s="1336"/>
      <c r="AH218" s="1336"/>
      <c r="AI218" s="1336"/>
      <c r="AJ218" s="1336"/>
      <c r="AK218" s="1334"/>
      <c r="AL218" s="1334"/>
      <c r="AM218" s="1336"/>
      <c r="AN218" s="1334"/>
      <c r="AO218" s="1339"/>
      <c r="AP218" s="1334"/>
      <c r="AQ218" s="1334"/>
      <c r="AR218" s="1298"/>
      <c r="AS218" s="1296"/>
      <c r="AT218" s="1297"/>
      <c r="AU218" s="1297"/>
      <c r="AV218" s="1297"/>
      <c r="AW218" s="1297"/>
      <c r="AX218" s="1297"/>
      <c r="AY218" s="1297"/>
      <c r="AZ218" s="532"/>
      <c r="BA218" s="532"/>
      <c r="BB218" s="532"/>
      <c r="BC218" s="532"/>
      <c r="BD218" s="532"/>
      <c r="BE218" s="532"/>
      <c r="BF218" s="532"/>
      <c r="BG218" s="532"/>
      <c r="BH218" s="532"/>
      <c r="BI218" s="532"/>
      <c r="BJ218" s="529"/>
      <c r="BK218" s="532"/>
      <c r="BL218" s="532"/>
      <c r="BM218" s="532"/>
      <c r="BQ218" s="956"/>
      <c r="BR218" s="956"/>
      <c r="BS218" s="956"/>
      <c r="BT218" s="956"/>
      <c r="BU218" s="956"/>
      <c r="BV218" s="956"/>
    </row>
    <row r="219" spans="1:74" s="872" customFormat="1" ht="18">
      <c r="A219" s="1334" t="s">
        <v>1938</v>
      </c>
      <c r="B219" s="1334"/>
      <c r="C219" s="1334"/>
      <c r="D219" s="1334"/>
      <c r="E219" s="1334"/>
      <c r="F219" s="1334" t="s">
        <v>1939</v>
      </c>
      <c r="G219" s="1334"/>
      <c r="H219" s="1339"/>
      <c r="I219" s="1336"/>
      <c r="J219" s="1334"/>
      <c r="K219" s="1334"/>
      <c r="L219" s="1339"/>
      <c r="M219" s="1339"/>
      <c r="N219" s="1336"/>
      <c r="O219" s="1336"/>
      <c r="P219" s="1334"/>
      <c r="Q219" s="1336"/>
      <c r="R219" s="1336"/>
      <c r="S219" s="1336"/>
      <c r="T219" s="1336"/>
      <c r="U219" s="1336"/>
      <c r="V219" s="1340"/>
      <c r="W219" s="1338"/>
      <c r="X219" s="1338"/>
      <c r="Y219" s="1334"/>
      <c r="Z219" s="747"/>
      <c r="AA219" s="1334"/>
      <c r="AD219" s="1334"/>
      <c r="AE219" s="747"/>
      <c r="AF219" s="1334"/>
      <c r="AG219" s="1336"/>
      <c r="AH219" s="1336"/>
      <c r="AI219" s="1336"/>
      <c r="AJ219" s="1336"/>
      <c r="AK219" s="1334"/>
      <c r="AL219" s="1334"/>
      <c r="AM219" s="1336"/>
      <c r="AN219" s="1334"/>
      <c r="AO219" s="1339"/>
      <c r="AP219" s="1334"/>
      <c r="AQ219" s="1334"/>
      <c r="AR219" s="1298"/>
      <c r="AS219" s="1296"/>
      <c r="AT219" s="1297"/>
      <c r="AU219" s="1297"/>
      <c r="AV219" s="1297"/>
      <c r="AW219" s="1297"/>
      <c r="AX219" s="1297"/>
      <c r="AY219" s="1297"/>
      <c r="AZ219" s="532"/>
      <c r="BA219" s="532"/>
      <c r="BB219" s="532"/>
      <c r="BC219" s="532"/>
      <c r="BD219" s="532"/>
      <c r="BE219" s="532"/>
      <c r="BF219" s="532"/>
      <c r="BG219" s="532"/>
      <c r="BH219" s="532"/>
      <c r="BI219" s="532"/>
      <c r="BJ219" s="529"/>
      <c r="BK219" s="532"/>
      <c r="BL219" s="532"/>
      <c r="BM219" s="532"/>
      <c r="BQ219" s="956"/>
      <c r="BR219" s="956"/>
      <c r="BS219" s="956"/>
      <c r="BT219" s="956"/>
      <c r="BU219" s="956"/>
      <c r="BV219" s="956"/>
    </row>
    <row r="220" spans="1:74" s="872" customFormat="1" ht="18">
      <c r="A220" s="1334" t="s">
        <v>1837</v>
      </c>
      <c r="B220" s="1334"/>
      <c r="C220" s="1334"/>
      <c r="D220" s="1334"/>
      <c r="E220" s="1334"/>
      <c r="F220" s="1334" t="s">
        <v>1940</v>
      </c>
      <c r="G220" s="1334"/>
      <c r="H220" s="1339"/>
      <c r="I220" s="1336"/>
      <c r="J220" s="1334"/>
      <c r="K220" s="1334"/>
      <c r="L220" s="1339"/>
      <c r="M220" s="1339"/>
      <c r="N220" s="1336"/>
      <c r="O220" s="1336"/>
      <c r="P220" s="1334"/>
      <c r="Q220" s="1336"/>
      <c r="R220" s="1336"/>
      <c r="S220" s="1336"/>
      <c r="T220" s="1336"/>
      <c r="U220" s="1336"/>
      <c r="V220" s="1340"/>
      <c r="W220" s="1338"/>
      <c r="X220" s="1338"/>
      <c r="Y220" s="1334"/>
      <c r="Z220" s="747"/>
      <c r="AA220" s="1334"/>
      <c r="AD220" s="1334"/>
      <c r="AE220" s="747"/>
      <c r="AF220" s="1334"/>
      <c r="AG220" s="1336"/>
      <c r="AH220" s="1336"/>
      <c r="AI220" s="1336"/>
      <c r="AJ220" s="1336"/>
      <c r="AK220" s="1334"/>
      <c r="AL220" s="1334"/>
      <c r="AM220" s="1336"/>
      <c r="AN220" s="1334"/>
      <c r="AO220" s="1339"/>
      <c r="AP220" s="1334"/>
      <c r="AQ220" s="1334"/>
      <c r="AR220" s="1298"/>
      <c r="AS220" s="1296"/>
      <c r="AT220" s="1297"/>
      <c r="AU220" s="1297"/>
      <c r="AV220" s="1297"/>
      <c r="AW220" s="1297"/>
      <c r="AX220" s="1297"/>
      <c r="AY220" s="1297"/>
      <c r="AZ220" s="532"/>
      <c r="BA220" s="532"/>
      <c r="BB220" s="532"/>
      <c r="BC220" s="532"/>
      <c r="BD220" s="532"/>
      <c r="BE220" s="532"/>
      <c r="BF220" s="532"/>
      <c r="BG220" s="532"/>
      <c r="BH220" s="532"/>
      <c r="BI220" s="532"/>
      <c r="BJ220" s="529"/>
      <c r="BK220" s="532"/>
      <c r="BL220" s="532"/>
      <c r="BM220" s="532"/>
      <c r="BQ220" s="956"/>
      <c r="BR220" s="956"/>
      <c r="BS220" s="956"/>
      <c r="BT220" s="956"/>
      <c r="BU220" s="956"/>
      <c r="BV220" s="956"/>
    </row>
    <row r="221" spans="1:74" s="872" customFormat="1" ht="18">
      <c r="A221" s="1334" t="s">
        <v>1932</v>
      </c>
      <c r="B221" s="1334"/>
      <c r="C221" s="1334"/>
      <c r="D221" s="1334"/>
      <c r="E221" s="1334"/>
      <c r="F221" s="1334" t="s">
        <v>1933</v>
      </c>
      <c r="G221" s="1334"/>
      <c r="H221" s="1339"/>
      <c r="I221" s="1336"/>
      <c r="J221" s="1334"/>
      <c r="K221" s="1334"/>
      <c r="L221" s="1339"/>
      <c r="M221" s="1339"/>
      <c r="N221" s="1336"/>
      <c r="O221" s="1336"/>
      <c r="P221" s="1334"/>
      <c r="Q221" s="1336"/>
      <c r="R221" s="1336"/>
      <c r="S221" s="1336"/>
      <c r="T221" s="1336"/>
      <c r="U221" s="1336"/>
      <c r="V221" s="1340"/>
      <c r="W221" s="1338"/>
      <c r="X221" s="1338"/>
      <c r="Y221" s="1334"/>
      <c r="Z221" s="747"/>
      <c r="AA221" s="1334"/>
      <c r="AD221" s="1334"/>
      <c r="AE221" s="747"/>
      <c r="AF221" s="1334"/>
      <c r="AG221" s="1336"/>
      <c r="AH221" s="1336"/>
      <c r="AI221" s="1336"/>
      <c r="AJ221" s="1336"/>
      <c r="AK221" s="1334"/>
      <c r="AL221" s="1334"/>
      <c r="AM221" s="1336"/>
      <c r="AN221" s="1334"/>
      <c r="AO221" s="1339"/>
      <c r="AP221" s="1334"/>
      <c r="AQ221" s="1334"/>
      <c r="AR221" s="1298"/>
      <c r="AS221" s="1296"/>
      <c r="AT221" s="1297"/>
      <c r="AU221" s="1297"/>
      <c r="AV221" s="1297"/>
      <c r="AW221" s="1297"/>
      <c r="AX221" s="1297"/>
      <c r="AY221" s="1297"/>
      <c r="AZ221" s="532"/>
      <c r="BA221" s="532"/>
      <c r="BB221" s="532"/>
      <c r="BC221" s="532"/>
      <c r="BD221" s="532"/>
      <c r="BE221" s="532"/>
      <c r="BF221" s="532"/>
      <c r="BG221" s="532"/>
      <c r="BH221" s="532"/>
      <c r="BI221" s="532"/>
      <c r="BJ221" s="529"/>
      <c r="BK221" s="532"/>
      <c r="BL221" s="532"/>
      <c r="BM221" s="532"/>
      <c r="BQ221" s="956"/>
      <c r="BR221" s="956"/>
      <c r="BS221" s="956"/>
      <c r="BT221" s="956"/>
      <c r="BU221" s="956"/>
      <c r="BV221" s="956"/>
    </row>
    <row r="222" spans="1:74" s="872" customFormat="1" ht="18">
      <c r="A222" s="1334" t="s">
        <v>1837</v>
      </c>
      <c r="B222" s="1334"/>
      <c r="C222" s="1334"/>
      <c r="D222" s="1334"/>
      <c r="E222" s="1334"/>
      <c r="F222" s="1334" t="s">
        <v>1941</v>
      </c>
      <c r="G222" s="1334"/>
      <c r="H222" s="1339"/>
      <c r="I222" s="1336"/>
      <c r="J222" s="1334"/>
      <c r="K222" s="1334"/>
      <c r="L222" s="1339"/>
      <c r="M222" s="1339"/>
      <c r="N222" s="1336"/>
      <c r="O222" s="1336"/>
      <c r="P222" s="1334"/>
      <c r="Q222" s="1336"/>
      <c r="R222" s="1336"/>
      <c r="S222" s="1336"/>
      <c r="T222" s="1336"/>
      <c r="U222" s="1336"/>
      <c r="V222" s="1340"/>
      <c r="W222" s="1338"/>
      <c r="X222" s="1338"/>
      <c r="Y222" s="1334"/>
      <c r="Z222" s="747"/>
      <c r="AA222" s="1334"/>
      <c r="AD222" s="1334"/>
      <c r="AE222" s="747"/>
      <c r="AF222" s="1334"/>
      <c r="AG222" s="1336"/>
      <c r="AH222" s="1336"/>
      <c r="AI222" s="1336"/>
      <c r="AJ222" s="1336"/>
      <c r="AK222" s="1334"/>
      <c r="AL222" s="1334"/>
      <c r="AM222" s="1336"/>
      <c r="AN222" s="1334"/>
      <c r="AO222" s="1339"/>
      <c r="AP222" s="1334"/>
      <c r="AQ222" s="1334"/>
      <c r="AR222" s="1298"/>
      <c r="AS222" s="1296"/>
      <c r="AT222" s="1297"/>
      <c r="AU222" s="1297"/>
      <c r="AV222" s="1297"/>
      <c r="AW222" s="1297"/>
      <c r="AX222" s="1297"/>
      <c r="AY222" s="1297"/>
      <c r="AZ222" s="532"/>
      <c r="BA222" s="532"/>
      <c r="BB222" s="532"/>
      <c r="BC222" s="532"/>
      <c r="BD222" s="532"/>
      <c r="BE222" s="532"/>
      <c r="BF222" s="532"/>
      <c r="BG222" s="532"/>
      <c r="BH222" s="532"/>
      <c r="BI222" s="532"/>
      <c r="BJ222" s="529"/>
      <c r="BK222" s="532"/>
      <c r="BL222" s="532"/>
      <c r="BM222" s="532"/>
      <c r="BQ222" s="956"/>
      <c r="BR222" s="956"/>
      <c r="BS222" s="956"/>
      <c r="BT222" s="956"/>
      <c r="BU222" s="956"/>
      <c r="BV222" s="956"/>
    </row>
    <row r="223" spans="1:74" s="872" customFormat="1" ht="18">
      <c r="A223" s="1334" t="s">
        <v>1907</v>
      </c>
      <c r="B223" s="1334"/>
      <c r="C223" s="1334"/>
      <c r="D223" s="1334"/>
      <c r="E223" s="1334"/>
      <c r="F223" s="1334" t="s">
        <v>1913</v>
      </c>
      <c r="G223" s="1334"/>
      <c r="H223" s="1339"/>
      <c r="I223" s="1336"/>
      <c r="J223" s="1334"/>
      <c r="K223" s="1334"/>
      <c r="L223" s="1339"/>
      <c r="M223" s="1339"/>
      <c r="N223" s="1336"/>
      <c r="O223" s="1336"/>
      <c r="P223" s="1334"/>
      <c r="Q223" s="1336"/>
      <c r="R223" s="1336"/>
      <c r="S223" s="1336"/>
      <c r="T223" s="1336"/>
      <c r="U223" s="1336"/>
      <c r="V223" s="1340"/>
      <c r="W223" s="1338"/>
      <c r="X223" s="1338"/>
      <c r="Y223" s="1334"/>
      <c r="Z223" s="747"/>
      <c r="AA223" s="1334"/>
      <c r="AD223" s="1334"/>
      <c r="AE223" s="747"/>
      <c r="AF223" s="1334"/>
      <c r="AG223" s="1336"/>
      <c r="AH223" s="1336"/>
      <c r="AI223" s="1336"/>
      <c r="AJ223" s="1336"/>
      <c r="AK223" s="1334"/>
      <c r="AL223" s="1334"/>
      <c r="AM223" s="1336"/>
      <c r="AN223" s="1334"/>
      <c r="AO223" s="1339"/>
      <c r="AP223" s="1334"/>
      <c r="AQ223" s="1334"/>
      <c r="AR223" s="1298"/>
      <c r="AS223" s="1296"/>
      <c r="AT223" s="1297"/>
      <c r="AU223" s="1297"/>
      <c r="AV223" s="1297"/>
      <c r="AW223" s="1297"/>
      <c r="AX223" s="1297"/>
      <c r="AY223" s="1297"/>
      <c r="AZ223" s="532"/>
      <c r="BA223" s="532"/>
      <c r="BB223" s="532"/>
      <c r="BC223" s="532"/>
      <c r="BD223" s="532"/>
      <c r="BE223" s="532"/>
      <c r="BF223" s="532"/>
      <c r="BG223" s="532"/>
      <c r="BH223" s="532"/>
      <c r="BI223" s="532"/>
      <c r="BJ223" s="529"/>
      <c r="BK223" s="532"/>
      <c r="BL223" s="532"/>
      <c r="BM223" s="532"/>
      <c r="BQ223" s="956"/>
      <c r="BR223" s="956"/>
      <c r="BS223" s="956"/>
      <c r="BT223" s="956"/>
      <c r="BU223" s="956"/>
      <c r="BV223" s="956"/>
    </row>
    <row r="224" spans="1:74" s="872" customFormat="1" ht="18">
      <c r="A224" s="1334" t="s">
        <v>1837</v>
      </c>
      <c r="B224" s="1334"/>
      <c r="C224" s="1334"/>
      <c r="D224" s="1334"/>
      <c r="E224" s="1334"/>
      <c r="F224" s="1334" t="s">
        <v>1942</v>
      </c>
      <c r="G224" s="1334"/>
      <c r="H224" s="1339"/>
      <c r="I224" s="1336"/>
      <c r="J224" s="1334"/>
      <c r="K224" s="1334"/>
      <c r="L224" s="1339"/>
      <c r="M224" s="1339"/>
      <c r="N224" s="1336"/>
      <c r="O224" s="1336"/>
      <c r="P224" s="1334"/>
      <c r="Q224" s="1336"/>
      <c r="R224" s="1336"/>
      <c r="S224" s="1336"/>
      <c r="T224" s="1336"/>
      <c r="U224" s="1336"/>
      <c r="V224" s="1340"/>
      <c r="W224" s="1338"/>
      <c r="X224" s="1338"/>
      <c r="Y224" s="1334"/>
      <c r="Z224" s="747"/>
      <c r="AA224" s="1334"/>
      <c r="AD224" s="1334"/>
      <c r="AE224" s="747"/>
      <c r="AF224" s="1334"/>
      <c r="AG224" s="1336"/>
      <c r="AH224" s="1336"/>
      <c r="AI224" s="1336"/>
      <c r="AJ224" s="1336"/>
      <c r="AK224" s="1334"/>
      <c r="AL224" s="1334"/>
      <c r="AM224" s="1336"/>
      <c r="AN224" s="1334"/>
      <c r="AO224" s="1339"/>
      <c r="AP224" s="1334"/>
      <c r="AQ224" s="1334"/>
      <c r="AR224" s="1298"/>
      <c r="AS224" s="1296"/>
      <c r="AT224" s="1297"/>
      <c r="AU224" s="1297"/>
      <c r="AV224" s="1297"/>
      <c r="AW224" s="1297"/>
      <c r="AX224" s="1297"/>
      <c r="AY224" s="1297"/>
      <c r="AZ224" s="532"/>
      <c r="BA224" s="532"/>
      <c r="BB224" s="532"/>
      <c r="BC224" s="532"/>
      <c r="BD224" s="532"/>
      <c r="BE224" s="532"/>
      <c r="BF224" s="532"/>
      <c r="BG224" s="532"/>
      <c r="BH224" s="532"/>
      <c r="BI224" s="532"/>
      <c r="BJ224" s="529"/>
      <c r="BK224" s="532"/>
      <c r="BL224" s="532"/>
      <c r="BM224" s="532"/>
      <c r="BQ224" s="956"/>
      <c r="BR224" s="956"/>
      <c r="BS224" s="956"/>
      <c r="BT224" s="956"/>
      <c r="BU224" s="956"/>
      <c r="BV224" s="956"/>
    </row>
    <row r="225" spans="1:74" s="872" customFormat="1" ht="18">
      <c r="A225" s="1334" t="s">
        <v>1932</v>
      </c>
      <c r="B225" s="1334"/>
      <c r="C225" s="1334"/>
      <c r="D225" s="1334"/>
      <c r="E225" s="1334"/>
      <c r="F225" s="1334" t="s">
        <v>1942</v>
      </c>
      <c r="G225" s="1334"/>
      <c r="H225" s="1339"/>
      <c r="I225" s="1336"/>
      <c r="J225" s="1334"/>
      <c r="K225" s="1334"/>
      <c r="L225" s="1339"/>
      <c r="M225" s="1339"/>
      <c r="N225" s="1336"/>
      <c r="O225" s="1336"/>
      <c r="P225" s="1334"/>
      <c r="Q225" s="1336"/>
      <c r="R225" s="1336"/>
      <c r="S225" s="1336"/>
      <c r="T225" s="1336"/>
      <c r="U225" s="1336"/>
      <c r="V225" s="1340"/>
      <c r="W225" s="1338"/>
      <c r="X225" s="1338"/>
      <c r="Y225" s="1334"/>
      <c r="Z225" s="747"/>
      <c r="AA225" s="1334"/>
      <c r="AD225" s="1334"/>
      <c r="AE225" s="747"/>
      <c r="AF225" s="1334"/>
      <c r="AG225" s="1336"/>
      <c r="AH225" s="1336"/>
      <c r="AI225" s="1336"/>
      <c r="AJ225" s="1336"/>
      <c r="AK225" s="1334"/>
      <c r="AL225" s="1334"/>
      <c r="AM225" s="1336"/>
      <c r="AN225" s="1334"/>
      <c r="AO225" s="1339"/>
      <c r="AP225" s="1334"/>
      <c r="AQ225" s="1334"/>
      <c r="AR225" s="1298"/>
      <c r="AS225" s="1296"/>
      <c r="AT225" s="1297"/>
      <c r="AU225" s="1297"/>
      <c r="AV225" s="1297"/>
      <c r="AW225" s="1297"/>
      <c r="AX225" s="1297"/>
      <c r="AY225" s="1297"/>
      <c r="AZ225" s="532"/>
      <c r="BA225" s="532"/>
      <c r="BB225" s="532"/>
      <c r="BC225" s="532"/>
      <c r="BD225" s="532"/>
      <c r="BE225" s="532"/>
      <c r="BF225" s="532"/>
      <c r="BG225" s="532"/>
      <c r="BH225" s="532"/>
      <c r="BI225" s="532"/>
      <c r="BJ225" s="529"/>
      <c r="BK225" s="532"/>
      <c r="BL225" s="532"/>
      <c r="BM225" s="532"/>
      <c r="BQ225" s="956"/>
      <c r="BR225" s="956"/>
      <c r="BS225" s="956"/>
      <c r="BT225" s="956"/>
      <c r="BU225" s="956"/>
      <c r="BV225" s="956"/>
    </row>
    <row r="226" spans="1:74" s="872" customFormat="1" ht="18">
      <c r="A226" s="1334"/>
      <c r="B226" s="1334"/>
      <c r="C226" s="1334"/>
      <c r="D226" s="1334"/>
      <c r="E226" s="1334"/>
      <c r="F226" s="1334"/>
      <c r="G226" s="1334"/>
      <c r="H226" s="1339"/>
      <c r="I226" s="1336"/>
      <c r="J226" s="1334"/>
      <c r="K226" s="1334"/>
      <c r="L226" s="1339"/>
      <c r="M226" s="1339"/>
      <c r="N226" s="1336"/>
      <c r="O226" s="1336"/>
      <c r="P226" s="1334"/>
      <c r="Q226" s="1336"/>
      <c r="R226" s="1336"/>
      <c r="S226" s="1336"/>
      <c r="T226" s="1336"/>
      <c r="U226" s="1336"/>
      <c r="V226" s="1340"/>
      <c r="W226" s="1338"/>
      <c r="X226" s="1338"/>
      <c r="Y226" s="1334"/>
      <c r="Z226" s="747"/>
      <c r="AA226" s="1334"/>
      <c r="AD226" s="1334"/>
      <c r="AE226" s="747"/>
      <c r="AF226" s="1334"/>
      <c r="AG226" s="1336"/>
      <c r="AH226" s="1336"/>
      <c r="AI226" s="1336"/>
      <c r="AJ226" s="1336"/>
      <c r="AK226" s="1334"/>
      <c r="AL226" s="1334"/>
      <c r="AM226" s="1336"/>
      <c r="AN226" s="1334"/>
      <c r="AO226" s="1339"/>
      <c r="AP226" s="1334"/>
      <c r="AQ226" s="1334"/>
      <c r="AR226" s="1298"/>
      <c r="AS226" s="1296"/>
      <c r="AT226" s="1297"/>
      <c r="AU226" s="1297"/>
      <c r="AV226" s="1297"/>
      <c r="AW226" s="1297"/>
      <c r="AX226" s="1297"/>
      <c r="AY226" s="1297"/>
      <c r="AZ226" s="532"/>
      <c r="BA226" s="532"/>
      <c r="BB226" s="532"/>
      <c r="BC226" s="532"/>
      <c r="BD226" s="532"/>
      <c r="BE226" s="532"/>
      <c r="BF226" s="532"/>
      <c r="BG226" s="532"/>
      <c r="BH226" s="532"/>
      <c r="BI226" s="532"/>
      <c r="BJ226" s="529"/>
      <c r="BK226" s="532"/>
      <c r="BL226" s="532"/>
      <c r="BM226" s="532"/>
      <c r="BQ226" s="956"/>
      <c r="BR226" s="956"/>
      <c r="BS226" s="956"/>
      <c r="BT226" s="956"/>
      <c r="BU226" s="956"/>
      <c r="BV226" s="956"/>
    </row>
    <row r="227" spans="1:74" s="872" customFormat="1" ht="18">
      <c r="A227" s="1334"/>
      <c r="B227" s="1334"/>
      <c r="C227" s="1334"/>
      <c r="D227" s="1334"/>
      <c r="E227" s="1334"/>
      <c r="F227" s="1334"/>
      <c r="G227" s="1334"/>
      <c r="H227" s="1339"/>
      <c r="I227" s="1336"/>
      <c r="J227" s="1334"/>
      <c r="K227" s="1334"/>
      <c r="L227" s="1339"/>
      <c r="M227" s="1339"/>
      <c r="N227" s="1336"/>
      <c r="O227" s="1336"/>
      <c r="P227" s="1334"/>
      <c r="Q227" s="1336"/>
      <c r="R227" s="1336"/>
      <c r="S227" s="1336"/>
      <c r="T227" s="1336"/>
      <c r="U227" s="1336"/>
      <c r="V227" s="1340"/>
      <c r="W227" s="1338"/>
      <c r="X227" s="1338"/>
      <c r="Y227" s="1334"/>
      <c r="Z227" s="747"/>
      <c r="AA227" s="1334"/>
      <c r="AD227" s="1334"/>
      <c r="AE227" s="747"/>
      <c r="AF227" s="1334"/>
      <c r="AG227" s="1336"/>
      <c r="AH227" s="1336"/>
      <c r="AI227" s="1336"/>
      <c r="AJ227" s="1336"/>
      <c r="AK227" s="1334"/>
      <c r="AL227" s="1334"/>
      <c r="AM227" s="1336"/>
      <c r="AN227" s="1334"/>
      <c r="AO227" s="1339"/>
      <c r="AP227" s="1334"/>
      <c r="AQ227" s="1334"/>
      <c r="AR227" s="1298"/>
      <c r="AS227" s="1296"/>
      <c r="AT227" s="1297"/>
      <c r="AU227" s="1297"/>
      <c r="AV227" s="1297"/>
      <c r="AW227" s="1297"/>
      <c r="AX227" s="1297"/>
      <c r="AY227" s="1297"/>
      <c r="AZ227" s="532"/>
      <c r="BA227" s="532"/>
      <c r="BB227" s="532"/>
      <c r="BC227" s="532"/>
      <c r="BD227" s="532"/>
      <c r="BE227" s="532"/>
      <c r="BF227" s="532"/>
      <c r="BG227" s="532"/>
      <c r="BH227" s="532"/>
      <c r="BI227" s="532"/>
      <c r="BJ227" s="529"/>
      <c r="BK227" s="532"/>
      <c r="BL227" s="532"/>
      <c r="BM227" s="532"/>
      <c r="BQ227" s="956"/>
      <c r="BR227" s="956"/>
      <c r="BS227" s="956"/>
      <c r="BT227" s="956"/>
      <c r="BU227" s="956"/>
      <c r="BV227" s="956"/>
    </row>
    <row r="228" spans="1:74" s="872" customFormat="1" ht="18">
      <c r="A228" s="1334"/>
      <c r="B228" s="1334"/>
      <c r="C228" s="1334"/>
      <c r="D228" s="1334"/>
      <c r="E228" s="1334"/>
      <c r="F228" s="1334"/>
      <c r="G228" s="1334"/>
      <c r="H228" s="1339"/>
      <c r="I228" s="1336"/>
      <c r="J228" s="1334"/>
      <c r="K228" s="1334"/>
      <c r="L228" s="1339"/>
      <c r="M228" s="1339"/>
      <c r="N228" s="1336"/>
      <c r="O228" s="1336"/>
      <c r="P228" s="1334"/>
      <c r="Q228" s="1336"/>
      <c r="R228" s="1336"/>
      <c r="S228" s="1336"/>
      <c r="T228" s="1336"/>
      <c r="U228" s="1336"/>
      <c r="V228" s="1340"/>
      <c r="W228" s="1338"/>
      <c r="X228" s="1338"/>
      <c r="Y228" s="1334"/>
      <c r="Z228" s="747"/>
      <c r="AA228" s="1334"/>
      <c r="AD228" s="1334"/>
      <c r="AE228" s="747"/>
      <c r="AF228" s="1334"/>
      <c r="AG228" s="1336"/>
      <c r="AH228" s="1336"/>
      <c r="AI228" s="1336"/>
      <c r="AJ228" s="1336"/>
      <c r="AK228" s="1334"/>
      <c r="AL228" s="1334"/>
      <c r="AM228" s="1336"/>
      <c r="AN228" s="1334"/>
      <c r="AO228" s="1339"/>
      <c r="AP228" s="1334"/>
      <c r="AQ228" s="1334"/>
      <c r="AR228" s="1298"/>
      <c r="AS228" s="1296"/>
      <c r="AT228" s="1297"/>
      <c r="AU228" s="1297"/>
      <c r="AV228" s="1297"/>
      <c r="AW228" s="1297"/>
      <c r="AX228" s="1297"/>
      <c r="AY228" s="1297"/>
      <c r="AZ228" s="532"/>
      <c r="BA228" s="532"/>
      <c r="BB228" s="532"/>
      <c r="BC228" s="532"/>
      <c r="BD228" s="532"/>
      <c r="BE228" s="532"/>
      <c r="BF228" s="532"/>
      <c r="BG228" s="532"/>
      <c r="BH228" s="532"/>
      <c r="BI228" s="532"/>
      <c r="BJ228" s="529"/>
      <c r="BK228" s="532"/>
      <c r="BL228" s="532"/>
      <c r="BM228" s="532"/>
      <c r="BQ228" s="956"/>
      <c r="BR228" s="956"/>
      <c r="BS228" s="956"/>
      <c r="BT228" s="956"/>
      <c r="BU228" s="956"/>
      <c r="BV228" s="956"/>
    </row>
    <row r="229" spans="1:74" s="872" customFormat="1" ht="18">
      <c r="A229" s="1334"/>
      <c r="B229" s="1371" t="s">
        <v>1943</v>
      </c>
      <c r="C229" s="1334" t="s">
        <v>1944</v>
      </c>
      <c r="D229" s="1334"/>
      <c r="E229" s="1334"/>
      <c r="F229" s="1334"/>
      <c r="G229" s="1334"/>
      <c r="H229" s="1339"/>
      <c r="I229" s="1336"/>
      <c r="J229" s="1334"/>
      <c r="K229" s="1334"/>
      <c r="L229" s="1339"/>
      <c r="M229" s="2650" t="s">
        <v>535</v>
      </c>
      <c r="N229" s="2650"/>
      <c r="O229" s="1336"/>
      <c r="P229" s="1334"/>
      <c r="Q229" s="1336"/>
      <c r="R229" s="1336"/>
      <c r="S229" s="1336"/>
      <c r="T229" s="1336"/>
      <c r="U229" s="1336"/>
      <c r="V229" s="1340"/>
      <c r="W229" s="1338"/>
      <c r="X229" s="1338"/>
      <c r="Y229" s="1334"/>
      <c r="Z229" s="747"/>
      <c r="AA229" s="1334"/>
      <c r="AD229" s="1334"/>
      <c r="AE229" s="747"/>
      <c r="AF229" s="1334"/>
      <c r="AG229" s="1336"/>
      <c r="AH229" s="1336"/>
      <c r="AI229" s="1336"/>
      <c r="AJ229" s="1336"/>
      <c r="AK229" s="1334"/>
      <c r="AL229" s="1334"/>
      <c r="AM229" s="1336"/>
      <c r="AN229" s="1334"/>
      <c r="AO229" s="1339"/>
      <c r="AP229" s="1334"/>
      <c r="AQ229" s="1334"/>
      <c r="AR229" s="1298"/>
      <c r="AS229" s="1296"/>
      <c r="AT229" s="1297"/>
      <c r="AU229" s="1297"/>
      <c r="AV229" s="1297"/>
      <c r="AW229" s="1297"/>
      <c r="AX229" s="1297"/>
      <c r="AY229" s="1297"/>
      <c r="AZ229" s="532"/>
      <c r="BA229" s="532"/>
      <c r="BB229" s="532"/>
      <c r="BC229" s="532"/>
      <c r="BD229" s="532"/>
      <c r="BE229" s="532"/>
      <c r="BF229" s="532"/>
      <c r="BG229" s="532"/>
      <c r="BH229" s="532"/>
      <c r="BI229" s="532"/>
      <c r="BJ229" s="529"/>
      <c r="BK229" s="532"/>
      <c r="BL229" s="532"/>
      <c r="BM229" s="532"/>
      <c r="BQ229" s="956"/>
      <c r="BR229" s="956"/>
      <c r="BS229" s="956"/>
      <c r="BT229" s="956"/>
      <c r="BU229" s="956"/>
      <c r="BV229" s="956"/>
    </row>
    <row r="230" spans="1:74" s="872" customFormat="1" ht="18">
      <c r="A230" s="1334"/>
      <c r="B230" s="1334"/>
      <c r="C230" s="1334"/>
      <c r="D230" s="1334"/>
      <c r="E230" s="1334"/>
      <c r="F230" s="1334"/>
      <c r="G230" s="1334"/>
      <c r="H230" s="1339"/>
      <c r="I230" s="1336"/>
      <c r="J230" s="1334"/>
      <c r="K230" s="1334"/>
      <c r="L230" s="1339"/>
      <c r="M230" s="1343" t="s">
        <v>1573</v>
      </c>
      <c r="N230" s="1344" t="s">
        <v>1574</v>
      </c>
      <c r="O230" s="1336"/>
      <c r="P230" s="1334"/>
      <c r="Q230" s="1336"/>
      <c r="R230" s="1336"/>
      <c r="S230" s="1336"/>
      <c r="T230" s="1336"/>
      <c r="U230" s="1336"/>
      <c r="V230" s="1340"/>
      <c r="W230" s="1338"/>
      <c r="X230" s="1338"/>
      <c r="Y230" s="1334"/>
      <c r="Z230" s="747"/>
      <c r="AA230" s="1334"/>
      <c r="AB230" s="1334"/>
      <c r="AC230" s="1336"/>
      <c r="AD230" s="1334"/>
      <c r="AE230" s="747"/>
      <c r="AF230" s="1334"/>
      <c r="AG230" s="1334"/>
      <c r="AH230" s="1336"/>
      <c r="AI230" s="1336"/>
      <c r="AJ230" s="1336"/>
      <c r="AK230" s="1334"/>
      <c r="AL230" s="1334"/>
      <c r="AM230" s="1336"/>
      <c r="AN230" s="1334"/>
      <c r="AO230" s="1339"/>
      <c r="AP230" s="1334"/>
      <c r="AQ230" s="1334"/>
      <c r="AR230" s="1298"/>
      <c r="AS230" s="1296"/>
      <c r="AT230" s="1297"/>
      <c r="AU230" s="1297"/>
      <c r="AV230" s="1297"/>
      <c r="AW230" s="1297"/>
      <c r="AX230" s="1297"/>
      <c r="AY230" s="1297"/>
      <c r="AZ230" s="532"/>
      <c r="BA230" s="532"/>
      <c r="BB230" s="532"/>
      <c r="BC230" s="532"/>
      <c r="BD230" s="532"/>
      <c r="BE230" s="532"/>
      <c r="BF230" s="532"/>
      <c r="BG230" s="532"/>
      <c r="BH230" s="532"/>
      <c r="BI230" s="532"/>
      <c r="BJ230" s="529"/>
      <c r="BK230" s="532"/>
      <c r="BL230" s="532"/>
      <c r="BM230" s="532"/>
      <c r="BQ230" s="956"/>
      <c r="BR230" s="956"/>
      <c r="BS230" s="956"/>
      <c r="BT230" s="956"/>
      <c r="BU230" s="956"/>
      <c r="BV230" s="956"/>
    </row>
    <row r="231" spans="1:74" s="872" customFormat="1" ht="18">
      <c r="A231" s="1334" t="s">
        <v>1916</v>
      </c>
      <c r="B231" s="1334"/>
      <c r="C231" s="1334"/>
      <c r="D231" s="1334"/>
      <c r="E231" s="1334"/>
      <c r="F231" s="1334" t="s">
        <v>1945</v>
      </c>
      <c r="G231" s="1334"/>
      <c r="H231" s="1339"/>
      <c r="I231" s="1336"/>
      <c r="J231" s="1334"/>
      <c r="K231" s="1334"/>
      <c r="L231" s="1339"/>
      <c r="M231" s="1334">
        <v>0</v>
      </c>
      <c r="N231" s="1339"/>
      <c r="O231" s="1336"/>
      <c r="P231" s="1334"/>
      <c r="Q231" s="1336"/>
      <c r="R231" s="1336"/>
      <c r="S231" s="1336"/>
      <c r="T231" s="1336"/>
      <c r="U231" s="1336"/>
      <c r="V231" s="1340"/>
      <c r="W231" s="1338"/>
      <c r="X231" s="1338"/>
      <c r="Y231" s="1334"/>
      <c r="Z231" s="747"/>
      <c r="AA231" s="1334"/>
      <c r="AB231" s="1334"/>
      <c r="AC231" s="1336"/>
      <c r="AD231" s="1334"/>
      <c r="AE231" s="747"/>
      <c r="AF231" s="1334"/>
      <c r="AG231" s="1334"/>
      <c r="AH231" s="1336"/>
      <c r="AI231" s="1336"/>
      <c r="AJ231" s="1336"/>
      <c r="AK231" s="1334"/>
      <c r="AL231" s="1334"/>
      <c r="AM231" s="1336"/>
      <c r="AN231" s="1334"/>
      <c r="AO231" s="1339"/>
      <c r="AP231" s="1334"/>
      <c r="AQ231" s="1334"/>
      <c r="AR231" s="1298"/>
      <c r="AS231" s="1296"/>
      <c r="AT231" s="1297"/>
      <c r="AU231" s="1297"/>
      <c r="AV231" s="1297"/>
      <c r="AW231" s="1297"/>
      <c r="AX231" s="1297"/>
      <c r="AY231" s="1297"/>
      <c r="AZ231" s="532"/>
      <c r="BA231" s="532"/>
      <c r="BB231" s="532"/>
      <c r="BC231" s="532"/>
      <c r="BD231" s="532"/>
      <c r="BE231" s="532"/>
      <c r="BF231" s="532"/>
      <c r="BG231" s="532"/>
      <c r="BH231" s="532"/>
      <c r="BI231" s="532"/>
      <c r="BJ231" s="529"/>
      <c r="BK231" s="532"/>
      <c r="BL231" s="532"/>
      <c r="BM231" s="532"/>
      <c r="BQ231" s="956"/>
      <c r="BR231" s="956"/>
      <c r="BS231" s="956"/>
      <c r="BT231" s="956"/>
      <c r="BU231" s="956"/>
      <c r="BV231" s="956"/>
    </row>
    <row r="232" spans="1:74" s="872" customFormat="1" ht="18">
      <c r="A232" s="1334" t="s">
        <v>1946</v>
      </c>
      <c r="B232" s="1334"/>
      <c r="C232" s="1334"/>
      <c r="D232" s="1334"/>
      <c r="E232" s="1334"/>
      <c r="F232" s="1334" t="s">
        <v>1947</v>
      </c>
      <c r="G232" s="1334"/>
      <c r="H232" s="1339"/>
      <c r="I232" s="1336"/>
      <c r="J232" s="1334"/>
      <c r="K232" s="1334"/>
      <c r="L232" s="1339"/>
      <c r="M232" s="1334"/>
      <c r="N232" s="1339">
        <v>0</v>
      </c>
      <c r="O232" s="1336"/>
      <c r="P232" s="1334"/>
      <c r="Q232" s="1336"/>
      <c r="R232" s="1336"/>
      <c r="S232" s="1336"/>
      <c r="T232" s="1336"/>
      <c r="U232" s="1336"/>
      <c r="V232" s="1340"/>
      <c r="W232" s="1338"/>
      <c r="X232" s="1338"/>
      <c r="Y232" s="1334"/>
      <c r="Z232" s="747"/>
      <c r="AA232" s="1334"/>
      <c r="AB232" s="1334"/>
      <c r="AC232" s="1336"/>
      <c r="AD232" s="1334"/>
      <c r="AE232" s="747"/>
      <c r="AF232" s="1334"/>
      <c r="AG232" s="1334"/>
      <c r="AH232" s="1336"/>
      <c r="AI232" s="1336"/>
      <c r="AJ232" s="1336"/>
      <c r="AK232" s="1334"/>
      <c r="AL232" s="1334"/>
      <c r="AM232" s="1336"/>
      <c r="AN232" s="1334"/>
      <c r="AO232" s="1339"/>
      <c r="AP232" s="1334"/>
      <c r="AQ232" s="1334"/>
      <c r="AR232" s="1298"/>
      <c r="AS232" s="1296"/>
      <c r="AT232" s="1297"/>
      <c r="AU232" s="1297"/>
      <c r="AV232" s="1297"/>
      <c r="AW232" s="1297"/>
      <c r="AX232" s="1297"/>
      <c r="AY232" s="1297"/>
      <c r="AZ232" s="532"/>
      <c r="BA232" s="532"/>
      <c r="BB232" s="532"/>
      <c r="BC232" s="532"/>
      <c r="BD232" s="532"/>
      <c r="BE232" s="532"/>
      <c r="BF232" s="532"/>
      <c r="BG232" s="532"/>
      <c r="BH232" s="532"/>
      <c r="BI232" s="532"/>
      <c r="BJ232" s="529"/>
      <c r="BK232" s="532"/>
      <c r="BL232" s="532"/>
      <c r="BM232" s="532"/>
      <c r="BQ232" s="956"/>
      <c r="BR232" s="956"/>
      <c r="BS232" s="956"/>
      <c r="BT232" s="956"/>
      <c r="BU232" s="956"/>
      <c r="BV232" s="956"/>
    </row>
    <row r="233" spans="1:74" s="872" customFormat="1" ht="18">
      <c r="A233" s="1334"/>
      <c r="B233" s="1334"/>
      <c r="C233" s="1334"/>
      <c r="D233" s="1334"/>
      <c r="E233" s="1334"/>
      <c r="F233" s="1334" t="s">
        <v>1948</v>
      </c>
      <c r="G233" s="1334"/>
      <c r="H233" s="1339"/>
      <c r="I233" s="1336"/>
      <c r="J233" s="1334"/>
      <c r="K233" s="1334"/>
      <c r="L233" s="1339"/>
      <c r="M233" s="1334"/>
      <c r="N233" s="1339"/>
      <c r="O233" s="1336"/>
      <c r="P233" s="1334"/>
      <c r="Q233" s="1336"/>
      <c r="R233" s="1336"/>
      <c r="S233" s="1336"/>
      <c r="T233" s="1336"/>
      <c r="U233" s="1336"/>
      <c r="V233" s="1340"/>
      <c r="W233" s="1338"/>
      <c r="X233" s="1338"/>
      <c r="Y233" s="1334"/>
      <c r="Z233" s="747"/>
      <c r="AA233" s="1334"/>
      <c r="AB233" s="1334"/>
      <c r="AC233" s="1336"/>
      <c r="AD233" s="1334"/>
      <c r="AE233" s="747"/>
      <c r="AF233" s="1334"/>
      <c r="AG233" s="1334"/>
      <c r="AH233" s="1336"/>
      <c r="AI233" s="1336"/>
      <c r="AJ233" s="1336"/>
      <c r="AK233" s="1334"/>
      <c r="AL233" s="1334"/>
      <c r="AM233" s="1336"/>
      <c r="AN233" s="1334"/>
      <c r="AO233" s="1339"/>
      <c r="AP233" s="1334"/>
      <c r="AQ233" s="1334"/>
      <c r="AR233" s="1298"/>
      <c r="AS233" s="1296"/>
      <c r="AT233" s="1297"/>
      <c r="AU233" s="1297"/>
      <c r="AV233" s="1297"/>
      <c r="AW233" s="1297"/>
      <c r="AX233" s="1297"/>
      <c r="AY233" s="1297"/>
      <c r="AZ233" s="532"/>
      <c r="BA233" s="532"/>
      <c r="BB233" s="532"/>
      <c r="BC233" s="532"/>
      <c r="BD233" s="532"/>
      <c r="BE233" s="532"/>
      <c r="BF233" s="532"/>
      <c r="BG233" s="532"/>
      <c r="BH233" s="532"/>
      <c r="BI233" s="532"/>
      <c r="BJ233" s="529"/>
      <c r="BK233" s="532"/>
      <c r="BL233" s="532"/>
      <c r="BM233" s="532"/>
      <c r="BQ233" s="956"/>
      <c r="BR233" s="956"/>
      <c r="BS233" s="956"/>
      <c r="BT233" s="956"/>
      <c r="BU233" s="956"/>
      <c r="BV233" s="956"/>
    </row>
    <row r="234" spans="1:74" s="872" customFormat="1" ht="18">
      <c r="A234" s="1334"/>
      <c r="B234" s="1334"/>
      <c r="C234" s="1334"/>
      <c r="D234" s="1334"/>
      <c r="E234" s="1334"/>
      <c r="F234" s="1334"/>
      <c r="G234" s="1334"/>
      <c r="H234" s="1339"/>
      <c r="I234" s="1336"/>
      <c r="J234" s="1334"/>
      <c r="K234" s="1334"/>
      <c r="L234" s="1339"/>
      <c r="M234" s="1334"/>
      <c r="N234" s="1339"/>
      <c r="O234" s="1336"/>
      <c r="P234" s="1334"/>
      <c r="Q234" s="1336"/>
      <c r="R234" s="1336"/>
      <c r="S234" s="1336"/>
      <c r="T234" s="1336"/>
      <c r="U234" s="1336"/>
      <c r="V234" s="1340"/>
      <c r="W234" s="1338"/>
      <c r="X234" s="1338"/>
      <c r="Y234" s="1334"/>
      <c r="Z234" s="747"/>
      <c r="AA234" s="1334"/>
      <c r="AB234" s="1334"/>
      <c r="AC234" s="1336"/>
      <c r="AD234" s="1334"/>
      <c r="AE234" s="747"/>
      <c r="AF234" s="1334"/>
      <c r="AG234" s="1334"/>
      <c r="AH234" s="1336"/>
      <c r="AI234" s="1336"/>
      <c r="AJ234" s="1336"/>
      <c r="AK234" s="1334"/>
      <c r="AL234" s="1334"/>
      <c r="AM234" s="1336"/>
      <c r="AN234" s="1334"/>
      <c r="AO234" s="1339"/>
      <c r="AP234" s="1334"/>
      <c r="AQ234" s="1334"/>
      <c r="AR234" s="1298"/>
      <c r="AS234" s="1296"/>
      <c r="AT234" s="1297"/>
      <c r="AU234" s="1297"/>
      <c r="AV234" s="1297"/>
      <c r="AW234" s="1297"/>
      <c r="AX234" s="1297"/>
      <c r="AY234" s="1297"/>
      <c r="AZ234" s="532"/>
      <c r="BA234" s="532"/>
      <c r="BB234" s="532"/>
      <c r="BC234" s="532"/>
      <c r="BD234" s="532"/>
      <c r="BE234" s="532"/>
      <c r="BF234" s="532"/>
      <c r="BG234" s="532"/>
      <c r="BH234" s="532"/>
      <c r="BI234" s="532"/>
      <c r="BJ234" s="529"/>
      <c r="BK234" s="532"/>
      <c r="BL234" s="532"/>
      <c r="BM234" s="532"/>
      <c r="BQ234" s="956"/>
      <c r="BR234" s="956"/>
      <c r="BS234" s="956"/>
      <c r="BT234" s="956"/>
      <c r="BU234" s="956"/>
      <c r="BV234" s="956"/>
    </row>
    <row r="235" spans="1:74" s="872" customFormat="1" ht="54">
      <c r="A235" s="1334" t="s">
        <v>1837</v>
      </c>
      <c r="B235" s="1334"/>
      <c r="C235" s="1334"/>
      <c r="D235" s="1334"/>
      <c r="E235" s="1334"/>
      <c r="F235" s="1388" t="s">
        <v>1949</v>
      </c>
      <c r="G235" s="1334"/>
      <c r="H235" s="1339"/>
      <c r="I235" s="1336"/>
      <c r="J235" s="1334"/>
      <c r="K235" s="1334"/>
      <c r="L235" s="1339"/>
      <c r="M235" s="1334">
        <v>0</v>
      </c>
      <c r="N235" s="1339"/>
      <c r="O235" s="1336"/>
      <c r="P235" s="1334"/>
      <c r="Q235" s="1336"/>
      <c r="R235" s="1336"/>
      <c r="S235" s="1336"/>
      <c r="T235" s="1336"/>
      <c r="U235" s="1336"/>
      <c r="V235" s="1340"/>
      <c r="W235" s="1338"/>
      <c r="X235" s="1338"/>
      <c r="Y235" s="1334"/>
      <c r="Z235" s="747"/>
      <c r="AA235" s="1334"/>
      <c r="AB235" s="1334"/>
      <c r="AC235" s="1336"/>
      <c r="AD235" s="1334"/>
      <c r="AE235" s="747"/>
      <c r="AF235" s="1334"/>
      <c r="AG235" s="1334"/>
      <c r="AH235" s="1336"/>
      <c r="AI235" s="1336"/>
      <c r="AJ235" s="1336"/>
      <c r="AK235" s="1334"/>
      <c r="AL235" s="1334"/>
      <c r="AM235" s="1336"/>
      <c r="AN235" s="1334"/>
      <c r="AO235" s="1339"/>
      <c r="AP235" s="1334"/>
      <c r="AQ235" s="1334"/>
      <c r="AR235" s="1298"/>
      <c r="AS235" s="1296"/>
      <c r="AT235" s="1297"/>
      <c r="AU235" s="1297"/>
      <c r="AV235" s="1297"/>
      <c r="AW235" s="1297"/>
      <c r="AX235" s="1297"/>
      <c r="AY235" s="1297"/>
      <c r="AZ235" s="532"/>
      <c r="BA235" s="532"/>
      <c r="BB235" s="532"/>
      <c r="BC235" s="532"/>
      <c r="BD235" s="532"/>
      <c r="BE235" s="532"/>
      <c r="BF235" s="532"/>
      <c r="BG235" s="532"/>
      <c r="BH235" s="532"/>
      <c r="BI235" s="532"/>
      <c r="BJ235" s="529"/>
      <c r="BK235" s="532"/>
      <c r="BL235" s="532"/>
      <c r="BM235" s="532"/>
      <c r="BQ235" s="956"/>
      <c r="BR235" s="956"/>
      <c r="BS235" s="956"/>
      <c r="BT235" s="956"/>
      <c r="BU235" s="956"/>
      <c r="BV235" s="956"/>
    </row>
    <row r="236" spans="1:74" s="872" customFormat="1" ht="54">
      <c r="A236" s="1334" t="s">
        <v>1922</v>
      </c>
      <c r="B236" s="1334"/>
      <c r="C236" s="1334"/>
      <c r="D236" s="1334"/>
      <c r="E236" s="1334"/>
      <c r="F236" s="1388" t="s">
        <v>1950</v>
      </c>
      <c r="G236" s="1334"/>
      <c r="H236" s="1339"/>
      <c r="I236" s="1336"/>
      <c r="J236" s="1334"/>
      <c r="K236" s="1334"/>
      <c r="L236" s="1339"/>
      <c r="M236" s="1334"/>
      <c r="N236" s="1339">
        <v>0</v>
      </c>
      <c r="O236" s="1336"/>
      <c r="P236" s="1334"/>
      <c r="Q236" s="1336"/>
      <c r="R236" s="1336"/>
      <c r="S236" s="1336"/>
      <c r="T236" s="1336"/>
      <c r="U236" s="1336"/>
      <c r="V236" s="1340"/>
      <c r="W236" s="1338"/>
      <c r="X236" s="1338"/>
      <c r="Y236" s="1334"/>
      <c r="Z236" s="747"/>
      <c r="AA236" s="1334"/>
      <c r="AB236" s="1334"/>
      <c r="AC236" s="1336"/>
      <c r="AD236" s="1334"/>
      <c r="AE236" s="747"/>
      <c r="AF236" s="1334"/>
      <c r="AG236" s="1334"/>
      <c r="AH236" s="1336"/>
      <c r="AI236" s="1336"/>
      <c r="AJ236" s="1336"/>
      <c r="AK236" s="1334"/>
      <c r="AL236" s="1334"/>
      <c r="AM236" s="1336"/>
      <c r="AN236" s="1334"/>
      <c r="AO236" s="1339"/>
      <c r="AP236" s="1334"/>
      <c r="AQ236" s="1334"/>
      <c r="AR236" s="1298"/>
      <c r="AS236" s="1296"/>
      <c r="AT236" s="1297"/>
      <c r="AU236" s="1297"/>
      <c r="AV236" s="1297"/>
      <c r="AW236" s="1297"/>
      <c r="AX236" s="1297"/>
      <c r="AY236" s="1297"/>
      <c r="AZ236" s="532"/>
      <c r="BA236" s="532"/>
      <c r="BB236" s="532"/>
      <c r="BC236" s="532"/>
      <c r="BD236" s="532"/>
      <c r="BE236" s="532"/>
      <c r="BF236" s="532"/>
      <c r="BG236" s="532"/>
      <c r="BH236" s="532"/>
      <c r="BI236" s="532"/>
      <c r="BJ236" s="529"/>
      <c r="BK236" s="532"/>
      <c r="BL236" s="532"/>
      <c r="BM236" s="532"/>
      <c r="BQ236" s="956"/>
      <c r="BR236" s="956"/>
      <c r="BS236" s="956"/>
      <c r="BT236" s="956"/>
      <c r="BU236" s="956"/>
      <c r="BV236" s="956"/>
    </row>
    <row r="237" spans="1:74" s="872" customFormat="1" ht="18">
      <c r="A237" s="1334"/>
      <c r="B237" s="1334"/>
      <c r="C237" s="1334"/>
      <c r="D237" s="1334"/>
      <c r="E237" s="1334"/>
      <c r="F237" s="1334"/>
      <c r="G237" s="1334"/>
      <c r="H237" s="1339"/>
      <c r="I237" s="1336"/>
      <c r="J237" s="1334"/>
      <c r="K237" s="1334"/>
      <c r="L237" s="1339"/>
      <c r="M237" s="1334"/>
      <c r="N237" s="1339"/>
      <c r="O237" s="1336"/>
      <c r="P237" s="1334"/>
      <c r="Q237" s="1336"/>
      <c r="R237" s="1336"/>
      <c r="S237" s="1336"/>
      <c r="T237" s="1336"/>
      <c r="U237" s="1336"/>
      <c r="V237" s="1340"/>
      <c r="W237" s="1338"/>
      <c r="X237" s="1338"/>
      <c r="Y237" s="1334"/>
      <c r="Z237" s="747"/>
      <c r="AA237" s="1334"/>
      <c r="AB237" s="1334"/>
      <c r="AC237" s="1336"/>
      <c r="AD237" s="1334"/>
      <c r="AE237" s="747"/>
      <c r="AF237" s="1334"/>
      <c r="AG237" s="1334"/>
      <c r="AH237" s="1336"/>
      <c r="AI237" s="1336"/>
      <c r="AJ237" s="1336"/>
      <c r="AK237" s="1334"/>
      <c r="AL237" s="1334"/>
      <c r="AM237" s="1336"/>
      <c r="AN237" s="1334"/>
      <c r="AO237" s="1339"/>
      <c r="AP237" s="1334"/>
      <c r="AQ237" s="1334"/>
      <c r="AR237" s="1298"/>
      <c r="AS237" s="1296"/>
      <c r="AT237" s="1297"/>
      <c r="AU237" s="1297"/>
      <c r="AV237" s="1297"/>
      <c r="AW237" s="1297"/>
      <c r="AX237" s="1297"/>
      <c r="AY237" s="1297"/>
      <c r="AZ237" s="532"/>
      <c r="BA237" s="532"/>
      <c r="BB237" s="532"/>
      <c r="BC237" s="532"/>
      <c r="BD237" s="532"/>
      <c r="BE237" s="532"/>
      <c r="BF237" s="532"/>
      <c r="BG237" s="532"/>
      <c r="BH237" s="532"/>
      <c r="BI237" s="532"/>
      <c r="BJ237" s="529"/>
      <c r="BK237" s="532"/>
      <c r="BL237" s="532"/>
      <c r="BM237" s="532"/>
      <c r="BQ237" s="956"/>
      <c r="BR237" s="956"/>
      <c r="BS237" s="956"/>
      <c r="BT237" s="956"/>
      <c r="BU237" s="956"/>
      <c r="BV237" s="956"/>
    </row>
    <row r="238" spans="1:74" s="872" customFormat="1" ht="18">
      <c r="A238" s="1334" t="s">
        <v>1837</v>
      </c>
      <c r="B238" s="1334"/>
      <c r="C238" s="1334"/>
      <c r="D238" s="1334"/>
      <c r="E238" s="1334"/>
      <c r="F238" s="1334" t="s">
        <v>1951</v>
      </c>
      <c r="G238" s="1334"/>
      <c r="H238" s="1339"/>
      <c r="I238" s="1336"/>
      <c r="J238" s="1334"/>
      <c r="K238" s="1334"/>
      <c r="L238" s="1339"/>
      <c r="M238" s="1334">
        <v>0</v>
      </c>
      <c r="N238" s="1339"/>
      <c r="O238" s="1336"/>
      <c r="P238" s="1334"/>
      <c r="Q238" s="1336"/>
      <c r="R238" s="1336"/>
      <c r="S238" s="1336"/>
      <c r="T238" s="1336"/>
      <c r="U238" s="1336"/>
      <c r="V238" s="1340"/>
      <c r="W238" s="1338"/>
      <c r="X238" s="1338"/>
      <c r="Y238" s="1334"/>
      <c r="Z238" s="747"/>
      <c r="AA238" s="1334"/>
      <c r="AB238" s="1334"/>
      <c r="AC238" s="1336"/>
      <c r="AD238" s="1334"/>
      <c r="AE238" s="747"/>
      <c r="AF238" s="1334"/>
      <c r="AG238" s="1334"/>
      <c r="AH238" s="1336"/>
      <c r="AI238" s="1336"/>
      <c r="AJ238" s="1336"/>
      <c r="AK238" s="1334"/>
      <c r="AL238" s="1334"/>
      <c r="AM238" s="1336"/>
      <c r="AN238" s="1334"/>
      <c r="AO238" s="1339"/>
      <c r="AP238" s="1334"/>
      <c r="AQ238" s="1334"/>
      <c r="AR238" s="1298"/>
      <c r="AS238" s="1296"/>
      <c r="AT238" s="1297"/>
      <c r="AU238" s="1297"/>
      <c r="AV238" s="1297"/>
      <c r="AW238" s="1297"/>
      <c r="AX238" s="1297"/>
      <c r="AY238" s="1297"/>
      <c r="AZ238" s="532"/>
      <c r="BA238" s="532"/>
      <c r="BB238" s="532"/>
      <c r="BC238" s="532"/>
      <c r="BD238" s="532"/>
      <c r="BE238" s="532"/>
      <c r="BF238" s="532"/>
      <c r="BG238" s="532"/>
      <c r="BH238" s="532"/>
      <c r="BI238" s="532"/>
      <c r="BJ238" s="529"/>
      <c r="BK238" s="532"/>
      <c r="BL238" s="532"/>
      <c r="BM238" s="532"/>
      <c r="BQ238" s="956"/>
      <c r="BR238" s="956"/>
      <c r="BS238" s="956"/>
      <c r="BT238" s="956"/>
      <c r="BU238" s="956"/>
      <c r="BV238" s="956"/>
    </row>
    <row r="239" spans="1:74" s="872" customFormat="1" ht="18">
      <c r="A239" s="1334" t="s">
        <v>1916</v>
      </c>
      <c r="B239" s="1334"/>
      <c r="C239" s="1334"/>
      <c r="D239" s="1334"/>
      <c r="E239" s="1334"/>
      <c r="F239" s="1334" t="s">
        <v>1945</v>
      </c>
      <c r="G239" s="1334"/>
      <c r="H239" s="1339"/>
      <c r="I239" s="1336"/>
      <c r="J239" s="1334"/>
      <c r="K239" s="1334"/>
      <c r="L239" s="1339"/>
      <c r="M239" s="1334"/>
      <c r="N239" s="1339">
        <v>0</v>
      </c>
      <c r="O239" s="1336"/>
      <c r="P239" s="1334"/>
      <c r="Q239" s="1336"/>
      <c r="R239" s="1336"/>
      <c r="S239" s="1336"/>
      <c r="T239" s="1336"/>
      <c r="U239" s="1336"/>
      <c r="V239" s="1340"/>
      <c r="W239" s="1338"/>
      <c r="X239" s="1338"/>
      <c r="Y239" s="1334"/>
      <c r="Z239" s="747"/>
      <c r="AA239" s="1334"/>
      <c r="AB239" s="1334"/>
      <c r="AC239" s="1336"/>
      <c r="AD239" s="1334"/>
      <c r="AE239" s="747"/>
      <c r="AF239" s="1334"/>
      <c r="AG239" s="1334"/>
      <c r="AH239" s="1336"/>
      <c r="AI239" s="1336"/>
      <c r="AJ239" s="1336"/>
      <c r="AK239" s="1334"/>
      <c r="AL239" s="1334"/>
      <c r="AM239" s="1336"/>
      <c r="AN239" s="1334"/>
      <c r="AO239" s="1339"/>
      <c r="AP239" s="1334"/>
      <c r="AQ239" s="1334"/>
      <c r="AR239" s="1298"/>
      <c r="AS239" s="1296"/>
      <c r="AT239" s="1297"/>
      <c r="AU239" s="1297"/>
      <c r="AV239" s="1297"/>
      <c r="AW239" s="1297"/>
      <c r="AX239" s="1297"/>
      <c r="AY239" s="1297"/>
      <c r="AZ239" s="532"/>
      <c r="BA239" s="532"/>
      <c r="BB239" s="532"/>
      <c r="BC239" s="532"/>
      <c r="BD239" s="532"/>
      <c r="BE239" s="532"/>
      <c r="BF239" s="532"/>
      <c r="BG239" s="532"/>
      <c r="BH239" s="532"/>
      <c r="BI239" s="532"/>
      <c r="BJ239" s="529"/>
      <c r="BK239" s="532"/>
      <c r="BL239" s="532"/>
      <c r="BM239" s="532"/>
      <c r="BQ239" s="956"/>
      <c r="BR239" s="956"/>
      <c r="BS239" s="956"/>
      <c r="BT239" s="956"/>
      <c r="BU239" s="956"/>
      <c r="BV239" s="956"/>
    </row>
    <row r="240" spans="1:74" s="872" customFormat="1" ht="18">
      <c r="A240" s="1334"/>
      <c r="B240" s="1334"/>
      <c r="C240" s="1334"/>
      <c r="D240" s="1334"/>
      <c r="E240" s="1334"/>
      <c r="F240" s="1334"/>
      <c r="G240" s="1334"/>
      <c r="H240" s="1339"/>
      <c r="I240" s="1336"/>
      <c r="J240" s="1334"/>
      <c r="K240" s="1334"/>
      <c r="L240" s="1339"/>
      <c r="M240" s="1339"/>
      <c r="N240" s="1336"/>
      <c r="O240" s="1336"/>
      <c r="P240" s="1334"/>
      <c r="Q240" s="1336"/>
      <c r="R240" s="1336"/>
      <c r="S240" s="1336"/>
      <c r="T240" s="1336"/>
      <c r="U240" s="1336"/>
      <c r="V240" s="1340"/>
      <c r="W240" s="1338"/>
      <c r="X240" s="1338"/>
      <c r="Y240" s="1334"/>
      <c r="Z240" s="747"/>
      <c r="AA240" s="1334"/>
      <c r="AB240" s="1334"/>
      <c r="AC240" s="1336"/>
      <c r="AD240" s="1334"/>
      <c r="AE240" s="747"/>
      <c r="AF240" s="1334"/>
      <c r="AG240" s="1334"/>
      <c r="AH240" s="1336"/>
      <c r="AI240" s="1336"/>
      <c r="AJ240" s="1336"/>
      <c r="AK240" s="1334"/>
      <c r="AL240" s="1334"/>
      <c r="AM240" s="1336"/>
      <c r="AN240" s="1334"/>
      <c r="AO240" s="1339"/>
      <c r="AP240" s="1334"/>
      <c r="AQ240" s="1334"/>
      <c r="AR240" s="1298"/>
      <c r="AS240" s="1296"/>
      <c r="AT240" s="1297"/>
      <c r="AU240" s="1297"/>
      <c r="AV240" s="1297"/>
      <c r="AW240" s="1297"/>
      <c r="AX240" s="1297"/>
      <c r="AY240" s="1297"/>
      <c r="AZ240" s="532"/>
      <c r="BA240" s="532"/>
      <c r="BB240" s="532"/>
      <c r="BC240" s="532"/>
      <c r="BD240" s="532"/>
      <c r="BE240" s="532"/>
      <c r="BF240" s="532"/>
      <c r="BG240" s="532"/>
      <c r="BH240" s="532"/>
      <c r="BI240" s="532"/>
      <c r="BJ240" s="529"/>
      <c r="BK240" s="532"/>
      <c r="BL240" s="532"/>
      <c r="BM240" s="532"/>
      <c r="BQ240" s="956"/>
      <c r="BR240" s="956"/>
      <c r="BS240" s="956"/>
      <c r="BT240" s="956"/>
      <c r="BU240" s="956"/>
      <c r="BV240" s="956"/>
    </row>
    <row r="241" spans="1:74" s="1298" customFormat="1" ht="18">
      <c r="A241" s="1357"/>
      <c r="B241" s="1357"/>
      <c r="C241" s="1357"/>
      <c r="D241" s="1357"/>
      <c r="E241" s="1357"/>
      <c r="F241" s="1357"/>
      <c r="G241" s="1357"/>
      <c r="H241" s="1389"/>
      <c r="I241" s="1390"/>
      <c r="J241" s="1357"/>
      <c r="K241" s="1357"/>
      <c r="L241" s="1389"/>
      <c r="M241" s="1357"/>
      <c r="N241" s="1357"/>
      <c r="O241" s="1336"/>
      <c r="P241" s="1357"/>
      <c r="Q241" s="1336"/>
      <c r="R241" s="1336"/>
      <c r="S241" s="1336"/>
      <c r="T241" s="1336"/>
      <c r="U241" s="1336"/>
      <c r="V241" s="1340"/>
      <c r="W241" s="1338"/>
      <c r="X241" s="1338"/>
      <c r="Y241" s="1334"/>
      <c r="Z241" s="747"/>
      <c r="AA241" s="1334"/>
      <c r="AB241" s="1334"/>
      <c r="AC241" s="1336"/>
      <c r="AD241" s="1334"/>
      <c r="AE241" s="747"/>
      <c r="AF241" s="1334"/>
      <c r="AG241" s="1334"/>
      <c r="AH241" s="1336"/>
      <c r="AI241" s="1336"/>
      <c r="AJ241" s="1336"/>
      <c r="AK241" s="1334"/>
      <c r="AL241" s="1334"/>
      <c r="AM241" s="1336"/>
      <c r="AN241" s="1334"/>
      <c r="AO241" s="1339"/>
      <c r="AP241" s="1334"/>
      <c r="AQ241" s="1334"/>
      <c r="AS241" s="1296"/>
      <c r="AT241" s="1297"/>
      <c r="AU241" s="1297"/>
      <c r="AV241" s="1297"/>
      <c r="AW241" s="1297"/>
      <c r="AX241" s="1297"/>
      <c r="AY241" s="1297"/>
      <c r="AZ241" s="532"/>
      <c r="BA241" s="532"/>
      <c r="BB241" s="532"/>
      <c r="BC241" s="532"/>
      <c r="BD241" s="532"/>
      <c r="BE241" s="532"/>
      <c r="BF241" s="532"/>
      <c r="BG241" s="532"/>
      <c r="BH241" s="532"/>
      <c r="BI241" s="532"/>
      <c r="BJ241" s="529"/>
      <c r="BK241" s="532"/>
      <c r="BL241" s="532"/>
      <c r="BM241" s="532"/>
      <c r="BQ241" s="956"/>
      <c r="BR241" s="956"/>
      <c r="BS241" s="956"/>
      <c r="BT241" s="956"/>
      <c r="BU241" s="956"/>
      <c r="BV241" s="956"/>
    </row>
    <row r="242" spans="1:74" s="1298" customFormat="1" ht="18">
      <c r="A242" s="1357"/>
      <c r="B242" s="1357"/>
      <c r="C242" s="1357"/>
      <c r="D242" s="1357"/>
      <c r="E242" s="1357"/>
      <c r="F242" s="1357"/>
      <c r="G242" s="1357"/>
      <c r="H242" s="1389"/>
      <c r="I242" s="1390"/>
      <c r="J242" s="1357"/>
      <c r="K242" s="1357"/>
      <c r="L242" s="1389"/>
      <c r="M242" s="1357"/>
      <c r="N242" s="1357"/>
      <c r="O242" s="1336"/>
      <c r="P242" s="1357"/>
      <c r="Q242" s="1336"/>
      <c r="R242" s="1336"/>
      <c r="S242" s="1336"/>
      <c r="T242" s="1336"/>
      <c r="U242" s="1336"/>
      <c r="V242" s="1340"/>
      <c r="W242" s="1338"/>
      <c r="X242" s="1338"/>
      <c r="Y242" s="1334"/>
      <c r="Z242" s="747"/>
      <c r="AA242" s="1334"/>
      <c r="AB242" s="1334"/>
      <c r="AC242" s="1336"/>
      <c r="AD242" s="1334"/>
      <c r="AE242" s="747"/>
      <c r="AF242" s="1334"/>
      <c r="AG242" s="1334"/>
      <c r="AH242" s="1336"/>
      <c r="AI242" s="1336"/>
      <c r="AJ242" s="1336"/>
      <c r="AK242" s="1334"/>
      <c r="AL242" s="1334"/>
      <c r="AM242" s="1336"/>
      <c r="AN242" s="1334"/>
      <c r="AO242" s="1339"/>
      <c r="AP242" s="1334"/>
      <c r="AQ242" s="1334"/>
      <c r="AS242" s="1296"/>
      <c r="AT242" s="1297"/>
      <c r="AU242" s="1297"/>
      <c r="AV242" s="1297"/>
      <c r="AW242" s="1297"/>
      <c r="AX242" s="1297"/>
      <c r="AY242" s="1297"/>
      <c r="AZ242" s="532"/>
      <c r="BA242" s="532"/>
      <c r="BB242" s="532"/>
      <c r="BC242" s="532"/>
      <c r="BD242" s="532"/>
      <c r="BE242" s="532"/>
      <c r="BF242" s="532"/>
      <c r="BG242" s="532"/>
      <c r="BH242" s="532"/>
      <c r="BI242" s="532"/>
      <c r="BJ242" s="529"/>
      <c r="BK242" s="532"/>
      <c r="BL242" s="532"/>
      <c r="BM242" s="532"/>
      <c r="BQ242" s="956"/>
      <c r="BR242" s="956"/>
      <c r="BS242" s="956"/>
      <c r="BT242" s="956"/>
      <c r="BU242" s="956"/>
      <c r="BV242" s="956"/>
    </row>
    <row r="243" spans="1:74" s="1298" customFormat="1" ht="18">
      <c r="A243" s="1357"/>
      <c r="B243" s="1357"/>
      <c r="C243" s="1357"/>
      <c r="D243" s="1357"/>
      <c r="E243" s="1357"/>
      <c r="F243" s="1357"/>
      <c r="G243" s="1357"/>
      <c r="H243" s="1389"/>
      <c r="I243" s="1390"/>
      <c r="J243" s="1357"/>
      <c r="K243" s="1357"/>
      <c r="L243" s="1389"/>
      <c r="M243" s="1357"/>
      <c r="N243" s="1357"/>
      <c r="O243" s="1336"/>
      <c r="P243" s="1357"/>
      <c r="Q243" s="1336"/>
      <c r="R243" s="1336"/>
      <c r="S243" s="1336"/>
      <c r="T243" s="1336"/>
      <c r="U243" s="1336"/>
      <c r="V243" s="1340"/>
      <c r="W243" s="1338"/>
      <c r="X243" s="1338"/>
      <c r="Y243" s="1334"/>
      <c r="Z243" s="747"/>
      <c r="AA243" s="1334"/>
      <c r="AB243" s="1334"/>
      <c r="AC243" s="1336"/>
      <c r="AD243" s="1334"/>
      <c r="AE243" s="747"/>
      <c r="AF243" s="1334"/>
      <c r="AG243" s="1334"/>
      <c r="AH243" s="1336"/>
      <c r="AI243" s="1336"/>
      <c r="AJ243" s="1336"/>
      <c r="AK243" s="1334"/>
      <c r="AL243" s="1334"/>
      <c r="AM243" s="1336"/>
      <c r="AN243" s="1334"/>
      <c r="AO243" s="1339"/>
      <c r="AP243" s="1334"/>
      <c r="AQ243" s="1334"/>
      <c r="AS243" s="1296"/>
      <c r="AT243" s="1297"/>
      <c r="AU243" s="1297"/>
      <c r="AV243" s="1297"/>
      <c r="AW243" s="1297"/>
      <c r="AX243" s="1297"/>
      <c r="AY243" s="1297"/>
      <c r="AZ243" s="532"/>
      <c r="BA243" s="532"/>
      <c r="BB243" s="532"/>
      <c r="BC243" s="532"/>
      <c r="BD243" s="532"/>
      <c r="BE243" s="532"/>
      <c r="BF243" s="532"/>
      <c r="BG243" s="532"/>
      <c r="BH243" s="532"/>
      <c r="BI243" s="532"/>
      <c r="BJ243" s="529"/>
      <c r="BK243" s="532"/>
      <c r="BL243" s="532"/>
      <c r="BM243" s="532"/>
      <c r="BQ243" s="956"/>
      <c r="BR243" s="956"/>
      <c r="BS243" s="956"/>
      <c r="BT243" s="956"/>
      <c r="BU243" s="956"/>
      <c r="BV243" s="956"/>
    </row>
    <row r="244" spans="1:74" s="1298" customFormat="1" ht="18">
      <c r="A244" s="1357"/>
      <c r="B244" s="1357"/>
      <c r="C244" s="1357"/>
      <c r="D244" s="1357"/>
      <c r="E244" s="1357"/>
      <c r="F244" s="1357"/>
      <c r="G244" s="1357"/>
      <c r="H244" s="1389"/>
      <c r="I244" s="1390"/>
      <c r="J244" s="1357"/>
      <c r="K244" s="1357"/>
      <c r="L244" s="1389"/>
      <c r="M244" s="1357"/>
      <c r="N244" s="1357"/>
      <c r="O244" s="1336"/>
      <c r="P244" s="1357"/>
      <c r="Q244" s="1336"/>
      <c r="R244" s="1336"/>
      <c r="S244" s="1336"/>
      <c r="T244" s="1336"/>
      <c r="U244" s="1336"/>
      <c r="V244" s="1340"/>
      <c r="W244" s="1338"/>
      <c r="X244" s="1338"/>
      <c r="Y244" s="1334"/>
      <c r="Z244" s="747"/>
      <c r="AA244" s="1334"/>
      <c r="AB244" s="1334"/>
      <c r="AC244" s="1336"/>
      <c r="AD244" s="1334"/>
      <c r="AE244" s="747"/>
      <c r="AF244" s="1334"/>
      <c r="AG244" s="1334"/>
      <c r="AH244" s="1336"/>
      <c r="AI244" s="1336"/>
      <c r="AJ244" s="1336"/>
      <c r="AK244" s="1334"/>
      <c r="AL244" s="1334"/>
      <c r="AM244" s="1336"/>
      <c r="AN244" s="1334"/>
      <c r="AO244" s="1339"/>
      <c r="AP244" s="1334"/>
      <c r="AQ244" s="1334"/>
      <c r="AS244" s="1296"/>
      <c r="AT244" s="1297"/>
      <c r="AU244" s="1297"/>
      <c r="AV244" s="1297"/>
      <c r="AW244" s="1297"/>
      <c r="AX244" s="1297"/>
      <c r="AY244" s="1297"/>
      <c r="AZ244" s="532"/>
      <c r="BA244" s="532"/>
      <c r="BB244" s="532"/>
      <c r="BC244" s="532"/>
      <c r="BD244" s="532"/>
      <c r="BE244" s="532"/>
      <c r="BF244" s="532"/>
      <c r="BG244" s="532"/>
      <c r="BH244" s="532"/>
      <c r="BI244" s="532"/>
      <c r="BJ244" s="529"/>
      <c r="BK244" s="532"/>
      <c r="BL244" s="532"/>
      <c r="BM244" s="532"/>
      <c r="BQ244" s="956"/>
      <c r="BR244" s="956"/>
      <c r="BS244" s="956"/>
      <c r="BT244" s="956"/>
      <c r="BU244" s="956"/>
      <c r="BV244" s="956"/>
    </row>
    <row r="245" spans="1:74" s="1298" customFormat="1" ht="18">
      <c r="A245" s="1357"/>
      <c r="B245" s="1357"/>
      <c r="C245" s="1357"/>
      <c r="D245" s="1357"/>
      <c r="E245" s="1357"/>
      <c r="F245" s="1357"/>
      <c r="G245" s="1357"/>
      <c r="H245" s="1389"/>
      <c r="I245" s="1390"/>
      <c r="J245" s="1357"/>
      <c r="K245" s="1357"/>
      <c r="L245" s="1389"/>
      <c r="M245" s="1357"/>
      <c r="N245" s="1357"/>
      <c r="O245" s="1336"/>
      <c r="P245" s="1357"/>
      <c r="Q245" s="1336"/>
      <c r="R245" s="1336"/>
      <c r="S245" s="1336"/>
      <c r="T245" s="1336"/>
      <c r="U245" s="1336"/>
      <c r="V245" s="1340"/>
      <c r="W245" s="1338"/>
      <c r="X245" s="1338"/>
      <c r="Y245" s="1334"/>
      <c r="Z245" s="747"/>
      <c r="AA245" s="1334"/>
      <c r="AB245" s="1334"/>
      <c r="AC245" s="1336"/>
      <c r="AD245" s="1334"/>
      <c r="AE245" s="747"/>
      <c r="AF245" s="1334"/>
      <c r="AG245" s="1334"/>
      <c r="AH245" s="1336"/>
      <c r="AI245" s="1336"/>
      <c r="AJ245" s="1336"/>
      <c r="AK245" s="1334"/>
      <c r="AL245" s="1334"/>
      <c r="AM245" s="1336"/>
      <c r="AN245" s="1334"/>
      <c r="AO245" s="1339"/>
      <c r="AP245" s="1334"/>
      <c r="AQ245" s="1334"/>
      <c r="AS245" s="1296"/>
      <c r="AT245" s="1297"/>
      <c r="AU245" s="1297"/>
      <c r="AV245" s="1297"/>
      <c r="AW245" s="1297"/>
      <c r="AX245" s="1297"/>
      <c r="AY245" s="1297"/>
      <c r="AZ245" s="532"/>
      <c r="BA245" s="532"/>
      <c r="BB245" s="532"/>
      <c r="BC245" s="532"/>
      <c r="BD245" s="532"/>
      <c r="BE245" s="532"/>
      <c r="BF245" s="532"/>
      <c r="BG245" s="532"/>
      <c r="BH245" s="532"/>
      <c r="BI245" s="532"/>
      <c r="BJ245" s="529"/>
      <c r="BK245" s="532"/>
      <c r="BL245" s="532"/>
      <c r="BM245" s="532"/>
      <c r="BQ245" s="956"/>
      <c r="BR245" s="956"/>
      <c r="BS245" s="956"/>
      <c r="BT245" s="956"/>
      <c r="BU245" s="956"/>
      <c r="BV245" s="956"/>
    </row>
    <row r="246" spans="1:74" s="1298" customFormat="1" ht="18">
      <c r="A246" s="1357"/>
      <c r="B246" s="1357"/>
      <c r="C246" s="1357"/>
      <c r="D246" s="1357"/>
      <c r="E246" s="1357"/>
      <c r="F246" s="1357"/>
      <c r="G246" s="1357"/>
      <c r="H246" s="1389"/>
      <c r="I246" s="1390"/>
      <c r="J246" s="1357"/>
      <c r="K246" s="1357"/>
      <c r="L246" s="1389"/>
      <c r="M246" s="1357"/>
      <c r="N246" s="1357"/>
      <c r="O246" s="1336"/>
      <c r="P246" s="1357"/>
      <c r="Q246" s="1336"/>
      <c r="R246" s="1336"/>
      <c r="S246" s="1336"/>
      <c r="T246" s="1336"/>
      <c r="U246" s="1336"/>
      <c r="V246" s="1340"/>
      <c r="W246" s="1338"/>
      <c r="X246" s="1338"/>
      <c r="Y246" s="1334"/>
      <c r="Z246" s="747"/>
      <c r="AA246" s="1334"/>
      <c r="AB246" s="1334"/>
      <c r="AC246" s="1336"/>
      <c r="AD246" s="1334"/>
      <c r="AE246" s="747"/>
      <c r="AF246" s="1334"/>
      <c r="AG246" s="1334"/>
      <c r="AH246" s="1336"/>
      <c r="AI246" s="1336"/>
      <c r="AJ246" s="1336"/>
      <c r="AK246" s="1334"/>
      <c r="AL246" s="1334"/>
      <c r="AM246" s="1336"/>
      <c r="AN246" s="1334"/>
      <c r="AO246" s="1339"/>
      <c r="AP246" s="1334"/>
      <c r="AQ246" s="1334"/>
      <c r="AS246" s="1296"/>
      <c r="AT246" s="1297"/>
      <c r="AU246" s="1297"/>
      <c r="AV246" s="1297"/>
      <c r="AW246" s="1297"/>
      <c r="AX246" s="1297"/>
      <c r="AY246" s="1297"/>
      <c r="AZ246" s="532"/>
      <c r="BA246" s="532"/>
      <c r="BB246" s="532"/>
      <c r="BC246" s="532"/>
      <c r="BD246" s="532"/>
      <c r="BE246" s="532"/>
      <c r="BF246" s="532"/>
      <c r="BG246" s="532"/>
      <c r="BH246" s="532"/>
      <c r="BI246" s="532"/>
      <c r="BJ246" s="529"/>
      <c r="BK246" s="532"/>
      <c r="BL246" s="532"/>
      <c r="BM246" s="532"/>
      <c r="BQ246" s="956"/>
      <c r="BR246" s="956"/>
      <c r="BS246" s="956"/>
      <c r="BT246" s="956"/>
      <c r="BU246" s="956"/>
      <c r="BV246" s="956"/>
    </row>
    <row r="247" spans="1:74" s="1298" customFormat="1" ht="18">
      <c r="A247" s="1357"/>
      <c r="B247" s="1357"/>
      <c r="C247" s="1357"/>
      <c r="D247" s="1357"/>
      <c r="E247" s="1357"/>
      <c r="F247" s="1357"/>
      <c r="G247" s="1357"/>
      <c r="H247" s="1389"/>
      <c r="I247" s="1390"/>
      <c r="J247" s="1357"/>
      <c r="K247" s="1357"/>
      <c r="L247" s="1389"/>
      <c r="M247" s="1357"/>
      <c r="N247" s="1357"/>
      <c r="O247" s="1336"/>
      <c r="P247" s="1389"/>
      <c r="Q247" s="1336"/>
      <c r="R247" s="1336"/>
      <c r="S247" s="1336"/>
      <c r="T247" s="1336"/>
      <c r="U247" s="1336"/>
      <c r="V247" s="1340"/>
      <c r="W247" s="1338"/>
      <c r="X247" s="1338"/>
      <c r="Y247" s="1334"/>
      <c r="Z247" s="747"/>
      <c r="AA247" s="1334"/>
      <c r="AB247" s="1334"/>
      <c r="AC247" s="1336"/>
      <c r="AD247" s="1334"/>
      <c r="AE247" s="747"/>
      <c r="AF247" s="1334"/>
      <c r="AG247" s="1334"/>
      <c r="AH247" s="1336"/>
      <c r="AI247" s="1336"/>
      <c r="AJ247" s="1336"/>
      <c r="AK247" s="1334"/>
      <c r="AL247" s="1334"/>
      <c r="AM247" s="1336"/>
      <c r="AN247" s="1334"/>
      <c r="AO247" s="1339"/>
      <c r="AP247" s="1334"/>
      <c r="AQ247" s="1334"/>
      <c r="AS247" s="1296"/>
      <c r="AT247" s="1297"/>
      <c r="AU247" s="1297"/>
      <c r="AV247" s="1297"/>
      <c r="AW247" s="1297"/>
      <c r="AX247" s="1297"/>
      <c r="AY247" s="1297"/>
      <c r="AZ247" s="532"/>
      <c r="BA247" s="532"/>
      <c r="BB247" s="532"/>
      <c r="BC247" s="532"/>
      <c r="BD247" s="532"/>
      <c r="BE247" s="532"/>
      <c r="BF247" s="532"/>
      <c r="BG247" s="532"/>
      <c r="BH247" s="532"/>
      <c r="BI247" s="532"/>
      <c r="BJ247" s="529"/>
      <c r="BK247" s="532"/>
      <c r="BL247" s="532"/>
      <c r="BM247" s="532"/>
      <c r="BQ247" s="956"/>
      <c r="BR247" s="956"/>
      <c r="BS247" s="956"/>
      <c r="BT247" s="956"/>
      <c r="BU247" s="956"/>
      <c r="BV247" s="956"/>
    </row>
    <row r="248" spans="1:74" s="1298" customFormat="1" ht="18">
      <c r="A248" s="1357"/>
      <c r="B248" s="1357"/>
      <c r="C248" s="1357"/>
      <c r="D248" s="1357"/>
      <c r="E248" s="1357"/>
      <c r="F248" s="1357"/>
      <c r="G248" s="1357"/>
      <c r="H248" s="1389"/>
      <c r="I248" s="1390"/>
      <c r="J248" s="1357"/>
      <c r="K248" s="1357"/>
      <c r="L248" s="1389"/>
      <c r="M248" s="1357"/>
      <c r="N248" s="1357"/>
      <c r="O248" s="1336"/>
      <c r="P248" s="1389"/>
      <c r="Q248" s="1336"/>
      <c r="R248" s="1336"/>
      <c r="S248" s="1336"/>
      <c r="T248" s="1336"/>
      <c r="U248" s="1336"/>
      <c r="V248" s="1340"/>
      <c r="W248" s="1338"/>
      <c r="X248" s="1338"/>
      <c r="Y248" s="1334"/>
      <c r="Z248" s="747"/>
      <c r="AA248" s="1334"/>
      <c r="AB248" s="1334"/>
      <c r="AC248" s="1336"/>
      <c r="AD248" s="1334"/>
      <c r="AE248" s="747"/>
      <c r="AF248" s="1334"/>
      <c r="AG248" s="1334"/>
      <c r="AH248" s="1336"/>
      <c r="AI248" s="1336"/>
      <c r="AJ248" s="1336"/>
      <c r="AK248" s="1334"/>
      <c r="AL248" s="1334"/>
      <c r="AM248" s="1336"/>
      <c r="AN248" s="1334"/>
      <c r="AO248" s="1339"/>
      <c r="AP248" s="1334"/>
      <c r="AQ248" s="1334"/>
      <c r="AS248" s="1296"/>
      <c r="AT248" s="1297"/>
      <c r="AU248" s="1297"/>
      <c r="AV248" s="1297"/>
      <c r="AW248" s="1297"/>
      <c r="AX248" s="1297"/>
      <c r="AY248" s="1297"/>
      <c r="AZ248" s="532"/>
      <c r="BA248" s="532"/>
      <c r="BB248" s="532"/>
      <c r="BC248" s="532"/>
      <c r="BD248" s="532"/>
      <c r="BE248" s="532"/>
      <c r="BF248" s="532"/>
      <c r="BG248" s="532"/>
      <c r="BH248" s="532"/>
      <c r="BI248" s="532"/>
      <c r="BJ248" s="529"/>
      <c r="BK248" s="532"/>
      <c r="BL248" s="532"/>
      <c r="BM248" s="532"/>
      <c r="BQ248" s="956"/>
      <c r="BR248" s="956"/>
      <c r="BS248" s="956"/>
      <c r="BT248" s="956"/>
      <c r="BU248" s="956"/>
      <c r="BV248" s="956"/>
    </row>
    <row r="249" spans="1:74" s="1298" customFormat="1" ht="18">
      <c r="A249" s="1357"/>
      <c r="B249" s="1357"/>
      <c r="C249" s="1357"/>
      <c r="D249" s="1357"/>
      <c r="E249" s="1357"/>
      <c r="F249" s="1357"/>
      <c r="G249" s="1357"/>
      <c r="H249" s="1389"/>
      <c r="I249" s="1390"/>
      <c r="J249" s="1357"/>
      <c r="K249" s="1357"/>
      <c r="L249" s="1389"/>
      <c r="M249" s="1357"/>
      <c r="N249" s="1357"/>
      <c r="O249" s="1336"/>
      <c r="P249" s="1389"/>
      <c r="Q249" s="1336"/>
      <c r="R249" s="1336"/>
      <c r="S249" s="1336"/>
      <c r="T249" s="1336"/>
      <c r="U249" s="1336"/>
      <c r="V249" s="1340"/>
      <c r="W249" s="1338"/>
      <c r="X249" s="1338"/>
      <c r="Y249" s="1334"/>
      <c r="Z249" s="747"/>
      <c r="AA249" s="1334"/>
      <c r="AB249" s="1334"/>
      <c r="AC249" s="1336"/>
      <c r="AD249" s="1334"/>
      <c r="AE249" s="747"/>
      <c r="AF249" s="1334"/>
      <c r="AG249" s="1334"/>
      <c r="AH249" s="1336"/>
      <c r="AI249" s="1336"/>
      <c r="AJ249" s="1336"/>
      <c r="AK249" s="1334"/>
      <c r="AL249" s="1334"/>
      <c r="AM249" s="1336"/>
      <c r="AN249" s="1334"/>
      <c r="AO249" s="1339"/>
      <c r="AP249" s="1334"/>
      <c r="AQ249" s="1334"/>
      <c r="AS249" s="1296"/>
      <c r="AT249" s="1297"/>
      <c r="AU249" s="1297"/>
      <c r="AV249" s="1297"/>
      <c r="AW249" s="1297"/>
      <c r="AX249" s="1297"/>
      <c r="AY249" s="1297"/>
      <c r="AZ249" s="532"/>
      <c r="BA249" s="532"/>
      <c r="BB249" s="532"/>
      <c r="BC249" s="532"/>
      <c r="BD249" s="532"/>
      <c r="BE249" s="532"/>
      <c r="BF249" s="532"/>
      <c r="BG249" s="532"/>
      <c r="BH249" s="532"/>
      <c r="BI249" s="532"/>
      <c r="BJ249" s="529"/>
      <c r="BK249" s="532"/>
      <c r="BL249" s="532"/>
      <c r="BM249" s="532"/>
      <c r="BQ249" s="956"/>
      <c r="BR249" s="956"/>
      <c r="BS249" s="956"/>
      <c r="BT249" s="956"/>
      <c r="BU249" s="956"/>
      <c r="BV249" s="956"/>
    </row>
    <row r="250" spans="1:74" s="1298" customFormat="1" ht="18">
      <c r="A250" s="1357"/>
      <c r="B250" s="1357"/>
      <c r="C250" s="1357"/>
      <c r="D250" s="1357"/>
      <c r="E250" s="1357"/>
      <c r="F250" s="1357"/>
      <c r="G250" s="1357"/>
      <c r="H250" s="1389"/>
      <c r="I250" s="1390"/>
      <c r="J250" s="1357"/>
      <c r="K250" s="1357"/>
      <c r="L250" s="1389"/>
      <c r="M250" s="1357"/>
      <c r="N250" s="1357"/>
      <c r="O250" s="1336"/>
      <c r="P250" s="1389"/>
      <c r="Q250" s="1336"/>
      <c r="R250" s="1336"/>
      <c r="S250" s="1336"/>
      <c r="T250" s="1336"/>
      <c r="U250" s="1336"/>
      <c r="V250" s="1340"/>
      <c r="W250" s="1338"/>
      <c r="X250" s="1338"/>
      <c r="Y250" s="1334"/>
      <c r="Z250" s="747"/>
      <c r="AA250" s="1334"/>
      <c r="AB250" s="1334"/>
      <c r="AC250" s="1336"/>
      <c r="AD250" s="1334"/>
      <c r="AE250" s="747"/>
      <c r="AF250" s="1334"/>
      <c r="AG250" s="1334"/>
      <c r="AH250" s="1336"/>
      <c r="AI250" s="1336"/>
      <c r="AJ250" s="1336"/>
      <c r="AK250" s="1334"/>
      <c r="AL250" s="1334"/>
      <c r="AM250" s="1336"/>
      <c r="AN250" s="1334"/>
      <c r="AO250" s="1339"/>
      <c r="AP250" s="1334"/>
      <c r="AQ250" s="1334"/>
      <c r="AS250" s="1296"/>
      <c r="AT250" s="1297"/>
      <c r="AU250" s="1297"/>
      <c r="AV250" s="1297"/>
      <c r="AW250" s="1297"/>
      <c r="AX250" s="1297"/>
      <c r="AY250" s="1297"/>
      <c r="AZ250" s="532"/>
      <c r="BA250" s="532"/>
      <c r="BB250" s="532"/>
      <c r="BC250" s="532"/>
      <c r="BD250" s="532"/>
      <c r="BE250" s="532"/>
      <c r="BF250" s="532"/>
      <c r="BG250" s="532"/>
      <c r="BH250" s="532"/>
      <c r="BI250" s="532"/>
      <c r="BJ250" s="529"/>
      <c r="BK250" s="532"/>
      <c r="BL250" s="532"/>
      <c r="BM250" s="532"/>
      <c r="BQ250" s="956"/>
      <c r="BR250" s="956"/>
      <c r="BS250" s="956"/>
      <c r="BT250" s="956"/>
      <c r="BU250" s="956"/>
      <c r="BV250" s="956"/>
    </row>
    <row r="251" spans="1:74" s="1298" customFormat="1" ht="18">
      <c r="A251" s="1357"/>
      <c r="B251" s="1357"/>
      <c r="C251" s="1357"/>
      <c r="D251" s="1357"/>
      <c r="E251" s="1357"/>
      <c r="F251" s="1357"/>
      <c r="G251" s="1357"/>
      <c r="H251" s="1389"/>
      <c r="I251" s="1390"/>
      <c r="J251" s="1357"/>
      <c r="K251" s="1357"/>
      <c r="L251" s="1389"/>
      <c r="M251" s="1357"/>
      <c r="N251" s="1357"/>
      <c r="O251" s="1336"/>
      <c r="P251" s="1389"/>
      <c r="Q251" s="1336"/>
      <c r="R251" s="1336"/>
      <c r="S251" s="1336"/>
      <c r="T251" s="1336"/>
      <c r="U251" s="1336"/>
      <c r="V251" s="1340"/>
      <c r="W251" s="1338"/>
      <c r="X251" s="1338"/>
      <c r="Y251" s="1334"/>
      <c r="Z251" s="747"/>
      <c r="AA251" s="1334"/>
      <c r="AB251" s="1334"/>
      <c r="AC251" s="1336"/>
      <c r="AD251" s="1334"/>
      <c r="AE251" s="747"/>
      <c r="AF251" s="1334"/>
      <c r="AG251" s="1334"/>
      <c r="AH251" s="1336"/>
      <c r="AI251" s="1336"/>
      <c r="AJ251" s="1336"/>
      <c r="AK251" s="1334"/>
      <c r="AL251" s="1334"/>
      <c r="AM251" s="1336"/>
      <c r="AN251" s="1334"/>
      <c r="AO251" s="1339"/>
      <c r="AP251" s="1334"/>
      <c r="AQ251" s="1334"/>
      <c r="AS251" s="1296"/>
      <c r="AT251" s="1297"/>
      <c r="AU251" s="1297"/>
      <c r="AV251" s="1297"/>
      <c r="AW251" s="1297"/>
      <c r="AX251" s="1297"/>
      <c r="AY251" s="1297"/>
      <c r="AZ251" s="532"/>
      <c r="BA251" s="532"/>
      <c r="BB251" s="532"/>
      <c r="BC251" s="532"/>
      <c r="BD251" s="532"/>
      <c r="BE251" s="532"/>
      <c r="BF251" s="532"/>
      <c r="BG251" s="532"/>
      <c r="BH251" s="532"/>
      <c r="BI251" s="532"/>
      <c r="BJ251" s="529"/>
      <c r="BK251" s="532"/>
      <c r="BL251" s="532"/>
      <c r="BM251" s="532"/>
      <c r="BQ251" s="956"/>
      <c r="BR251" s="956"/>
      <c r="BS251" s="956"/>
      <c r="BT251" s="956"/>
      <c r="BU251" s="956"/>
      <c r="BV251" s="956"/>
    </row>
    <row r="252" spans="1:74" s="1298" customFormat="1" ht="18">
      <c r="A252" s="1357"/>
      <c r="B252" s="1357"/>
      <c r="C252" s="1357"/>
      <c r="D252" s="1357"/>
      <c r="E252" s="1357"/>
      <c r="F252" s="1357"/>
      <c r="G252" s="1357"/>
      <c r="H252" s="1389"/>
      <c r="I252" s="1390"/>
      <c r="J252" s="1357"/>
      <c r="K252" s="1357"/>
      <c r="L252" s="1389"/>
      <c r="M252" s="1357"/>
      <c r="N252" s="1357"/>
      <c r="O252" s="1336"/>
      <c r="P252" s="1389"/>
      <c r="Q252" s="1336"/>
      <c r="R252" s="1336"/>
      <c r="S252" s="1336"/>
      <c r="T252" s="1336"/>
      <c r="U252" s="1336"/>
      <c r="V252" s="1340"/>
      <c r="W252" s="1338"/>
      <c r="X252" s="1338"/>
      <c r="Y252" s="1334"/>
      <c r="Z252" s="747"/>
      <c r="AA252" s="1334"/>
      <c r="AB252" s="1334"/>
      <c r="AC252" s="1336"/>
      <c r="AD252" s="1334"/>
      <c r="AE252" s="747"/>
      <c r="AF252" s="1334"/>
      <c r="AG252" s="1334"/>
      <c r="AH252" s="1336"/>
      <c r="AI252" s="1336"/>
      <c r="AJ252" s="1336"/>
      <c r="AK252" s="1334"/>
      <c r="AL252" s="1334"/>
      <c r="AM252" s="1336"/>
      <c r="AN252" s="1334"/>
      <c r="AO252" s="1339"/>
      <c r="AP252" s="1334"/>
      <c r="AQ252" s="1334"/>
      <c r="AS252" s="1296"/>
      <c r="AT252" s="1297"/>
      <c r="AU252" s="1297"/>
      <c r="AV252" s="1297"/>
      <c r="AW252" s="1297"/>
      <c r="AX252" s="1297"/>
      <c r="AY252" s="1297"/>
      <c r="AZ252" s="532"/>
      <c r="BA252" s="532"/>
      <c r="BB252" s="532"/>
      <c r="BC252" s="532"/>
      <c r="BD252" s="532"/>
      <c r="BE252" s="532"/>
      <c r="BF252" s="532"/>
      <c r="BG252" s="532"/>
      <c r="BH252" s="532"/>
      <c r="BI252" s="532"/>
      <c r="BJ252" s="529"/>
      <c r="BK252" s="532"/>
      <c r="BL252" s="532"/>
      <c r="BM252" s="532"/>
      <c r="BQ252" s="956"/>
      <c r="BR252" s="956"/>
      <c r="BS252" s="956"/>
      <c r="BT252" s="956"/>
      <c r="BU252" s="956"/>
      <c r="BV252" s="956"/>
    </row>
    <row r="253" spans="1:74" s="1298" customFormat="1" ht="18">
      <c r="A253" s="1357"/>
      <c r="B253" s="1357"/>
      <c r="C253" s="1357"/>
      <c r="D253" s="1357"/>
      <c r="E253" s="1357"/>
      <c r="F253" s="1357"/>
      <c r="G253" s="1357"/>
      <c r="H253" s="1389"/>
      <c r="I253" s="1390"/>
      <c r="J253" s="1357"/>
      <c r="K253" s="1357"/>
      <c r="L253" s="1389"/>
      <c r="M253" s="1357"/>
      <c r="N253" s="1357"/>
      <c r="O253" s="1336"/>
      <c r="P253" s="1389"/>
      <c r="Q253" s="1336"/>
      <c r="R253" s="1336"/>
      <c r="S253" s="1336"/>
      <c r="T253" s="1336"/>
      <c r="U253" s="1336"/>
      <c r="V253" s="1340"/>
      <c r="W253" s="1338"/>
      <c r="X253" s="1338"/>
      <c r="Y253" s="1334"/>
      <c r="Z253" s="747"/>
      <c r="AA253" s="1334"/>
      <c r="AB253" s="1334"/>
      <c r="AC253" s="1336"/>
      <c r="AD253" s="1334"/>
      <c r="AE253" s="747"/>
      <c r="AF253" s="1334"/>
      <c r="AG253" s="1334"/>
      <c r="AH253" s="1336"/>
      <c r="AI253" s="1336"/>
      <c r="AJ253" s="1336"/>
      <c r="AK253" s="1334"/>
      <c r="AL253" s="1334"/>
      <c r="AM253" s="1336"/>
      <c r="AN253" s="1334"/>
      <c r="AO253" s="1339"/>
      <c r="AP253" s="1334"/>
      <c r="AQ253" s="1334"/>
      <c r="AS253" s="1296"/>
      <c r="AT253" s="1297"/>
      <c r="AU253" s="1297"/>
      <c r="AV253" s="1297"/>
      <c r="AW253" s="1297"/>
      <c r="AX253" s="1297"/>
      <c r="AY253" s="1297"/>
      <c r="AZ253" s="532"/>
      <c r="BA253" s="532"/>
      <c r="BB253" s="532"/>
      <c r="BC253" s="532"/>
      <c r="BD253" s="532"/>
      <c r="BE253" s="532"/>
      <c r="BF253" s="532"/>
      <c r="BG253" s="532"/>
      <c r="BH253" s="532"/>
      <c r="BI253" s="532"/>
      <c r="BJ253" s="529"/>
      <c r="BK253" s="532"/>
      <c r="BL253" s="532"/>
      <c r="BM253" s="532"/>
      <c r="BQ253" s="956"/>
      <c r="BR253" s="956"/>
      <c r="BS253" s="956"/>
      <c r="BT253" s="956"/>
      <c r="BU253" s="956"/>
      <c r="BV253" s="956"/>
    </row>
    <row r="254" spans="1:74" s="1298" customFormat="1" ht="18">
      <c r="A254" s="1357"/>
      <c r="B254" s="1357"/>
      <c r="C254" s="1357"/>
      <c r="D254" s="1357"/>
      <c r="E254" s="1357"/>
      <c r="F254" s="1357"/>
      <c r="G254" s="1357"/>
      <c r="H254" s="1389"/>
      <c r="I254" s="1390"/>
      <c r="J254" s="1357"/>
      <c r="K254" s="1357"/>
      <c r="L254" s="1389"/>
      <c r="M254" s="1357"/>
      <c r="N254" s="1357"/>
      <c r="O254" s="1336"/>
      <c r="P254" s="1389"/>
      <c r="Q254" s="1336"/>
      <c r="R254" s="1336"/>
      <c r="S254" s="1336"/>
      <c r="T254" s="1336"/>
      <c r="U254" s="1336"/>
      <c r="V254" s="1340"/>
      <c r="W254" s="1338"/>
      <c r="X254" s="1338"/>
      <c r="Y254" s="1334"/>
      <c r="Z254" s="747"/>
      <c r="AA254" s="1334"/>
      <c r="AB254" s="1334"/>
      <c r="AC254" s="1336"/>
      <c r="AD254" s="1334"/>
      <c r="AE254" s="747"/>
      <c r="AF254" s="1334"/>
      <c r="AG254" s="1334"/>
      <c r="AH254" s="1336"/>
      <c r="AI254" s="1336"/>
      <c r="AJ254" s="1336"/>
      <c r="AK254" s="1334"/>
      <c r="AL254" s="1334"/>
      <c r="AM254" s="1336"/>
      <c r="AN254" s="1334"/>
      <c r="AO254" s="1339"/>
      <c r="AP254" s="1334"/>
      <c r="AQ254" s="1334"/>
      <c r="AS254" s="1296"/>
      <c r="AT254" s="1297"/>
      <c r="AU254" s="1297"/>
      <c r="AV254" s="1297"/>
      <c r="AW254" s="1297"/>
      <c r="AX254" s="1297"/>
      <c r="AY254" s="1297"/>
      <c r="AZ254" s="532"/>
      <c r="BA254" s="532"/>
      <c r="BB254" s="532"/>
      <c r="BC254" s="532"/>
      <c r="BD254" s="532"/>
      <c r="BE254" s="532"/>
      <c r="BF254" s="532"/>
      <c r="BG254" s="532"/>
      <c r="BH254" s="532"/>
      <c r="BI254" s="532"/>
      <c r="BJ254" s="529"/>
      <c r="BK254" s="532"/>
      <c r="BL254" s="532"/>
      <c r="BM254" s="532"/>
      <c r="BQ254" s="956"/>
      <c r="BR254" s="956"/>
      <c r="BS254" s="956"/>
      <c r="BT254" s="956"/>
      <c r="BU254" s="956"/>
      <c r="BV254" s="956"/>
    </row>
    <row r="255" spans="1:74" s="1298" customFormat="1" ht="18">
      <c r="A255" s="1357"/>
      <c r="B255" s="1357"/>
      <c r="C255" s="1357"/>
      <c r="D255" s="1357"/>
      <c r="E255" s="1357"/>
      <c r="F255" s="1357"/>
      <c r="G255" s="1357"/>
      <c r="H255" s="1389"/>
      <c r="I255" s="1390"/>
      <c r="J255" s="1357"/>
      <c r="K255" s="1357"/>
      <c r="L255" s="1389"/>
      <c r="M255" s="1357"/>
      <c r="N255" s="1357"/>
      <c r="O255" s="1336"/>
      <c r="P255" s="1389"/>
      <c r="Q255" s="1336"/>
      <c r="R255" s="1336"/>
      <c r="S255" s="1336"/>
      <c r="T255" s="1336"/>
      <c r="U255" s="1336"/>
      <c r="V255" s="1340"/>
      <c r="W255" s="1338"/>
      <c r="X255" s="1338"/>
      <c r="Y255" s="1334"/>
      <c r="Z255" s="747"/>
      <c r="AA255" s="1334"/>
      <c r="AB255" s="1334"/>
      <c r="AC255" s="1336"/>
      <c r="AD255" s="1334"/>
      <c r="AE255" s="747"/>
      <c r="AF255" s="1334"/>
      <c r="AG255" s="1334"/>
      <c r="AH255" s="1336"/>
      <c r="AI255" s="1336"/>
      <c r="AJ255" s="1336"/>
      <c r="AK255" s="1334"/>
      <c r="AL255" s="1334"/>
      <c r="AM255" s="1336"/>
      <c r="AN255" s="1334"/>
      <c r="AO255" s="1339"/>
      <c r="AP255" s="1334"/>
      <c r="AQ255" s="1334"/>
      <c r="AS255" s="1296"/>
      <c r="AT255" s="1297"/>
      <c r="AU255" s="1297"/>
      <c r="AV255" s="1297"/>
      <c r="AW255" s="1297"/>
      <c r="AX255" s="1297"/>
      <c r="AY255" s="1297"/>
      <c r="AZ255" s="532"/>
      <c r="BA255" s="532"/>
      <c r="BB255" s="532"/>
      <c r="BC255" s="532"/>
      <c r="BD255" s="532"/>
      <c r="BE255" s="532"/>
      <c r="BF255" s="532"/>
      <c r="BG255" s="532"/>
      <c r="BH255" s="532"/>
      <c r="BI255" s="532"/>
      <c r="BJ255" s="529"/>
      <c r="BK255" s="532"/>
      <c r="BL255" s="532"/>
      <c r="BM255" s="532"/>
      <c r="BQ255" s="956"/>
      <c r="BR255" s="956"/>
      <c r="BS255" s="956"/>
      <c r="BT255" s="956"/>
      <c r="BU255" s="956"/>
      <c r="BV255" s="956"/>
    </row>
    <row r="256" spans="1:74" s="1298" customFormat="1" ht="18">
      <c r="A256" s="1357"/>
      <c r="B256" s="1357"/>
      <c r="C256" s="1357"/>
      <c r="D256" s="1357"/>
      <c r="E256" s="1357"/>
      <c r="F256" s="1357"/>
      <c r="G256" s="1357"/>
      <c r="H256" s="1389"/>
      <c r="I256" s="1390"/>
      <c r="J256" s="1357"/>
      <c r="K256" s="1357"/>
      <c r="L256" s="1389"/>
      <c r="M256" s="1357"/>
      <c r="N256" s="1357"/>
      <c r="O256" s="1336"/>
      <c r="P256" s="1389"/>
      <c r="Q256" s="1336"/>
      <c r="R256" s="1336"/>
      <c r="S256" s="1336"/>
      <c r="T256" s="1336"/>
      <c r="U256" s="1336"/>
      <c r="V256" s="1340"/>
      <c r="W256" s="1338"/>
      <c r="X256" s="1338"/>
      <c r="Y256" s="1334"/>
      <c r="Z256" s="747"/>
      <c r="AA256" s="1334"/>
      <c r="AB256" s="1334"/>
      <c r="AC256" s="1336"/>
      <c r="AD256" s="1334"/>
      <c r="AE256" s="747"/>
      <c r="AF256" s="1334"/>
      <c r="AG256" s="1334"/>
      <c r="AH256" s="1336"/>
      <c r="AI256" s="1336"/>
      <c r="AJ256" s="1336"/>
      <c r="AK256" s="1334"/>
      <c r="AL256" s="1334"/>
      <c r="AM256" s="1336"/>
      <c r="AN256" s="1334"/>
      <c r="AO256" s="1339"/>
      <c r="AP256" s="1334"/>
      <c r="AQ256" s="1334"/>
      <c r="AS256" s="1296"/>
      <c r="AT256" s="1297"/>
      <c r="AU256" s="1297"/>
      <c r="AV256" s="1297"/>
      <c r="AW256" s="1297"/>
      <c r="AX256" s="1297"/>
      <c r="AY256" s="1297"/>
      <c r="AZ256" s="532"/>
      <c r="BA256" s="532"/>
      <c r="BB256" s="532"/>
      <c r="BC256" s="532"/>
      <c r="BD256" s="532"/>
      <c r="BE256" s="532"/>
      <c r="BF256" s="532"/>
      <c r="BG256" s="532"/>
      <c r="BH256" s="532"/>
      <c r="BI256" s="532"/>
      <c r="BJ256" s="529"/>
      <c r="BK256" s="532"/>
      <c r="BL256" s="532"/>
      <c r="BM256" s="532"/>
      <c r="BQ256" s="956"/>
      <c r="BR256" s="956"/>
      <c r="BS256" s="956"/>
      <c r="BT256" s="956"/>
      <c r="BU256" s="956"/>
      <c r="BV256" s="956"/>
    </row>
    <row r="257" spans="1:74" s="1298" customFormat="1" ht="18">
      <c r="A257" s="1357"/>
      <c r="B257" s="1357"/>
      <c r="C257" s="1357"/>
      <c r="D257" s="1357"/>
      <c r="E257" s="1357"/>
      <c r="F257" s="1357"/>
      <c r="G257" s="1357"/>
      <c r="H257" s="1389"/>
      <c r="I257" s="1390"/>
      <c r="J257" s="1357"/>
      <c r="K257" s="1357"/>
      <c r="L257" s="1389"/>
      <c r="M257" s="1357"/>
      <c r="N257" s="1357"/>
      <c r="O257" s="1336"/>
      <c r="P257" s="1389"/>
      <c r="Q257" s="1336"/>
      <c r="R257" s="1336"/>
      <c r="S257" s="1336"/>
      <c r="T257" s="1336"/>
      <c r="U257" s="1336"/>
      <c r="V257" s="1340"/>
      <c r="W257" s="1338"/>
      <c r="X257" s="1338"/>
      <c r="Y257" s="1334"/>
      <c r="Z257" s="747"/>
      <c r="AA257" s="1334"/>
      <c r="AB257" s="1334"/>
      <c r="AC257" s="1336"/>
      <c r="AD257" s="1334"/>
      <c r="AE257" s="747"/>
      <c r="AF257" s="1334"/>
      <c r="AG257" s="1334"/>
      <c r="AH257" s="1336"/>
      <c r="AI257" s="1336"/>
      <c r="AJ257" s="1336"/>
      <c r="AK257" s="1334"/>
      <c r="AL257" s="1334"/>
      <c r="AM257" s="1336"/>
      <c r="AN257" s="1334"/>
      <c r="AO257" s="1339"/>
      <c r="AP257" s="1334"/>
      <c r="AQ257" s="1334"/>
      <c r="AS257" s="1296"/>
      <c r="AT257" s="1297"/>
      <c r="AU257" s="1297"/>
      <c r="AV257" s="1297"/>
      <c r="AW257" s="1297"/>
      <c r="AX257" s="1297"/>
      <c r="AY257" s="1297"/>
      <c r="AZ257" s="532"/>
      <c r="BA257" s="532"/>
      <c r="BB257" s="532"/>
      <c r="BC257" s="532"/>
      <c r="BD257" s="532"/>
      <c r="BE257" s="532"/>
      <c r="BF257" s="532"/>
      <c r="BG257" s="532"/>
      <c r="BH257" s="532"/>
      <c r="BI257" s="532"/>
      <c r="BJ257" s="529"/>
      <c r="BK257" s="532"/>
      <c r="BL257" s="532"/>
      <c r="BM257" s="532"/>
      <c r="BQ257" s="956"/>
      <c r="BR257" s="956"/>
      <c r="BS257" s="956"/>
      <c r="BT257" s="956"/>
      <c r="BU257" s="956"/>
      <c r="BV257" s="956"/>
    </row>
    <row r="258" spans="1:74" s="1298" customFormat="1" ht="18">
      <c r="A258" s="1357"/>
      <c r="B258" s="1357"/>
      <c r="C258" s="1357"/>
      <c r="D258" s="1357"/>
      <c r="E258" s="1357"/>
      <c r="F258" s="1357"/>
      <c r="G258" s="1357"/>
      <c r="H258" s="1389"/>
      <c r="I258" s="1390"/>
      <c r="J258" s="1357"/>
      <c r="K258" s="1357"/>
      <c r="L258" s="1389"/>
      <c r="M258" s="1357"/>
      <c r="N258" s="1357"/>
      <c r="O258" s="1336"/>
      <c r="P258" s="1389"/>
      <c r="Q258" s="1336"/>
      <c r="R258" s="1336"/>
      <c r="S258" s="1336"/>
      <c r="T258" s="1336"/>
      <c r="U258" s="1336"/>
      <c r="V258" s="1340"/>
      <c r="W258" s="1338"/>
      <c r="X258" s="1338"/>
      <c r="Y258" s="1334"/>
      <c r="Z258" s="747"/>
      <c r="AA258" s="1334"/>
      <c r="AB258" s="1334"/>
      <c r="AC258" s="1336"/>
      <c r="AD258" s="1334"/>
      <c r="AE258" s="747"/>
      <c r="AF258" s="1334"/>
      <c r="AG258" s="1334"/>
      <c r="AH258" s="1336"/>
      <c r="AI258" s="1336"/>
      <c r="AJ258" s="1336"/>
      <c r="AK258" s="1334"/>
      <c r="AL258" s="1334"/>
      <c r="AM258" s="1336"/>
      <c r="AN258" s="1334"/>
      <c r="AO258" s="1339"/>
      <c r="AP258" s="1334"/>
      <c r="AQ258" s="1334"/>
      <c r="AS258" s="1296"/>
      <c r="AT258" s="1297"/>
      <c r="AU258" s="1297"/>
      <c r="AV258" s="1297"/>
      <c r="AW258" s="1297"/>
      <c r="AX258" s="1297"/>
      <c r="AY258" s="1297"/>
      <c r="AZ258" s="532"/>
      <c r="BA258" s="532"/>
      <c r="BB258" s="532"/>
      <c r="BC258" s="532"/>
      <c r="BD258" s="532"/>
      <c r="BE258" s="532"/>
      <c r="BF258" s="532"/>
      <c r="BG258" s="532"/>
      <c r="BH258" s="532"/>
      <c r="BI258" s="532"/>
      <c r="BJ258" s="529"/>
      <c r="BK258" s="532"/>
      <c r="BL258" s="532"/>
      <c r="BM258" s="532"/>
      <c r="BQ258" s="956"/>
      <c r="BR258" s="956"/>
      <c r="BS258" s="956"/>
      <c r="BT258" s="956"/>
      <c r="BU258" s="956"/>
      <c r="BV258" s="956"/>
    </row>
    <row r="259" spans="1:74" s="1298" customFormat="1" ht="18">
      <c r="A259" s="1357"/>
      <c r="B259" s="1357"/>
      <c r="C259" s="1357"/>
      <c r="D259" s="1357"/>
      <c r="E259" s="1357"/>
      <c r="F259" s="1357"/>
      <c r="G259" s="1357"/>
      <c r="H259" s="1389"/>
      <c r="I259" s="1390"/>
      <c r="J259" s="1357"/>
      <c r="K259" s="1357"/>
      <c r="L259" s="1389"/>
      <c r="M259" s="1357"/>
      <c r="N259" s="1357"/>
      <c r="O259" s="1336"/>
      <c r="P259" s="1389"/>
      <c r="Q259" s="1336"/>
      <c r="R259" s="1336"/>
      <c r="S259" s="1336"/>
      <c r="T259" s="1336"/>
      <c r="U259" s="1336"/>
      <c r="V259" s="1340"/>
      <c r="W259" s="1338"/>
      <c r="X259" s="1338"/>
      <c r="Y259" s="1334"/>
      <c r="Z259" s="747"/>
      <c r="AA259" s="1334"/>
      <c r="AB259" s="1334"/>
      <c r="AC259" s="1336"/>
      <c r="AD259" s="1334"/>
      <c r="AE259" s="747"/>
      <c r="AF259" s="1334"/>
      <c r="AG259" s="1334"/>
      <c r="AH259" s="1336"/>
      <c r="AI259" s="1336"/>
      <c r="AJ259" s="1336"/>
      <c r="AK259" s="1334"/>
      <c r="AL259" s="1334"/>
      <c r="AM259" s="1336"/>
      <c r="AN259" s="1334"/>
      <c r="AO259" s="1339"/>
      <c r="AP259" s="1334"/>
      <c r="AQ259" s="1334"/>
      <c r="AS259" s="1296"/>
      <c r="AT259" s="1297"/>
      <c r="AU259" s="1297"/>
      <c r="AV259" s="1297"/>
      <c r="AW259" s="1297"/>
      <c r="AX259" s="1297"/>
      <c r="AY259" s="1297"/>
      <c r="AZ259" s="532"/>
      <c r="BA259" s="532"/>
      <c r="BB259" s="532"/>
      <c r="BC259" s="532"/>
      <c r="BD259" s="532"/>
      <c r="BE259" s="532"/>
      <c r="BF259" s="532"/>
      <c r="BG259" s="532"/>
      <c r="BH259" s="532"/>
      <c r="BI259" s="532"/>
      <c r="BJ259" s="529"/>
      <c r="BK259" s="532"/>
      <c r="BL259" s="532"/>
      <c r="BM259" s="532"/>
      <c r="BQ259" s="956"/>
      <c r="BR259" s="956"/>
      <c r="BS259" s="956"/>
      <c r="BT259" s="956"/>
      <c r="BU259" s="956"/>
      <c r="BV259" s="956"/>
    </row>
    <row r="260" spans="1:74" s="1298" customFormat="1" ht="18">
      <c r="A260" s="1357"/>
      <c r="B260" s="1357"/>
      <c r="C260" s="1357"/>
      <c r="D260" s="1357"/>
      <c r="E260" s="1357"/>
      <c r="F260" s="1357"/>
      <c r="G260" s="1357"/>
      <c r="H260" s="1389"/>
      <c r="I260" s="1390"/>
      <c r="J260" s="1357"/>
      <c r="K260" s="1357"/>
      <c r="L260" s="1389"/>
      <c r="M260" s="1357"/>
      <c r="N260" s="1357"/>
      <c r="O260" s="1336"/>
      <c r="P260" s="1389"/>
      <c r="Q260" s="1336"/>
      <c r="R260" s="1336"/>
      <c r="S260" s="1336"/>
      <c r="T260" s="1336"/>
      <c r="U260" s="1336"/>
      <c r="V260" s="1340"/>
      <c r="W260" s="1338"/>
      <c r="X260" s="1338"/>
      <c r="Y260" s="1334"/>
      <c r="Z260" s="747"/>
      <c r="AA260" s="1334"/>
      <c r="AB260" s="1334"/>
      <c r="AC260" s="1336"/>
      <c r="AD260" s="1334"/>
      <c r="AE260" s="747"/>
      <c r="AF260" s="1334"/>
      <c r="AG260" s="1334"/>
      <c r="AH260" s="1336"/>
      <c r="AI260" s="1336"/>
      <c r="AJ260" s="1336"/>
      <c r="AK260" s="1334"/>
      <c r="AL260" s="1334"/>
      <c r="AM260" s="1336"/>
      <c r="AN260" s="1334"/>
      <c r="AO260" s="1339"/>
      <c r="AP260" s="1334"/>
      <c r="AQ260" s="1334"/>
      <c r="AS260" s="1296"/>
      <c r="AT260" s="1297"/>
      <c r="AU260" s="1297"/>
      <c r="AV260" s="1297"/>
      <c r="AW260" s="1297"/>
      <c r="AX260" s="1297"/>
      <c r="AY260" s="1297"/>
      <c r="AZ260" s="532"/>
      <c r="BA260" s="532"/>
      <c r="BB260" s="532"/>
      <c r="BC260" s="532"/>
      <c r="BD260" s="532"/>
      <c r="BE260" s="532"/>
      <c r="BF260" s="532"/>
      <c r="BG260" s="532"/>
      <c r="BH260" s="532"/>
      <c r="BI260" s="532"/>
      <c r="BJ260" s="529"/>
      <c r="BK260" s="532"/>
      <c r="BL260" s="532"/>
      <c r="BM260" s="532"/>
      <c r="BQ260" s="956"/>
      <c r="BR260" s="956"/>
      <c r="BS260" s="956"/>
      <c r="BT260" s="956"/>
      <c r="BU260" s="956"/>
      <c r="BV260" s="956"/>
    </row>
    <row r="261" spans="1:74" s="1298" customFormat="1" ht="18">
      <c r="A261" s="1357"/>
      <c r="B261" s="1357"/>
      <c r="C261" s="1357"/>
      <c r="D261" s="1357"/>
      <c r="E261" s="1357"/>
      <c r="F261" s="1357"/>
      <c r="G261" s="1357"/>
      <c r="H261" s="1389"/>
      <c r="I261" s="1390"/>
      <c r="J261" s="1357"/>
      <c r="K261" s="1357"/>
      <c r="L261" s="1389"/>
      <c r="M261" s="1357"/>
      <c r="N261" s="1357"/>
      <c r="O261" s="1336"/>
      <c r="P261" s="1389"/>
      <c r="Q261" s="1336"/>
      <c r="R261" s="1336"/>
      <c r="S261" s="1336"/>
      <c r="T261" s="1336"/>
      <c r="U261" s="1336"/>
      <c r="V261" s="1340"/>
      <c r="W261" s="1338"/>
      <c r="X261" s="1338"/>
      <c r="Y261" s="1334"/>
      <c r="Z261" s="747"/>
      <c r="AA261" s="1334"/>
      <c r="AB261" s="1334"/>
      <c r="AC261" s="1336"/>
      <c r="AD261" s="1334"/>
      <c r="AE261" s="747"/>
      <c r="AF261" s="1334"/>
      <c r="AG261" s="1334"/>
      <c r="AH261" s="1336"/>
      <c r="AI261" s="1336"/>
      <c r="AJ261" s="1336"/>
      <c r="AK261" s="1334"/>
      <c r="AL261" s="1334"/>
      <c r="AM261" s="1336"/>
      <c r="AN261" s="1334"/>
      <c r="AO261" s="1339"/>
      <c r="AP261" s="1334"/>
      <c r="AQ261" s="1334"/>
      <c r="AS261" s="1296"/>
      <c r="AT261" s="1297"/>
      <c r="AU261" s="1297"/>
      <c r="AV261" s="1297"/>
      <c r="AW261" s="1297"/>
      <c r="AX261" s="1297"/>
      <c r="AY261" s="1297"/>
      <c r="AZ261" s="532"/>
      <c r="BA261" s="532"/>
      <c r="BB261" s="532"/>
      <c r="BC261" s="532"/>
      <c r="BD261" s="532"/>
      <c r="BE261" s="532"/>
      <c r="BF261" s="532"/>
      <c r="BG261" s="532"/>
      <c r="BH261" s="532"/>
      <c r="BI261" s="532"/>
      <c r="BJ261" s="529"/>
      <c r="BK261" s="532"/>
      <c r="BL261" s="532"/>
      <c r="BM261" s="532"/>
      <c r="BQ261" s="956"/>
      <c r="BR261" s="956"/>
      <c r="BS261" s="956"/>
      <c r="BT261" s="956"/>
      <c r="BU261" s="956"/>
      <c r="BV261" s="956"/>
    </row>
    <row r="262" spans="1:74" s="1298" customFormat="1" ht="18">
      <c r="A262" s="1357"/>
      <c r="B262" s="1357"/>
      <c r="C262" s="1357"/>
      <c r="D262" s="1357"/>
      <c r="E262" s="1357"/>
      <c r="F262" s="1357"/>
      <c r="G262" s="1357"/>
      <c r="H262" s="1389"/>
      <c r="I262" s="1390"/>
      <c r="J262" s="1357"/>
      <c r="K262" s="1357"/>
      <c r="L262" s="1389"/>
      <c r="M262" s="1357"/>
      <c r="N262" s="1357"/>
      <c r="O262" s="1336"/>
      <c r="P262" s="1389"/>
      <c r="Q262" s="1336"/>
      <c r="R262" s="1336"/>
      <c r="S262" s="1336"/>
      <c r="T262" s="1336"/>
      <c r="U262" s="1336"/>
      <c r="V262" s="1340"/>
      <c r="W262" s="1338"/>
      <c r="X262" s="1338"/>
      <c r="Y262" s="1334"/>
      <c r="Z262" s="747"/>
      <c r="AA262" s="1334"/>
      <c r="AB262" s="1334"/>
      <c r="AC262" s="1336"/>
      <c r="AD262" s="1334"/>
      <c r="AE262" s="747"/>
      <c r="AF262" s="1334"/>
      <c r="AG262" s="1334"/>
      <c r="AH262" s="1336"/>
      <c r="AI262" s="1336"/>
      <c r="AJ262" s="1336"/>
      <c r="AK262" s="1334"/>
      <c r="AL262" s="1334"/>
      <c r="AM262" s="1336"/>
      <c r="AN262" s="1334"/>
      <c r="AO262" s="1339"/>
      <c r="AP262" s="1334"/>
      <c r="AQ262" s="1334"/>
      <c r="AS262" s="1296"/>
      <c r="AT262" s="1297"/>
      <c r="AU262" s="1297"/>
      <c r="AV262" s="1297"/>
      <c r="AW262" s="1297"/>
      <c r="AX262" s="1297"/>
      <c r="AY262" s="1297"/>
      <c r="AZ262" s="532"/>
      <c r="BA262" s="532"/>
      <c r="BB262" s="532"/>
      <c r="BC262" s="532"/>
      <c r="BD262" s="532"/>
      <c r="BE262" s="532"/>
      <c r="BF262" s="532"/>
      <c r="BG262" s="532"/>
      <c r="BH262" s="532"/>
      <c r="BI262" s="532"/>
      <c r="BJ262" s="529"/>
      <c r="BK262" s="532"/>
      <c r="BL262" s="532"/>
      <c r="BM262" s="532"/>
      <c r="BQ262" s="956"/>
      <c r="BR262" s="956"/>
      <c r="BS262" s="956"/>
      <c r="BT262" s="956"/>
      <c r="BU262" s="956"/>
      <c r="BV262" s="956"/>
    </row>
    <row r="263" spans="1:74" s="1298" customFormat="1" ht="18">
      <c r="A263" s="1391"/>
      <c r="B263" s="747"/>
      <c r="C263" s="747"/>
      <c r="D263" s="1336"/>
      <c r="E263" s="1336"/>
      <c r="F263" s="1336"/>
      <c r="G263" s="1336"/>
      <c r="H263" s="1336"/>
      <c r="I263" s="1336"/>
      <c r="J263" s="1336"/>
      <c r="K263" s="1336"/>
      <c r="L263" s="1337"/>
      <c r="M263" s="1336"/>
      <c r="N263" s="1336"/>
      <c r="O263" s="1336"/>
      <c r="P263" s="1336"/>
      <c r="Q263" s="1336"/>
      <c r="R263" s="1336"/>
      <c r="S263" s="1336"/>
      <c r="T263" s="1336"/>
      <c r="U263" s="1336"/>
      <c r="V263" s="1340"/>
      <c r="W263" s="1338"/>
      <c r="X263" s="1338"/>
      <c r="Y263" s="1334"/>
      <c r="Z263" s="747"/>
      <c r="AA263" s="1334"/>
      <c r="AB263" s="1334"/>
      <c r="AC263" s="1336"/>
      <c r="AD263" s="1334"/>
      <c r="AE263" s="747"/>
      <c r="AF263" s="1334"/>
      <c r="AG263" s="1334"/>
      <c r="AH263" s="1336"/>
      <c r="AI263" s="1336"/>
      <c r="AJ263" s="1336"/>
      <c r="AK263" s="1334"/>
      <c r="AL263" s="1334"/>
      <c r="AM263" s="1336"/>
      <c r="AN263" s="1334"/>
      <c r="AO263" s="1339"/>
      <c r="AP263" s="1334"/>
      <c r="AQ263" s="1334"/>
      <c r="AS263" s="1296"/>
      <c r="AT263" s="1297"/>
      <c r="AU263" s="1297"/>
      <c r="AV263" s="1297"/>
      <c r="AW263" s="1297"/>
      <c r="AX263" s="1297"/>
      <c r="AY263" s="1297"/>
      <c r="AZ263" s="532"/>
      <c r="BA263" s="532"/>
      <c r="BB263" s="532"/>
      <c r="BC263" s="532"/>
      <c r="BD263" s="532"/>
      <c r="BE263" s="532"/>
      <c r="BF263" s="532"/>
      <c r="BG263" s="532"/>
      <c r="BH263" s="532"/>
      <c r="BI263" s="532"/>
      <c r="BJ263" s="529"/>
      <c r="BK263" s="532"/>
      <c r="BL263" s="532"/>
      <c r="BM263" s="532"/>
      <c r="BQ263" s="956"/>
      <c r="BR263" s="956"/>
      <c r="BS263" s="956"/>
      <c r="BT263" s="956"/>
      <c r="BU263" s="956"/>
      <c r="BV263" s="956"/>
    </row>
    <row r="264" spans="1:74" s="1298" customFormat="1" ht="18">
      <c r="A264" s="1391"/>
      <c r="B264" s="747"/>
      <c r="C264" s="747"/>
      <c r="D264" s="1336"/>
      <c r="E264" s="1336"/>
      <c r="F264" s="1336"/>
      <c r="G264" s="1336"/>
      <c r="H264" s="1336"/>
      <c r="I264" s="1336"/>
      <c r="J264" s="1336"/>
      <c r="K264" s="1336"/>
      <c r="L264" s="1337"/>
      <c r="M264" s="1336"/>
      <c r="N264" s="1336"/>
      <c r="O264" s="1336"/>
      <c r="P264" s="1336"/>
      <c r="Q264" s="1336"/>
      <c r="R264" s="1336"/>
      <c r="S264" s="1336"/>
      <c r="T264" s="1336"/>
      <c r="U264" s="1336"/>
      <c r="V264" s="1340"/>
      <c r="W264" s="1338"/>
      <c r="X264" s="1338"/>
      <c r="Y264" s="1334"/>
      <c r="Z264" s="747"/>
      <c r="AA264" s="1334"/>
      <c r="AB264" s="1334"/>
      <c r="AC264" s="1336"/>
      <c r="AD264" s="1334"/>
      <c r="AE264" s="747"/>
      <c r="AF264" s="1334"/>
      <c r="AG264" s="1334"/>
      <c r="AH264" s="1336"/>
      <c r="AI264" s="1336"/>
      <c r="AJ264" s="1336"/>
      <c r="AK264" s="1334"/>
      <c r="AL264" s="1334"/>
      <c r="AM264" s="1336"/>
      <c r="AN264" s="1334"/>
      <c r="AO264" s="1339"/>
      <c r="AP264" s="1334"/>
      <c r="AQ264" s="1334"/>
      <c r="AS264" s="1296"/>
      <c r="AT264" s="1297"/>
      <c r="AU264" s="1297"/>
      <c r="AV264" s="1297"/>
      <c r="AW264" s="1297"/>
      <c r="AX264" s="1297"/>
      <c r="AY264" s="1297"/>
      <c r="AZ264" s="532"/>
      <c r="BA264" s="532"/>
      <c r="BB264" s="532"/>
      <c r="BC264" s="532"/>
      <c r="BD264" s="532"/>
      <c r="BE264" s="532"/>
      <c r="BF264" s="532"/>
      <c r="BG264" s="532"/>
      <c r="BH264" s="532"/>
      <c r="BI264" s="532"/>
      <c r="BJ264" s="529"/>
      <c r="BK264" s="532"/>
      <c r="BL264" s="532"/>
      <c r="BM264" s="532"/>
      <c r="BQ264" s="956"/>
      <c r="BR264" s="956"/>
      <c r="BS264" s="956"/>
      <c r="BT264" s="956"/>
      <c r="BU264" s="956"/>
      <c r="BV264" s="956"/>
    </row>
    <row r="265" spans="1:74" s="1298" customFormat="1" ht="18">
      <c r="A265" s="1391"/>
      <c r="B265" s="747"/>
      <c r="C265" s="747"/>
      <c r="D265" s="1336"/>
      <c r="E265" s="1336"/>
      <c r="F265" s="1336"/>
      <c r="G265" s="1336"/>
      <c r="H265" s="1336"/>
      <c r="I265" s="1336"/>
      <c r="J265" s="1336"/>
      <c r="K265" s="1336"/>
      <c r="L265" s="1337"/>
      <c r="M265" s="1336"/>
      <c r="N265" s="1336"/>
      <c r="O265" s="1336"/>
      <c r="P265" s="1336"/>
      <c r="Q265" s="1336"/>
      <c r="R265" s="1336"/>
      <c r="S265" s="1336"/>
      <c r="T265" s="1336"/>
      <c r="U265" s="1336"/>
      <c r="V265" s="1340"/>
      <c r="W265" s="1338"/>
      <c r="X265" s="1338"/>
      <c r="Y265" s="1334"/>
      <c r="Z265" s="747"/>
      <c r="AA265" s="1334"/>
      <c r="AB265" s="1334"/>
      <c r="AC265" s="1336"/>
      <c r="AD265" s="1334"/>
      <c r="AE265" s="747"/>
      <c r="AF265" s="1334"/>
      <c r="AG265" s="1334"/>
      <c r="AH265" s="1336"/>
      <c r="AI265" s="1336"/>
      <c r="AJ265" s="1336"/>
      <c r="AK265" s="1334"/>
      <c r="AL265" s="1334"/>
      <c r="AM265" s="1336"/>
      <c r="AN265" s="1334"/>
      <c r="AO265" s="1339"/>
      <c r="AP265" s="1334"/>
      <c r="AQ265" s="1334"/>
      <c r="AS265" s="1296"/>
      <c r="AT265" s="1297"/>
      <c r="AU265" s="1297"/>
      <c r="AV265" s="1297"/>
      <c r="AW265" s="1297"/>
      <c r="AX265" s="1297"/>
      <c r="AY265" s="1297"/>
      <c r="AZ265" s="532"/>
      <c r="BA265" s="532"/>
      <c r="BB265" s="532"/>
      <c r="BC265" s="532"/>
      <c r="BD265" s="532"/>
      <c r="BE265" s="532"/>
      <c r="BF265" s="532"/>
      <c r="BG265" s="532"/>
      <c r="BH265" s="532"/>
      <c r="BI265" s="532"/>
      <c r="BJ265" s="529"/>
      <c r="BK265" s="532"/>
      <c r="BL265" s="532"/>
      <c r="BM265" s="532"/>
      <c r="BQ265" s="956"/>
      <c r="BR265" s="956"/>
      <c r="BS265" s="956"/>
      <c r="BT265" s="956"/>
      <c r="BU265" s="956"/>
      <c r="BV265" s="956"/>
    </row>
    <row r="266" spans="1:74" s="1298" customFormat="1" ht="18">
      <c r="A266" s="1391"/>
      <c r="B266" s="747"/>
      <c r="C266" s="747"/>
      <c r="D266" s="1336"/>
      <c r="E266" s="1336"/>
      <c r="F266" s="1336"/>
      <c r="G266" s="1336"/>
      <c r="H266" s="1336"/>
      <c r="I266" s="1336"/>
      <c r="J266" s="1336"/>
      <c r="K266" s="1336"/>
      <c r="L266" s="1337"/>
      <c r="M266" s="1336"/>
      <c r="N266" s="1336"/>
      <c r="O266" s="1336"/>
      <c r="P266" s="1336"/>
      <c r="Q266" s="1336"/>
      <c r="R266" s="1336"/>
      <c r="S266" s="1336"/>
      <c r="T266" s="1336"/>
      <c r="U266" s="1336"/>
      <c r="V266" s="1340"/>
      <c r="W266" s="1338"/>
      <c r="X266" s="1338"/>
      <c r="Y266" s="1334"/>
      <c r="Z266" s="747"/>
      <c r="AA266" s="1334"/>
      <c r="AB266" s="1334"/>
      <c r="AC266" s="1336"/>
      <c r="AD266" s="1334"/>
      <c r="AE266" s="747"/>
      <c r="AF266" s="1334"/>
      <c r="AG266" s="1334"/>
      <c r="AH266" s="1336"/>
      <c r="AI266" s="1336"/>
      <c r="AJ266" s="1336"/>
      <c r="AK266" s="1334"/>
      <c r="AL266" s="1334"/>
      <c r="AM266" s="1336"/>
      <c r="AN266" s="1334"/>
      <c r="AO266" s="1339"/>
      <c r="AP266" s="1334"/>
      <c r="AQ266" s="1334"/>
      <c r="AS266" s="1296"/>
      <c r="AT266" s="1297"/>
      <c r="AU266" s="1297"/>
      <c r="AV266" s="1297"/>
      <c r="AW266" s="1297"/>
      <c r="AX266" s="1297"/>
      <c r="AY266" s="1297"/>
      <c r="AZ266" s="532"/>
      <c r="BA266" s="532"/>
      <c r="BB266" s="532"/>
      <c r="BC266" s="532"/>
      <c r="BD266" s="532"/>
      <c r="BE266" s="532"/>
      <c r="BF266" s="532"/>
      <c r="BG266" s="532"/>
      <c r="BH266" s="532"/>
      <c r="BI266" s="532"/>
      <c r="BJ266" s="529"/>
      <c r="BK266" s="532"/>
      <c r="BL266" s="532"/>
      <c r="BM266" s="532"/>
      <c r="BQ266" s="956"/>
      <c r="BR266" s="956"/>
      <c r="BS266" s="956"/>
      <c r="BT266" s="956"/>
      <c r="BU266" s="956"/>
      <c r="BV266" s="956"/>
    </row>
    <row r="267" spans="1:74" s="1298" customFormat="1" ht="18">
      <c r="A267" s="1391"/>
      <c r="B267" s="747"/>
      <c r="C267" s="747"/>
      <c r="D267" s="1336"/>
      <c r="E267" s="1336"/>
      <c r="F267" s="1336"/>
      <c r="G267" s="1336"/>
      <c r="H267" s="1336"/>
      <c r="I267" s="1336"/>
      <c r="J267" s="1336"/>
      <c r="K267" s="1336"/>
      <c r="L267" s="1337"/>
      <c r="M267" s="1336"/>
      <c r="N267" s="1336"/>
      <c r="O267" s="1336"/>
      <c r="P267" s="1336"/>
      <c r="Q267" s="1336"/>
      <c r="R267" s="1336"/>
      <c r="S267" s="1336"/>
      <c r="T267" s="1336"/>
      <c r="U267" s="1336"/>
      <c r="V267" s="1340"/>
      <c r="W267" s="1338"/>
      <c r="X267" s="1338"/>
      <c r="Y267" s="1334"/>
      <c r="Z267" s="747"/>
      <c r="AA267" s="1334"/>
      <c r="AB267" s="1334"/>
      <c r="AC267" s="1336"/>
      <c r="AD267" s="1334"/>
      <c r="AE267" s="747"/>
      <c r="AF267" s="1334"/>
      <c r="AG267" s="1334"/>
      <c r="AH267" s="1336"/>
      <c r="AI267" s="1336"/>
      <c r="AJ267" s="1336"/>
      <c r="AK267" s="1334"/>
      <c r="AL267" s="1334"/>
      <c r="AM267" s="1336"/>
      <c r="AN267" s="1334"/>
      <c r="AO267" s="1339"/>
      <c r="AP267" s="1334"/>
      <c r="AQ267" s="1334"/>
      <c r="AS267" s="1296"/>
      <c r="AT267" s="1297"/>
      <c r="AU267" s="1297"/>
      <c r="AV267" s="1297"/>
      <c r="AW267" s="1297"/>
      <c r="AX267" s="1297"/>
      <c r="AY267" s="1297"/>
      <c r="AZ267" s="532"/>
      <c r="BA267" s="532"/>
      <c r="BB267" s="532"/>
      <c r="BC267" s="532"/>
      <c r="BD267" s="532"/>
      <c r="BE267" s="532"/>
      <c r="BF267" s="532"/>
      <c r="BG267" s="532"/>
      <c r="BH267" s="532"/>
      <c r="BI267" s="532"/>
      <c r="BJ267" s="529"/>
      <c r="BK267" s="532"/>
      <c r="BL267" s="532"/>
      <c r="BM267" s="532"/>
      <c r="BQ267" s="956"/>
      <c r="BR267" s="956"/>
      <c r="BS267" s="956"/>
      <c r="BT267" s="956"/>
      <c r="BU267" s="956"/>
      <c r="BV267" s="956"/>
    </row>
    <row r="268" spans="1:74" s="1298" customFormat="1" ht="18">
      <c r="A268" s="1391"/>
      <c r="B268" s="747"/>
      <c r="C268" s="747"/>
      <c r="D268" s="1336"/>
      <c r="E268" s="1336"/>
      <c r="F268" s="1336"/>
      <c r="G268" s="1336"/>
      <c r="H268" s="1336"/>
      <c r="I268" s="1336"/>
      <c r="J268" s="1336"/>
      <c r="K268" s="1336"/>
      <c r="L268" s="1337"/>
      <c r="M268" s="1336"/>
      <c r="N268" s="1336"/>
      <c r="O268" s="1336"/>
      <c r="P268" s="1336"/>
      <c r="Q268" s="1336"/>
      <c r="R268" s="1336"/>
      <c r="S268" s="1336"/>
      <c r="T268" s="1336"/>
      <c r="U268" s="1336"/>
      <c r="V268" s="1340"/>
      <c r="W268" s="1338"/>
      <c r="X268" s="1338"/>
      <c r="Y268" s="1334"/>
      <c r="Z268" s="747"/>
      <c r="AA268" s="1334"/>
      <c r="AB268" s="1334"/>
      <c r="AC268" s="1336"/>
      <c r="AD268" s="1334"/>
      <c r="AE268" s="747"/>
      <c r="AF268" s="1334"/>
      <c r="AG268" s="1334"/>
      <c r="AH268" s="1336"/>
      <c r="AI268" s="1336"/>
      <c r="AJ268" s="1336"/>
      <c r="AK268" s="1334"/>
      <c r="AL268" s="1334"/>
      <c r="AM268" s="1336"/>
      <c r="AN268" s="1334"/>
      <c r="AO268" s="1339"/>
      <c r="AP268" s="1334"/>
      <c r="AQ268" s="1334"/>
      <c r="AS268" s="1296"/>
      <c r="AT268" s="1297"/>
      <c r="AU268" s="1297"/>
      <c r="AV268" s="1297"/>
      <c r="AW268" s="1297"/>
      <c r="AX268" s="1297"/>
      <c r="AY268" s="1297"/>
      <c r="AZ268" s="532"/>
      <c r="BA268" s="532"/>
      <c r="BB268" s="532"/>
      <c r="BC268" s="532"/>
      <c r="BD268" s="532"/>
      <c r="BE268" s="532"/>
      <c r="BF268" s="532"/>
      <c r="BG268" s="532"/>
      <c r="BH268" s="532"/>
      <c r="BI268" s="532"/>
      <c r="BJ268" s="529"/>
      <c r="BK268" s="532"/>
      <c r="BL268" s="532"/>
      <c r="BM268" s="532"/>
      <c r="BQ268" s="956"/>
      <c r="BR268" s="956"/>
      <c r="BS268" s="956"/>
      <c r="BT268" s="956"/>
      <c r="BU268" s="956"/>
      <c r="BV268" s="956"/>
    </row>
    <row r="269" spans="1:74" s="1298" customFormat="1" ht="18">
      <c r="A269" s="1391"/>
      <c r="B269" s="747"/>
      <c r="C269" s="747"/>
      <c r="D269" s="1336"/>
      <c r="E269" s="1336"/>
      <c r="F269" s="1336"/>
      <c r="G269" s="1336"/>
      <c r="H269" s="1336"/>
      <c r="I269" s="1336"/>
      <c r="J269" s="1336"/>
      <c r="K269" s="1336"/>
      <c r="L269" s="1337"/>
      <c r="M269" s="1336"/>
      <c r="N269" s="1336"/>
      <c r="O269" s="1336"/>
      <c r="P269" s="1336"/>
      <c r="Q269" s="1336"/>
      <c r="R269" s="1336"/>
      <c r="S269" s="1336"/>
      <c r="T269" s="1336"/>
      <c r="U269" s="1336"/>
      <c r="V269" s="1340"/>
      <c r="W269" s="1338"/>
      <c r="X269" s="1338"/>
      <c r="Y269" s="1334"/>
      <c r="Z269" s="747"/>
      <c r="AA269" s="1334"/>
      <c r="AB269" s="1334"/>
      <c r="AC269" s="1336"/>
      <c r="AD269" s="1334"/>
      <c r="AE269" s="747"/>
      <c r="AF269" s="1334"/>
      <c r="AG269" s="1334"/>
      <c r="AH269" s="1336"/>
      <c r="AI269" s="1336"/>
      <c r="AJ269" s="1336"/>
      <c r="AK269" s="1334"/>
      <c r="AL269" s="1334"/>
      <c r="AM269" s="1336"/>
      <c r="AN269" s="1334"/>
      <c r="AO269" s="1339"/>
      <c r="AP269" s="1334"/>
      <c r="AQ269" s="1334"/>
      <c r="AS269" s="1296"/>
      <c r="AT269" s="1297"/>
      <c r="AU269" s="1297"/>
      <c r="AV269" s="1297"/>
      <c r="AW269" s="1297"/>
      <c r="AX269" s="1297"/>
      <c r="AY269" s="1297"/>
      <c r="AZ269" s="532"/>
      <c r="BA269" s="532"/>
      <c r="BB269" s="532"/>
      <c r="BC269" s="532"/>
      <c r="BD269" s="532"/>
      <c r="BE269" s="532"/>
      <c r="BF269" s="532"/>
      <c r="BG269" s="532"/>
      <c r="BH269" s="532"/>
      <c r="BI269" s="532"/>
      <c r="BJ269" s="529"/>
      <c r="BK269" s="532"/>
      <c r="BL269" s="532"/>
      <c r="BM269" s="532"/>
      <c r="BQ269" s="956"/>
      <c r="BR269" s="956"/>
      <c r="BS269" s="956"/>
      <c r="BT269" s="956"/>
      <c r="BU269" s="956"/>
      <c r="BV269" s="956"/>
    </row>
    <row r="270" spans="1:74" s="1298" customFormat="1" ht="18">
      <c r="A270" s="1391"/>
      <c r="B270" s="747"/>
      <c r="C270" s="747"/>
      <c r="D270" s="1336"/>
      <c r="E270" s="1336"/>
      <c r="F270" s="1336"/>
      <c r="G270" s="1336"/>
      <c r="H270" s="1336"/>
      <c r="I270" s="1336"/>
      <c r="J270" s="1336"/>
      <c r="K270" s="1336"/>
      <c r="L270" s="1337"/>
      <c r="M270" s="1336"/>
      <c r="N270" s="1336"/>
      <c r="O270" s="1336"/>
      <c r="P270" s="1336"/>
      <c r="Q270" s="1336"/>
      <c r="R270" s="1336"/>
      <c r="S270" s="1336"/>
      <c r="T270" s="1336"/>
      <c r="U270" s="1336"/>
      <c r="V270" s="1340"/>
      <c r="W270" s="1338"/>
      <c r="X270" s="1338"/>
      <c r="Y270" s="1334"/>
      <c r="Z270" s="747"/>
      <c r="AA270" s="1334"/>
      <c r="AB270" s="1334"/>
      <c r="AC270" s="1336"/>
      <c r="AD270" s="1334"/>
      <c r="AE270" s="747"/>
      <c r="AF270" s="1334"/>
      <c r="AG270" s="1334"/>
      <c r="AH270" s="1336"/>
      <c r="AI270" s="1336"/>
      <c r="AJ270" s="1336"/>
      <c r="AK270" s="1334"/>
      <c r="AL270" s="1334"/>
      <c r="AM270" s="1336"/>
      <c r="AN270" s="1334"/>
      <c r="AO270" s="1339"/>
      <c r="AP270" s="1334"/>
      <c r="AQ270" s="1334"/>
      <c r="AS270" s="1296"/>
      <c r="AT270" s="1297"/>
      <c r="AU270" s="1297"/>
      <c r="AV270" s="1297"/>
      <c r="AW270" s="1297"/>
      <c r="AX270" s="1297"/>
      <c r="AY270" s="1297"/>
      <c r="AZ270" s="532"/>
      <c r="BA270" s="532"/>
      <c r="BB270" s="532"/>
      <c r="BC270" s="532"/>
      <c r="BD270" s="532"/>
      <c r="BE270" s="532"/>
      <c r="BF270" s="532"/>
      <c r="BG270" s="532"/>
      <c r="BH270" s="532"/>
      <c r="BI270" s="532"/>
      <c r="BJ270" s="529"/>
      <c r="BK270" s="532"/>
      <c r="BL270" s="532"/>
      <c r="BM270" s="532"/>
      <c r="BQ270" s="956"/>
      <c r="BR270" s="956"/>
      <c r="BS270" s="956"/>
      <c r="BT270" s="956"/>
      <c r="BU270" s="956"/>
      <c r="BV270" s="956"/>
    </row>
    <row r="271" spans="1:74" s="1298" customFormat="1" ht="18">
      <c r="A271" s="1391"/>
      <c r="B271" s="747"/>
      <c r="C271" s="747"/>
      <c r="D271" s="1336"/>
      <c r="E271" s="1336"/>
      <c r="F271" s="1336"/>
      <c r="G271" s="1336"/>
      <c r="H271" s="1336"/>
      <c r="I271" s="1336"/>
      <c r="J271" s="1336"/>
      <c r="K271" s="1336"/>
      <c r="L271" s="1337"/>
      <c r="M271" s="1336"/>
      <c r="N271" s="1336"/>
      <c r="O271" s="1336"/>
      <c r="P271" s="1336"/>
      <c r="Q271" s="1336"/>
      <c r="R271" s="1336"/>
      <c r="S271" s="1336"/>
      <c r="T271" s="1336"/>
      <c r="U271" s="1336"/>
      <c r="V271" s="1340"/>
      <c r="W271" s="1338"/>
      <c r="X271" s="1338"/>
      <c r="Y271" s="1334"/>
      <c r="Z271" s="747"/>
      <c r="AA271" s="1334"/>
      <c r="AB271" s="1334"/>
      <c r="AC271" s="1336"/>
      <c r="AD271" s="1334"/>
      <c r="AE271" s="747"/>
      <c r="AF271" s="1334"/>
      <c r="AG271" s="1334"/>
      <c r="AH271" s="1336"/>
      <c r="AI271" s="1336"/>
      <c r="AJ271" s="1336"/>
      <c r="AK271" s="1334"/>
      <c r="AL271" s="1334"/>
      <c r="AM271" s="1336"/>
      <c r="AN271" s="1334"/>
      <c r="AO271" s="1339"/>
      <c r="AP271" s="1334"/>
      <c r="AQ271" s="1334"/>
      <c r="AS271" s="1296"/>
      <c r="AT271" s="1297"/>
      <c r="AU271" s="1297"/>
      <c r="AV271" s="1297"/>
      <c r="AW271" s="1297"/>
      <c r="AX271" s="1297"/>
      <c r="AY271" s="1297"/>
      <c r="AZ271" s="532"/>
      <c r="BA271" s="532"/>
      <c r="BB271" s="532"/>
      <c r="BC271" s="532"/>
      <c r="BD271" s="532"/>
      <c r="BE271" s="532"/>
      <c r="BF271" s="532"/>
      <c r="BG271" s="532"/>
      <c r="BH271" s="532"/>
      <c r="BI271" s="532"/>
      <c r="BJ271" s="529"/>
      <c r="BK271" s="532"/>
      <c r="BL271" s="532"/>
      <c r="BM271" s="532"/>
      <c r="BQ271" s="956"/>
      <c r="BR271" s="956"/>
      <c r="BS271" s="956"/>
      <c r="BT271" s="956"/>
      <c r="BU271" s="956"/>
      <c r="BV271" s="956"/>
    </row>
    <row r="272" spans="1:74" s="1298" customFormat="1" ht="18">
      <c r="A272" s="1391"/>
      <c r="B272" s="747"/>
      <c r="C272" s="747"/>
      <c r="D272" s="1336"/>
      <c r="E272" s="1336"/>
      <c r="F272" s="1336"/>
      <c r="G272" s="1336"/>
      <c r="H272" s="1336"/>
      <c r="I272" s="1336"/>
      <c r="J272" s="1336"/>
      <c r="K272" s="1336"/>
      <c r="L272" s="1337"/>
      <c r="M272" s="1336"/>
      <c r="N272" s="1336"/>
      <c r="O272" s="1336"/>
      <c r="P272" s="1336"/>
      <c r="Q272" s="1336"/>
      <c r="R272" s="1336"/>
      <c r="S272" s="1336"/>
      <c r="T272" s="1336"/>
      <c r="U272" s="1336"/>
      <c r="V272" s="1340"/>
      <c r="W272" s="1338"/>
      <c r="X272" s="1338"/>
      <c r="Y272" s="1334"/>
      <c r="Z272" s="747"/>
      <c r="AA272" s="1334"/>
      <c r="AB272" s="1334"/>
      <c r="AC272" s="1336"/>
      <c r="AD272" s="1334"/>
      <c r="AE272" s="747"/>
      <c r="AF272" s="1334"/>
      <c r="AG272" s="1334"/>
      <c r="AH272" s="1336"/>
      <c r="AI272" s="1336"/>
      <c r="AJ272" s="1336"/>
      <c r="AK272" s="1334"/>
      <c r="AL272" s="1334"/>
      <c r="AM272" s="1336"/>
      <c r="AN272" s="1334"/>
      <c r="AO272" s="1339"/>
      <c r="AP272" s="1334"/>
      <c r="AQ272" s="1334"/>
      <c r="AS272" s="1296"/>
      <c r="AT272" s="1297"/>
      <c r="AU272" s="1297"/>
      <c r="AV272" s="1297"/>
      <c r="AW272" s="1297"/>
      <c r="AX272" s="1297"/>
      <c r="AY272" s="1297"/>
      <c r="AZ272" s="532"/>
      <c r="BA272" s="532"/>
      <c r="BB272" s="532"/>
      <c r="BC272" s="532"/>
      <c r="BD272" s="532"/>
      <c r="BE272" s="532"/>
      <c r="BF272" s="532"/>
      <c r="BG272" s="532"/>
      <c r="BH272" s="532"/>
      <c r="BI272" s="532"/>
      <c r="BJ272" s="529"/>
      <c r="BK272" s="532"/>
      <c r="BL272" s="532"/>
      <c r="BM272" s="532"/>
      <c r="BQ272" s="956"/>
      <c r="BR272" s="956"/>
      <c r="BS272" s="956"/>
      <c r="BT272" s="956"/>
      <c r="BU272" s="956"/>
      <c r="BV272" s="956"/>
    </row>
    <row r="273" spans="1:74" s="1298" customFormat="1" ht="18">
      <c r="A273" s="1391"/>
      <c r="B273" s="747"/>
      <c r="C273" s="747"/>
      <c r="D273" s="1336"/>
      <c r="E273" s="1336"/>
      <c r="F273" s="1336"/>
      <c r="G273" s="1336"/>
      <c r="H273" s="1336"/>
      <c r="I273" s="1336"/>
      <c r="J273" s="1336"/>
      <c r="K273" s="1336"/>
      <c r="L273" s="1337"/>
      <c r="M273" s="1336"/>
      <c r="N273" s="1336"/>
      <c r="O273" s="1336"/>
      <c r="P273" s="1336"/>
      <c r="Q273" s="1336"/>
      <c r="R273" s="1336"/>
      <c r="S273" s="1336"/>
      <c r="T273" s="1336"/>
      <c r="U273" s="1336"/>
      <c r="V273" s="1340"/>
      <c r="W273" s="1338"/>
      <c r="X273" s="1338"/>
      <c r="Y273" s="1334"/>
      <c r="Z273" s="747"/>
      <c r="AA273" s="1334"/>
      <c r="AB273" s="1334"/>
      <c r="AC273" s="1336"/>
      <c r="AD273" s="1334"/>
      <c r="AE273" s="747"/>
      <c r="AF273" s="1334"/>
      <c r="AG273" s="1334"/>
      <c r="AH273" s="1336"/>
      <c r="AI273" s="1336"/>
      <c r="AJ273" s="1336"/>
      <c r="AK273" s="1334"/>
      <c r="AL273" s="1334"/>
      <c r="AM273" s="1336"/>
      <c r="AN273" s="1334"/>
      <c r="AO273" s="1339"/>
      <c r="AP273" s="1334"/>
      <c r="AQ273" s="1334"/>
      <c r="AS273" s="1296"/>
      <c r="AT273" s="1297"/>
      <c r="AU273" s="1297"/>
      <c r="AV273" s="1297"/>
      <c r="AW273" s="1297"/>
      <c r="AX273" s="1297"/>
      <c r="AY273" s="1297"/>
      <c r="AZ273" s="532"/>
      <c r="BA273" s="532"/>
      <c r="BB273" s="532"/>
      <c r="BC273" s="532"/>
      <c r="BD273" s="532"/>
      <c r="BE273" s="532"/>
      <c r="BF273" s="532"/>
      <c r="BG273" s="532"/>
      <c r="BH273" s="532"/>
      <c r="BI273" s="532"/>
      <c r="BJ273" s="529"/>
      <c r="BK273" s="532"/>
      <c r="BL273" s="532"/>
      <c r="BM273" s="532"/>
      <c r="BQ273" s="956"/>
      <c r="BR273" s="956"/>
      <c r="BS273" s="956"/>
      <c r="BT273" s="956"/>
      <c r="BU273" s="956"/>
      <c r="BV273" s="956"/>
    </row>
    <row r="274" spans="1:74" s="1298" customFormat="1" ht="18">
      <c r="A274" s="1391"/>
      <c r="B274" s="747"/>
      <c r="C274" s="747"/>
      <c r="D274" s="1336"/>
      <c r="E274" s="1336"/>
      <c r="F274" s="1336"/>
      <c r="G274" s="1336"/>
      <c r="H274" s="1336"/>
      <c r="I274" s="1336"/>
      <c r="J274" s="1336"/>
      <c r="K274" s="1336"/>
      <c r="L274" s="1337"/>
      <c r="M274" s="1336"/>
      <c r="N274" s="1336"/>
      <c r="O274" s="1336"/>
      <c r="P274" s="1336"/>
      <c r="Q274" s="1336"/>
      <c r="R274" s="1336"/>
      <c r="S274" s="1336"/>
      <c r="T274" s="1336"/>
      <c r="U274" s="1336"/>
      <c r="V274" s="1340"/>
      <c r="W274" s="1338"/>
      <c r="X274" s="1338"/>
      <c r="Y274" s="1334"/>
      <c r="Z274" s="747"/>
      <c r="AA274" s="1334"/>
      <c r="AB274" s="1334"/>
      <c r="AC274" s="1336"/>
      <c r="AD274" s="1334"/>
      <c r="AE274" s="747"/>
      <c r="AF274" s="1334"/>
      <c r="AG274" s="1334"/>
      <c r="AH274" s="1336"/>
      <c r="AI274" s="1336"/>
      <c r="AJ274" s="1336"/>
      <c r="AK274" s="1334"/>
      <c r="AL274" s="1334"/>
      <c r="AM274" s="1336"/>
      <c r="AN274" s="1334"/>
      <c r="AO274" s="1339"/>
      <c r="AP274" s="1334"/>
      <c r="AQ274" s="1334"/>
      <c r="AS274" s="1296"/>
      <c r="AT274" s="1297"/>
      <c r="AU274" s="1297"/>
      <c r="AV274" s="1297"/>
      <c r="AW274" s="1297"/>
      <c r="AX274" s="1297"/>
      <c r="AY274" s="1297"/>
      <c r="AZ274" s="532"/>
      <c r="BA274" s="532"/>
      <c r="BB274" s="532"/>
      <c r="BC274" s="532"/>
      <c r="BD274" s="532"/>
      <c r="BE274" s="532"/>
      <c r="BF274" s="532"/>
      <c r="BG274" s="532"/>
      <c r="BH274" s="532"/>
      <c r="BI274" s="532"/>
      <c r="BJ274" s="529"/>
      <c r="BK274" s="532"/>
      <c r="BL274" s="532"/>
      <c r="BM274" s="532"/>
      <c r="BQ274" s="956"/>
      <c r="BR274" s="956"/>
      <c r="BS274" s="956"/>
      <c r="BT274" s="956"/>
      <c r="BU274" s="956"/>
      <c r="BV274" s="956"/>
    </row>
    <row r="275" spans="1:74" s="1298" customFormat="1" ht="18">
      <c r="A275" s="1391"/>
      <c r="B275" s="747"/>
      <c r="C275" s="747"/>
      <c r="D275" s="1336"/>
      <c r="E275" s="1336"/>
      <c r="F275" s="1336"/>
      <c r="G275" s="1336"/>
      <c r="H275" s="1336"/>
      <c r="I275" s="1336"/>
      <c r="J275" s="1336"/>
      <c r="K275" s="1336"/>
      <c r="L275" s="1337"/>
      <c r="M275" s="1336"/>
      <c r="N275" s="1336"/>
      <c r="O275" s="1336"/>
      <c r="P275" s="1336"/>
      <c r="Q275" s="1336"/>
      <c r="R275" s="1336"/>
      <c r="S275" s="1336"/>
      <c r="T275" s="1336"/>
      <c r="U275" s="1336"/>
      <c r="V275" s="1340"/>
      <c r="W275" s="1338"/>
      <c r="X275" s="1338"/>
      <c r="Y275" s="1334"/>
      <c r="Z275" s="747"/>
      <c r="AA275" s="1334"/>
      <c r="AB275" s="1334"/>
      <c r="AC275" s="1336"/>
      <c r="AD275" s="1334"/>
      <c r="AE275" s="747"/>
      <c r="AF275" s="1334"/>
      <c r="AG275" s="1334"/>
      <c r="AH275" s="1336"/>
      <c r="AI275" s="1336"/>
      <c r="AJ275" s="1336"/>
      <c r="AK275" s="1334"/>
      <c r="AL275" s="1334"/>
      <c r="AM275" s="1336"/>
      <c r="AN275" s="1334"/>
      <c r="AO275" s="1339"/>
      <c r="AP275" s="1334"/>
      <c r="AQ275" s="1334"/>
      <c r="AS275" s="1296"/>
      <c r="AT275" s="1297"/>
      <c r="AU275" s="1297"/>
      <c r="AV275" s="1297"/>
      <c r="AW275" s="1297"/>
      <c r="AX275" s="1297"/>
      <c r="AY275" s="1297"/>
      <c r="AZ275" s="532"/>
      <c r="BA275" s="532"/>
      <c r="BB275" s="532"/>
      <c r="BC275" s="532"/>
      <c r="BD275" s="532"/>
      <c r="BE275" s="532"/>
      <c r="BF275" s="532"/>
      <c r="BG275" s="532"/>
      <c r="BH275" s="532"/>
      <c r="BI275" s="532"/>
      <c r="BJ275" s="529"/>
      <c r="BK275" s="532"/>
      <c r="BL275" s="532"/>
      <c r="BM275" s="532"/>
      <c r="BQ275" s="956"/>
      <c r="BR275" s="956"/>
      <c r="BS275" s="956"/>
      <c r="BT275" s="956"/>
      <c r="BU275" s="956"/>
      <c r="BV275" s="956"/>
    </row>
    <row r="276" spans="1:74" s="1298" customFormat="1" ht="18">
      <c r="A276" s="1391"/>
      <c r="B276" s="747"/>
      <c r="C276" s="747"/>
      <c r="D276" s="1336"/>
      <c r="E276" s="1336"/>
      <c r="F276" s="1336"/>
      <c r="G276" s="1336"/>
      <c r="H276" s="1336"/>
      <c r="I276" s="1336"/>
      <c r="J276" s="1336"/>
      <c r="K276" s="1336"/>
      <c r="L276" s="1337"/>
      <c r="M276" s="1336"/>
      <c r="N276" s="1336"/>
      <c r="O276" s="1336"/>
      <c r="P276" s="1336"/>
      <c r="Q276" s="1336"/>
      <c r="R276" s="1336"/>
      <c r="S276" s="1336"/>
      <c r="T276" s="1336"/>
      <c r="U276" s="1336"/>
      <c r="V276" s="1340"/>
      <c r="W276" s="1338"/>
      <c r="X276" s="1338"/>
      <c r="Y276" s="1334"/>
      <c r="Z276" s="747"/>
      <c r="AA276" s="1334"/>
      <c r="AB276" s="1334"/>
      <c r="AC276" s="1336"/>
      <c r="AD276" s="1334"/>
      <c r="AE276" s="747"/>
      <c r="AF276" s="1334"/>
      <c r="AG276" s="1334"/>
      <c r="AH276" s="1336"/>
      <c r="AI276" s="1336"/>
      <c r="AJ276" s="1336"/>
      <c r="AK276" s="1334"/>
      <c r="AL276" s="1334"/>
      <c r="AM276" s="1336"/>
      <c r="AN276" s="1334"/>
      <c r="AO276" s="1339"/>
      <c r="AP276" s="1334"/>
      <c r="AQ276" s="1334"/>
      <c r="AS276" s="1296"/>
      <c r="AT276" s="1297"/>
      <c r="AU276" s="1297"/>
      <c r="AV276" s="1297"/>
      <c r="AW276" s="1297"/>
      <c r="AX276" s="1297"/>
      <c r="AY276" s="1297"/>
      <c r="AZ276" s="532"/>
      <c r="BA276" s="532"/>
      <c r="BB276" s="532"/>
      <c r="BC276" s="532"/>
      <c r="BD276" s="532"/>
      <c r="BE276" s="532"/>
      <c r="BF276" s="532"/>
      <c r="BG276" s="532"/>
      <c r="BH276" s="532"/>
      <c r="BI276" s="532"/>
      <c r="BJ276" s="529"/>
      <c r="BK276" s="532"/>
      <c r="BL276" s="532"/>
      <c r="BM276" s="532"/>
      <c r="BQ276" s="956"/>
      <c r="BR276" s="956"/>
      <c r="BS276" s="956"/>
      <c r="BT276" s="956"/>
      <c r="BU276" s="956"/>
      <c r="BV276" s="956"/>
    </row>
    <row r="277" spans="1:74" s="1298" customFormat="1" ht="15.6">
      <c r="A277" s="743"/>
      <c r="B277" s="529"/>
      <c r="C277" s="529"/>
      <c r="D277" s="533"/>
      <c r="E277" s="533"/>
      <c r="F277" s="533"/>
      <c r="G277" s="533"/>
      <c r="H277" s="533"/>
      <c r="I277" s="533"/>
      <c r="J277" s="533"/>
      <c r="K277" s="533"/>
      <c r="L277" s="691"/>
      <c r="M277" s="533"/>
      <c r="N277" s="533"/>
      <c r="O277" s="533"/>
      <c r="P277" s="533"/>
      <c r="Q277" s="533"/>
      <c r="R277" s="533"/>
      <c r="S277" s="533"/>
      <c r="T277" s="533"/>
      <c r="U277" s="533"/>
      <c r="W277" s="1291"/>
      <c r="X277" s="1291"/>
      <c r="Y277" s="532"/>
      <c r="Z277" s="529"/>
      <c r="AA277" s="532"/>
      <c r="AB277" s="532"/>
      <c r="AC277" s="533"/>
      <c r="AD277" s="532"/>
      <c r="AE277" s="529"/>
      <c r="AF277" s="532"/>
      <c r="AG277" s="532"/>
      <c r="AH277" s="533"/>
      <c r="AI277" s="533"/>
      <c r="AJ277" s="533"/>
      <c r="AK277" s="532"/>
      <c r="AL277" s="532"/>
      <c r="AM277" s="533"/>
      <c r="AN277" s="532"/>
      <c r="AO277" s="1294"/>
      <c r="AP277" s="532"/>
      <c r="AQ277" s="532"/>
      <c r="AS277" s="1296"/>
      <c r="AT277" s="1297"/>
      <c r="AU277" s="1297"/>
      <c r="AV277" s="1297"/>
      <c r="AW277" s="1297"/>
      <c r="AX277" s="1297"/>
      <c r="AY277" s="1297"/>
      <c r="AZ277" s="532"/>
      <c r="BA277" s="532"/>
      <c r="BB277" s="532"/>
      <c r="BC277" s="532"/>
      <c r="BD277" s="532"/>
      <c r="BE277" s="532"/>
      <c r="BF277" s="532"/>
      <c r="BG277" s="532"/>
      <c r="BH277" s="532"/>
      <c r="BI277" s="532"/>
      <c r="BJ277" s="529"/>
      <c r="BK277" s="532"/>
      <c r="BL277" s="532"/>
      <c r="BM277" s="532"/>
      <c r="BQ277" s="956"/>
      <c r="BR277" s="956"/>
      <c r="BS277" s="956"/>
      <c r="BT277" s="956"/>
      <c r="BU277" s="956"/>
      <c r="BV277" s="956"/>
    </row>
    <row r="278" spans="1:74" s="1298" customFormat="1" ht="15.6">
      <c r="A278" s="743"/>
      <c r="B278" s="529"/>
      <c r="C278" s="529"/>
      <c r="D278" s="533"/>
      <c r="E278" s="533"/>
      <c r="F278" s="533"/>
      <c r="G278" s="533"/>
      <c r="H278" s="533"/>
      <c r="I278" s="533"/>
      <c r="J278" s="533"/>
      <c r="K278" s="533"/>
      <c r="L278" s="691"/>
      <c r="M278" s="533"/>
      <c r="N278" s="533"/>
      <c r="O278" s="533"/>
      <c r="P278" s="533"/>
      <c r="Q278" s="533"/>
      <c r="R278" s="533"/>
      <c r="S278" s="533"/>
      <c r="T278" s="533"/>
      <c r="U278" s="533"/>
      <c r="W278" s="1291"/>
      <c r="X278" s="1291"/>
      <c r="Y278" s="532"/>
      <c r="Z278" s="529"/>
      <c r="AA278" s="532"/>
      <c r="AB278" s="532"/>
      <c r="AC278" s="533"/>
      <c r="AD278" s="532"/>
      <c r="AE278" s="529"/>
      <c r="AF278" s="532"/>
      <c r="AG278" s="532"/>
      <c r="AH278" s="533"/>
      <c r="AI278" s="533"/>
      <c r="AJ278" s="533"/>
      <c r="AK278" s="532"/>
      <c r="AL278" s="532"/>
      <c r="AM278" s="533"/>
      <c r="AN278" s="532"/>
      <c r="AO278" s="1294"/>
      <c r="AP278" s="532"/>
      <c r="AQ278" s="532"/>
      <c r="AS278" s="1296"/>
      <c r="AT278" s="1297"/>
      <c r="AU278" s="1297"/>
      <c r="AV278" s="1297"/>
      <c r="AW278" s="1297"/>
      <c r="AX278" s="1297"/>
      <c r="AY278" s="1297"/>
      <c r="AZ278" s="532"/>
      <c r="BA278" s="532"/>
      <c r="BB278" s="532"/>
      <c r="BC278" s="532"/>
      <c r="BD278" s="532"/>
      <c r="BE278" s="532"/>
      <c r="BF278" s="532"/>
      <c r="BG278" s="532"/>
      <c r="BH278" s="532"/>
      <c r="BI278" s="532"/>
      <c r="BJ278" s="529"/>
      <c r="BK278" s="532"/>
      <c r="BL278" s="532"/>
      <c r="BM278" s="532"/>
      <c r="BQ278" s="956"/>
      <c r="BR278" s="956"/>
      <c r="BS278" s="956"/>
      <c r="BT278" s="956"/>
      <c r="BU278" s="956"/>
      <c r="BV278" s="956"/>
    </row>
    <row r="279" spans="1:74" s="1298" customFormat="1" ht="15.6">
      <c r="A279" s="743"/>
      <c r="B279" s="529"/>
      <c r="C279" s="529"/>
      <c r="D279" s="533"/>
      <c r="E279" s="533"/>
      <c r="F279" s="533"/>
      <c r="G279" s="533"/>
      <c r="H279" s="533"/>
      <c r="I279" s="533"/>
      <c r="J279" s="533"/>
      <c r="K279" s="533"/>
      <c r="L279" s="691"/>
      <c r="M279" s="533"/>
      <c r="N279" s="533"/>
      <c r="O279" s="533"/>
      <c r="P279" s="533"/>
      <c r="Q279" s="533"/>
      <c r="R279" s="533"/>
      <c r="S279" s="533"/>
      <c r="T279" s="533"/>
      <c r="U279" s="533"/>
      <c r="W279" s="1291"/>
      <c r="X279" s="1291"/>
      <c r="Y279" s="532"/>
      <c r="Z279" s="529"/>
      <c r="AA279" s="532"/>
      <c r="AB279" s="532"/>
      <c r="AC279" s="533"/>
      <c r="AD279" s="532"/>
      <c r="AE279" s="529"/>
      <c r="AF279" s="532"/>
      <c r="AG279" s="532"/>
      <c r="AH279" s="533"/>
      <c r="AI279" s="533"/>
      <c r="AJ279" s="533"/>
      <c r="AK279" s="532"/>
      <c r="AL279" s="532"/>
      <c r="AM279" s="533"/>
      <c r="AN279" s="532"/>
      <c r="AO279" s="1294"/>
      <c r="AP279" s="532"/>
      <c r="AQ279" s="532"/>
      <c r="AS279" s="1296"/>
      <c r="AT279" s="1297"/>
      <c r="AU279" s="1297"/>
      <c r="AV279" s="1297"/>
      <c r="AW279" s="1297"/>
      <c r="AX279" s="1297"/>
      <c r="AY279" s="1297"/>
      <c r="AZ279" s="532"/>
      <c r="BA279" s="532"/>
      <c r="BB279" s="532"/>
      <c r="BC279" s="532"/>
      <c r="BD279" s="532"/>
      <c r="BE279" s="532"/>
      <c r="BF279" s="532"/>
      <c r="BG279" s="532"/>
      <c r="BH279" s="532"/>
      <c r="BI279" s="532"/>
      <c r="BJ279" s="529"/>
      <c r="BK279" s="532"/>
      <c r="BL279" s="532"/>
      <c r="BM279" s="532"/>
      <c r="BQ279" s="956"/>
      <c r="BR279" s="956"/>
      <c r="BS279" s="956"/>
      <c r="BT279" s="956"/>
      <c r="BU279" s="956"/>
      <c r="BV279" s="956"/>
    </row>
  </sheetData>
  <mergeCells count="58">
    <mergeCell ref="F2:H2"/>
    <mergeCell ref="A2:A3"/>
    <mergeCell ref="B2:B3"/>
    <mergeCell ref="C2:C3"/>
    <mergeCell ref="D2:D3"/>
    <mergeCell ref="E2:E3"/>
    <mergeCell ref="AV2:AX2"/>
    <mergeCell ref="AY2:BA2"/>
    <mergeCell ref="BB2:BD2"/>
    <mergeCell ref="AP2:AP3"/>
    <mergeCell ref="I2:K2"/>
    <mergeCell ref="L2:L3"/>
    <mergeCell ref="M2:O2"/>
    <mergeCell ref="P2:R2"/>
    <mergeCell ref="S2:U2"/>
    <mergeCell ref="V2:X2"/>
    <mergeCell ref="Y2:AB2"/>
    <mergeCell ref="AC2:AC3"/>
    <mergeCell ref="AM2:AM3"/>
    <mergeCell ref="AN2:AN3"/>
    <mergeCell ref="AO2:AO3"/>
    <mergeCell ref="AN69:AN70"/>
    <mergeCell ref="AO69:AO70"/>
    <mergeCell ref="AP69:AP70"/>
    <mergeCell ref="BE2:BH2"/>
    <mergeCell ref="A69:A70"/>
    <mergeCell ref="B69:B70"/>
    <mergeCell ref="C69:C70"/>
    <mergeCell ref="D69:D70"/>
    <mergeCell ref="E69:E70"/>
    <mergeCell ref="F69:H69"/>
    <mergeCell ref="I69:K69"/>
    <mergeCell ref="L69:L70"/>
    <mergeCell ref="M69:O69"/>
    <mergeCell ref="AQ2:AQ3"/>
    <mergeCell ref="AR2:AR3"/>
    <mergeCell ref="AS2:AU2"/>
    <mergeCell ref="I89:J89"/>
    <mergeCell ref="M89:N89"/>
    <mergeCell ref="P89:Q89"/>
    <mergeCell ref="S89:T89"/>
    <mergeCell ref="Y89:Z89"/>
    <mergeCell ref="BQ1:BV1"/>
    <mergeCell ref="M229:N229"/>
    <mergeCell ref="BE69:BG69"/>
    <mergeCell ref="BJ69:BK69"/>
    <mergeCell ref="AF88:AG88"/>
    <mergeCell ref="AB89:AC89"/>
    <mergeCell ref="AF89:AG89"/>
    <mergeCell ref="AQ69:AQ70"/>
    <mergeCell ref="AR69:AR70"/>
    <mergeCell ref="AS69:AU69"/>
    <mergeCell ref="AV69:AX69"/>
    <mergeCell ref="AY69:BA69"/>
    <mergeCell ref="BB69:BD69"/>
    <mergeCell ref="P69:R69"/>
    <mergeCell ref="S69:U69"/>
    <mergeCell ref="AM69:AM70"/>
  </mergeCells>
  <phoneticPr fontId="101" type="noConversion"/>
  <conditionalFormatting sqref="L2:L63 L66 K67:K68 K82:K83 L84 M85:M88 M96 P96 S96 Y96 M101:M103 P101:P103 S101:S103 Y101:Y103 M113:M157 M158:N158 M159:M162 N162">
    <cfRule type="cellIs" dxfId="87" priority="51" stopIfTrue="1" operator="equal">
      <formula>1</formula>
    </cfRule>
    <cfRule type="cellIs" dxfId="86" priority="52" stopIfTrue="1" operator="between">
      <formula>0.9</formula>
      <formula>1</formula>
    </cfRule>
  </conditionalFormatting>
  <conditionalFormatting sqref="L69:L70">
    <cfRule type="cellIs" dxfId="85" priority="49" stopIfTrue="1" operator="equal">
      <formula>1</formula>
    </cfRule>
    <cfRule type="cellIs" dxfId="84" priority="50" stopIfTrue="1" operator="between">
      <formula>0.9</formula>
      <formula>1</formula>
    </cfRule>
  </conditionalFormatting>
  <conditionalFormatting sqref="L75:L76">
    <cfRule type="cellIs" dxfId="83" priority="47" stopIfTrue="1" operator="equal">
      <formula>1</formula>
    </cfRule>
    <cfRule type="cellIs" dxfId="82" priority="48" stopIfTrue="1" operator="between">
      <formula>0.9</formula>
      <formula>1</formula>
    </cfRule>
  </conditionalFormatting>
  <conditionalFormatting sqref="M91:M92 AF91:AF92">
    <cfRule type="cellIs" dxfId="81" priority="37" stopIfTrue="1" operator="equal">
      <formula>1</formula>
    </cfRule>
    <cfRule type="cellIs" dxfId="80" priority="38" stopIfTrue="1" operator="between">
      <formula>0.9</formula>
      <formula>1</formula>
    </cfRule>
  </conditionalFormatting>
  <conditionalFormatting sqref="M164:M65425">
    <cfRule type="cellIs" dxfId="79" priority="25" stopIfTrue="1" operator="equal">
      <formula>1</formula>
    </cfRule>
    <cfRule type="cellIs" dxfId="78" priority="26" stopIfTrue="1" operator="between">
      <formula>0.9</formula>
      <formula>1</formula>
    </cfRule>
  </conditionalFormatting>
  <conditionalFormatting sqref="M163:N163">
    <cfRule type="cellIs" dxfId="77" priority="41" stopIfTrue="1" operator="equal">
      <formula>1</formula>
    </cfRule>
    <cfRule type="cellIs" dxfId="76" priority="42" stopIfTrue="1" operator="between">
      <formula>0.9</formula>
      <formula>1</formula>
    </cfRule>
  </conditionalFormatting>
  <conditionalFormatting sqref="P91:P92">
    <cfRule type="cellIs" dxfId="75" priority="7" stopIfTrue="1" operator="equal">
      <formula>1</formula>
    </cfRule>
    <cfRule type="cellIs" dxfId="74" priority="8" stopIfTrue="1" operator="between">
      <formula>0.9</formula>
      <formula>1</formula>
    </cfRule>
  </conditionalFormatting>
  <conditionalFormatting sqref="P113:P161">
    <cfRule type="cellIs" dxfId="73" priority="11" stopIfTrue="1" operator="equal">
      <formula>1</formula>
    </cfRule>
    <cfRule type="cellIs" dxfId="72" priority="12" stopIfTrue="1" operator="between">
      <formula>0.9</formula>
      <formula>1</formula>
    </cfRule>
  </conditionalFormatting>
  <conditionalFormatting sqref="P164:P183">
    <cfRule type="cellIs" dxfId="71" priority="23" stopIfTrue="1" operator="equal">
      <formula>1</formula>
    </cfRule>
    <cfRule type="cellIs" dxfId="70" priority="24" stopIfTrue="1" operator="between">
      <formula>0.9</formula>
      <formula>1</formula>
    </cfRule>
  </conditionalFormatting>
  <conditionalFormatting sqref="P162:Q163">
    <cfRule type="cellIs" dxfId="69" priority="33" stopIfTrue="1" operator="equal">
      <formula>1</formula>
    </cfRule>
    <cfRule type="cellIs" dxfId="68" priority="34" stopIfTrue="1" operator="between">
      <formula>0.9</formula>
      <formula>1</formula>
    </cfRule>
  </conditionalFormatting>
  <conditionalFormatting sqref="Q158">
    <cfRule type="cellIs" dxfId="67" priority="9" stopIfTrue="1" operator="equal">
      <formula>1</formula>
    </cfRule>
    <cfRule type="cellIs" dxfId="66" priority="10" stopIfTrue="1" operator="between">
      <formula>0.9</formula>
      <formula>1</formula>
    </cfRule>
  </conditionalFormatting>
  <conditionalFormatting sqref="S91:S92">
    <cfRule type="cellIs" dxfId="65" priority="5" stopIfTrue="1" operator="equal">
      <formula>1</formula>
    </cfRule>
    <cfRule type="cellIs" dxfId="64" priority="6" stopIfTrue="1" operator="between">
      <formula>0.9</formula>
      <formula>1</formula>
    </cfRule>
  </conditionalFormatting>
  <conditionalFormatting sqref="S113:S157 S159:S161">
    <cfRule type="cellIs" dxfId="63" priority="45" stopIfTrue="1" operator="equal">
      <formula>1</formula>
    </cfRule>
    <cfRule type="cellIs" dxfId="62" priority="46" stopIfTrue="1" operator="between">
      <formula>0.9</formula>
      <formula>1</formula>
    </cfRule>
  </conditionalFormatting>
  <conditionalFormatting sqref="S164:S183">
    <cfRule type="cellIs" dxfId="61" priority="21" stopIfTrue="1" operator="equal">
      <formula>1</formula>
    </cfRule>
    <cfRule type="cellIs" dxfId="60" priority="22" stopIfTrue="1" operator="between">
      <formula>0.9</formula>
      <formula>1</formula>
    </cfRule>
  </conditionalFormatting>
  <conditionalFormatting sqref="S158:T158">
    <cfRule type="cellIs" dxfId="59" priority="13" stopIfTrue="1" operator="equal">
      <formula>1</formula>
    </cfRule>
    <cfRule type="cellIs" dxfId="58" priority="14" stopIfTrue="1" operator="between">
      <formula>0.9</formula>
      <formula>1</formula>
    </cfRule>
  </conditionalFormatting>
  <conditionalFormatting sqref="S162:T163">
    <cfRule type="cellIs" dxfId="57" priority="31" stopIfTrue="1" operator="equal">
      <formula>1</formula>
    </cfRule>
    <cfRule type="cellIs" dxfId="56" priority="32" stopIfTrue="1" operator="between">
      <formula>0.9</formula>
      <formula>1</formula>
    </cfRule>
  </conditionalFormatting>
  <conditionalFormatting sqref="Y91:Y92">
    <cfRule type="cellIs" dxfId="55" priority="3" stopIfTrue="1" operator="equal">
      <formula>1</formula>
    </cfRule>
    <cfRule type="cellIs" dxfId="54" priority="4" stopIfTrue="1" operator="between">
      <formula>0.9</formula>
      <formula>1</formula>
    </cfRule>
  </conditionalFormatting>
  <conditionalFormatting sqref="Y113:Y157 Y159:Y161">
    <cfRule type="cellIs" dxfId="53" priority="43" stopIfTrue="1" operator="equal">
      <formula>1</formula>
    </cfRule>
    <cfRule type="cellIs" dxfId="52" priority="44" stopIfTrue="1" operator="between">
      <formula>0.9</formula>
      <formula>1</formula>
    </cfRule>
  </conditionalFormatting>
  <conditionalFormatting sqref="Y164:Y183">
    <cfRule type="cellIs" dxfId="51" priority="19" stopIfTrue="1" operator="equal">
      <formula>1</formula>
    </cfRule>
    <cfRule type="cellIs" dxfId="50" priority="20" stopIfTrue="1" operator="between">
      <formula>0.9</formula>
      <formula>1</formula>
    </cfRule>
  </conditionalFormatting>
  <conditionalFormatting sqref="Y158:Z158">
    <cfRule type="cellIs" dxfId="49" priority="15" stopIfTrue="1" operator="equal">
      <formula>1</formula>
    </cfRule>
    <cfRule type="cellIs" dxfId="48" priority="16" stopIfTrue="1" operator="between">
      <formula>0.9</formula>
      <formula>1</formula>
    </cfRule>
  </conditionalFormatting>
  <conditionalFormatting sqref="Y162:Z163">
    <cfRule type="cellIs" dxfId="47" priority="29" stopIfTrue="1" operator="equal">
      <formula>1</formula>
    </cfRule>
    <cfRule type="cellIs" dxfId="46" priority="30" stopIfTrue="1" operator="between">
      <formula>0.9</formula>
      <formula>1</formula>
    </cfRule>
  </conditionalFormatting>
  <conditionalFormatting sqref="AB91:AC92">
    <cfRule type="cellIs" dxfId="45" priority="1" stopIfTrue="1" operator="equal">
      <formula>1</formula>
    </cfRule>
    <cfRule type="cellIs" dxfId="44" priority="2" stopIfTrue="1" operator="between">
      <formula>0.9</formula>
      <formula>1</formula>
    </cfRule>
  </conditionalFormatting>
  <conditionalFormatting sqref="AF96:AF103">
    <cfRule type="cellIs" dxfId="43" priority="35" stopIfTrue="1" operator="equal">
      <formula>1</formula>
    </cfRule>
    <cfRule type="cellIs" dxfId="42" priority="36" stopIfTrue="1" operator="between">
      <formula>0.9</formula>
      <formula>1</formula>
    </cfRule>
  </conditionalFormatting>
  <conditionalFormatting sqref="AF113:AF161 AG158">
    <cfRule type="cellIs" dxfId="41" priority="39" stopIfTrue="1" operator="equal">
      <formula>1</formula>
    </cfRule>
    <cfRule type="cellIs" dxfId="40" priority="40" stopIfTrue="1" operator="between">
      <formula>0.9</formula>
      <formula>1</formula>
    </cfRule>
  </conditionalFormatting>
  <conditionalFormatting sqref="AF164:AF183">
    <cfRule type="cellIs" dxfId="39" priority="17" stopIfTrue="1" operator="equal">
      <formula>1</formula>
    </cfRule>
    <cfRule type="cellIs" dxfId="38" priority="18" stopIfTrue="1" operator="between">
      <formula>0.9</formula>
      <formula>1</formula>
    </cfRule>
  </conditionalFormatting>
  <conditionalFormatting sqref="AF162:AG163">
    <cfRule type="cellIs" dxfId="37" priority="27" stopIfTrue="1" operator="equal">
      <formula>1</formula>
    </cfRule>
    <cfRule type="cellIs" dxfId="36" priority="28" stopIfTrue="1" operator="between">
      <formula>0.9</formula>
      <formula>1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CA7C-6671-4019-9960-C36579940DF1}">
  <sheetPr>
    <tabColor rgb="FFFFC000"/>
  </sheetPr>
  <dimension ref="A1:AE78"/>
  <sheetViews>
    <sheetView topLeftCell="A39" zoomScale="55" zoomScaleNormal="55" workbookViewId="0">
      <selection activeCell="AB82" sqref="AB82"/>
    </sheetView>
  </sheetViews>
  <sheetFormatPr defaultColWidth="9" defaultRowHeight="15.6"/>
  <cols>
    <col min="1" max="1" width="13.44140625" style="1954" bestFit="1" customWidth="1"/>
    <col min="2" max="2" width="39.77734375" style="1954" bestFit="1" customWidth="1"/>
    <col min="3" max="3" width="17.88671875" style="1954" hidden="1" customWidth="1"/>
    <col min="4" max="4" width="19.33203125" style="1954" hidden="1" customWidth="1"/>
    <col min="5" max="7" width="20.6640625" style="1954" hidden="1" customWidth="1"/>
    <col min="8" max="8" width="17" style="1954" customWidth="1"/>
    <col min="9" max="10" width="19.109375" style="1954" customWidth="1"/>
    <col min="11" max="11" width="21.21875" style="1954" customWidth="1"/>
    <col min="12" max="12" width="17.21875" style="1954" bestFit="1" customWidth="1"/>
    <col min="13" max="13" width="9.44140625" style="1954" customWidth="1"/>
    <col min="14" max="24" width="11.21875" style="1954" bestFit="1" customWidth="1"/>
    <col min="25" max="26" width="12.44140625" style="1954" bestFit="1" customWidth="1"/>
    <col min="27" max="31" width="13.21875" style="1954" customWidth="1"/>
    <col min="32" max="16384" width="9" style="1954"/>
  </cols>
  <sheetData>
    <row r="1" spans="1:31" ht="16.2" thickBot="1">
      <c r="A1" s="2431" t="s">
        <v>2489</v>
      </c>
      <c r="B1" s="2431" t="s">
        <v>2490</v>
      </c>
      <c r="C1" s="2431" t="s">
        <v>1981</v>
      </c>
      <c r="D1" s="2431" t="s">
        <v>1603</v>
      </c>
      <c r="E1" s="2431" t="s">
        <v>1604</v>
      </c>
      <c r="F1" s="2431" t="s">
        <v>1605</v>
      </c>
      <c r="G1" s="2431" t="s">
        <v>1606</v>
      </c>
      <c r="H1" s="2431" t="s">
        <v>1607</v>
      </c>
      <c r="I1" s="2431" t="s">
        <v>1608</v>
      </c>
      <c r="J1" s="2431" t="s">
        <v>1609</v>
      </c>
      <c r="K1" s="2431" t="s">
        <v>1610</v>
      </c>
      <c r="L1" s="2431" t="s">
        <v>1611</v>
      </c>
      <c r="M1" s="2431" t="s">
        <v>1612</v>
      </c>
      <c r="N1" s="2431" t="s">
        <v>1613</v>
      </c>
      <c r="O1" s="2431" t="s">
        <v>1614</v>
      </c>
      <c r="P1" s="2431" t="s">
        <v>1615</v>
      </c>
      <c r="Q1" s="2431" t="s">
        <v>1616</v>
      </c>
      <c r="R1" s="2431" t="s">
        <v>1617</v>
      </c>
      <c r="S1" s="2431" t="s">
        <v>1618</v>
      </c>
      <c r="T1" s="2431" t="s">
        <v>1619</v>
      </c>
      <c r="U1" s="2431" t="s">
        <v>1620</v>
      </c>
      <c r="V1" s="2431" t="s">
        <v>1621</v>
      </c>
      <c r="W1" s="2431" t="s">
        <v>1622</v>
      </c>
      <c r="X1" s="2431" t="s">
        <v>1623</v>
      </c>
      <c r="Y1" s="2431" t="s">
        <v>1624</v>
      </c>
      <c r="Z1" s="2431" t="s">
        <v>1625</v>
      </c>
      <c r="AA1" s="2431" t="s">
        <v>1626</v>
      </c>
      <c r="AB1" s="2431" t="s">
        <v>1627</v>
      </c>
      <c r="AC1" s="2431" t="s">
        <v>1628</v>
      </c>
      <c r="AD1" s="2431" t="s">
        <v>1629</v>
      </c>
      <c r="AE1" s="2431" t="s">
        <v>1630</v>
      </c>
    </row>
    <row r="2" spans="1:31" ht="37.5" customHeight="1" thickBot="1">
      <c r="A2" s="2335">
        <v>46295</v>
      </c>
      <c r="B2" s="2336" t="s">
        <v>2442</v>
      </c>
      <c r="C2" s="2707" t="s">
        <v>2443</v>
      </c>
      <c r="D2" s="2708"/>
      <c r="E2" s="2708"/>
      <c r="F2" s="2708"/>
      <c r="G2" s="2708"/>
      <c r="H2" s="2708"/>
      <c r="I2" s="2709"/>
      <c r="J2" s="2710" t="s">
        <v>2444</v>
      </c>
      <c r="K2" s="2711"/>
      <c r="L2" s="2711"/>
      <c r="M2" s="2712"/>
      <c r="N2" s="2704" t="s">
        <v>2445</v>
      </c>
      <c r="O2" s="2704"/>
      <c r="P2" s="2704"/>
      <c r="Q2" s="2704"/>
      <c r="R2" s="2704"/>
      <c r="S2" s="2704"/>
      <c r="T2" s="2704"/>
      <c r="U2" s="2704"/>
      <c r="V2" s="2704"/>
      <c r="W2" s="2704"/>
      <c r="X2" s="2704"/>
      <c r="Y2" s="2704"/>
      <c r="Z2" s="2705"/>
      <c r="AA2" s="2706" t="s">
        <v>2446</v>
      </c>
      <c r="AB2" s="2702" t="s">
        <v>2447</v>
      </c>
      <c r="AC2" s="2702" t="s">
        <v>2448</v>
      </c>
      <c r="AD2" s="2702" t="s">
        <v>2449</v>
      </c>
      <c r="AE2" s="2702" t="s">
        <v>2450</v>
      </c>
    </row>
    <row r="3" spans="1:31" s="2350" customFormat="1" ht="59.25" customHeight="1" thickBot="1">
      <c r="A3" s="2337" t="s">
        <v>991</v>
      </c>
      <c r="B3" s="2338" t="s">
        <v>992</v>
      </c>
      <c r="C3" s="2339" t="s">
        <v>2451</v>
      </c>
      <c r="D3" s="2340" t="s">
        <v>2452</v>
      </c>
      <c r="E3" s="2341" t="s">
        <v>2453</v>
      </c>
      <c r="F3" s="2341" t="s">
        <v>2454</v>
      </c>
      <c r="G3" s="2341" t="s">
        <v>2455</v>
      </c>
      <c r="H3" s="2342" t="s">
        <v>2456</v>
      </c>
      <c r="I3" s="2343" t="s">
        <v>2457</v>
      </c>
      <c r="J3" s="2344" t="s">
        <v>2458</v>
      </c>
      <c r="K3" s="2342" t="s">
        <v>2459</v>
      </c>
      <c r="L3" s="2345" t="s">
        <v>2460</v>
      </c>
      <c r="M3" s="2346" t="s">
        <v>1306</v>
      </c>
      <c r="N3" s="2347" t="s">
        <v>2461</v>
      </c>
      <c r="O3" s="2348" t="s">
        <v>2462</v>
      </c>
      <c r="P3" s="2348" t="s">
        <v>2463</v>
      </c>
      <c r="Q3" s="2348" t="s">
        <v>2464</v>
      </c>
      <c r="R3" s="2348" t="s">
        <v>2465</v>
      </c>
      <c r="S3" s="2348" t="s">
        <v>2466</v>
      </c>
      <c r="T3" s="2348" t="s">
        <v>2467</v>
      </c>
      <c r="U3" s="2348" t="s">
        <v>2468</v>
      </c>
      <c r="V3" s="2348" t="s">
        <v>2469</v>
      </c>
      <c r="W3" s="2348" t="s">
        <v>2470</v>
      </c>
      <c r="X3" s="2348" t="s">
        <v>2471</v>
      </c>
      <c r="Y3" s="2348" t="s">
        <v>2472</v>
      </c>
      <c r="Z3" s="2349" t="s">
        <v>2473</v>
      </c>
      <c r="AA3" s="2703"/>
      <c r="AB3" s="2703"/>
      <c r="AC3" s="2703"/>
      <c r="AD3" s="2703"/>
      <c r="AE3" s="2703"/>
    </row>
    <row r="4" spans="1:31">
      <c r="A4" s="2351" t="s">
        <v>1029</v>
      </c>
      <c r="B4" s="2352" t="s">
        <v>1030</v>
      </c>
      <c r="C4" s="2353">
        <v>1547393</v>
      </c>
      <c r="D4" s="2354">
        <v>0</v>
      </c>
      <c r="E4" s="2355" t="s">
        <v>1275</v>
      </c>
      <c r="F4" s="2355" t="s">
        <v>1275</v>
      </c>
      <c r="G4" s="2355" t="s">
        <v>1275</v>
      </c>
      <c r="H4" s="2355">
        <v>85000</v>
      </c>
      <c r="I4" s="2356">
        <v>1632393</v>
      </c>
      <c r="J4" s="2357">
        <v>646676</v>
      </c>
      <c r="K4" s="2355">
        <v>-985717</v>
      </c>
      <c r="L4" s="2355">
        <v>-985717</v>
      </c>
      <c r="M4" s="2356">
        <v>0</v>
      </c>
      <c r="N4" s="2357">
        <v>2966</v>
      </c>
      <c r="O4" s="2355">
        <v>2967</v>
      </c>
      <c r="P4" s="2355">
        <v>2966</v>
      </c>
      <c r="Q4" s="2355">
        <v>98868</v>
      </c>
      <c r="R4" s="2355">
        <v>98868</v>
      </c>
      <c r="S4" s="2355">
        <v>98868</v>
      </c>
      <c r="T4" s="2355">
        <v>101835</v>
      </c>
      <c r="U4" s="2355">
        <v>131494</v>
      </c>
      <c r="V4" s="2355">
        <v>131495</v>
      </c>
      <c r="W4" s="2355">
        <v>131495</v>
      </c>
      <c r="X4" s="2355">
        <v>82061</v>
      </c>
      <c r="Y4" s="2355">
        <v>101834</v>
      </c>
      <c r="Z4" s="2358">
        <v>985717</v>
      </c>
      <c r="AA4" s="2359">
        <v>0</v>
      </c>
      <c r="AB4" s="2359">
        <v>0</v>
      </c>
      <c r="AC4" s="2359">
        <v>0</v>
      </c>
      <c r="AD4" s="2359">
        <v>0</v>
      </c>
      <c r="AE4" s="2359">
        <v>0</v>
      </c>
    </row>
    <row r="5" spans="1:31">
      <c r="A5" s="1628" t="s">
        <v>622</v>
      </c>
      <c r="B5" s="2360" t="s">
        <v>1033</v>
      </c>
      <c r="C5" s="2353">
        <v>16428000</v>
      </c>
      <c r="D5" s="2354">
        <v>0</v>
      </c>
      <c r="E5" s="2355" t="s">
        <v>1275</v>
      </c>
      <c r="F5" s="2355" t="s">
        <v>1275</v>
      </c>
      <c r="G5" s="2355" t="s">
        <v>1275</v>
      </c>
      <c r="H5" s="2355">
        <v>525000</v>
      </c>
      <c r="I5" s="2356">
        <v>17223000</v>
      </c>
      <c r="J5" s="2357">
        <v>15400125</v>
      </c>
      <c r="K5" s="2355">
        <v>-1822875</v>
      </c>
      <c r="L5" s="2355">
        <v>-1822875</v>
      </c>
      <c r="M5" s="2356">
        <v>0</v>
      </c>
      <c r="N5" s="2357">
        <v>225688</v>
      </c>
      <c r="O5" s="2355">
        <v>70453</v>
      </c>
      <c r="P5" s="2355">
        <v>73980</v>
      </c>
      <c r="Q5" s="2355">
        <v>75745</v>
      </c>
      <c r="R5" s="2355">
        <v>75746</v>
      </c>
      <c r="S5" s="2355">
        <v>103598</v>
      </c>
      <c r="T5" s="2355">
        <v>188641</v>
      </c>
      <c r="U5" s="2355">
        <v>38700</v>
      </c>
      <c r="V5" s="2355">
        <v>38700</v>
      </c>
      <c r="W5" s="2355">
        <v>38700</v>
      </c>
      <c r="X5" s="2355">
        <v>38700</v>
      </c>
      <c r="Y5" s="2355">
        <v>68317</v>
      </c>
      <c r="Z5" s="2358">
        <v>1036968</v>
      </c>
      <c r="AA5" s="2359">
        <v>1055992</v>
      </c>
      <c r="AB5" s="2359">
        <v>7286915</v>
      </c>
      <c r="AC5" s="2359">
        <v>0</v>
      </c>
      <c r="AD5" s="2359">
        <v>0</v>
      </c>
      <c r="AE5" s="2359">
        <v>0</v>
      </c>
    </row>
    <row r="6" spans="1:31" ht="16.2">
      <c r="A6" s="1628" t="s">
        <v>1035</v>
      </c>
      <c r="B6" s="2360" t="s">
        <v>1036</v>
      </c>
      <c r="C6" s="2353">
        <v>6771518</v>
      </c>
      <c r="D6" s="2354">
        <v>1200000</v>
      </c>
      <c r="E6" s="2355" t="s">
        <v>1275</v>
      </c>
      <c r="F6" s="2355" t="s">
        <v>1275</v>
      </c>
      <c r="G6" s="2355" t="s">
        <v>1275</v>
      </c>
      <c r="H6" s="2355">
        <v>150000</v>
      </c>
      <c r="I6" s="2356">
        <v>8421518</v>
      </c>
      <c r="J6" s="2357">
        <v>6723930</v>
      </c>
      <c r="K6" s="2355">
        <v>-1697588</v>
      </c>
      <c r="L6" s="2355">
        <v>-1697588</v>
      </c>
      <c r="M6" s="2356">
        <v>0</v>
      </c>
      <c r="N6" s="2357">
        <v>1118433</v>
      </c>
      <c r="O6" s="2355">
        <v>35262</v>
      </c>
      <c r="P6" s="2355">
        <v>83347</v>
      </c>
      <c r="Q6" s="2355">
        <v>35262</v>
      </c>
      <c r="R6" s="2355">
        <v>35262</v>
      </c>
      <c r="S6" s="2355">
        <v>110258</v>
      </c>
      <c r="T6" s="2355">
        <v>35262</v>
      </c>
      <c r="U6" s="2355">
        <v>35262</v>
      </c>
      <c r="V6" s="2355">
        <v>83347</v>
      </c>
      <c r="W6" s="2355">
        <v>35262</v>
      </c>
      <c r="X6" s="2355">
        <v>35261</v>
      </c>
      <c r="Y6" s="2355">
        <v>110259</v>
      </c>
      <c r="Z6" s="2358">
        <v>1752477</v>
      </c>
      <c r="AA6" s="2359">
        <v>2904143</v>
      </c>
      <c r="AB6" s="2359">
        <v>0</v>
      </c>
      <c r="AC6" s="2359">
        <v>0</v>
      </c>
      <c r="AD6" s="2359">
        <v>0</v>
      </c>
      <c r="AE6" s="2359">
        <v>0</v>
      </c>
    </row>
    <row r="7" spans="1:31">
      <c r="A7" s="1628" t="s">
        <v>1040</v>
      </c>
      <c r="B7" s="2360" t="s">
        <v>1041</v>
      </c>
      <c r="C7" s="2353">
        <v>1950000</v>
      </c>
      <c r="D7" s="2354">
        <v>0</v>
      </c>
      <c r="E7" s="2355" t="s">
        <v>1275</v>
      </c>
      <c r="F7" s="2355" t="s">
        <v>1275</v>
      </c>
      <c r="G7" s="2355" t="s">
        <v>1275</v>
      </c>
      <c r="H7" s="2355">
        <v>0</v>
      </c>
      <c r="I7" s="2356">
        <v>1950000</v>
      </c>
      <c r="J7" s="2357">
        <v>1950000</v>
      </c>
      <c r="K7" s="2355">
        <v>0</v>
      </c>
      <c r="L7" s="2355">
        <v>0</v>
      </c>
      <c r="M7" s="2356">
        <v>0</v>
      </c>
      <c r="N7" s="2357">
        <v>0</v>
      </c>
      <c r="O7" s="2355">
        <v>0</v>
      </c>
      <c r="P7" s="2355">
        <v>0</v>
      </c>
      <c r="Q7" s="2355">
        <v>0</v>
      </c>
      <c r="R7" s="2355">
        <v>0</v>
      </c>
      <c r="S7" s="2355">
        <v>0</v>
      </c>
      <c r="T7" s="2355">
        <v>0</v>
      </c>
      <c r="U7" s="2355">
        <v>0</v>
      </c>
      <c r="V7" s="2355">
        <v>0</v>
      </c>
      <c r="W7" s="2355">
        <v>0</v>
      </c>
      <c r="X7" s="2355">
        <v>0</v>
      </c>
      <c r="Y7" s="2355">
        <v>0</v>
      </c>
      <c r="Z7" s="2358">
        <v>0</v>
      </c>
      <c r="AA7" s="2359">
        <v>0</v>
      </c>
      <c r="AB7" s="2359">
        <v>0</v>
      </c>
      <c r="AC7" s="2359">
        <v>0</v>
      </c>
      <c r="AD7" s="2359">
        <v>0</v>
      </c>
      <c r="AE7" s="2359">
        <v>0</v>
      </c>
    </row>
    <row r="8" spans="1:31">
      <c r="A8" s="1628" t="s">
        <v>1043</v>
      </c>
      <c r="B8" s="2360" t="s">
        <v>1044</v>
      </c>
      <c r="C8" s="2353">
        <v>10350000</v>
      </c>
      <c r="D8" s="2354">
        <v>1191000</v>
      </c>
      <c r="E8" s="2355" t="s">
        <v>1275</v>
      </c>
      <c r="F8" s="2355" t="s">
        <v>1275</v>
      </c>
      <c r="G8" s="2355" t="s">
        <v>1275</v>
      </c>
      <c r="H8" s="2355">
        <v>30000</v>
      </c>
      <c r="I8" s="2356">
        <v>11934000</v>
      </c>
      <c r="J8" s="2357">
        <v>9402387</v>
      </c>
      <c r="K8" s="2355">
        <v>-2531613</v>
      </c>
      <c r="L8" s="2355">
        <v>-2531613</v>
      </c>
      <c r="M8" s="2356">
        <v>0</v>
      </c>
      <c r="N8" s="2357">
        <v>76942</v>
      </c>
      <c r="O8" s="2355">
        <v>50383</v>
      </c>
      <c r="P8" s="2355">
        <v>30462</v>
      </c>
      <c r="Q8" s="2355">
        <v>30462</v>
      </c>
      <c r="R8" s="2355">
        <v>103505</v>
      </c>
      <c r="S8" s="2355">
        <v>92601</v>
      </c>
      <c r="T8" s="2355">
        <v>70303</v>
      </c>
      <c r="U8" s="2355">
        <v>37103</v>
      </c>
      <c r="V8" s="2355">
        <v>30462</v>
      </c>
      <c r="W8" s="2355">
        <v>33118</v>
      </c>
      <c r="X8" s="2355">
        <v>47727</v>
      </c>
      <c r="Y8" s="2355">
        <v>70024</v>
      </c>
      <c r="Z8" s="2358">
        <v>673092</v>
      </c>
      <c r="AA8" s="2359">
        <v>679285</v>
      </c>
      <c r="AB8" s="2359">
        <v>598791</v>
      </c>
      <c r="AC8" s="2359">
        <v>604112</v>
      </c>
      <c r="AD8" s="2359">
        <v>791228</v>
      </c>
      <c r="AE8" s="2359">
        <v>5251105</v>
      </c>
    </row>
    <row r="9" spans="1:31" ht="16.2">
      <c r="A9" s="1628" t="s">
        <v>1047</v>
      </c>
      <c r="B9" s="2360" t="s">
        <v>1048</v>
      </c>
      <c r="C9" s="2353">
        <v>3615000</v>
      </c>
      <c r="D9" s="2354">
        <v>0</v>
      </c>
      <c r="E9" s="2355" t="s">
        <v>1275</v>
      </c>
      <c r="F9" s="2355" t="s">
        <v>1275</v>
      </c>
      <c r="G9" s="2355" t="s">
        <v>1275</v>
      </c>
      <c r="H9" s="2355">
        <v>765000</v>
      </c>
      <c r="I9" s="2356">
        <v>4380000</v>
      </c>
      <c r="J9" s="2357">
        <v>3490734</v>
      </c>
      <c r="K9" s="2355">
        <v>-889266</v>
      </c>
      <c r="L9" s="2355">
        <v>-889266</v>
      </c>
      <c r="M9" s="2356">
        <v>0</v>
      </c>
      <c r="N9" s="2357">
        <v>218939</v>
      </c>
      <c r="O9" s="2355">
        <v>118592</v>
      </c>
      <c r="P9" s="2355">
        <v>118592</v>
      </c>
      <c r="Q9" s="2355">
        <v>50173</v>
      </c>
      <c r="R9" s="2355">
        <v>50174</v>
      </c>
      <c r="S9" s="2355">
        <v>50173</v>
      </c>
      <c r="T9" s="2355">
        <v>72980</v>
      </c>
      <c r="U9" s="2355">
        <v>0</v>
      </c>
      <c r="V9" s="2355">
        <v>0</v>
      </c>
      <c r="W9" s="2355">
        <v>0</v>
      </c>
      <c r="X9" s="2355">
        <v>0</v>
      </c>
      <c r="Y9" s="2355">
        <v>209643</v>
      </c>
      <c r="Z9" s="2358">
        <v>889266</v>
      </c>
      <c r="AA9" s="2359">
        <v>0</v>
      </c>
      <c r="AB9" s="2359">
        <v>0</v>
      </c>
      <c r="AC9" s="2359">
        <v>0</v>
      </c>
      <c r="AD9" s="2359">
        <v>0</v>
      </c>
      <c r="AE9" s="2359">
        <v>0</v>
      </c>
    </row>
    <row r="10" spans="1:31" ht="16.2">
      <c r="A10" s="2361" t="s">
        <v>1051</v>
      </c>
      <c r="B10" s="2362" t="s">
        <v>2474</v>
      </c>
      <c r="C10" s="2353">
        <v>0</v>
      </c>
      <c r="D10" s="2354">
        <v>0</v>
      </c>
      <c r="E10" s="2355" t="s">
        <v>1275</v>
      </c>
      <c r="F10" s="2355" t="s">
        <v>1275</v>
      </c>
      <c r="G10" s="2355" t="s">
        <v>1275</v>
      </c>
      <c r="H10" s="2355">
        <v>867500</v>
      </c>
      <c r="I10" s="2356">
        <v>867500</v>
      </c>
      <c r="J10" s="2357">
        <v>1567877</v>
      </c>
      <c r="K10" s="2355">
        <v>700377</v>
      </c>
      <c r="L10" s="2355">
        <v>700377</v>
      </c>
      <c r="M10" s="2356">
        <v>0</v>
      </c>
      <c r="N10" s="2357">
        <v>0</v>
      </c>
      <c r="O10" s="2355">
        <v>0</v>
      </c>
      <c r="P10" s="2355">
        <v>207089</v>
      </c>
      <c r="Q10" s="2355">
        <v>48814</v>
      </c>
      <c r="R10" s="2355">
        <v>48814</v>
      </c>
      <c r="S10" s="2355">
        <v>86067</v>
      </c>
      <c r="T10" s="2355">
        <v>48814</v>
      </c>
      <c r="U10" s="2355">
        <v>48813</v>
      </c>
      <c r="V10" s="2355">
        <v>48814</v>
      </c>
      <c r="W10" s="2355">
        <v>48814</v>
      </c>
      <c r="X10" s="2355">
        <v>48814</v>
      </c>
      <c r="Y10" s="2355">
        <v>98485</v>
      </c>
      <c r="Z10" s="2358">
        <v>733338</v>
      </c>
      <c r="AA10" s="2359">
        <v>353987</v>
      </c>
      <c r="AB10" s="2359">
        <v>869798</v>
      </c>
      <c r="AC10" s="2359">
        <v>0</v>
      </c>
      <c r="AD10" s="2359">
        <v>0</v>
      </c>
      <c r="AE10" s="2359">
        <v>0</v>
      </c>
    </row>
    <row r="11" spans="1:31" ht="16.2">
      <c r="A11" s="1628" t="s">
        <v>1057</v>
      </c>
      <c r="B11" s="2363" t="s">
        <v>1058</v>
      </c>
      <c r="C11" s="2353">
        <v>4185000</v>
      </c>
      <c r="D11" s="2354">
        <v>1280000</v>
      </c>
      <c r="E11" s="2355" t="s">
        <v>1275</v>
      </c>
      <c r="F11" s="2355" t="s">
        <v>1275</v>
      </c>
      <c r="G11" s="2355" t="s">
        <v>1275</v>
      </c>
      <c r="H11" s="2355">
        <v>80000</v>
      </c>
      <c r="I11" s="2356">
        <v>5625000</v>
      </c>
      <c r="J11" s="2357">
        <v>5416753</v>
      </c>
      <c r="K11" s="2355">
        <v>-208247</v>
      </c>
      <c r="L11" s="2355">
        <v>-208247</v>
      </c>
      <c r="M11" s="2356">
        <v>0</v>
      </c>
      <c r="N11" s="2357">
        <v>131955</v>
      </c>
      <c r="O11" s="2355">
        <v>131955</v>
      </c>
      <c r="P11" s="2355">
        <v>131955</v>
      </c>
      <c r="Q11" s="2355">
        <v>131955</v>
      </c>
      <c r="R11" s="2355">
        <v>131955</v>
      </c>
      <c r="S11" s="2355">
        <v>154110</v>
      </c>
      <c r="T11" s="2355">
        <v>131955</v>
      </c>
      <c r="U11" s="2355">
        <v>131955</v>
      </c>
      <c r="V11" s="2355">
        <v>131955</v>
      </c>
      <c r="W11" s="2355">
        <v>131955</v>
      </c>
      <c r="X11" s="2355">
        <v>131955</v>
      </c>
      <c r="Y11" s="2355">
        <v>909587</v>
      </c>
      <c r="Z11" s="2358">
        <v>2383247</v>
      </c>
      <c r="AA11" s="2359">
        <v>0</v>
      </c>
      <c r="AB11" s="2359">
        <v>0</v>
      </c>
      <c r="AC11" s="2359">
        <v>0</v>
      </c>
      <c r="AD11" s="2359">
        <v>0</v>
      </c>
      <c r="AE11" s="2359">
        <v>0</v>
      </c>
    </row>
    <row r="12" spans="1:31">
      <c r="A12" s="1628" t="s">
        <v>1061</v>
      </c>
      <c r="B12" s="2363" t="s">
        <v>1062</v>
      </c>
      <c r="C12" s="2353">
        <v>6018000</v>
      </c>
      <c r="D12" s="2354">
        <v>850000</v>
      </c>
      <c r="E12" s="2355" t="s">
        <v>1275</v>
      </c>
      <c r="F12" s="2355" t="s">
        <v>1275</v>
      </c>
      <c r="G12" s="2355" t="s">
        <v>1275</v>
      </c>
      <c r="H12" s="2355">
        <v>525000</v>
      </c>
      <c r="I12" s="2356">
        <v>8613000</v>
      </c>
      <c r="J12" s="2357">
        <v>6050452</v>
      </c>
      <c r="K12" s="2355">
        <v>-2562548</v>
      </c>
      <c r="L12" s="2355">
        <v>-2562548</v>
      </c>
      <c r="M12" s="2356">
        <v>0</v>
      </c>
      <c r="N12" s="2357">
        <v>774240</v>
      </c>
      <c r="O12" s="2355">
        <v>800759</v>
      </c>
      <c r="P12" s="2355">
        <v>730042</v>
      </c>
      <c r="Q12" s="2355">
        <v>464853</v>
      </c>
      <c r="R12" s="2355">
        <v>75913</v>
      </c>
      <c r="S12" s="2355">
        <v>120436</v>
      </c>
      <c r="T12" s="2355">
        <v>75912</v>
      </c>
      <c r="U12" s="2355">
        <v>75912</v>
      </c>
      <c r="V12" s="2355">
        <v>75913</v>
      </c>
      <c r="W12" s="2355">
        <v>75912</v>
      </c>
      <c r="X12" s="2355">
        <v>75912</v>
      </c>
      <c r="Y12" s="2355">
        <v>297228</v>
      </c>
      <c r="Z12" s="2358">
        <v>3643032</v>
      </c>
      <c r="AA12" s="2359">
        <v>2817532</v>
      </c>
      <c r="AB12" s="2359">
        <v>1431289</v>
      </c>
      <c r="AC12" s="2359">
        <v>1428224</v>
      </c>
      <c r="AD12" s="2359">
        <v>2526528</v>
      </c>
      <c r="AE12" s="2359">
        <v>22116343</v>
      </c>
    </row>
    <row r="13" spans="1:31">
      <c r="A13" s="1628" t="s">
        <v>1065</v>
      </c>
      <c r="B13" s="2363" t="s">
        <v>1066</v>
      </c>
      <c r="C13" s="2353">
        <v>1486250</v>
      </c>
      <c r="D13" s="2354">
        <v>1402500</v>
      </c>
      <c r="E13" s="2355" t="s">
        <v>1275</v>
      </c>
      <c r="F13" s="2355" t="s">
        <v>1275</v>
      </c>
      <c r="G13" s="2355" t="s">
        <v>1275</v>
      </c>
      <c r="H13" s="2355">
        <v>112500</v>
      </c>
      <c r="I13" s="2356">
        <v>5231250</v>
      </c>
      <c r="J13" s="2357">
        <v>5437006</v>
      </c>
      <c r="K13" s="2355">
        <v>205756</v>
      </c>
      <c r="L13" s="2355">
        <v>205756</v>
      </c>
      <c r="M13" s="2356">
        <v>0</v>
      </c>
      <c r="N13" s="2357">
        <v>621193</v>
      </c>
      <c r="O13" s="2355">
        <v>480389</v>
      </c>
      <c r="P13" s="2355">
        <v>871120</v>
      </c>
      <c r="Q13" s="2355">
        <v>385344</v>
      </c>
      <c r="R13" s="2355">
        <v>367744</v>
      </c>
      <c r="S13" s="2355">
        <v>745371</v>
      </c>
      <c r="T13" s="2355">
        <v>269182</v>
      </c>
      <c r="U13" s="2355">
        <v>269181</v>
      </c>
      <c r="V13" s="2355">
        <v>142457</v>
      </c>
      <c r="W13" s="2355">
        <v>121334</v>
      </c>
      <c r="X13" s="2355">
        <v>121334</v>
      </c>
      <c r="Y13" s="2355">
        <v>250839</v>
      </c>
      <c r="Z13" s="2358">
        <v>4645488</v>
      </c>
      <c r="AA13" s="2359">
        <v>5953096</v>
      </c>
      <c r="AB13" s="2359">
        <v>6932212</v>
      </c>
      <c r="AC13" s="2359">
        <v>3376458</v>
      </c>
      <c r="AD13" s="2359">
        <v>1665897</v>
      </c>
      <c r="AE13" s="2359">
        <v>21467593</v>
      </c>
    </row>
    <row r="14" spans="1:31" ht="16.2">
      <c r="A14" s="2361" t="s">
        <v>1069</v>
      </c>
      <c r="B14" s="2364" t="s">
        <v>1070</v>
      </c>
      <c r="C14" s="2353">
        <v>3200000</v>
      </c>
      <c r="D14" s="2354">
        <v>800000</v>
      </c>
      <c r="E14" s="2355" t="s">
        <v>1275</v>
      </c>
      <c r="F14" s="2355" t="s">
        <v>1275</v>
      </c>
      <c r="G14" s="2355" t="s">
        <v>1275</v>
      </c>
      <c r="H14" s="2355">
        <v>0</v>
      </c>
      <c r="I14" s="2356">
        <v>4190000</v>
      </c>
      <c r="J14" s="2357">
        <v>3183632</v>
      </c>
      <c r="K14" s="2355">
        <v>-1006368</v>
      </c>
      <c r="L14" s="2355">
        <v>-1006368</v>
      </c>
      <c r="M14" s="2356">
        <v>0</v>
      </c>
      <c r="N14" s="2357">
        <v>0</v>
      </c>
      <c r="O14" s="2355">
        <v>0</v>
      </c>
      <c r="P14" s="2355">
        <v>0</v>
      </c>
      <c r="Q14" s="2355">
        <v>0</v>
      </c>
      <c r="R14" s="2355">
        <v>0</v>
      </c>
      <c r="S14" s="2355">
        <v>0</v>
      </c>
      <c r="T14" s="2355">
        <v>211755</v>
      </c>
      <c r="U14" s="2355">
        <v>211755</v>
      </c>
      <c r="V14" s="2355">
        <v>211756</v>
      </c>
      <c r="W14" s="2355">
        <v>211755</v>
      </c>
      <c r="X14" s="2355">
        <v>169405</v>
      </c>
      <c r="Y14" s="2355">
        <v>799942</v>
      </c>
      <c r="Z14" s="2358">
        <v>1816368</v>
      </c>
      <c r="AA14" s="2359">
        <v>0</v>
      </c>
      <c r="AB14" s="2359">
        <v>0</v>
      </c>
      <c r="AC14" s="2359">
        <v>0</v>
      </c>
      <c r="AD14" s="2359">
        <v>0</v>
      </c>
      <c r="AE14" s="2359">
        <v>0</v>
      </c>
    </row>
    <row r="15" spans="1:31">
      <c r="A15" s="2361" t="s">
        <v>1073</v>
      </c>
      <c r="B15" s="2364" t="s">
        <v>1074</v>
      </c>
      <c r="C15" s="2353">
        <v>2280000</v>
      </c>
      <c r="D15" s="2354">
        <v>0</v>
      </c>
      <c r="E15" s="2355" t="s">
        <v>1275</v>
      </c>
      <c r="F15" s="2355" t="s">
        <v>1275</v>
      </c>
      <c r="G15" s="2355" t="s">
        <v>1275</v>
      </c>
      <c r="H15" s="2355">
        <v>1140000</v>
      </c>
      <c r="I15" s="2356">
        <v>3420000</v>
      </c>
      <c r="J15" s="2357">
        <v>623164</v>
      </c>
      <c r="K15" s="2355">
        <v>-2796836</v>
      </c>
      <c r="L15" s="2355">
        <v>-2796836</v>
      </c>
      <c r="M15" s="2356">
        <v>0</v>
      </c>
      <c r="N15" s="2357">
        <v>55596</v>
      </c>
      <c r="O15" s="2355">
        <v>55596</v>
      </c>
      <c r="P15" s="2355">
        <v>173751</v>
      </c>
      <c r="Q15" s="2355">
        <v>55596</v>
      </c>
      <c r="R15" s="2355">
        <v>55596</v>
      </c>
      <c r="S15" s="2355">
        <v>83936</v>
      </c>
      <c r="T15" s="2355">
        <v>55596</v>
      </c>
      <c r="U15" s="2355">
        <v>55596</v>
      </c>
      <c r="V15" s="2355">
        <v>55596</v>
      </c>
      <c r="W15" s="2355">
        <v>55597</v>
      </c>
      <c r="X15" s="2355">
        <v>55596</v>
      </c>
      <c r="Y15" s="2355">
        <v>83936</v>
      </c>
      <c r="Z15" s="2358">
        <v>841988</v>
      </c>
      <c r="AA15" s="2359">
        <v>1067114</v>
      </c>
      <c r="AB15" s="2359">
        <v>1729119</v>
      </c>
      <c r="AC15" s="2359">
        <v>1648308</v>
      </c>
      <c r="AD15" s="2359">
        <v>964504</v>
      </c>
      <c r="AE15" s="2359">
        <v>4525803</v>
      </c>
    </row>
    <row r="16" spans="1:31" ht="16.2">
      <c r="A16" s="2361" t="s">
        <v>642</v>
      </c>
      <c r="B16" s="2364" t="s">
        <v>2475</v>
      </c>
      <c r="C16" s="2353">
        <v>0</v>
      </c>
      <c r="D16" s="2354">
        <v>2256000</v>
      </c>
      <c r="E16" s="2355" t="s">
        <v>1275</v>
      </c>
      <c r="F16" s="2355" t="s">
        <v>1275</v>
      </c>
      <c r="G16" s="2355" t="s">
        <v>1275</v>
      </c>
      <c r="H16" s="2355">
        <v>658000</v>
      </c>
      <c r="I16" s="2356">
        <v>2914000</v>
      </c>
      <c r="J16" s="2357">
        <v>3847729</v>
      </c>
      <c r="K16" s="2355">
        <v>933729</v>
      </c>
      <c r="L16" s="2355">
        <v>933729</v>
      </c>
      <c r="M16" s="2356">
        <v>0</v>
      </c>
      <c r="N16" s="2357">
        <v>239758</v>
      </c>
      <c r="O16" s="2355">
        <v>239759</v>
      </c>
      <c r="P16" s="2355">
        <v>239759</v>
      </c>
      <c r="Q16" s="2355">
        <v>239759</v>
      </c>
      <c r="R16" s="2355">
        <v>239759</v>
      </c>
      <c r="S16" s="2355">
        <v>74545</v>
      </c>
      <c r="T16" s="2355">
        <v>0</v>
      </c>
      <c r="U16" s="2355">
        <v>0</v>
      </c>
      <c r="V16" s="2355">
        <v>0</v>
      </c>
      <c r="W16" s="2355">
        <v>0</v>
      </c>
      <c r="X16" s="2355">
        <v>0</v>
      </c>
      <c r="Y16" s="2355">
        <v>4278932</v>
      </c>
      <c r="Z16" s="2358">
        <v>5552271</v>
      </c>
      <c r="AA16" s="2359">
        <v>0</v>
      </c>
      <c r="AB16" s="2359">
        <v>0</v>
      </c>
      <c r="AC16" s="2359">
        <v>0</v>
      </c>
      <c r="AD16" s="2359">
        <v>0</v>
      </c>
      <c r="AE16" s="2359">
        <v>0</v>
      </c>
    </row>
    <row r="17" spans="1:31" ht="16.2">
      <c r="A17" s="2361" t="s">
        <v>1080</v>
      </c>
      <c r="B17" s="2364" t="s">
        <v>1233</v>
      </c>
      <c r="C17" s="2353">
        <v>0</v>
      </c>
      <c r="D17" s="2354">
        <v>0</v>
      </c>
      <c r="E17" s="2355" t="s">
        <v>1275</v>
      </c>
      <c r="F17" s="2355" t="s">
        <v>1275</v>
      </c>
      <c r="G17" s="2355" t="s">
        <v>1275</v>
      </c>
      <c r="H17" s="2355">
        <v>0</v>
      </c>
      <c r="I17" s="2356">
        <v>1330000</v>
      </c>
      <c r="J17" s="2357">
        <v>1330000</v>
      </c>
      <c r="K17" s="2355">
        <v>0</v>
      </c>
      <c r="L17" s="2355">
        <v>0</v>
      </c>
      <c r="M17" s="2356">
        <v>0</v>
      </c>
      <c r="N17" s="2357">
        <v>0</v>
      </c>
      <c r="O17" s="2355">
        <v>0</v>
      </c>
      <c r="P17" s="2355">
        <v>0</v>
      </c>
      <c r="Q17" s="2355">
        <v>0</v>
      </c>
      <c r="R17" s="2355">
        <v>0</v>
      </c>
      <c r="S17" s="2355">
        <v>0</v>
      </c>
      <c r="T17" s="2355">
        <v>0</v>
      </c>
      <c r="U17" s="2355">
        <v>0</v>
      </c>
      <c r="V17" s="2355">
        <v>0</v>
      </c>
      <c r="W17" s="2355">
        <v>0</v>
      </c>
      <c r="X17" s="2355">
        <v>0</v>
      </c>
      <c r="Y17" s="2355">
        <v>0</v>
      </c>
      <c r="Z17" s="2358">
        <v>0</v>
      </c>
      <c r="AA17" s="2359">
        <v>0</v>
      </c>
      <c r="AB17" s="2359">
        <v>0</v>
      </c>
      <c r="AC17" s="2359">
        <v>0</v>
      </c>
      <c r="AD17" s="2359">
        <v>0</v>
      </c>
      <c r="AE17" s="2359">
        <v>0</v>
      </c>
    </row>
    <row r="18" spans="1:31" ht="16.2">
      <c r="A18" s="2361" t="s">
        <v>1082</v>
      </c>
      <c r="B18" s="2364" t="s">
        <v>2476</v>
      </c>
      <c r="C18" s="2353">
        <v>0</v>
      </c>
      <c r="D18" s="2354">
        <v>0</v>
      </c>
      <c r="E18" s="2355" t="s">
        <v>1275</v>
      </c>
      <c r="F18" s="2355" t="s">
        <v>1275</v>
      </c>
      <c r="G18" s="2355" t="s">
        <v>1275</v>
      </c>
      <c r="H18" s="2355">
        <v>2754000</v>
      </c>
      <c r="I18" s="2356">
        <v>2754000</v>
      </c>
      <c r="J18" s="2357">
        <v>35360</v>
      </c>
      <c r="K18" s="2355">
        <v>-2718640</v>
      </c>
      <c r="L18" s="2355">
        <v>-2718640</v>
      </c>
      <c r="M18" s="2356">
        <v>0</v>
      </c>
      <c r="N18" s="2357">
        <v>349409</v>
      </c>
      <c r="O18" s="2355">
        <v>349409</v>
      </c>
      <c r="P18" s="2355">
        <v>349408</v>
      </c>
      <c r="Q18" s="2355">
        <v>349409</v>
      </c>
      <c r="R18" s="2355">
        <v>349409</v>
      </c>
      <c r="S18" s="2355">
        <v>349409</v>
      </c>
      <c r="T18" s="2355">
        <v>349408</v>
      </c>
      <c r="U18" s="2355">
        <v>349409</v>
      </c>
      <c r="V18" s="2355">
        <v>349409</v>
      </c>
      <c r="W18" s="2355">
        <v>349408</v>
      </c>
      <c r="X18" s="2355">
        <v>349409</v>
      </c>
      <c r="Y18" s="2355">
        <v>393407</v>
      </c>
      <c r="Z18" s="2358">
        <v>4236903</v>
      </c>
      <c r="AA18" s="2359">
        <v>3711616</v>
      </c>
      <c r="AB18" s="2359">
        <v>1200126</v>
      </c>
      <c r="AC18" s="2359">
        <v>1259111</v>
      </c>
      <c r="AD18" s="2359">
        <v>3890467</v>
      </c>
      <c r="AE18" s="2359">
        <v>666417</v>
      </c>
    </row>
    <row r="19" spans="1:31">
      <c r="A19" s="2365" t="s">
        <v>1084</v>
      </c>
      <c r="B19" s="2366" t="s">
        <v>1085</v>
      </c>
      <c r="C19" s="2353">
        <v>0</v>
      </c>
      <c r="D19" s="2354">
        <v>0</v>
      </c>
      <c r="E19" s="2355" t="s">
        <v>1275</v>
      </c>
      <c r="F19" s="2355" t="s">
        <v>1275</v>
      </c>
      <c r="G19" s="2355" t="s">
        <v>1275</v>
      </c>
      <c r="H19" s="2355">
        <v>0</v>
      </c>
      <c r="I19" s="2356">
        <v>0</v>
      </c>
      <c r="J19" s="2357">
        <v>349009</v>
      </c>
      <c r="K19" s="2355">
        <v>349009</v>
      </c>
      <c r="L19" s="2355">
        <v>349009</v>
      </c>
      <c r="M19" s="2356">
        <v>0</v>
      </c>
      <c r="N19" s="2357">
        <v>177605</v>
      </c>
      <c r="O19" s="2355">
        <v>177605</v>
      </c>
      <c r="P19" s="2355">
        <v>355210</v>
      </c>
      <c r="Q19" s="2355">
        <v>355209</v>
      </c>
      <c r="R19" s="2355">
        <v>355210</v>
      </c>
      <c r="S19" s="2355">
        <v>355210</v>
      </c>
      <c r="T19" s="2355">
        <v>355210</v>
      </c>
      <c r="U19" s="2355">
        <v>355210</v>
      </c>
      <c r="V19" s="2355">
        <v>355209</v>
      </c>
      <c r="W19" s="2355">
        <v>355210</v>
      </c>
      <c r="X19" s="2355">
        <v>355210</v>
      </c>
      <c r="Y19" s="2355">
        <v>222334</v>
      </c>
      <c r="Z19" s="2358">
        <v>3774432</v>
      </c>
      <c r="AA19" s="2359">
        <v>3400387</v>
      </c>
      <c r="AB19" s="2359">
        <v>2395374</v>
      </c>
      <c r="AC19" s="2359">
        <v>2424714</v>
      </c>
      <c r="AD19" s="2359">
        <v>2451355</v>
      </c>
      <c r="AE19" s="2359">
        <v>44729</v>
      </c>
    </row>
    <row r="20" spans="1:31">
      <c r="A20" s="1628" t="s">
        <v>647</v>
      </c>
      <c r="B20" s="2360" t="s">
        <v>1088</v>
      </c>
      <c r="C20" s="2353">
        <v>0</v>
      </c>
      <c r="D20" s="2354">
        <v>0</v>
      </c>
      <c r="E20" s="2355" t="s">
        <v>1275</v>
      </c>
      <c r="F20" s="2355" t="s">
        <v>1275</v>
      </c>
      <c r="G20" s="2355" t="s">
        <v>1275</v>
      </c>
      <c r="H20" s="2355">
        <v>87500</v>
      </c>
      <c r="I20" s="2356">
        <v>787500</v>
      </c>
      <c r="J20" s="2357">
        <v>787500</v>
      </c>
      <c r="K20" s="2355">
        <v>0</v>
      </c>
      <c r="L20" s="2355">
        <v>0</v>
      </c>
      <c r="M20" s="2356">
        <v>0</v>
      </c>
      <c r="N20" s="2357">
        <v>29500</v>
      </c>
      <c r="O20" s="2355">
        <v>29500</v>
      </c>
      <c r="P20" s="2355">
        <v>29500</v>
      </c>
      <c r="Q20" s="2355">
        <v>29500</v>
      </c>
      <c r="R20" s="2355">
        <v>29500</v>
      </c>
      <c r="S20" s="2355">
        <v>29500</v>
      </c>
      <c r="T20" s="2355">
        <v>29500</v>
      </c>
      <c r="U20" s="2355">
        <v>29500</v>
      </c>
      <c r="V20" s="2355">
        <v>29500</v>
      </c>
      <c r="W20" s="2355">
        <v>29500</v>
      </c>
      <c r="X20" s="2355">
        <v>29500</v>
      </c>
      <c r="Y20" s="2355">
        <v>29500</v>
      </c>
      <c r="Z20" s="2358">
        <v>354000</v>
      </c>
      <c r="AA20" s="2359">
        <v>1050000</v>
      </c>
      <c r="AB20" s="2359">
        <v>1110000</v>
      </c>
      <c r="AC20" s="2359">
        <v>1597500</v>
      </c>
      <c r="AD20" s="2359">
        <v>0</v>
      </c>
      <c r="AE20" s="2359">
        <v>0</v>
      </c>
    </row>
    <row r="21" spans="1:31">
      <c r="A21" s="2361" t="s">
        <v>1092</v>
      </c>
      <c r="B21" s="2367" t="s">
        <v>1235</v>
      </c>
      <c r="C21" s="2353">
        <v>0</v>
      </c>
      <c r="D21" s="2354">
        <v>52500</v>
      </c>
      <c r="E21" s="2355" t="s">
        <v>1275</v>
      </c>
      <c r="F21" s="2355" t="s">
        <v>1275</v>
      </c>
      <c r="G21" s="2355" t="s">
        <v>1275</v>
      </c>
      <c r="H21" s="2355">
        <v>0</v>
      </c>
      <c r="I21" s="2356">
        <v>52500</v>
      </c>
      <c r="J21" s="2357">
        <v>52500</v>
      </c>
      <c r="K21" s="2355">
        <v>0</v>
      </c>
      <c r="L21" s="2355">
        <v>0</v>
      </c>
      <c r="M21" s="2356">
        <v>0</v>
      </c>
      <c r="N21" s="2357">
        <v>0</v>
      </c>
      <c r="O21" s="2355">
        <v>0</v>
      </c>
      <c r="P21" s="2355">
        <v>0</v>
      </c>
      <c r="Q21" s="2355">
        <v>0</v>
      </c>
      <c r="R21" s="2355">
        <v>0</v>
      </c>
      <c r="S21" s="2355">
        <v>0</v>
      </c>
      <c r="T21" s="2355">
        <v>0</v>
      </c>
      <c r="U21" s="2355">
        <v>0</v>
      </c>
      <c r="V21" s="2355">
        <v>0</v>
      </c>
      <c r="W21" s="2355">
        <v>0</v>
      </c>
      <c r="X21" s="2355">
        <v>0</v>
      </c>
      <c r="Y21" s="2355">
        <v>0</v>
      </c>
      <c r="Z21" s="2358">
        <v>0</v>
      </c>
      <c r="AA21" s="2359">
        <v>0</v>
      </c>
      <c r="AB21" s="2359">
        <v>0</v>
      </c>
      <c r="AC21" s="2359">
        <v>0</v>
      </c>
      <c r="AD21" s="2359">
        <v>0</v>
      </c>
      <c r="AE21" s="2359">
        <v>0</v>
      </c>
    </row>
    <row r="22" spans="1:31">
      <c r="A22" s="1628" t="s">
        <v>651</v>
      </c>
      <c r="B22" s="2360" t="s">
        <v>1094</v>
      </c>
      <c r="C22" s="2353">
        <v>0</v>
      </c>
      <c r="D22" s="2354">
        <v>0</v>
      </c>
      <c r="E22" s="2355" t="s">
        <v>1275</v>
      </c>
      <c r="F22" s="2355" t="s">
        <v>1275</v>
      </c>
      <c r="G22" s="2355" t="s">
        <v>1275</v>
      </c>
      <c r="H22" s="2355">
        <v>1200000</v>
      </c>
      <c r="I22" s="2356">
        <v>1200000</v>
      </c>
      <c r="J22" s="2357">
        <v>1200000</v>
      </c>
      <c r="K22" s="2355">
        <v>0</v>
      </c>
      <c r="L22" s="2355">
        <v>0</v>
      </c>
      <c r="M22" s="2356">
        <v>0</v>
      </c>
      <c r="N22" s="2357">
        <v>0</v>
      </c>
      <c r="O22" s="2355">
        <v>0</v>
      </c>
      <c r="P22" s="2355">
        <v>0</v>
      </c>
      <c r="Q22" s="2355">
        <v>0</v>
      </c>
      <c r="R22" s="2355">
        <v>0</v>
      </c>
      <c r="S22" s="2355">
        <v>0</v>
      </c>
      <c r="T22" s="2355">
        <v>0</v>
      </c>
      <c r="U22" s="2355">
        <v>0</v>
      </c>
      <c r="V22" s="2355">
        <v>0</v>
      </c>
      <c r="W22" s="2355">
        <v>0</v>
      </c>
      <c r="X22" s="2355">
        <v>0</v>
      </c>
      <c r="Y22" s="2355">
        <v>1200000</v>
      </c>
      <c r="Z22" s="2358">
        <v>1200000</v>
      </c>
      <c r="AA22" s="2359">
        <v>420000</v>
      </c>
      <c r="AB22" s="2359">
        <v>821500</v>
      </c>
      <c r="AC22" s="2359">
        <v>0</v>
      </c>
      <c r="AD22" s="2359">
        <v>0</v>
      </c>
      <c r="AE22" s="2359">
        <v>0</v>
      </c>
    </row>
    <row r="23" spans="1:31">
      <c r="A23" s="1628" t="s">
        <v>654</v>
      </c>
      <c r="B23" s="2360" t="s">
        <v>1432</v>
      </c>
      <c r="C23" s="2353">
        <v>0</v>
      </c>
      <c r="D23" s="2354">
        <v>0</v>
      </c>
      <c r="E23" s="2355" t="s">
        <v>1275</v>
      </c>
      <c r="F23" s="2355" t="s">
        <v>1275</v>
      </c>
      <c r="G23" s="2355" t="s">
        <v>1275</v>
      </c>
      <c r="H23" s="2355">
        <v>0</v>
      </c>
      <c r="I23" s="2356">
        <v>0</v>
      </c>
      <c r="J23" s="2357">
        <v>0</v>
      </c>
      <c r="K23" s="2355">
        <v>0</v>
      </c>
      <c r="L23" s="2355">
        <v>0</v>
      </c>
      <c r="M23" s="2356">
        <v>0</v>
      </c>
      <c r="N23" s="2357">
        <v>0</v>
      </c>
      <c r="O23" s="2355">
        <v>0</v>
      </c>
      <c r="P23" s="2355">
        <v>0</v>
      </c>
      <c r="Q23" s="2355">
        <v>0</v>
      </c>
      <c r="R23" s="2355">
        <v>0</v>
      </c>
      <c r="S23" s="2355">
        <v>0</v>
      </c>
      <c r="T23" s="2355">
        <v>0</v>
      </c>
      <c r="U23" s="2355">
        <v>0</v>
      </c>
      <c r="V23" s="2355">
        <v>0</v>
      </c>
      <c r="W23" s="2355">
        <v>0</v>
      </c>
      <c r="X23" s="2355">
        <v>0</v>
      </c>
      <c r="Y23" s="2355">
        <v>0</v>
      </c>
      <c r="Z23" s="2358">
        <v>0</v>
      </c>
      <c r="AA23" s="2359">
        <v>0</v>
      </c>
      <c r="AB23" s="2359">
        <v>0</v>
      </c>
      <c r="AC23" s="2359">
        <v>0</v>
      </c>
      <c r="AD23" s="2359">
        <v>0</v>
      </c>
      <c r="AE23" s="2359">
        <v>0</v>
      </c>
    </row>
    <row r="24" spans="1:31">
      <c r="A24" s="1628" t="s">
        <v>656</v>
      </c>
      <c r="B24" s="2360" t="s">
        <v>1432</v>
      </c>
      <c r="C24" s="2353">
        <v>0</v>
      </c>
      <c r="D24" s="2354">
        <v>0</v>
      </c>
      <c r="E24" s="2355" t="s">
        <v>1275</v>
      </c>
      <c r="F24" s="2355" t="s">
        <v>1275</v>
      </c>
      <c r="G24" s="2355" t="s">
        <v>1275</v>
      </c>
      <c r="H24" s="2355">
        <v>0</v>
      </c>
      <c r="I24" s="2356">
        <v>0</v>
      </c>
      <c r="J24" s="2357">
        <v>0</v>
      </c>
      <c r="K24" s="2355">
        <v>0</v>
      </c>
      <c r="L24" s="2355">
        <v>0</v>
      </c>
      <c r="M24" s="2356">
        <v>0</v>
      </c>
      <c r="N24" s="2357">
        <v>0</v>
      </c>
      <c r="O24" s="2355">
        <v>0</v>
      </c>
      <c r="P24" s="2355">
        <v>0</v>
      </c>
      <c r="Q24" s="2355">
        <v>0</v>
      </c>
      <c r="R24" s="2355">
        <v>0</v>
      </c>
      <c r="S24" s="2355">
        <v>0</v>
      </c>
      <c r="T24" s="2355">
        <v>0</v>
      </c>
      <c r="U24" s="2355">
        <v>0</v>
      </c>
      <c r="V24" s="2355">
        <v>0</v>
      </c>
      <c r="W24" s="2355">
        <v>0</v>
      </c>
      <c r="X24" s="2355">
        <v>0</v>
      </c>
      <c r="Y24" s="2355">
        <v>0</v>
      </c>
      <c r="Z24" s="2358">
        <v>0</v>
      </c>
      <c r="AA24" s="2359">
        <v>0</v>
      </c>
      <c r="AB24" s="2359">
        <v>0</v>
      </c>
      <c r="AC24" s="2359">
        <v>0</v>
      </c>
      <c r="AD24" s="2359">
        <v>0</v>
      </c>
      <c r="AE24" s="2359">
        <v>0</v>
      </c>
    </row>
    <row r="25" spans="1:31">
      <c r="A25" s="1628" t="s">
        <v>657</v>
      </c>
      <c r="B25" s="2360" t="s">
        <v>1806</v>
      </c>
      <c r="C25" s="2353">
        <v>0</v>
      </c>
      <c r="D25" s="2354">
        <v>0</v>
      </c>
      <c r="E25" s="2355" t="s">
        <v>1275</v>
      </c>
      <c r="F25" s="2355" t="s">
        <v>1275</v>
      </c>
      <c r="G25" s="2355" t="s">
        <v>1275</v>
      </c>
      <c r="H25" s="2355">
        <v>0</v>
      </c>
      <c r="I25" s="2356">
        <v>0</v>
      </c>
      <c r="J25" s="2357">
        <v>0</v>
      </c>
      <c r="K25" s="2355">
        <v>0</v>
      </c>
      <c r="L25" s="2355">
        <v>0</v>
      </c>
      <c r="M25" s="2356">
        <v>0</v>
      </c>
      <c r="N25" s="2357">
        <v>0</v>
      </c>
      <c r="O25" s="2355">
        <v>0</v>
      </c>
      <c r="P25" s="2355">
        <v>0</v>
      </c>
      <c r="Q25" s="2355">
        <v>178766</v>
      </c>
      <c r="R25" s="2355">
        <v>536298</v>
      </c>
      <c r="S25" s="2355">
        <v>536299</v>
      </c>
      <c r="T25" s="2355">
        <v>536298</v>
      </c>
      <c r="U25" s="2355">
        <v>0</v>
      </c>
      <c r="V25" s="2355">
        <v>0</v>
      </c>
      <c r="W25" s="2355">
        <v>2502725</v>
      </c>
      <c r="X25" s="2355">
        <v>1072596</v>
      </c>
      <c r="Y25" s="2355">
        <v>1072597</v>
      </c>
      <c r="Z25" s="2358">
        <v>6435579</v>
      </c>
      <c r="AA25" s="2359">
        <v>9382214</v>
      </c>
      <c r="AB25" s="2359">
        <v>9858389</v>
      </c>
      <c r="AC25" s="2359">
        <v>10361353</v>
      </c>
      <c r="AD25" s="2359">
        <v>10892904</v>
      </c>
      <c r="AE25" s="2359">
        <v>62069561</v>
      </c>
    </row>
    <row r="26" spans="1:31">
      <c r="A26" s="1628" t="s">
        <v>659</v>
      </c>
      <c r="B26" s="2360" t="s">
        <v>1807</v>
      </c>
      <c r="C26" s="2353">
        <v>0</v>
      </c>
      <c r="D26" s="2354">
        <v>0</v>
      </c>
      <c r="E26" s="2355" t="s">
        <v>1275</v>
      </c>
      <c r="F26" s="2355" t="s">
        <v>1275</v>
      </c>
      <c r="G26" s="2355" t="s">
        <v>1275</v>
      </c>
      <c r="H26" s="2355">
        <v>0</v>
      </c>
      <c r="I26" s="2356">
        <v>0</v>
      </c>
      <c r="J26" s="2357">
        <v>0</v>
      </c>
      <c r="K26" s="2355">
        <v>0</v>
      </c>
      <c r="L26" s="2355">
        <v>0</v>
      </c>
      <c r="M26" s="2356">
        <v>0</v>
      </c>
      <c r="N26" s="2357">
        <v>0</v>
      </c>
      <c r="O26" s="2355">
        <v>0</v>
      </c>
      <c r="P26" s="2355">
        <v>0</v>
      </c>
      <c r="Q26" s="2355">
        <v>0</v>
      </c>
      <c r="R26" s="2355">
        <v>0</v>
      </c>
      <c r="S26" s="2355">
        <v>0</v>
      </c>
      <c r="T26" s="2355">
        <v>0</v>
      </c>
      <c r="U26" s="2355">
        <v>0</v>
      </c>
      <c r="V26" s="2355">
        <v>0</v>
      </c>
      <c r="W26" s="2355">
        <v>0</v>
      </c>
      <c r="X26" s="2355">
        <v>0</v>
      </c>
      <c r="Y26" s="2355">
        <v>0</v>
      </c>
      <c r="Z26" s="2358">
        <v>0</v>
      </c>
      <c r="AA26" s="2359">
        <v>4866156</v>
      </c>
      <c r="AB26" s="2359">
        <v>5102541</v>
      </c>
      <c r="AC26" s="2359">
        <v>6351150</v>
      </c>
      <c r="AD26" s="2359">
        <v>6608200</v>
      </c>
      <c r="AE26" s="2359">
        <v>53571953</v>
      </c>
    </row>
    <row r="27" spans="1:31">
      <c r="A27" s="1628" t="s">
        <v>661</v>
      </c>
      <c r="B27" s="2360" t="s">
        <v>1808</v>
      </c>
      <c r="C27" s="2353">
        <v>0</v>
      </c>
      <c r="D27" s="2354">
        <v>0</v>
      </c>
      <c r="E27" s="2355" t="s">
        <v>1275</v>
      </c>
      <c r="F27" s="2355" t="s">
        <v>1275</v>
      </c>
      <c r="G27" s="2355" t="s">
        <v>1275</v>
      </c>
      <c r="H27" s="2355">
        <v>0</v>
      </c>
      <c r="I27" s="2356">
        <v>0</v>
      </c>
      <c r="J27" s="2357">
        <v>0</v>
      </c>
      <c r="K27" s="2355">
        <v>0</v>
      </c>
      <c r="L27" s="2355">
        <v>0</v>
      </c>
      <c r="M27" s="2356">
        <v>0</v>
      </c>
      <c r="N27" s="2357">
        <v>0</v>
      </c>
      <c r="O27" s="2355">
        <v>0</v>
      </c>
      <c r="P27" s="2355">
        <v>0</v>
      </c>
      <c r="Q27" s="2355">
        <v>0</v>
      </c>
      <c r="R27" s="2355">
        <v>0</v>
      </c>
      <c r="S27" s="2355">
        <v>0</v>
      </c>
      <c r="T27" s="2355">
        <v>0</v>
      </c>
      <c r="U27" s="2355">
        <v>0</v>
      </c>
      <c r="V27" s="2355">
        <v>0</v>
      </c>
      <c r="W27" s="2355">
        <v>0</v>
      </c>
      <c r="X27" s="2355">
        <v>0</v>
      </c>
      <c r="Y27" s="2355">
        <v>0</v>
      </c>
      <c r="Z27" s="2358">
        <v>0</v>
      </c>
      <c r="AA27" s="2359">
        <v>0</v>
      </c>
      <c r="AB27" s="2359">
        <v>3957802</v>
      </c>
      <c r="AC27" s="2359">
        <v>6324062</v>
      </c>
      <c r="AD27" s="2359">
        <v>6580017</v>
      </c>
      <c r="AE27" s="2359">
        <v>60138119</v>
      </c>
    </row>
    <row r="28" spans="1:31">
      <c r="A28" s="1628" t="s">
        <v>663</v>
      </c>
      <c r="B28" s="2360" t="s">
        <v>1809</v>
      </c>
      <c r="C28" s="2353">
        <v>0</v>
      </c>
      <c r="D28" s="2354">
        <v>0</v>
      </c>
      <c r="E28" s="2355" t="s">
        <v>1275</v>
      </c>
      <c r="F28" s="2355" t="s">
        <v>1275</v>
      </c>
      <c r="G28" s="2355" t="s">
        <v>1275</v>
      </c>
      <c r="H28" s="2355">
        <v>0</v>
      </c>
      <c r="I28" s="2356">
        <v>0</v>
      </c>
      <c r="J28" s="2357">
        <v>0</v>
      </c>
      <c r="K28" s="2355">
        <v>0</v>
      </c>
      <c r="L28" s="2355">
        <v>0</v>
      </c>
      <c r="M28" s="2356">
        <v>0</v>
      </c>
      <c r="N28" s="2357">
        <v>0</v>
      </c>
      <c r="O28" s="2355">
        <v>0</v>
      </c>
      <c r="P28" s="2355">
        <v>0</v>
      </c>
      <c r="Q28" s="2355">
        <v>0</v>
      </c>
      <c r="R28" s="2355">
        <v>0</v>
      </c>
      <c r="S28" s="2355">
        <v>0</v>
      </c>
      <c r="T28" s="2355">
        <v>0</v>
      </c>
      <c r="U28" s="2355">
        <v>0</v>
      </c>
      <c r="V28" s="2355">
        <v>0</v>
      </c>
      <c r="W28" s="2355">
        <v>0</v>
      </c>
      <c r="X28" s="2355">
        <v>0</v>
      </c>
      <c r="Y28" s="2355">
        <v>0</v>
      </c>
      <c r="Z28" s="2358">
        <v>0</v>
      </c>
      <c r="AA28" s="2359">
        <v>0</v>
      </c>
      <c r="AB28" s="2359">
        <v>0</v>
      </c>
      <c r="AC28" s="2359">
        <v>6209116</v>
      </c>
      <c r="AD28" s="2359">
        <v>6583986</v>
      </c>
      <c r="AE28" s="2359">
        <v>64706898</v>
      </c>
    </row>
    <row r="29" spans="1:31">
      <c r="A29" s="1628" t="s">
        <v>665</v>
      </c>
      <c r="B29" s="2360" t="s">
        <v>1810</v>
      </c>
      <c r="C29" s="2353">
        <v>0</v>
      </c>
      <c r="D29" s="2354">
        <v>0</v>
      </c>
      <c r="E29" s="2355" t="s">
        <v>1275</v>
      </c>
      <c r="F29" s="2355" t="s">
        <v>1275</v>
      </c>
      <c r="G29" s="2355" t="s">
        <v>1275</v>
      </c>
      <c r="H29" s="2355">
        <v>0</v>
      </c>
      <c r="I29" s="2356">
        <v>0</v>
      </c>
      <c r="J29" s="2357">
        <v>0</v>
      </c>
      <c r="K29" s="2355">
        <v>0</v>
      </c>
      <c r="L29" s="2355">
        <v>0</v>
      </c>
      <c r="M29" s="2356">
        <v>0</v>
      </c>
      <c r="N29" s="2357">
        <v>0</v>
      </c>
      <c r="O29" s="2355">
        <v>0</v>
      </c>
      <c r="P29" s="2355">
        <v>0</v>
      </c>
      <c r="Q29" s="2355">
        <v>0</v>
      </c>
      <c r="R29" s="2355">
        <v>0</v>
      </c>
      <c r="S29" s="2355">
        <v>0</v>
      </c>
      <c r="T29" s="2355">
        <v>0</v>
      </c>
      <c r="U29" s="2355">
        <v>0</v>
      </c>
      <c r="V29" s="2355">
        <v>0</v>
      </c>
      <c r="W29" s="2355">
        <v>0</v>
      </c>
      <c r="X29" s="2355">
        <v>0</v>
      </c>
      <c r="Y29" s="2355">
        <v>0</v>
      </c>
      <c r="Z29" s="2358">
        <v>0</v>
      </c>
      <c r="AA29" s="2359">
        <v>0</v>
      </c>
      <c r="AB29" s="2359">
        <v>0</v>
      </c>
      <c r="AC29" s="2359">
        <v>0</v>
      </c>
      <c r="AD29" s="2359">
        <v>5445221</v>
      </c>
      <c r="AE29" s="2359">
        <v>72554779</v>
      </c>
    </row>
    <row r="30" spans="1:31">
      <c r="A30" s="2368"/>
      <c r="B30" s="2369" t="s">
        <v>1098</v>
      </c>
      <c r="C30" s="2370">
        <v>57831161</v>
      </c>
      <c r="D30" s="2371">
        <v>9032000</v>
      </c>
      <c r="E30" s="2371">
        <v>0</v>
      </c>
      <c r="F30" s="2371">
        <v>0</v>
      </c>
      <c r="G30" s="2371">
        <v>0</v>
      </c>
      <c r="H30" s="2371">
        <v>8979500</v>
      </c>
      <c r="I30" s="2372">
        <v>82525661</v>
      </c>
      <c r="J30" s="2370">
        <v>67494834</v>
      </c>
      <c r="K30" s="2371">
        <v>-15030827</v>
      </c>
      <c r="L30" s="2371">
        <v>-15030827</v>
      </c>
      <c r="M30" s="2372">
        <v>0</v>
      </c>
      <c r="N30" s="2370">
        <v>4022224</v>
      </c>
      <c r="O30" s="2371">
        <v>2542629</v>
      </c>
      <c r="P30" s="2371">
        <v>3397181</v>
      </c>
      <c r="Q30" s="2371">
        <v>2529715</v>
      </c>
      <c r="R30" s="2371">
        <v>2553753</v>
      </c>
      <c r="S30" s="2371">
        <v>2990381</v>
      </c>
      <c r="T30" s="2371">
        <v>2532651</v>
      </c>
      <c r="U30" s="2371">
        <v>1769890</v>
      </c>
      <c r="V30" s="2371">
        <v>1684613</v>
      </c>
      <c r="W30" s="2371">
        <v>4120785</v>
      </c>
      <c r="X30" s="2371">
        <v>2613480</v>
      </c>
      <c r="Y30" s="2371">
        <v>10196864</v>
      </c>
      <c r="Z30" s="2373">
        <v>40954166</v>
      </c>
      <c r="AA30" s="2372">
        <v>37661522</v>
      </c>
      <c r="AB30" s="2372">
        <v>43293856</v>
      </c>
      <c r="AC30" s="2372">
        <v>41584108</v>
      </c>
      <c r="AD30" s="2372">
        <v>48400307</v>
      </c>
      <c r="AE30" s="2372">
        <v>367113300</v>
      </c>
    </row>
    <row r="31" spans="1:31">
      <c r="A31" s="2374" t="s">
        <v>667</v>
      </c>
      <c r="B31" s="2375" t="s">
        <v>1334</v>
      </c>
      <c r="C31" s="2353">
        <v>11112000</v>
      </c>
      <c r="D31" s="2354">
        <v>0</v>
      </c>
      <c r="E31" s="2355" t="s">
        <v>1275</v>
      </c>
      <c r="F31" s="2355" t="s">
        <v>1275</v>
      </c>
      <c r="G31" s="2355" t="s">
        <v>1275</v>
      </c>
      <c r="H31" s="2355">
        <v>0</v>
      </c>
      <c r="I31" s="2356">
        <v>11112000</v>
      </c>
      <c r="J31" s="2357">
        <v>11112000</v>
      </c>
      <c r="K31" s="2355">
        <v>0</v>
      </c>
      <c r="L31" s="2355">
        <v>0</v>
      </c>
      <c r="M31" s="2356">
        <v>0</v>
      </c>
      <c r="N31" s="2357">
        <v>0</v>
      </c>
      <c r="O31" s="2355">
        <v>0</v>
      </c>
      <c r="P31" s="2355">
        <v>0</v>
      </c>
      <c r="Q31" s="2355">
        <v>0</v>
      </c>
      <c r="R31" s="2355">
        <v>0</v>
      </c>
      <c r="S31" s="2355">
        <v>0</v>
      </c>
      <c r="T31" s="2355">
        <v>0</v>
      </c>
      <c r="U31" s="2355">
        <v>0</v>
      </c>
      <c r="V31" s="2355">
        <v>0</v>
      </c>
      <c r="W31" s="2355">
        <v>0</v>
      </c>
      <c r="X31" s="2355">
        <v>0</v>
      </c>
      <c r="Y31" s="2355">
        <v>0</v>
      </c>
      <c r="Z31" s="2358">
        <v>0</v>
      </c>
      <c r="AA31" s="2359">
        <v>0</v>
      </c>
      <c r="AB31" s="2359">
        <v>0</v>
      </c>
      <c r="AC31" s="2359">
        <v>0</v>
      </c>
      <c r="AD31" s="2359">
        <v>0</v>
      </c>
      <c r="AE31" s="2359">
        <v>0</v>
      </c>
    </row>
    <row r="32" spans="1:31">
      <c r="A32" s="1628" t="s">
        <v>668</v>
      </c>
      <c r="B32" s="2376" t="s">
        <v>1335</v>
      </c>
      <c r="C32" s="2353">
        <v>7385000</v>
      </c>
      <c r="D32" s="2354">
        <v>100000</v>
      </c>
      <c r="E32" s="2355" t="s">
        <v>1275</v>
      </c>
      <c r="F32" s="2355" t="s">
        <v>1275</v>
      </c>
      <c r="G32" s="2355" t="s">
        <v>1275</v>
      </c>
      <c r="H32" s="2355">
        <v>130000</v>
      </c>
      <c r="I32" s="2356">
        <v>7745000</v>
      </c>
      <c r="J32" s="2357">
        <v>7468292</v>
      </c>
      <c r="K32" s="2355">
        <v>-276708</v>
      </c>
      <c r="L32" s="2355">
        <v>-276708</v>
      </c>
      <c r="M32" s="2356">
        <v>0</v>
      </c>
      <c r="N32" s="2357">
        <v>98058</v>
      </c>
      <c r="O32" s="2355">
        <v>21395</v>
      </c>
      <c r="P32" s="2355">
        <v>30755</v>
      </c>
      <c r="Q32" s="2355">
        <v>0</v>
      </c>
      <c r="R32" s="2355">
        <v>0</v>
      </c>
      <c r="S32" s="2355">
        <v>0</v>
      </c>
      <c r="T32" s="2355">
        <v>0</v>
      </c>
      <c r="U32" s="2355">
        <v>0</v>
      </c>
      <c r="V32" s="2355">
        <v>0</v>
      </c>
      <c r="W32" s="2355">
        <v>7147</v>
      </c>
      <c r="X32" s="2355">
        <v>0</v>
      </c>
      <c r="Y32" s="2355">
        <v>0</v>
      </c>
      <c r="Z32" s="2358">
        <v>157355</v>
      </c>
      <c r="AA32" s="2359">
        <v>0</v>
      </c>
      <c r="AB32" s="2359">
        <v>0</v>
      </c>
      <c r="AC32" s="2359">
        <v>0</v>
      </c>
      <c r="AD32" s="2359">
        <v>0</v>
      </c>
      <c r="AE32" s="2359">
        <v>194353</v>
      </c>
    </row>
    <row r="33" spans="1:31">
      <c r="A33" s="1628" t="s">
        <v>670</v>
      </c>
      <c r="B33" s="2376" t="s">
        <v>1336</v>
      </c>
      <c r="C33" s="2353">
        <v>3590000</v>
      </c>
      <c r="D33" s="2354">
        <v>330000</v>
      </c>
      <c r="E33" s="2355" t="s">
        <v>1275</v>
      </c>
      <c r="F33" s="2355" t="s">
        <v>1275</v>
      </c>
      <c r="G33" s="2355" t="s">
        <v>1275</v>
      </c>
      <c r="H33" s="2355">
        <v>45000</v>
      </c>
      <c r="I33" s="2356">
        <v>4030000</v>
      </c>
      <c r="J33" s="2357">
        <v>3788808</v>
      </c>
      <c r="K33" s="2355">
        <v>-241192</v>
      </c>
      <c r="L33" s="2355">
        <v>-241192</v>
      </c>
      <c r="M33" s="2356">
        <v>0</v>
      </c>
      <c r="N33" s="2357">
        <v>51481</v>
      </c>
      <c r="O33" s="2355">
        <v>28247</v>
      </c>
      <c r="P33" s="2355">
        <v>57252</v>
      </c>
      <c r="Q33" s="2355">
        <v>0</v>
      </c>
      <c r="R33" s="2355">
        <v>0</v>
      </c>
      <c r="S33" s="2355">
        <v>0</v>
      </c>
      <c r="T33" s="2355">
        <v>0</v>
      </c>
      <c r="U33" s="2355">
        <v>0</v>
      </c>
      <c r="V33" s="2355">
        <v>0</v>
      </c>
      <c r="W33" s="2355">
        <v>0</v>
      </c>
      <c r="X33" s="2355">
        <v>0</v>
      </c>
      <c r="Y33" s="2355">
        <v>0</v>
      </c>
      <c r="Z33" s="2358">
        <v>136980</v>
      </c>
      <c r="AA33" s="2359">
        <v>0</v>
      </c>
      <c r="AB33" s="2359">
        <v>0</v>
      </c>
      <c r="AC33" s="2359">
        <v>0</v>
      </c>
      <c r="AD33" s="2359">
        <v>0</v>
      </c>
      <c r="AE33" s="2359">
        <v>104212</v>
      </c>
    </row>
    <row r="34" spans="1:31">
      <c r="A34" s="2374" t="s">
        <v>672</v>
      </c>
      <c r="B34" s="2375" t="s">
        <v>1337</v>
      </c>
      <c r="C34" s="2353">
        <v>867500</v>
      </c>
      <c r="D34" s="2354">
        <v>0</v>
      </c>
      <c r="E34" s="2355" t="s">
        <v>1275</v>
      </c>
      <c r="F34" s="2355" t="s">
        <v>1275</v>
      </c>
      <c r="G34" s="2355" t="s">
        <v>1275</v>
      </c>
      <c r="H34" s="2355">
        <v>0</v>
      </c>
      <c r="I34" s="2356">
        <v>867500</v>
      </c>
      <c r="J34" s="2357">
        <v>560902</v>
      </c>
      <c r="K34" s="2355">
        <v>-306598</v>
      </c>
      <c r="L34" s="2355">
        <v>-306598</v>
      </c>
      <c r="M34" s="2356">
        <v>0</v>
      </c>
      <c r="N34" s="2357">
        <v>154655</v>
      </c>
      <c r="O34" s="2355">
        <v>109632</v>
      </c>
      <c r="P34" s="2355">
        <v>190338</v>
      </c>
      <c r="Q34" s="2355">
        <v>160024</v>
      </c>
      <c r="R34" s="2355">
        <v>202360</v>
      </c>
      <c r="S34" s="2355">
        <v>175565</v>
      </c>
      <c r="T34" s="2355">
        <v>169396</v>
      </c>
      <c r="U34" s="2355">
        <v>170579</v>
      </c>
      <c r="V34" s="2355">
        <v>155787</v>
      </c>
      <c r="W34" s="2355">
        <v>166814</v>
      </c>
      <c r="X34" s="2355">
        <v>168615</v>
      </c>
      <c r="Y34" s="2355">
        <v>206205</v>
      </c>
      <c r="Z34" s="2358">
        <v>2029970</v>
      </c>
      <c r="AA34" s="2359">
        <v>754813</v>
      </c>
      <c r="AB34" s="2359">
        <v>965371</v>
      </c>
      <c r="AC34" s="2359">
        <v>0</v>
      </c>
      <c r="AD34" s="2359">
        <v>0</v>
      </c>
      <c r="AE34" s="2359">
        <v>838944</v>
      </c>
    </row>
    <row r="35" spans="1:31">
      <c r="A35" s="1628" t="s">
        <v>673</v>
      </c>
      <c r="B35" s="2376" t="s">
        <v>1338</v>
      </c>
      <c r="C35" s="2353">
        <v>10965000</v>
      </c>
      <c r="D35" s="2354">
        <v>3225000</v>
      </c>
      <c r="E35" s="2355" t="s">
        <v>1275</v>
      </c>
      <c r="F35" s="2355" t="s">
        <v>1275</v>
      </c>
      <c r="G35" s="2355" t="s">
        <v>1275</v>
      </c>
      <c r="H35" s="2355">
        <v>450000</v>
      </c>
      <c r="I35" s="2356">
        <v>16020000</v>
      </c>
      <c r="J35" s="2357">
        <v>14839954</v>
      </c>
      <c r="K35" s="2355">
        <v>-1180046</v>
      </c>
      <c r="L35" s="2355">
        <v>-1180046</v>
      </c>
      <c r="M35" s="2356">
        <v>0</v>
      </c>
      <c r="N35" s="2357">
        <v>188327</v>
      </c>
      <c r="O35" s="2355">
        <v>122961</v>
      </c>
      <c r="P35" s="2355">
        <v>247940</v>
      </c>
      <c r="Q35" s="2355">
        <v>195110</v>
      </c>
      <c r="R35" s="2355">
        <v>226130</v>
      </c>
      <c r="S35" s="2355">
        <v>196333</v>
      </c>
      <c r="T35" s="2355">
        <v>189471</v>
      </c>
      <c r="U35" s="2355">
        <v>190895</v>
      </c>
      <c r="V35" s="2355">
        <v>174444</v>
      </c>
      <c r="W35" s="2355">
        <v>387720</v>
      </c>
      <c r="X35" s="2355">
        <v>307132</v>
      </c>
      <c r="Y35" s="2355">
        <v>336961</v>
      </c>
      <c r="Z35" s="2358">
        <v>2763424</v>
      </c>
      <c r="AA35" s="2359">
        <v>1064317</v>
      </c>
      <c r="AB35" s="2359">
        <v>0</v>
      </c>
      <c r="AC35" s="2359">
        <v>0</v>
      </c>
      <c r="AD35" s="2359">
        <v>0</v>
      </c>
      <c r="AE35" s="2359">
        <v>532305</v>
      </c>
    </row>
    <row r="36" spans="1:31">
      <c r="A36" s="1628" t="s">
        <v>675</v>
      </c>
      <c r="B36" s="2376" t="s">
        <v>1339</v>
      </c>
      <c r="C36" s="2353">
        <v>3530000</v>
      </c>
      <c r="D36" s="2354">
        <v>840000</v>
      </c>
      <c r="E36" s="2355" t="s">
        <v>1275</v>
      </c>
      <c r="F36" s="2355" t="s">
        <v>1275</v>
      </c>
      <c r="G36" s="2355" t="s">
        <v>1275</v>
      </c>
      <c r="H36" s="2355">
        <v>0</v>
      </c>
      <c r="I36" s="2356">
        <v>4940000</v>
      </c>
      <c r="J36" s="2357">
        <v>4517732</v>
      </c>
      <c r="K36" s="2355">
        <v>-422268</v>
      </c>
      <c r="L36" s="2355">
        <v>-422268</v>
      </c>
      <c r="M36" s="2356">
        <v>0</v>
      </c>
      <c r="N36" s="2357">
        <v>1553</v>
      </c>
      <c r="O36" s="2355">
        <v>1553</v>
      </c>
      <c r="P36" s="2355">
        <v>1622</v>
      </c>
      <c r="Q36" s="2355">
        <v>1623</v>
      </c>
      <c r="R36" s="2355">
        <v>1622</v>
      </c>
      <c r="S36" s="2355">
        <v>1623</v>
      </c>
      <c r="T36" s="2355">
        <v>1622</v>
      </c>
      <c r="U36" s="2355">
        <v>0</v>
      </c>
      <c r="V36" s="2355">
        <v>0</v>
      </c>
      <c r="W36" s="2355">
        <v>0</v>
      </c>
      <c r="X36" s="2355">
        <v>0</v>
      </c>
      <c r="Y36" s="2355">
        <v>0</v>
      </c>
      <c r="Z36" s="2358">
        <v>11218</v>
      </c>
      <c r="AA36" s="2359">
        <v>0</v>
      </c>
      <c r="AB36" s="2359">
        <v>0</v>
      </c>
      <c r="AC36" s="2359">
        <v>0</v>
      </c>
      <c r="AD36" s="2359">
        <v>0</v>
      </c>
      <c r="AE36" s="2359">
        <v>411050</v>
      </c>
    </row>
    <row r="37" spans="1:31">
      <c r="A37" s="1628" t="s">
        <v>677</v>
      </c>
      <c r="B37" s="2376" t="s">
        <v>1340</v>
      </c>
      <c r="C37" s="2353">
        <v>21665000</v>
      </c>
      <c r="D37" s="2354">
        <v>7280000</v>
      </c>
      <c r="E37" s="2355" t="s">
        <v>1275</v>
      </c>
      <c r="F37" s="2355" t="s">
        <v>1275</v>
      </c>
      <c r="G37" s="2355" t="s">
        <v>1275</v>
      </c>
      <c r="H37" s="2355">
        <v>290000</v>
      </c>
      <c r="I37" s="2356">
        <v>30685000</v>
      </c>
      <c r="J37" s="2357">
        <v>28823898</v>
      </c>
      <c r="K37" s="2355">
        <v>-1861102</v>
      </c>
      <c r="L37" s="2355">
        <v>-1861102</v>
      </c>
      <c r="M37" s="2356">
        <v>0</v>
      </c>
      <c r="N37" s="2357">
        <v>606827</v>
      </c>
      <c r="O37" s="2355">
        <v>282938</v>
      </c>
      <c r="P37" s="2355">
        <v>515208</v>
      </c>
      <c r="Q37" s="2355">
        <v>122856</v>
      </c>
      <c r="R37" s="2355">
        <v>120598</v>
      </c>
      <c r="S37" s="2355">
        <v>63024</v>
      </c>
      <c r="T37" s="2355">
        <v>6590</v>
      </c>
      <c r="U37" s="2355">
        <v>7239</v>
      </c>
      <c r="V37" s="2355">
        <v>7238</v>
      </c>
      <c r="W37" s="2355">
        <v>7239</v>
      </c>
      <c r="X37" s="2355">
        <v>7239</v>
      </c>
      <c r="Y37" s="2355">
        <v>7238</v>
      </c>
      <c r="Z37" s="2358">
        <v>1754234</v>
      </c>
      <c r="AA37" s="2359">
        <v>163137</v>
      </c>
      <c r="AB37" s="2359">
        <v>0</v>
      </c>
      <c r="AC37" s="2359">
        <v>0</v>
      </c>
      <c r="AD37" s="2359">
        <v>0</v>
      </c>
      <c r="AE37" s="2359">
        <v>444731</v>
      </c>
    </row>
    <row r="38" spans="1:31">
      <c r="A38" s="1628" t="s">
        <v>678</v>
      </c>
      <c r="B38" s="2376" t="s">
        <v>1341</v>
      </c>
      <c r="C38" s="2353">
        <v>2200000</v>
      </c>
      <c r="D38" s="2354">
        <v>0</v>
      </c>
      <c r="E38" s="2355" t="s">
        <v>1275</v>
      </c>
      <c r="F38" s="2355" t="s">
        <v>1275</v>
      </c>
      <c r="G38" s="2355" t="s">
        <v>1275</v>
      </c>
      <c r="H38" s="2355">
        <v>0</v>
      </c>
      <c r="I38" s="2356">
        <v>2200000</v>
      </c>
      <c r="J38" s="2357">
        <v>2200000</v>
      </c>
      <c r="K38" s="2355">
        <v>0</v>
      </c>
      <c r="L38" s="2355">
        <v>0</v>
      </c>
      <c r="M38" s="2356">
        <v>0</v>
      </c>
      <c r="N38" s="2357">
        <v>0</v>
      </c>
      <c r="O38" s="2355">
        <v>0</v>
      </c>
      <c r="P38" s="2355">
        <v>0</v>
      </c>
      <c r="Q38" s="2355">
        <v>0</v>
      </c>
      <c r="R38" s="2355">
        <v>0</v>
      </c>
      <c r="S38" s="2355">
        <v>0</v>
      </c>
      <c r="T38" s="2355">
        <v>0</v>
      </c>
      <c r="U38" s="2355">
        <v>0</v>
      </c>
      <c r="V38" s="2355">
        <v>0</v>
      </c>
      <c r="W38" s="2355">
        <v>0</v>
      </c>
      <c r="X38" s="2355">
        <v>0</v>
      </c>
      <c r="Y38" s="2355">
        <v>0</v>
      </c>
      <c r="Z38" s="2358">
        <v>0</v>
      </c>
      <c r="AA38" s="2359">
        <v>0</v>
      </c>
      <c r="AB38" s="2359">
        <v>0</v>
      </c>
      <c r="AC38" s="2359">
        <v>0</v>
      </c>
      <c r="AD38" s="2359">
        <v>0</v>
      </c>
      <c r="AE38" s="2359">
        <v>0</v>
      </c>
    </row>
    <row r="39" spans="1:31">
      <c r="A39" s="1628" t="s">
        <v>680</v>
      </c>
      <c r="B39" s="2376" t="s">
        <v>1342</v>
      </c>
      <c r="C39" s="2353">
        <v>2685000</v>
      </c>
      <c r="D39" s="2354">
        <v>290000</v>
      </c>
      <c r="E39" s="2355" t="s">
        <v>1275</v>
      </c>
      <c r="F39" s="2355" t="s">
        <v>1275</v>
      </c>
      <c r="G39" s="2355" t="s">
        <v>1275</v>
      </c>
      <c r="H39" s="2355">
        <v>0</v>
      </c>
      <c r="I39" s="2356">
        <v>3125000</v>
      </c>
      <c r="J39" s="2357">
        <v>2776782</v>
      </c>
      <c r="K39" s="2355">
        <v>-348218</v>
      </c>
      <c r="L39" s="2355">
        <v>-348218</v>
      </c>
      <c r="M39" s="2356">
        <v>0</v>
      </c>
      <c r="N39" s="2357">
        <v>0</v>
      </c>
      <c r="O39" s="2355">
        <v>0</v>
      </c>
      <c r="P39" s="2355">
        <v>0</v>
      </c>
      <c r="Q39" s="2355">
        <v>0</v>
      </c>
      <c r="R39" s="2355">
        <v>0</v>
      </c>
      <c r="S39" s="2355">
        <v>0</v>
      </c>
      <c r="T39" s="2355">
        <v>0</v>
      </c>
      <c r="U39" s="2355">
        <v>0</v>
      </c>
      <c r="V39" s="2355">
        <v>0</v>
      </c>
      <c r="W39" s="2355">
        <v>0</v>
      </c>
      <c r="X39" s="2355">
        <v>0</v>
      </c>
      <c r="Y39" s="2355">
        <v>0</v>
      </c>
      <c r="Z39" s="2358">
        <v>0</v>
      </c>
      <c r="AA39" s="2359">
        <v>0</v>
      </c>
      <c r="AB39" s="2359">
        <v>0</v>
      </c>
      <c r="AC39" s="2359">
        <v>0</v>
      </c>
      <c r="AD39" s="2359">
        <v>0</v>
      </c>
      <c r="AE39" s="2359">
        <v>348218</v>
      </c>
    </row>
    <row r="40" spans="1:31">
      <c r="A40" s="1628" t="s">
        <v>682</v>
      </c>
      <c r="B40" s="2376" t="s">
        <v>1343</v>
      </c>
      <c r="C40" s="2353">
        <v>1542000</v>
      </c>
      <c r="D40" s="2354">
        <v>435000</v>
      </c>
      <c r="E40" s="2355" t="s">
        <v>1275</v>
      </c>
      <c r="F40" s="2355" t="s">
        <v>1275</v>
      </c>
      <c r="G40" s="2355" t="s">
        <v>1275</v>
      </c>
      <c r="H40" s="2355">
        <v>65000</v>
      </c>
      <c r="I40" s="2356">
        <v>2042000</v>
      </c>
      <c r="J40" s="2357">
        <v>1688355</v>
      </c>
      <c r="K40" s="2355">
        <v>-353645</v>
      </c>
      <c r="L40" s="2355">
        <v>-353645</v>
      </c>
      <c r="M40" s="2356">
        <v>0</v>
      </c>
      <c r="N40" s="2357">
        <v>0</v>
      </c>
      <c r="O40" s="2355">
        <v>0</v>
      </c>
      <c r="P40" s="2355">
        <v>0</v>
      </c>
      <c r="Q40" s="2355">
        <v>0</v>
      </c>
      <c r="R40" s="2355">
        <v>0</v>
      </c>
      <c r="S40" s="2355">
        <v>0</v>
      </c>
      <c r="T40" s="2355">
        <v>0</v>
      </c>
      <c r="U40" s="2355">
        <v>0</v>
      </c>
      <c r="V40" s="2355">
        <v>0</v>
      </c>
      <c r="W40" s="2355">
        <v>0</v>
      </c>
      <c r="X40" s="2355">
        <v>0</v>
      </c>
      <c r="Y40" s="2355">
        <v>0</v>
      </c>
      <c r="Z40" s="2358">
        <v>0</v>
      </c>
      <c r="AA40" s="2359">
        <v>0</v>
      </c>
      <c r="AB40" s="2359">
        <v>0</v>
      </c>
      <c r="AC40" s="2359">
        <v>0</v>
      </c>
      <c r="AD40" s="2359">
        <v>0</v>
      </c>
      <c r="AE40" s="2359">
        <v>353645</v>
      </c>
    </row>
    <row r="41" spans="1:31">
      <c r="A41" s="2377" t="s">
        <v>684</v>
      </c>
      <c r="B41" s="2378" t="s">
        <v>2477</v>
      </c>
      <c r="C41" s="2353">
        <v>1537000</v>
      </c>
      <c r="D41" s="2354">
        <v>20000</v>
      </c>
      <c r="E41" s="2355" t="s">
        <v>1275</v>
      </c>
      <c r="F41" s="2355" t="s">
        <v>1275</v>
      </c>
      <c r="G41" s="2355" t="s">
        <v>1275</v>
      </c>
      <c r="H41" s="2355">
        <v>500000</v>
      </c>
      <c r="I41" s="2356">
        <v>2202000</v>
      </c>
      <c r="J41" s="2357">
        <v>2202000</v>
      </c>
      <c r="K41" s="2355">
        <v>0</v>
      </c>
      <c r="L41" s="2355">
        <v>0</v>
      </c>
      <c r="M41" s="2356">
        <v>0</v>
      </c>
      <c r="N41" s="2357">
        <v>0</v>
      </c>
      <c r="O41" s="2355">
        <v>0</v>
      </c>
      <c r="P41" s="2355">
        <v>0</v>
      </c>
      <c r="Q41" s="2355">
        <v>0</v>
      </c>
      <c r="R41" s="2355">
        <v>0</v>
      </c>
      <c r="S41" s="2355">
        <v>0</v>
      </c>
      <c r="T41" s="2355">
        <v>0</v>
      </c>
      <c r="U41" s="2355">
        <v>0</v>
      </c>
      <c r="V41" s="2355">
        <v>0</v>
      </c>
      <c r="W41" s="2355">
        <v>0</v>
      </c>
      <c r="X41" s="2355">
        <v>0</v>
      </c>
      <c r="Y41" s="2355">
        <v>0</v>
      </c>
      <c r="Z41" s="2358">
        <v>0</v>
      </c>
      <c r="AA41" s="2359">
        <v>0</v>
      </c>
      <c r="AB41" s="2359">
        <v>0</v>
      </c>
      <c r="AC41" s="2359">
        <v>0</v>
      </c>
      <c r="AD41" s="2359">
        <v>0</v>
      </c>
      <c r="AE41" s="2359">
        <v>0</v>
      </c>
    </row>
    <row r="42" spans="1:31">
      <c r="A42" s="2377" t="s">
        <v>686</v>
      </c>
      <c r="B42" s="2378" t="s">
        <v>2478</v>
      </c>
      <c r="C42" s="2353">
        <v>3100000</v>
      </c>
      <c r="D42" s="2354">
        <v>140000</v>
      </c>
      <c r="E42" s="2355" t="s">
        <v>1275</v>
      </c>
      <c r="F42" s="2355" t="s">
        <v>1275</v>
      </c>
      <c r="G42" s="2355" t="s">
        <v>1275</v>
      </c>
      <c r="H42" s="2355">
        <v>0</v>
      </c>
      <c r="I42" s="2356">
        <v>3365000</v>
      </c>
      <c r="J42" s="2357">
        <v>3277064</v>
      </c>
      <c r="K42" s="2355">
        <v>-87936</v>
      </c>
      <c r="L42" s="2355">
        <v>-87936</v>
      </c>
      <c r="M42" s="2356">
        <v>0</v>
      </c>
      <c r="N42" s="2357">
        <v>1888</v>
      </c>
      <c r="O42" s="2355">
        <v>1888</v>
      </c>
      <c r="P42" s="2355">
        <v>1973</v>
      </c>
      <c r="Q42" s="2355">
        <v>1973</v>
      </c>
      <c r="R42" s="2355">
        <v>1972</v>
      </c>
      <c r="S42" s="2355">
        <v>1973</v>
      </c>
      <c r="T42" s="2355">
        <v>1972</v>
      </c>
      <c r="U42" s="2355">
        <v>0</v>
      </c>
      <c r="V42" s="2355">
        <v>0</v>
      </c>
      <c r="W42" s="2355">
        <v>0</v>
      </c>
      <c r="X42" s="2355">
        <v>0</v>
      </c>
      <c r="Y42" s="2355">
        <v>0</v>
      </c>
      <c r="Z42" s="2358">
        <v>13639</v>
      </c>
      <c r="AA42" s="2359">
        <v>0</v>
      </c>
      <c r="AB42" s="2359">
        <v>0</v>
      </c>
      <c r="AC42" s="2359">
        <v>0</v>
      </c>
      <c r="AD42" s="2359">
        <v>0</v>
      </c>
      <c r="AE42" s="2359">
        <v>74297</v>
      </c>
    </row>
    <row r="43" spans="1:31">
      <c r="A43" s="2361" t="s">
        <v>688</v>
      </c>
      <c r="B43" s="2379" t="s">
        <v>1346</v>
      </c>
      <c r="C43" s="2353">
        <v>3047620</v>
      </c>
      <c r="D43" s="2354">
        <v>0</v>
      </c>
      <c r="E43" s="2355" t="s">
        <v>1275</v>
      </c>
      <c r="F43" s="2355" t="s">
        <v>1275</v>
      </c>
      <c r="G43" s="2355" t="s">
        <v>1275</v>
      </c>
      <c r="H43" s="2355">
        <v>0</v>
      </c>
      <c r="I43" s="2356">
        <v>3047620</v>
      </c>
      <c r="J43" s="2357">
        <v>3047620</v>
      </c>
      <c r="K43" s="2355">
        <v>0</v>
      </c>
      <c r="L43" s="2355">
        <v>0</v>
      </c>
      <c r="M43" s="2356">
        <v>0</v>
      </c>
      <c r="N43" s="2357">
        <v>0</v>
      </c>
      <c r="O43" s="2355">
        <v>0</v>
      </c>
      <c r="P43" s="2355">
        <v>0</v>
      </c>
      <c r="Q43" s="2355">
        <v>0</v>
      </c>
      <c r="R43" s="2355">
        <v>0</v>
      </c>
      <c r="S43" s="2355">
        <v>0</v>
      </c>
      <c r="T43" s="2355">
        <v>0</v>
      </c>
      <c r="U43" s="2355">
        <v>0</v>
      </c>
      <c r="V43" s="2355">
        <v>0</v>
      </c>
      <c r="W43" s="2355">
        <v>0</v>
      </c>
      <c r="X43" s="2355">
        <v>0</v>
      </c>
      <c r="Y43" s="2355">
        <v>0</v>
      </c>
      <c r="Z43" s="2358">
        <v>0</v>
      </c>
      <c r="AA43" s="2359">
        <v>0</v>
      </c>
      <c r="AB43" s="2359">
        <v>0</v>
      </c>
      <c r="AC43" s="2359">
        <v>0</v>
      </c>
      <c r="AD43" s="2359">
        <v>0</v>
      </c>
      <c r="AE43" s="2359">
        <v>0</v>
      </c>
    </row>
    <row r="44" spans="1:31">
      <c r="A44" s="2377" t="s">
        <v>690</v>
      </c>
      <c r="B44" s="2378" t="s">
        <v>2479</v>
      </c>
      <c r="C44" s="2353">
        <v>3030000</v>
      </c>
      <c r="D44" s="2354">
        <v>6744750</v>
      </c>
      <c r="E44" s="2355" t="s">
        <v>1275</v>
      </c>
      <c r="F44" s="2355" t="s">
        <v>1275</v>
      </c>
      <c r="G44" s="2355" t="s">
        <v>1275</v>
      </c>
      <c r="H44" s="2355">
        <v>330000</v>
      </c>
      <c r="I44" s="2356">
        <v>11564750</v>
      </c>
      <c r="J44" s="2357">
        <v>11001914</v>
      </c>
      <c r="K44" s="2355">
        <v>-562836</v>
      </c>
      <c r="L44" s="2355">
        <v>-562836</v>
      </c>
      <c r="M44" s="2356">
        <v>0</v>
      </c>
      <c r="N44" s="2357">
        <v>380211</v>
      </c>
      <c r="O44" s="2355">
        <v>248836</v>
      </c>
      <c r="P44" s="2355">
        <v>1892094</v>
      </c>
      <c r="Q44" s="2355">
        <v>905108</v>
      </c>
      <c r="R44" s="2355">
        <v>462510</v>
      </c>
      <c r="S44" s="2355">
        <v>472405</v>
      </c>
      <c r="T44" s="2355">
        <v>942525</v>
      </c>
      <c r="U44" s="2355">
        <v>446620</v>
      </c>
      <c r="V44" s="2355">
        <v>383614</v>
      </c>
      <c r="W44" s="2355">
        <v>902655</v>
      </c>
      <c r="X44" s="2355">
        <v>441357</v>
      </c>
      <c r="Y44" s="2355">
        <v>552337</v>
      </c>
      <c r="Z44" s="2358">
        <v>8030272</v>
      </c>
      <c r="AA44" s="2359">
        <v>8943393</v>
      </c>
      <c r="AB44" s="2359">
        <v>6526819</v>
      </c>
      <c r="AC44" s="2359">
        <v>1459635</v>
      </c>
      <c r="AD44" s="2359">
        <v>0</v>
      </c>
      <c r="AE44" s="2359">
        <v>214967</v>
      </c>
    </row>
    <row r="45" spans="1:31">
      <c r="A45" s="2377" t="s">
        <v>692</v>
      </c>
      <c r="B45" s="2378" t="s">
        <v>2480</v>
      </c>
      <c r="C45" s="2353">
        <v>1170000</v>
      </c>
      <c r="D45" s="2354">
        <v>610000</v>
      </c>
      <c r="E45" s="2355" t="s">
        <v>1275</v>
      </c>
      <c r="F45" s="2355" t="s">
        <v>1275</v>
      </c>
      <c r="G45" s="2355" t="s">
        <v>1275</v>
      </c>
      <c r="H45" s="2355">
        <v>0</v>
      </c>
      <c r="I45" s="2356">
        <v>1860000</v>
      </c>
      <c r="J45" s="2357">
        <v>1644854</v>
      </c>
      <c r="K45" s="2355">
        <v>-215146</v>
      </c>
      <c r="L45" s="2355">
        <v>-215146</v>
      </c>
      <c r="M45" s="2356">
        <v>0</v>
      </c>
      <c r="N45" s="2357">
        <v>2513</v>
      </c>
      <c r="O45" s="2355">
        <v>2513</v>
      </c>
      <c r="P45" s="2355">
        <v>2625</v>
      </c>
      <c r="Q45" s="2355">
        <v>2625</v>
      </c>
      <c r="R45" s="2355">
        <v>25331</v>
      </c>
      <c r="S45" s="2355">
        <v>17611</v>
      </c>
      <c r="T45" s="2355">
        <v>2625</v>
      </c>
      <c r="U45" s="2355">
        <v>2884</v>
      </c>
      <c r="V45" s="2355">
        <v>2883</v>
      </c>
      <c r="W45" s="2355">
        <v>2883</v>
      </c>
      <c r="X45" s="2355">
        <v>2883</v>
      </c>
      <c r="Y45" s="2355">
        <v>17868</v>
      </c>
      <c r="Z45" s="2358">
        <v>85244</v>
      </c>
      <c r="AA45" s="2359">
        <v>15729</v>
      </c>
      <c r="AB45" s="2359">
        <v>0</v>
      </c>
      <c r="AC45" s="2359">
        <v>0</v>
      </c>
      <c r="AD45" s="2359">
        <v>0</v>
      </c>
      <c r="AE45" s="2359">
        <v>164173</v>
      </c>
    </row>
    <row r="46" spans="1:31">
      <c r="A46" s="2377" t="s">
        <v>694</v>
      </c>
      <c r="B46" s="2378" t="s">
        <v>2481</v>
      </c>
      <c r="C46" s="2353">
        <v>517000</v>
      </c>
      <c r="D46" s="2354">
        <v>1523000</v>
      </c>
      <c r="E46" s="2355" t="s">
        <v>1275</v>
      </c>
      <c r="F46" s="2355" t="s">
        <v>1275</v>
      </c>
      <c r="G46" s="2355" t="s">
        <v>1275</v>
      </c>
      <c r="H46" s="2355">
        <v>160000</v>
      </c>
      <c r="I46" s="2356">
        <v>2680000</v>
      </c>
      <c r="J46" s="2357">
        <v>2193319</v>
      </c>
      <c r="K46" s="2355">
        <v>-486681</v>
      </c>
      <c r="L46" s="2355">
        <v>-486681</v>
      </c>
      <c r="M46" s="2356">
        <v>0</v>
      </c>
      <c r="N46" s="2357">
        <v>161952</v>
      </c>
      <c r="O46" s="2355">
        <v>91546</v>
      </c>
      <c r="P46" s="2355">
        <v>199410</v>
      </c>
      <c r="Q46" s="2355">
        <v>167569</v>
      </c>
      <c r="R46" s="2355">
        <v>189803</v>
      </c>
      <c r="S46" s="2355">
        <v>183893</v>
      </c>
      <c r="T46" s="2355">
        <v>177412</v>
      </c>
      <c r="U46" s="2355">
        <v>178606</v>
      </c>
      <c r="V46" s="2355">
        <v>90836</v>
      </c>
      <c r="W46" s="2355">
        <v>102419</v>
      </c>
      <c r="X46" s="2355">
        <v>97087</v>
      </c>
      <c r="Y46" s="2355">
        <v>15805</v>
      </c>
      <c r="Z46" s="2358">
        <v>1656338</v>
      </c>
      <c r="AA46" s="2359">
        <v>32843</v>
      </c>
      <c r="AB46" s="2359">
        <v>0</v>
      </c>
      <c r="AC46" s="2359">
        <v>0</v>
      </c>
      <c r="AD46" s="2359">
        <v>0</v>
      </c>
      <c r="AE46" s="2359">
        <v>87000</v>
      </c>
    </row>
    <row r="47" spans="1:31">
      <c r="A47" s="2377" t="s">
        <v>695</v>
      </c>
      <c r="B47" s="2378" t="s">
        <v>2482</v>
      </c>
      <c r="C47" s="2353">
        <v>155000</v>
      </c>
      <c r="D47" s="2354">
        <v>1240000</v>
      </c>
      <c r="E47" s="2355" t="s">
        <v>1275</v>
      </c>
      <c r="F47" s="2355" t="s">
        <v>1275</v>
      </c>
      <c r="G47" s="2355" t="s">
        <v>1275</v>
      </c>
      <c r="H47" s="2355">
        <v>155000</v>
      </c>
      <c r="I47" s="2356">
        <v>2015000</v>
      </c>
      <c r="J47" s="2357">
        <v>1662788</v>
      </c>
      <c r="K47" s="2355">
        <v>-352212</v>
      </c>
      <c r="L47" s="2355">
        <v>-352212</v>
      </c>
      <c r="M47" s="2356">
        <v>0</v>
      </c>
      <c r="N47" s="2357">
        <v>102361</v>
      </c>
      <c r="O47" s="2355">
        <v>78377</v>
      </c>
      <c r="P47" s="2355">
        <v>130879</v>
      </c>
      <c r="Q47" s="2355">
        <v>105025</v>
      </c>
      <c r="R47" s="2355">
        <v>113849</v>
      </c>
      <c r="S47" s="2355">
        <v>121219</v>
      </c>
      <c r="T47" s="2355">
        <v>96159</v>
      </c>
      <c r="U47" s="2355">
        <v>47295</v>
      </c>
      <c r="V47" s="2355">
        <v>42995</v>
      </c>
      <c r="W47" s="2355">
        <v>54486</v>
      </c>
      <c r="X47" s="2355">
        <v>31529</v>
      </c>
      <c r="Y47" s="2355">
        <v>47522</v>
      </c>
      <c r="Z47" s="2358">
        <v>971696</v>
      </c>
      <c r="AA47" s="2359">
        <v>0</v>
      </c>
      <c r="AB47" s="2359">
        <v>0</v>
      </c>
      <c r="AC47" s="2359">
        <v>0</v>
      </c>
      <c r="AD47" s="2359">
        <v>0</v>
      </c>
      <c r="AE47" s="2359">
        <v>20516</v>
      </c>
    </row>
    <row r="48" spans="1:31">
      <c r="A48" s="2380" t="s">
        <v>697</v>
      </c>
      <c r="B48" s="2366" t="s">
        <v>2483</v>
      </c>
      <c r="C48" s="2353">
        <v>0</v>
      </c>
      <c r="D48" s="2354">
        <v>534000</v>
      </c>
      <c r="E48" s="2355" t="s">
        <v>1275</v>
      </c>
      <c r="F48" s="2355" t="s">
        <v>1275</v>
      </c>
      <c r="G48" s="2355" t="s">
        <v>1275</v>
      </c>
      <c r="H48" s="2355">
        <v>80000</v>
      </c>
      <c r="I48" s="2356">
        <v>1014000</v>
      </c>
      <c r="J48" s="2357">
        <v>1003993</v>
      </c>
      <c r="K48" s="2355">
        <v>-10007</v>
      </c>
      <c r="L48" s="2355">
        <v>-10007</v>
      </c>
      <c r="M48" s="2356">
        <v>0</v>
      </c>
      <c r="N48" s="2357">
        <v>161128</v>
      </c>
      <c r="O48" s="2355">
        <v>114220</v>
      </c>
      <c r="P48" s="2355">
        <v>198305</v>
      </c>
      <c r="Q48" s="2355">
        <v>166722</v>
      </c>
      <c r="R48" s="2355">
        <v>188777</v>
      </c>
      <c r="S48" s="2355">
        <v>16086</v>
      </c>
      <c r="T48" s="2355">
        <v>1530</v>
      </c>
      <c r="U48" s="2355">
        <v>1679</v>
      </c>
      <c r="V48" s="2355">
        <v>1680</v>
      </c>
      <c r="W48" s="2355">
        <v>13169</v>
      </c>
      <c r="X48" s="2355">
        <v>1679</v>
      </c>
      <c r="Y48" s="2355">
        <v>16236</v>
      </c>
      <c r="Z48" s="2358">
        <v>881211</v>
      </c>
      <c r="AA48" s="2359">
        <v>0</v>
      </c>
      <c r="AB48" s="2359">
        <v>0</v>
      </c>
      <c r="AC48" s="2359">
        <v>0</v>
      </c>
      <c r="AD48" s="2359">
        <v>0</v>
      </c>
      <c r="AE48" s="2359">
        <v>702796</v>
      </c>
    </row>
    <row r="49" spans="1:31">
      <c r="A49" s="2380" t="s">
        <v>699</v>
      </c>
      <c r="B49" s="2381" t="s">
        <v>1353</v>
      </c>
      <c r="C49" s="2353">
        <v>0</v>
      </c>
      <c r="D49" s="2354">
        <v>160000</v>
      </c>
      <c r="E49" s="2355" t="s">
        <v>1275</v>
      </c>
      <c r="F49" s="2355" t="s">
        <v>1275</v>
      </c>
      <c r="G49" s="2355" t="s">
        <v>1275</v>
      </c>
      <c r="H49" s="2355">
        <v>160000</v>
      </c>
      <c r="I49" s="2356">
        <v>694000</v>
      </c>
      <c r="J49" s="2357">
        <v>679445</v>
      </c>
      <c r="K49" s="2355">
        <v>-14555</v>
      </c>
      <c r="L49" s="2355">
        <v>-14555</v>
      </c>
      <c r="M49" s="2356">
        <v>0</v>
      </c>
      <c r="N49" s="2357">
        <v>132279</v>
      </c>
      <c r="O49" s="2355">
        <v>93770</v>
      </c>
      <c r="P49" s="2355">
        <v>243175</v>
      </c>
      <c r="Q49" s="2355">
        <v>210727</v>
      </c>
      <c r="R49" s="2355">
        <v>228833</v>
      </c>
      <c r="S49" s="2355">
        <v>225363</v>
      </c>
      <c r="T49" s="2355">
        <v>144888</v>
      </c>
      <c r="U49" s="2355">
        <v>145900</v>
      </c>
      <c r="V49" s="2355">
        <v>133248</v>
      </c>
      <c r="W49" s="2355">
        <v>142680</v>
      </c>
      <c r="X49" s="2355">
        <v>144220</v>
      </c>
      <c r="Y49" s="2355">
        <v>176371</v>
      </c>
      <c r="Z49" s="2358">
        <v>2021454</v>
      </c>
      <c r="AA49" s="2359">
        <v>332210</v>
      </c>
      <c r="AB49" s="2359">
        <v>34442</v>
      </c>
      <c r="AC49" s="2359">
        <v>0</v>
      </c>
      <c r="AD49" s="2359">
        <v>0</v>
      </c>
      <c r="AE49" s="2359">
        <v>1002489</v>
      </c>
    </row>
    <row r="50" spans="1:31">
      <c r="A50" s="2380" t="s">
        <v>701</v>
      </c>
      <c r="B50" s="2381" t="s">
        <v>702</v>
      </c>
      <c r="C50" s="2353">
        <v>0</v>
      </c>
      <c r="D50" s="2354">
        <v>0</v>
      </c>
      <c r="E50" s="2355" t="s">
        <v>1275</v>
      </c>
      <c r="F50" s="2355" t="s">
        <v>1275</v>
      </c>
      <c r="G50" s="2355" t="s">
        <v>1275</v>
      </c>
      <c r="H50" s="2355">
        <v>175000</v>
      </c>
      <c r="I50" s="2356">
        <v>1195000</v>
      </c>
      <c r="J50" s="2357">
        <v>910636</v>
      </c>
      <c r="K50" s="2355">
        <v>-284364</v>
      </c>
      <c r="L50" s="2355">
        <v>-284364</v>
      </c>
      <c r="M50" s="2356">
        <v>0</v>
      </c>
      <c r="N50" s="2357">
        <v>159479</v>
      </c>
      <c r="O50" s="2355">
        <v>113330</v>
      </c>
      <c r="P50" s="2355">
        <v>196096</v>
      </c>
      <c r="Q50" s="2355">
        <v>165025</v>
      </c>
      <c r="R50" s="2355">
        <v>186722</v>
      </c>
      <c r="S50" s="2355">
        <v>195274</v>
      </c>
      <c r="T50" s="2355">
        <v>174631</v>
      </c>
      <c r="U50" s="2355">
        <v>175942</v>
      </c>
      <c r="V50" s="2355">
        <v>160781</v>
      </c>
      <c r="W50" s="2355">
        <v>183384</v>
      </c>
      <c r="X50" s="2355">
        <v>173929</v>
      </c>
      <c r="Y50" s="2355">
        <v>226777</v>
      </c>
      <c r="Z50" s="2358">
        <v>2111370</v>
      </c>
      <c r="AA50" s="2359">
        <v>2180293</v>
      </c>
      <c r="AB50" s="2359">
        <v>2286813</v>
      </c>
      <c r="AC50" s="2359">
        <v>329780</v>
      </c>
      <c r="AD50" s="2359">
        <v>0</v>
      </c>
      <c r="AE50" s="2359">
        <v>3663775</v>
      </c>
    </row>
    <row r="51" spans="1:31">
      <c r="A51" s="2380" t="s">
        <v>703</v>
      </c>
      <c r="B51" s="2381" t="s">
        <v>704</v>
      </c>
      <c r="C51" s="2353">
        <v>0</v>
      </c>
      <c r="D51" s="2354">
        <v>0</v>
      </c>
      <c r="E51" s="2355" t="s">
        <v>1275</v>
      </c>
      <c r="F51" s="2355" t="s">
        <v>1275</v>
      </c>
      <c r="G51" s="2355" t="s">
        <v>1275</v>
      </c>
      <c r="H51" s="2355">
        <v>85000</v>
      </c>
      <c r="I51" s="2356">
        <v>370000</v>
      </c>
      <c r="J51" s="2357">
        <v>386289</v>
      </c>
      <c r="K51" s="2355">
        <v>16289</v>
      </c>
      <c r="L51" s="2355">
        <v>16289</v>
      </c>
      <c r="M51" s="2356">
        <v>0</v>
      </c>
      <c r="N51" s="2357">
        <v>84494</v>
      </c>
      <c r="O51" s="2355">
        <v>44019</v>
      </c>
      <c r="P51" s="2355">
        <v>93983</v>
      </c>
      <c r="Q51" s="2355">
        <v>86362</v>
      </c>
      <c r="R51" s="2355">
        <v>107534</v>
      </c>
      <c r="S51" s="2355">
        <v>101905</v>
      </c>
      <c r="T51" s="2355">
        <v>0</v>
      </c>
      <c r="U51" s="2355">
        <v>0</v>
      </c>
      <c r="V51" s="2355">
        <v>0</v>
      </c>
      <c r="W51" s="2355">
        <v>11029</v>
      </c>
      <c r="X51" s="2355">
        <v>0</v>
      </c>
      <c r="Y51" s="2355">
        <v>13973</v>
      </c>
      <c r="Z51" s="2358">
        <v>543299</v>
      </c>
      <c r="AA51" s="2359">
        <v>172729</v>
      </c>
      <c r="AB51" s="2359">
        <v>0</v>
      </c>
      <c r="AC51" s="2359">
        <v>0</v>
      </c>
      <c r="AD51" s="2359">
        <v>0</v>
      </c>
      <c r="AE51" s="2359">
        <v>857683</v>
      </c>
    </row>
    <row r="52" spans="1:31">
      <c r="A52" s="2382" t="s">
        <v>705</v>
      </c>
      <c r="B52" s="2383" t="s">
        <v>1177</v>
      </c>
      <c r="C52" s="2353">
        <v>0</v>
      </c>
      <c r="D52" s="2354">
        <v>0</v>
      </c>
      <c r="E52" s="2355" t="s">
        <v>1275</v>
      </c>
      <c r="F52" s="2355" t="s">
        <v>1275</v>
      </c>
      <c r="G52" s="2355" t="s">
        <v>1275</v>
      </c>
      <c r="H52" s="2355">
        <v>0</v>
      </c>
      <c r="I52" s="2356">
        <v>480000</v>
      </c>
      <c r="J52" s="2357">
        <v>480000</v>
      </c>
      <c r="K52" s="2355">
        <v>0</v>
      </c>
      <c r="L52" s="2355">
        <v>0</v>
      </c>
      <c r="M52" s="2356">
        <v>0</v>
      </c>
      <c r="N52" s="2357">
        <v>0</v>
      </c>
      <c r="O52" s="2355">
        <v>0</v>
      </c>
      <c r="P52" s="2355">
        <v>0</v>
      </c>
      <c r="Q52" s="2355">
        <v>1265000</v>
      </c>
      <c r="R52" s="2355">
        <v>0</v>
      </c>
      <c r="S52" s="2355">
        <v>0</v>
      </c>
      <c r="T52" s="2355">
        <v>0</v>
      </c>
      <c r="U52" s="2355">
        <v>0</v>
      </c>
      <c r="V52" s="2355">
        <v>0</v>
      </c>
      <c r="W52" s="2355">
        <v>0</v>
      </c>
      <c r="X52" s="2355">
        <v>0</v>
      </c>
      <c r="Y52" s="2355">
        <v>0</v>
      </c>
      <c r="Z52" s="2358">
        <v>1265000</v>
      </c>
      <c r="AA52" s="2359">
        <v>0</v>
      </c>
      <c r="AB52" s="2359">
        <v>0</v>
      </c>
      <c r="AC52" s="2359">
        <v>0</v>
      </c>
      <c r="AD52" s="2359">
        <v>0</v>
      </c>
      <c r="AE52" s="2359">
        <v>0</v>
      </c>
    </row>
    <row r="53" spans="1:31">
      <c r="A53" s="1628" t="s">
        <v>707</v>
      </c>
      <c r="B53" s="2363" t="s">
        <v>1180</v>
      </c>
      <c r="C53" s="2353">
        <v>0</v>
      </c>
      <c r="D53" s="2354">
        <v>160000</v>
      </c>
      <c r="E53" s="2355" t="s">
        <v>1275</v>
      </c>
      <c r="F53" s="2355" t="s">
        <v>1275</v>
      </c>
      <c r="G53" s="2355" t="s">
        <v>1275</v>
      </c>
      <c r="H53" s="2355">
        <v>960000</v>
      </c>
      <c r="I53" s="2356">
        <v>1120000</v>
      </c>
      <c r="J53" s="2357">
        <v>1120000</v>
      </c>
      <c r="K53" s="2355">
        <v>0</v>
      </c>
      <c r="L53" s="2355">
        <v>0</v>
      </c>
      <c r="M53" s="2356">
        <v>0</v>
      </c>
      <c r="N53" s="2357">
        <v>0</v>
      </c>
      <c r="O53" s="2355">
        <v>0</v>
      </c>
      <c r="P53" s="2355">
        <v>0</v>
      </c>
      <c r="Q53" s="2355">
        <v>0</v>
      </c>
      <c r="R53" s="2355">
        <v>0</v>
      </c>
      <c r="S53" s="2355">
        <v>0</v>
      </c>
      <c r="T53" s="2355">
        <v>0</v>
      </c>
      <c r="U53" s="2355">
        <v>0</v>
      </c>
      <c r="V53" s="2355">
        <v>0</v>
      </c>
      <c r="W53" s="2355">
        <v>175000</v>
      </c>
      <c r="X53" s="2355">
        <v>0</v>
      </c>
      <c r="Y53" s="2355">
        <v>0</v>
      </c>
      <c r="Z53" s="2358">
        <v>175000</v>
      </c>
      <c r="AA53" s="2359">
        <v>0</v>
      </c>
      <c r="AB53" s="2359">
        <v>0</v>
      </c>
      <c r="AC53" s="2359">
        <v>0</v>
      </c>
      <c r="AD53" s="2359">
        <v>0</v>
      </c>
      <c r="AE53" s="2359">
        <v>0</v>
      </c>
    </row>
    <row r="54" spans="1:31">
      <c r="A54" s="1628" t="s">
        <v>710</v>
      </c>
      <c r="B54" s="2363" t="s">
        <v>1265</v>
      </c>
      <c r="C54" s="2353">
        <v>0</v>
      </c>
      <c r="D54" s="2354">
        <v>0</v>
      </c>
      <c r="E54" s="2355" t="s">
        <v>1275</v>
      </c>
      <c r="F54" s="2355" t="s">
        <v>1275</v>
      </c>
      <c r="G54" s="2355" t="s">
        <v>1275</v>
      </c>
      <c r="H54" s="2355">
        <v>0</v>
      </c>
      <c r="I54" s="2356">
        <v>0</v>
      </c>
      <c r="J54" s="2357">
        <v>0</v>
      </c>
      <c r="K54" s="2355">
        <v>0</v>
      </c>
      <c r="L54" s="2355">
        <v>0</v>
      </c>
      <c r="M54" s="2356">
        <v>0</v>
      </c>
      <c r="N54" s="2357">
        <v>0</v>
      </c>
      <c r="O54" s="2355">
        <v>0</v>
      </c>
      <c r="P54" s="2355">
        <v>0</v>
      </c>
      <c r="Q54" s="2355">
        <v>0</v>
      </c>
      <c r="R54" s="2355">
        <v>0</v>
      </c>
      <c r="S54" s="2355">
        <v>0</v>
      </c>
      <c r="T54" s="2355">
        <v>0</v>
      </c>
      <c r="U54" s="2355">
        <v>0</v>
      </c>
      <c r="V54" s="2355">
        <v>0</v>
      </c>
      <c r="W54" s="2355">
        <v>0</v>
      </c>
      <c r="X54" s="2355">
        <v>0</v>
      </c>
      <c r="Y54" s="2355">
        <v>0</v>
      </c>
      <c r="Z54" s="2358">
        <v>0</v>
      </c>
      <c r="AA54" s="2359">
        <v>0</v>
      </c>
      <c r="AB54" s="2359">
        <v>0</v>
      </c>
      <c r="AC54" s="2359">
        <v>0</v>
      </c>
      <c r="AD54" s="2359">
        <v>0</v>
      </c>
      <c r="AE54" s="2359">
        <v>0</v>
      </c>
    </row>
    <row r="55" spans="1:31">
      <c r="A55" s="1628" t="s">
        <v>712</v>
      </c>
      <c r="B55" s="2363" t="s">
        <v>1265</v>
      </c>
      <c r="C55" s="2353">
        <v>0</v>
      </c>
      <c r="D55" s="2354">
        <v>0</v>
      </c>
      <c r="E55" s="2355" t="s">
        <v>1275</v>
      </c>
      <c r="F55" s="2355" t="s">
        <v>1275</v>
      </c>
      <c r="G55" s="2355" t="s">
        <v>1275</v>
      </c>
      <c r="H55" s="2355">
        <v>0</v>
      </c>
      <c r="I55" s="2356">
        <v>0</v>
      </c>
      <c r="J55" s="2357">
        <v>0</v>
      </c>
      <c r="K55" s="2355">
        <v>0</v>
      </c>
      <c r="L55" s="2355">
        <v>0</v>
      </c>
      <c r="M55" s="2356">
        <v>0</v>
      </c>
      <c r="N55" s="2357">
        <v>0</v>
      </c>
      <c r="O55" s="2355">
        <v>0</v>
      </c>
      <c r="P55" s="2355">
        <v>0</v>
      </c>
      <c r="Q55" s="2355">
        <v>0</v>
      </c>
      <c r="R55" s="2355">
        <v>0</v>
      </c>
      <c r="S55" s="2355">
        <v>0</v>
      </c>
      <c r="T55" s="2355">
        <v>0</v>
      </c>
      <c r="U55" s="2355">
        <v>0</v>
      </c>
      <c r="V55" s="2355">
        <v>0</v>
      </c>
      <c r="W55" s="2355">
        <v>0</v>
      </c>
      <c r="X55" s="2355">
        <v>0</v>
      </c>
      <c r="Y55" s="2355">
        <v>0</v>
      </c>
      <c r="Z55" s="2358">
        <v>0</v>
      </c>
      <c r="AA55" s="2359">
        <v>0</v>
      </c>
      <c r="AB55" s="2359">
        <v>0</v>
      </c>
      <c r="AC55" s="2359">
        <v>0</v>
      </c>
      <c r="AD55" s="2359">
        <v>0</v>
      </c>
      <c r="AE55" s="2359">
        <v>0</v>
      </c>
    </row>
    <row r="56" spans="1:31">
      <c r="A56" s="1628" t="s">
        <v>713</v>
      </c>
      <c r="B56" s="2363" t="s">
        <v>1266</v>
      </c>
      <c r="C56" s="2353">
        <v>0</v>
      </c>
      <c r="D56" s="2354">
        <v>0</v>
      </c>
      <c r="E56" s="2355" t="s">
        <v>1275</v>
      </c>
      <c r="F56" s="2355" t="s">
        <v>1275</v>
      </c>
      <c r="G56" s="2355" t="s">
        <v>1275</v>
      </c>
      <c r="H56" s="2355">
        <v>0</v>
      </c>
      <c r="I56" s="2356">
        <v>0</v>
      </c>
      <c r="J56" s="2357">
        <v>0</v>
      </c>
      <c r="K56" s="2355">
        <v>0</v>
      </c>
      <c r="L56" s="2355">
        <v>0</v>
      </c>
      <c r="M56" s="2356">
        <v>0</v>
      </c>
      <c r="N56" s="2357">
        <v>239191</v>
      </c>
      <c r="O56" s="2355">
        <v>133123</v>
      </c>
      <c r="P56" s="2355">
        <v>517086</v>
      </c>
      <c r="Q56" s="2355">
        <v>787063</v>
      </c>
      <c r="R56" s="2355">
        <v>1216689</v>
      </c>
      <c r="S56" s="2355">
        <v>1177413</v>
      </c>
      <c r="T56" s="2355">
        <v>1330383</v>
      </c>
      <c r="U56" s="2355">
        <v>1339068</v>
      </c>
      <c r="V56" s="2355">
        <v>1374417</v>
      </c>
      <c r="W56" s="2355">
        <v>1222293</v>
      </c>
      <c r="X56" s="2355">
        <v>1488349</v>
      </c>
      <c r="Y56" s="2355">
        <v>1736829</v>
      </c>
      <c r="Z56" s="2358">
        <v>12561904</v>
      </c>
      <c r="AA56" s="2359">
        <v>11187000</v>
      </c>
      <c r="AB56" s="2359">
        <v>12709602</v>
      </c>
      <c r="AC56" s="2359">
        <v>5771815</v>
      </c>
      <c r="AD56" s="2359">
        <v>3484679</v>
      </c>
      <c r="AE56" s="2359">
        <v>0</v>
      </c>
    </row>
    <row r="57" spans="1:31">
      <c r="A57" s="1628" t="s">
        <v>715</v>
      </c>
      <c r="B57" s="2363" t="s">
        <v>1267</v>
      </c>
      <c r="C57" s="2353">
        <v>0</v>
      </c>
      <c r="D57" s="2354">
        <v>0</v>
      </c>
      <c r="E57" s="2355" t="s">
        <v>1275</v>
      </c>
      <c r="F57" s="2355" t="s">
        <v>1275</v>
      </c>
      <c r="G57" s="2355" t="s">
        <v>1275</v>
      </c>
      <c r="H57" s="2355">
        <v>0</v>
      </c>
      <c r="I57" s="2356">
        <v>0</v>
      </c>
      <c r="J57" s="2357">
        <v>0</v>
      </c>
      <c r="K57" s="2355">
        <v>0</v>
      </c>
      <c r="L57" s="2355">
        <v>0</v>
      </c>
      <c r="M57" s="2356">
        <v>0</v>
      </c>
      <c r="N57" s="2357">
        <v>0</v>
      </c>
      <c r="O57" s="2355">
        <v>0</v>
      </c>
      <c r="P57" s="2355">
        <v>0</v>
      </c>
      <c r="Q57" s="2355">
        <v>0</v>
      </c>
      <c r="R57" s="2355">
        <v>0</v>
      </c>
      <c r="S57" s="2355">
        <v>0</v>
      </c>
      <c r="T57" s="2355">
        <v>0</v>
      </c>
      <c r="U57" s="2355">
        <v>0</v>
      </c>
      <c r="V57" s="2355">
        <v>0</v>
      </c>
      <c r="W57" s="2355">
        <v>0</v>
      </c>
      <c r="X57" s="2355">
        <v>0</v>
      </c>
      <c r="Y57" s="2355">
        <v>0</v>
      </c>
      <c r="Z57" s="2358">
        <v>0</v>
      </c>
      <c r="AA57" s="2359">
        <v>11585870</v>
      </c>
      <c r="AB57" s="2359">
        <v>7773297</v>
      </c>
      <c r="AC57" s="2359">
        <v>9623952</v>
      </c>
      <c r="AD57" s="2359">
        <v>8049486</v>
      </c>
      <c r="AE57" s="2359">
        <v>96395</v>
      </c>
    </row>
    <row r="58" spans="1:31">
      <c r="A58" s="1628" t="s">
        <v>717</v>
      </c>
      <c r="B58" s="2363" t="s">
        <v>1268</v>
      </c>
      <c r="C58" s="2353">
        <v>0</v>
      </c>
      <c r="D58" s="2354">
        <v>0</v>
      </c>
      <c r="E58" s="2355" t="s">
        <v>1275</v>
      </c>
      <c r="F58" s="2355" t="s">
        <v>1275</v>
      </c>
      <c r="G58" s="2355" t="s">
        <v>1275</v>
      </c>
      <c r="H58" s="2355">
        <v>0</v>
      </c>
      <c r="I58" s="2356">
        <v>0</v>
      </c>
      <c r="J58" s="2357">
        <v>0</v>
      </c>
      <c r="K58" s="2355">
        <v>0</v>
      </c>
      <c r="L58" s="2355">
        <v>0</v>
      </c>
      <c r="M58" s="2356">
        <v>0</v>
      </c>
      <c r="N58" s="2357">
        <v>0</v>
      </c>
      <c r="O58" s="2355">
        <v>0</v>
      </c>
      <c r="P58" s="2355">
        <v>0</v>
      </c>
      <c r="Q58" s="2355">
        <v>0</v>
      </c>
      <c r="R58" s="2355">
        <v>0</v>
      </c>
      <c r="S58" s="2355">
        <v>0</v>
      </c>
      <c r="T58" s="2355">
        <v>0</v>
      </c>
      <c r="U58" s="2355">
        <v>0</v>
      </c>
      <c r="V58" s="2355">
        <v>0</v>
      </c>
      <c r="W58" s="2355">
        <v>0</v>
      </c>
      <c r="X58" s="2355">
        <v>0</v>
      </c>
      <c r="Y58" s="2355">
        <v>0</v>
      </c>
      <c r="Z58" s="2358">
        <v>0</v>
      </c>
      <c r="AA58" s="2359">
        <v>0</v>
      </c>
      <c r="AB58" s="2359">
        <v>7673986</v>
      </c>
      <c r="AC58" s="2359">
        <v>10058901</v>
      </c>
      <c r="AD58" s="2359">
        <v>10017494</v>
      </c>
      <c r="AE58" s="2359">
        <v>9285619</v>
      </c>
    </row>
    <row r="59" spans="1:31">
      <c r="A59" s="1628" t="s">
        <v>719</v>
      </c>
      <c r="B59" s="2363" t="s">
        <v>1269</v>
      </c>
      <c r="C59" s="2353">
        <v>0</v>
      </c>
      <c r="D59" s="2354">
        <v>0</v>
      </c>
      <c r="E59" s="2355" t="s">
        <v>1275</v>
      </c>
      <c r="F59" s="2355" t="s">
        <v>1275</v>
      </c>
      <c r="G59" s="2355" t="s">
        <v>1275</v>
      </c>
      <c r="H59" s="2355">
        <v>0</v>
      </c>
      <c r="I59" s="2356">
        <v>0</v>
      </c>
      <c r="J59" s="2357">
        <v>0</v>
      </c>
      <c r="K59" s="2355">
        <v>0</v>
      </c>
      <c r="L59" s="2355">
        <v>0</v>
      </c>
      <c r="M59" s="2356">
        <v>0</v>
      </c>
      <c r="N59" s="2357">
        <v>0</v>
      </c>
      <c r="O59" s="2355">
        <v>0</v>
      </c>
      <c r="P59" s="2355">
        <v>0</v>
      </c>
      <c r="Q59" s="2355">
        <v>0</v>
      </c>
      <c r="R59" s="2355">
        <v>0</v>
      </c>
      <c r="S59" s="2355">
        <v>0</v>
      </c>
      <c r="T59" s="2355">
        <v>0</v>
      </c>
      <c r="U59" s="2355">
        <v>0</v>
      </c>
      <c r="V59" s="2355">
        <v>0</v>
      </c>
      <c r="W59" s="2355">
        <v>0</v>
      </c>
      <c r="X59" s="2355">
        <v>0</v>
      </c>
      <c r="Y59" s="2355">
        <v>0</v>
      </c>
      <c r="Z59" s="2358">
        <v>0</v>
      </c>
      <c r="AA59" s="2359">
        <v>0</v>
      </c>
      <c r="AB59" s="2359">
        <v>0</v>
      </c>
      <c r="AC59" s="2359">
        <v>11650269</v>
      </c>
      <c r="AD59" s="2359">
        <v>10301468</v>
      </c>
      <c r="AE59" s="2359">
        <v>17715263</v>
      </c>
    </row>
    <row r="60" spans="1:31">
      <c r="A60" s="1628" t="s">
        <v>1826</v>
      </c>
      <c r="B60" s="2363" t="s">
        <v>1270</v>
      </c>
      <c r="C60" s="2353">
        <v>0</v>
      </c>
      <c r="D60" s="2354">
        <v>0</v>
      </c>
      <c r="E60" s="2355" t="s">
        <v>1275</v>
      </c>
      <c r="F60" s="2355" t="s">
        <v>1275</v>
      </c>
      <c r="G60" s="2355" t="s">
        <v>1275</v>
      </c>
      <c r="H60" s="2355">
        <v>0</v>
      </c>
      <c r="I60" s="2356">
        <v>0</v>
      </c>
      <c r="J60" s="2357">
        <v>0</v>
      </c>
      <c r="K60" s="2355">
        <v>0</v>
      </c>
      <c r="L60" s="2355">
        <v>0</v>
      </c>
      <c r="M60" s="2356">
        <v>0</v>
      </c>
      <c r="N60" s="2357">
        <v>0</v>
      </c>
      <c r="O60" s="2355">
        <v>0</v>
      </c>
      <c r="P60" s="2355">
        <v>0</v>
      </c>
      <c r="Q60" s="2355">
        <v>0</v>
      </c>
      <c r="R60" s="2355">
        <v>0</v>
      </c>
      <c r="S60" s="2355">
        <v>0</v>
      </c>
      <c r="T60" s="2355">
        <v>0</v>
      </c>
      <c r="U60" s="2355">
        <v>0</v>
      </c>
      <c r="V60" s="2355">
        <v>0</v>
      </c>
      <c r="W60" s="2355">
        <v>0</v>
      </c>
      <c r="X60" s="2355">
        <v>0</v>
      </c>
      <c r="Y60" s="2355">
        <v>0</v>
      </c>
      <c r="Z60" s="2358">
        <v>0</v>
      </c>
      <c r="AA60" s="2359">
        <v>0</v>
      </c>
      <c r="AB60" s="2359">
        <v>0</v>
      </c>
      <c r="AC60" s="2359">
        <v>0</v>
      </c>
      <c r="AD60" s="2359">
        <v>8373052</v>
      </c>
      <c r="AE60" s="2359">
        <v>34000948</v>
      </c>
    </row>
    <row r="61" spans="1:31">
      <c r="A61" s="2384"/>
      <c r="B61" s="2385" t="s">
        <v>1182</v>
      </c>
      <c r="C61" s="2386">
        <v>78098120</v>
      </c>
      <c r="D61" s="2387">
        <v>23631750</v>
      </c>
      <c r="E61" s="2387">
        <v>0</v>
      </c>
      <c r="F61" s="2387">
        <v>0</v>
      </c>
      <c r="G61" s="2387">
        <v>0</v>
      </c>
      <c r="H61" s="2387">
        <v>3585000</v>
      </c>
      <c r="I61" s="2388">
        <v>114373870</v>
      </c>
      <c r="J61" s="2386">
        <v>107386645</v>
      </c>
      <c r="K61" s="2387">
        <v>-6987225</v>
      </c>
      <c r="L61" s="2387">
        <v>-6987225</v>
      </c>
      <c r="M61" s="2388">
        <v>0</v>
      </c>
      <c r="N61" s="2386">
        <v>2526397</v>
      </c>
      <c r="O61" s="2387">
        <v>1488348</v>
      </c>
      <c r="P61" s="2387">
        <v>4518741</v>
      </c>
      <c r="Q61" s="2387">
        <v>4342812</v>
      </c>
      <c r="R61" s="2387">
        <v>3272730</v>
      </c>
      <c r="S61" s="2387">
        <v>2949687</v>
      </c>
      <c r="T61" s="2387">
        <v>3239204</v>
      </c>
      <c r="U61" s="2387">
        <v>2706707</v>
      </c>
      <c r="V61" s="2387">
        <v>2527923</v>
      </c>
      <c r="W61" s="2387">
        <v>3378918</v>
      </c>
      <c r="X61" s="2387">
        <v>2864019</v>
      </c>
      <c r="Y61" s="2387">
        <v>3354122</v>
      </c>
      <c r="Z61" s="2389">
        <v>37169608</v>
      </c>
      <c r="AA61" s="2388">
        <v>36432334</v>
      </c>
      <c r="AB61" s="2388">
        <v>37970330</v>
      </c>
      <c r="AC61" s="2388">
        <v>38894352</v>
      </c>
      <c r="AD61" s="2388">
        <v>40226179</v>
      </c>
      <c r="AE61" s="2388">
        <v>71113379</v>
      </c>
    </row>
    <row r="62" spans="1:31" ht="16.2" thickBot="1">
      <c r="A62" s="2390"/>
      <c r="B62" s="2391" t="s">
        <v>1184</v>
      </c>
      <c r="C62" s="2392">
        <v>135929281</v>
      </c>
      <c r="D62" s="2393">
        <v>32663750</v>
      </c>
      <c r="E62" s="2393">
        <v>0</v>
      </c>
      <c r="F62" s="2393">
        <v>0</v>
      </c>
      <c r="G62" s="2393">
        <v>0</v>
      </c>
      <c r="H62" s="2393">
        <v>12564500</v>
      </c>
      <c r="I62" s="2394">
        <v>196899531</v>
      </c>
      <c r="J62" s="2392">
        <v>174881479</v>
      </c>
      <c r="K62" s="2393">
        <v>-22018052</v>
      </c>
      <c r="L62" s="2393">
        <v>-22018052</v>
      </c>
      <c r="M62" s="2394">
        <v>0</v>
      </c>
      <c r="N62" s="2392">
        <v>6548621</v>
      </c>
      <c r="O62" s="2393">
        <v>4030977</v>
      </c>
      <c r="P62" s="2393">
        <v>7915922</v>
      </c>
      <c r="Q62" s="2393">
        <v>6872527</v>
      </c>
      <c r="R62" s="2393">
        <v>5826483</v>
      </c>
      <c r="S62" s="2393">
        <v>5940068</v>
      </c>
      <c r="T62" s="2393">
        <v>5771855</v>
      </c>
      <c r="U62" s="2393">
        <v>4476597</v>
      </c>
      <c r="V62" s="2393">
        <v>4212536</v>
      </c>
      <c r="W62" s="2393">
        <v>7499703</v>
      </c>
      <c r="X62" s="2393">
        <v>5477499</v>
      </c>
      <c r="Y62" s="2393">
        <v>13550986</v>
      </c>
      <c r="Z62" s="2395">
        <v>78123774</v>
      </c>
      <c r="AA62" s="2394">
        <v>74093856</v>
      </c>
      <c r="AB62" s="2394">
        <v>81264186</v>
      </c>
      <c r="AC62" s="2394">
        <v>80478460</v>
      </c>
      <c r="AD62" s="2394">
        <v>88626486</v>
      </c>
      <c r="AE62" s="2394">
        <v>438226679</v>
      </c>
    </row>
    <row r="64" spans="1:31">
      <c r="B64" s="2396" t="s">
        <v>2488</v>
      </c>
      <c r="C64" s="2396">
        <v>0</v>
      </c>
      <c r="D64" s="2396">
        <v>0</v>
      </c>
      <c r="E64" s="1954">
        <v>0</v>
      </c>
      <c r="F64" s="1954">
        <v>0</v>
      </c>
      <c r="G64" s="1954">
        <v>0</v>
      </c>
      <c r="H64" s="1954">
        <v>0</v>
      </c>
      <c r="I64" s="1954">
        <v>0</v>
      </c>
      <c r="J64" s="1954">
        <v>0</v>
      </c>
      <c r="L64" s="1954">
        <v>0</v>
      </c>
      <c r="N64" s="1954">
        <v>0</v>
      </c>
      <c r="O64" s="1954">
        <v>0</v>
      </c>
      <c r="P64" s="1954">
        <v>0</v>
      </c>
      <c r="Q64" s="1954">
        <v>0</v>
      </c>
      <c r="R64" s="1954">
        <v>0</v>
      </c>
      <c r="S64" s="1954">
        <v>0</v>
      </c>
      <c r="T64" s="1954">
        <v>0</v>
      </c>
      <c r="U64" s="1954">
        <v>0</v>
      </c>
      <c r="V64" s="1954">
        <v>0</v>
      </c>
      <c r="W64" s="1954">
        <v>0</v>
      </c>
      <c r="X64" s="1954">
        <v>0</v>
      </c>
      <c r="Y64" s="1954">
        <v>0</v>
      </c>
      <c r="AA64" s="1954">
        <v>0</v>
      </c>
      <c r="AB64" s="1954">
        <v>0</v>
      </c>
      <c r="AC64" s="1954">
        <v>0</v>
      </c>
      <c r="AD64" s="1954">
        <v>0</v>
      </c>
      <c r="AE64" s="1954">
        <v>0</v>
      </c>
    </row>
    <row r="66" spans="1:31">
      <c r="K66" s="1954" t="s">
        <v>2484</v>
      </c>
    </row>
    <row r="67" spans="1:31">
      <c r="H67" s="2397" t="s">
        <v>2485</v>
      </c>
      <c r="I67" s="2397"/>
      <c r="J67" s="2398">
        <v>46280</v>
      </c>
      <c r="K67" s="2355">
        <v>21337639</v>
      </c>
    </row>
    <row r="68" spans="1:31">
      <c r="J68" s="2398">
        <v>46281</v>
      </c>
      <c r="K68" s="2355">
        <v>21357639</v>
      </c>
    </row>
    <row r="69" spans="1:31" ht="16.2" thickBot="1">
      <c r="J69" s="2398">
        <v>46282</v>
      </c>
      <c r="K69" s="2355">
        <v>21316189</v>
      </c>
    </row>
    <row r="70" spans="1:31" ht="18.600000000000001" thickBot="1">
      <c r="J70" s="2398">
        <v>46294</v>
      </c>
      <c r="K70" s="1954">
        <v>22018052</v>
      </c>
      <c r="L70" s="2399" t="s">
        <v>2444</v>
      </c>
      <c r="M70" s="2400"/>
      <c r="N70" s="2704" t="s">
        <v>2445</v>
      </c>
      <c r="O70" s="2704"/>
      <c r="P70" s="2704"/>
      <c r="Q70" s="2704"/>
      <c r="R70" s="2704"/>
      <c r="S70" s="2704"/>
      <c r="T70" s="2704"/>
      <c r="U70" s="2704"/>
      <c r="V70" s="2704"/>
      <c r="W70" s="2704"/>
      <c r="X70" s="2704"/>
      <c r="Y70" s="2704"/>
      <c r="Z70" s="2705"/>
      <c r="AA70" s="2706" t="s">
        <v>2446</v>
      </c>
      <c r="AB70" s="2702" t="s">
        <v>2447</v>
      </c>
      <c r="AC70" s="2702" t="s">
        <v>2448</v>
      </c>
      <c r="AD70" s="2702" t="s">
        <v>2449</v>
      </c>
      <c r="AE70" s="2702" t="s">
        <v>2486</v>
      </c>
    </row>
    <row r="71" spans="1:31" ht="16.8" thickBot="1">
      <c r="L71" s="2401" t="s">
        <v>2460</v>
      </c>
      <c r="N71" s="2402" t="s">
        <v>2461</v>
      </c>
      <c r="O71" s="2403" t="s">
        <v>2462</v>
      </c>
      <c r="P71" s="2403" t="s">
        <v>2463</v>
      </c>
      <c r="Q71" s="2403" t="s">
        <v>2464</v>
      </c>
      <c r="R71" s="2403" t="s">
        <v>2465</v>
      </c>
      <c r="S71" s="2403" t="s">
        <v>2466</v>
      </c>
      <c r="T71" s="2403" t="s">
        <v>2467</v>
      </c>
      <c r="U71" s="2403" t="s">
        <v>2468</v>
      </c>
      <c r="V71" s="2403" t="s">
        <v>2469</v>
      </c>
      <c r="W71" s="2403" t="s">
        <v>2470</v>
      </c>
      <c r="X71" s="2403" t="s">
        <v>2471</v>
      </c>
      <c r="Y71" s="2403" t="s">
        <v>2472</v>
      </c>
      <c r="Z71" s="2404" t="s">
        <v>2473</v>
      </c>
      <c r="AA71" s="2703"/>
      <c r="AB71" s="2703"/>
      <c r="AC71" s="2703"/>
      <c r="AD71" s="2703"/>
      <c r="AE71" s="2703"/>
    </row>
    <row r="72" spans="1:31">
      <c r="A72" s="2405" t="s">
        <v>653</v>
      </c>
      <c r="B72" s="2406" t="s">
        <v>1956</v>
      </c>
      <c r="C72" s="2407">
        <v>0</v>
      </c>
      <c r="D72" s="2408"/>
      <c r="E72" s="2409"/>
      <c r="F72" s="2409"/>
      <c r="G72" s="2409"/>
      <c r="H72" s="2409"/>
      <c r="I72" s="2409"/>
      <c r="J72" s="2409"/>
      <c r="K72" s="2409"/>
      <c r="L72" s="2410">
        <v>241615</v>
      </c>
      <c r="M72" s="2411"/>
      <c r="N72" s="2410">
        <v>-10381</v>
      </c>
      <c r="O72" s="2412">
        <v>-5900</v>
      </c>
      <c r="P72" s="2412">
        <v>-5901</v>
      </c>
      <c r="Q72" s="2412">
        <v>-22493</v>
      </c>
      <c r="R72" s="2412">
        <v>-22492</v>
      </c>
      <c r="S72" s="2412">
        <v>-22493</v>
      </c>
      <c r="T72" s="2412">
        <v>-24118</v>
      </c>
      <c r="U72" s="2412">
        <v>-26937</v>
      </c>
      <c r="V72" s="2412">
        <v>-26936</v>
      </c>
      <c r="W72" s="2412">
        <v>-26936</v>
      </c>
      <c r="X72" s="2412">
        <v>-16810</v>
      </c>
      <c r="Y72" s="2412">
        <v>-30218</v>
      </c>
      <c r="Z72" s="2413">
        <v>-241615</v>
      </c>
      <c r="AA72" s="2412" t="s">
        <v>1275</v>
      </c>
      <c r="AB72" s="2414">
        <v>0</v>
      </c>
      <c r="AC72" s="2414">
        <v>0</v>
      </c>
      <c r="AD72" s="2415">
        <v>0</v>
      </c>
      <c r="AE72" s="2415">
        <v>0</v>
      </c>
    </row>
    <row r="73" spans="1:31">
      <c r="A73" s="1628" t="s">
        <v>620</v>
      </c>
      <c r="B73" s="2360" t="s">
        <v>621</v>
      </c>
      <c r="C73" s="2353"/>
      <c r="D73" s="2354"/>
      <c r="E73" s="2355"/>
      <c r="F73" s="2355"/>
      <c r="G73" s="2355"/>
      <c r="H73" s="2355"/>
      <c r="I73" s="2355"/>
      <c r="J73" s="2355"/>
      <c r="K73" s="2355"/>
      <c r="L73" s="2357">
        <v>201922</v>
      </c>
      <c r="M73" s="2356"/>
      <c r="N73" s="2357">
        <v>-608</v>
      </c>
      <c r="O73" s="2355">
        <v>-607</v>
      </c>
      <c r="P73" s="2355">
        <v>-608</v>
      </c>
      <c r="Q73" s="2355">
        <v>-20253</v>
      </c>
      <c r="R73" s="2355">
        <v>-20253</v>
      </c>
      <c r="S73" s="2355">
        <v>-20253</v>
      </c>
      <c r="T73" s="2355">
        <v>-20860</v>
      </c>
      <c r="U73" s="2355">
        <v>-26937</v>
      </c>
      <c r="V73" s="2355">
        <v>-26936</v>
      </c>
      <c r="W73" s="2355">
        <v>-26936</v>
      </c>
      <c r="X73" s="2355">
        <v>-16810</v>
      </c>
      <c r="Y73" s="2355">
        <v>-20861</v>
      </c>
      <c r="Z73" s="2358">
        <v>-201922</v>
      </c>
      <c r="AA73" s="2355">
        <v>0</v>
      </c>
      <c r="AB73" s="2355">
        <v>0</v>
      </c>
      <c r="AC73" s="2355">
        <v>0</v>
      </c>
      <c r="AD73" s="2355">
        <v>0</v>
      </c>
      <c r="AE73" s="2355">
        <v>0</v>
      </c>
    </row>
    <row r="74" spans="1:31">
      <c r="A74" s="1628" t="s">
        <v>631</v>
      </c>
      <c r="B74" s="2360" t="s">
        <v>1050</v>
      </c>
      <c r="C74" s="2353"/>
      <c r="D74" s="2354"/>
      <c r="E74" s="2355"/>
      <c r="F74" s="2355"/>
      <c r="G74" s="2355"/>
      <c r="H74" s="2355"/>
      <c r="I74" s="2355"/>
      <c r="J74" s="2355"/>
      <c r="K74" s="2355"/>
      <c r="L74" s="2357">
        <v>39693</v>
      </c>
      <c r="M74" s="2356"/>
      <c r="N74" s="2357">
        <v>-9773</v>
      </c>
      <c r="O74" s="2355">
        <v>-5293</v>
      </c>
      <c r="P74" s="2355">
        <v>-5293</v>
      </c>
      <c r="Q74" s="2355">
        <v>-2240</v>
      </c>
      <c r="R74" s="2355">
        <v>-2239</v>
      </c>
      <c r="S74" s="2355">
        <v>-2240</v>
      </c>
      <c r="T74" s="2355">
        <v>-3258</v>
      </c>
      <c r="U74" s="2355">
        <v>0</v>
      </c>
      <c r="V74" s="2355">
        <v>0</v>
      </c>
      <c r="W74" s="2355">
        <v>0</v>
      </c>
      <c r="X74" s="2355">
        <v>0</v>
      </c>
      <c r="Y74" s="2355">
        <v>-9357</v>
      </c>
      <c r="Z74" s="2358">
        <v>-39693</v>
      </c>
      <c r="AA74" s="2355">
        <v>0</v>
      </c>
      <c r="AB74" s="2355">
        <v>0</v>
      </c>
      <c r="AC74" s="2355">
        <v>0</v>
      </c>
      <c r="AD74" s="2355">
        <v>0</v>
      </c>
      <c r="AE74" s="2355">
        <v>0</v>
      </c>
    </row>
    <row r="75" spans="1:31">
      <c r="A75" s="1628"/>
      <c r="B75" s="2360"/>
      <c r="C75" s="2353"/>
      <c r="D75" s="2354"/>
      <c r="E75" s="2355"/>
      <c r="F75" s="2355"/>
      <c r="G75" s="2355"/>
      <c r="H75" s="2355"/>
      <c r="I75" s="2355"/>
      <c r="J75" s="2355"/>
      <c r="K75" s="2355"/>
      <c r="L75" s="2357"/>
      <c r="M75" s="2356"/>
      <c r="N75" s="2357"/>
      <c r="O75" s="2355"/>
      <c r="P75" s="2355"/>
      <c r="Q75" s="2355"/>
      <c r="R75" s="2355"/>
      <c r="S75" s="2355"/>
      <c r="T75" s="2355"/>
      <c r="U75" s="2355"/>
      <c r="V75" s="2355"/>
      <c r="W75" s="2355"/>
      <c r="X75" s="2355"/>
      <c r="Y75" s="2355"/>
      <c r="Z75" s="2358">
        <v>0</v>
      </c>
      <c r="AA75" s="2416"/>
      <c r="AB75" s="2416"/>
      <c r="AC75" s="2416"/>
      <c r="AD75" s="2417"/>
      <c r="AE75" s="2417"/>
    </row>
    <row r="76" spans="1:31" ht="16.2" thickBot="1">
      <c r="A76" s="2405" t="s">
        <v>709</v>
      </c>
      <c r="B76" s="2418" t="s">
        <v>2487</v>
      </c>
      <c r="C76" s="2407">
        <v>0</v>
      </c>
      <c r="D76" s="2408"/>
      <c r="E76" s="2409"/>
      <c r="F76" s="2409"/>
      <c r="G76" s="2409"/>
      <c r="H76" s="2409"/>
      <c r="I76" s="2409"/>
      <c r="J76" s="2409"/>
      <c r="K76" s="2409"/>
      <c r="L76" s="2419">
        <v>36698</v>
      </c>
      <c r="M76" s="2420"/>
      <c r="N76" s="2419">
        <v>-10232</v>
      </c>
      <c r="O76" s="2421">
        <v>-2232</v>
      </c>
      <c r="P76" s="2421">
        <v>-3209</v>
      </c>
      <c r="Q76" s="2421">
        <v>0</v>
      </c>
      <c r="R76" s="2421">
        <v>0</v>
      </c>
      <c r="S76" s="2421">
        <v>0</v>
      </c>
      <c r="T76" s="2421">
        <v>0</v>
      </c>
      <c r="U76" s="2421">
        <v>0</v>
      </c>
      <c r="V76" s="2421">
        <v>0</v>
      </c>
      <c r="W76" s="2421">
        <v>-746</v>
      </c>
      <c r="X76" s="2421">
        <v>0</v>
      </c>
      <c r="Y76" s="2421">
        <v>0</v>
      </c>
      <c r="Z76" s="2422">
        <v>-16419</v>
      </c>
      <c r="AA76" s="2423">
        <v>0</v>
      </c>
      <c r="AB76" s="2423">
        <v>0</v>
      </c>
      <c r="AC76" s="2423">
        <v>0</v>
      </c>
      <c r="AD76" s="2424">
        <v>0</v>
      </c>
      <c r="AE76" s="2424">
        <v>-20279</v>
      </c>
    </row>
    <row r="77" spans="1:31">
      <c r="A77" s="1628" t="s">
        <v>668</v>
      </c>
      <c r="B77" s="2360" t="s">
        <v>1107</v>
      </c>
      <c r="C77" s="2353"/>
      <c r="D77" s="2354"/>
      <c r="E77" s="2355"/>
      <c r="F77" s="2355"/>
      <c r="G77" s="2355"/>
      <c r="H77" s="2355"/>
      <c r="I77" s="2355"/>
      <c r="J77" s="2355"/>
      <c r="K77" s="2355"/>
      <c r="L77" s="2357">
        <v>36698</v>
      </c>
      <c r="M77" s="2356"/>
      <c r="N77" s="2357">
        <v>-10232</v>
      </c>
      <c r="O77" s="2355">
        <v>-2232</v>
      </c>
      <c r="P77" s="2355">
        <v>-3209</v>
      </c>
      <c r="Q77" s="2355">
        <v>0</v>
      </c>
      <c r="R77" s="2355">
        <v>0</v>
      </c>
      <c r="S77" s="2355">
        <v>0</v>
      </c>
      <c r="T77" s="2355">
        <v>0</v>
      </c>
      <c r="U77" s="2355">
        <v>0</v>
      </c>
      <c r="V77" s="2355">
        <v>0</v>
      </c>
      <c r="W77" s="2355">
        <v>-746</v>
      </c>
      <c r="X77" s="2355">
        <v>0</v>
      </c>
      <c r="Y77" s="2355">
        <v>0</v>
      </c>
      <c r="Z77" s="2358">
        <v>-16419</v>
      </c>
      <c r="AA77" s="2355">
        <v>0</v>
      </c>
      <c r="AB77" s="2355">
        <v>0</v>
      </c>
      <c r="AC77" s="2355">
        <v>0</v>
      </c>
      <c r="AD77" s="2355">
        <v>0</v>
      </c>
      <c r="AE77" s="2358">
        <v>-20279</v>
      </c>
    </row>
    <row r="78" spans="1:31" ht="16.2" thickBot="1">
      <c r="A78" s="1628"/>
      <c r="B78" s="2360"/>
      <c r="C78" s="2353"/>
      <c r="D78" s="2354"/>
      <c r="E78" s="2355"/>
      <c r="F78" s="2355"/>
      <c r="G78" s="2355"/>
      <c r="H78" s="2355"/>
      <c r="I78" s="2355"/>
      <c r="J78" s="2355"/>
      <c r="K78" s="2355"/>
      <c r="L78" s="2425"/>
      <c r="M78" s="2426"/>
      <c r="N78" s="2425"/>
      <c r="O78" s="2427"/>
      <c r="P78" s="2427"/>
      <c r="Q78" s="2427"/>
      <c r="R78" s="2427"/>
      <c r="S78" s="2427"/>
      <c r="T78" s="2427"/>
      <c r="U78" s="2427"/>
      <c r="V78" s="2427"/>
      <c r="W78" s="2427"/>
      <c r="X78" s="2427"/>
      <c r="Y78" s="2427"/>
      <c r="Z78" s="2428"/>
      <c r="AA78" s="2429"/>
      <c r="AB78" s="2429"/>
      <c r="AC78" s="2429"/>
      <c r="AD78" s="2430"/>
      <c r="AE78" s="2430"/>
    </row>
  </sheetData>
  <mergeCells count="14">
    <mergeCell ref="C2:I2"/>
    <mergeCell ref="J2:M2"/>
    <mergeCell ref="N2:Z2"/>
    <mergeCell ref="AA2:AA3"/>
    <mergeCell ref="AB2:AB3"/>
    <mergeCell ref="AD2:AD3"/>
    <mergeCell ref="AE2:AE3"/>
    <mergeCell ref="N70:Z70"/>
    <mergeCell ref="AA70:AA71"/>
    <mergeCell ref="AB70:AB71"/>
    <mergeCell ref="AC70:AC71"/>
    <mergeCell ref="AD70:AD71"/>
    <mergeCell ref="AE70:AE71"/>
    <mergeCell ref="AC2:AC3"/>
  </mergeCells>
  <phoneticPr fontId="101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2B6-23B9-49F6-AFEB-FFACF40DE32F}">
  <sheetPr>
    <tabColor theme="1"/>
  </sheetPr>
  <dimension ref="A1:B35"/>
  <sheetViews>
    <sheetView topLeftCell="A9" workbookViewId="0">
      <selection activeCell="B35" sqref="B35"/>
    </sheetView>
  </sheetViews>
  <sheetFormatPr defaultRowHeight="16.2"/>
  <cols>
    <col min="2" max="2" width="10.44140625" bestFit="1" customWidth="1"/>
  </cols>
  <sheetData>
    <row r="1" spans="1:2">
      <c r="A1" t="s">
        <v>620</v>
      </c>
      <c r="B1" s="721">
        <v>1547393</v>
      </c>
    </row>
    <row r="2" spans="1:2">
      <c r="A2" t="s">
        <v>668</v>
      </c>
      <c r="B2" s="721">
        <v>7485000</v>
      </c>
    </row>
    <row r="3" spans="1:2">
      <c r="A3" t="s">
        <v>622</v>
      </c>
      <c r="B3" s="721">
        <v>16428000</v>
      </c>
    </row>
    <row r="4" spans="1:2">
      <c r="A4" t="s">
        <v>624</v>
      </c>
      <c r="B4" s="721">
        <v>7971518</v>
      </c>
    </row>
    <row r="5" spans="1:2">
      <c r="A5" t="s">
        <v>626</v>
      </c>
      <c r="B5" s="721">
        <v>1950000</v>
      </c>
    </row>
    <row r="6" spans="1:2">
      <c r="A6" t="s">
        <v>670</v>
      </c>
      <c r="B6" s="721">
        <v>3920000</v>
      </c>
    </row>
    <row r="7" spans="1:2">
      <c r="A7" t="s">
        <v>628</v>
      </c>
      <c r="B7" s="721">
        <v>11541000</v>
      </c>
    </row>
    <row r="8" spans="1:2">
      <c r="A8" t="s">
        <v>631</v>
      </c>
      <c r="B8" s="721">
        <v>3615000</v>
      </c>
    </row>
    <row r="9" spans="1:2">
      <c r="A9" t="s">
        <v>634</v>
      </c>
      <c r="B9" s="721">
        <v>5465000</v>
      </c>
    </row>
    <row r="10" spans="1:2">
      <c r="A10" t="s">
        <v>672</v>
      </c>
      <c r="B10" s="721">
        <v>867500</v>
      </c>
    </row>
    <row r="11" spans="1:2">
      <c r="A11" t="s">
        <v>673</v>
      </c>
      <c r="B11" s="721">
        <v>14190000</v>
      </c>
    </row>
    <row r="12" spans="1:2">
      <c r="A12" t="s">
        <v>675</v>
      </c>
      <c r="B12" s="721">
        <v>4370000</v>
      </c>
    </row>
    <row r="13" spans="1:2">
      <c r="A13" t="s">
        <v>636</v>
      </c>
      <c r="B13" s="721">
        <v>6868000</v>
      </c>
    </row>
    <row r="14" spans="1:2">
      <c r="A14" t="s">
        <v>677</v>
      </c>
      <c r="B14" s="721">
        <v>28945000</v>
      </c>
    </row>
    <row r="15" spans="1:2">
      <c r="A15" t="s">
        <v>678</v>
      </c>
      <c r="B15" s="721">
        <v>2200000</v>
      </c>
    </row>
    <row r="16" spans="1:2">
      <c r="A16" t="s">
        <v>680</v>
      </c>
      <c r="B16" s="721">
        <v>2975000</v>
      </c>
    </row>
    <row r="17" spans="1:2">
      <c r="A17" t="s">
        <v>682</v>
      </c>
      <c r="B17" s="721">
        <v>1977000</v>
      </c>
    </row>
    <row r="18" spans="1:2">
      <c r="A18" t="s">
        <v>684</v>
      </c>
      <c r="B18" s="721">
        <v>1557000</v>
      </c>
    </row>
    <row r="19" spans="1:2">
      <c r="A19" t="s">
        <v>686</v>
      </c>
      <c r="B19" s="721">
        <v>3240000</v>
      </c>
    </row>
    <row r="20" spans="1:2">
      <c r="A20" t="s">
        <v>688</v>
      </c>
      <c r="B20" s="721">
        <v>3047620</v>
      </c>
    </row>
    <row r="21" spans="1:2">
      <c r="A21" t="s">
        <v>638</v>
      </c>
      <c r="B21" s="721">
        <v>2888750</v>
      </c>
    </row>
    <row r="22" spans="1:2">
      <c r="A22" t="s">
        <v>640</v>
      </c>
      <c r="B22" s="721">
        <v>4000000</v>
      </c>
    </row>
    <row r="23" spans="1:2">
      <c r="A23" t="s">
        <v>641</v>
      </c>
      <c r="B23" s="721">
        <v>2280000</v>
      </c>
    </row>
    <row r="24" spans="1:2">
      <c r="A24" t="s">
        <v>642</v>
      </c>
      <c r="B24" s="721">
        <v>2256000</v>
      </c>
    </row>
    <row r="25" spans="1:2">
      <c r="A25" t="s">
        <v>690</v>
      </c>
      <c r="B25" s="721">
        <v>9774750</v>
      </c>
    </row>
    <row r="26" spans="1:2">
      <c r="A26" t="s">
        <v>692</v>
      </c>
      <c r="B26" s="721">
        <v>1780000</v>
      </c>
    </row>
    <row r="27" spans="1:2">
      <c r="A27" t="s">
        <v>694</v>
      </c>
      <c r="B27" s="721">
        <v>2040000</v>
      </c>
    </row>
    <row r="28" spans="1:2">
      <c r="A28" t="s">
        <v>695</v>
      </c>
      <c r="B28" s="721">
        <v>1395000</v>
      </c>
    </row>
    <row r="29" spans="1:2">
      <c r="A29" t="s">
        <v>697</v>
      </c>
      <c r="B29" s="721">
        <v>534000</v>
      </c>
    </row>
    <row r="30" spans="1:2">
      <c r="A30" t="s">
        <v>699</v>
      </c>
      <c r="B30" s="721">
        <v>160000</v>
      </c>
    </row>
    <row r="31" spans="1:2">
      <c r="A31" t="s">
        <v>647</v>
      </c>
      <c r="B31" s="721">
        <v>1284200</v>
      </c>
    </row>
    <row r="32" spans="1:2">
      <c r="A32" t="s">
        <v>2504</v>
      </c>
      <c r="B32" s="721">
        <v>3990100</v>
      </c>
    </row>
    <row r="33" spans="1:2">
      <c r="A33" t="s">
        <v>2505</v>
      </c>
      <c r="B33" s="721">
        <v>1630000</v>
      </c>
    </row>
    <row r="34" spans="1:2">
      <c r="A34" t="s">
        <v>2506</v>
      </c>
      <c r="B34" s="721">
        <v>880000</v>
      </c>
    </row>
    <row r="35" spans="1:2">
      <c r="A35" t="s">
        <v>2507</v>
      </c>
      <c r="B35" s="721">
        <v>11112000</v>
      </c>
    </row>
  </sheetData>
  <phoneticPr fontId="10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DD7EE"/>
  </sheetPr>
  <dimension ref="A1:WXL1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3" sqref="G13"/>
    </sheetView>
  </sheetViews>
  <sheetFormatPr defaultColWidth="9" defaultRowHeight="15.6"/>
  <cols>
    <col min="1" max="1" width="12.6640625" style="326" customWidth="1"/>
    <col min="2" max="2" width="33.21875" style="326" customWidth="1"/>
    <col min="3" max="4" width="17.44140625" style="97" customWidth="1"/>
    <col min="5" max="5" width="16" style="290" customWidth="1"/>
    <col min="6" max="7" width="16.109375" style="208" customWidth="1"/>
    <col min="8" max="8" width="14.88671875" style="208" customWidth="1"/>
    <col min="9" max="11" width="10" style="327" hidden="1" customWidth="1"/>
    <col min="12" max="12" width="8.109375" style="328" customWidth="1"/>
    <col min="13" max="14" width="16.109375" style="208" customWidth="1"/>
    <col min="15" max="15" width="15.21875" style="208" customWidth="1"/>
    <col min="16" max="17" width="16.109375" style="208" customWidth="1"/>
    <col min="18" max="18" width="13.6640625" style="208" customWidth="1"/>
    <col min="19" max="19" width="17.44140625" style="208" customWidth="1"/>
    <col min="20" max="20" width="16.109375" style="208" customWidth="1"/>
    <col min="21" max="21" width="14.88671875" style="208" customWidth="1"/>
    <col min="22" max="23" width="10.21875" style="97" customWidth="1"/>
    <col min="24" max="24" width="11.21875" style="97" customWidth="1"/>
    <col min="25" max="25" width="11.88671875" style="326" customWidth="1"/>
    <col min="26" max="28" width="12.44140625" style="97" customWidth="1"/>
    <col min="29" max="29" width="7" style="326" customWidth="1"/>
    <col min="30" max="30" width="11.88671875" style="97" customWidth="1"/>
    <col min="31" max="31" width="13.6640625" style="97" customWidth="1"/>
    <col min="32" max="32" width="13.109375" style="97" customWidth="1"/>
    <col min="33" max="33" width="12.6640625" style="208" customWidth="1"/>
    <col min="34" max="34" width="5.88671875" style="208" customWidth="1"/>
    <col min="35" max="35" width="4" style="97" customWidth="1"/>
    <col min="36" max="36" width="12" style="97" customWidth="1"/>
    <col min="37" max="37" width="5.109375" style="97" customWidth="1"/>
    <col min="38" max="38" width="12.6640625" style="97" customWidth="1"/>
    <col min="39" max="39" width="41.6640625" style="97" customWidth="1"/>
    <col min="40" max="40" width="15.109375" style="97" customWidth="1"/>
    <col min="41" max="41" width="15.21875" style="97" customWidth="1"/>
    <col min="42" max="42" width="10.44140625" style="97" customWidth="1"/>
    <col min="43" max="43" width="8.6640625" style="328" customWidth="1"/>
    <col min="44" max="44" width="15.109375" style="329" customWidth="1"/>
    <col min="45" max="45" width="15.21875" style="329" customWidth="1"/>
    <col min="46" max="46" width="9.44140625" style="329" customWidth="1"/>
    <col min="47" max="47" width="15.109375" style="329" customWidth="1"/>
    <col min="48" max="48" width="15.21875" style="329" customWidth="1"/>
    <col min="49" max="49" width="7.6640625" style="329" customWidth="1"/>
    <col min="50" max="52" width="12.44140625" style="97" customWidth="1"/>
    <col min="53" max="54" width="11.88671875" style="97" customWidth="1"/>
    <col min="55" max="55" width="9.44140625" style="97" customWidth="1"/>
    <col min="56" max="56" width="13.109375" style="97" customWidth="1"/>
    <col min="57" max="57" width="11.88671875" style="97" customWidth="1"/>
    <col min="58" max="58" width="10.44140625" style="97" customWidth="1"/>
    <col min="59" max="59" width="8.21875" style="97" customWidth="1"/>
    <col min="60" max="60" width="8.21875" style="326" customWidth="1"/>
    <col min="61" max="62" width="11.88671875" style="97" customWidth="1"/>
    <col min="63" max="63" width="10.44140625" style="97" customWidth="1"/>
    <col min="64" max="64" width="8.21875" style="97" customWidth="1"/>
    <col min="65" max="65" width="7.44140625" style="326" customWidth="1"/>
    <col min="66" max="66" width="23.44140625" style="326" customWidth="1"/>
    <col min="67" max="84" width="8.88671875" style="326" customWidth="1"/>
    <col min="85" max="233" width="9" style="326"/>
    <col min="234" max="234" width="20.44140625" style="326" customWidth="1"/>
    <col min="235" max="235" width="53" style="326" customWidth="1"/>
    <col min="236" max="236" width="30.6640625" style="326" customWidth="1"/>
    <col min="237" max="237" width="30.44140625" style="326" customWidth="1"/>
    <col min="238" max="238" width="28.21875" style="326" customWidth="1"/>
    <col min="239" max="240" width="30.6640625" style="326" customWidth="1"/>
    <col min="241" max="241" width="26.44140625" style="326" customWidth="1"/>
    <col min="242" max="243" width="30.6640625" style="326" customWidth="1"/>
    <col min="244" max="244" width="26.44140625" style="326" customWidth="1"/>
    <col min="245" max="245" width="17.6640625" style="326" customWidth="1"/>
    <col min="246" max="247" width="28.44140625" style="326" customWidth="1"/>
    <col min="248" max="248" width="24" style="326" customWidth="1"/>
    <col min="249" max="250" width="30.6640625" style="326" customWidth="1"/>
    <col min="251" max="251" width="26.44140625" style="326" customWidth="1"/>
    <col min="252" max="253" width="30.6640625" style="326" customWidth="1"/>
    <col min="254" max="254" width="28.44140625" style="326" customWidth="1"/>
    <col min="255" max="255" width="23.44140625" style="326" customWidth="1"/>
    <col min="256" max="257" width="21.6640625" style="326" customWidth="1"/>
    <col min="258" max="258" width="24.21875" style="326" customWidth="1"/>
    <col min="259" max="259" width="24.44140625" style="326" customWidth="1"/>
    <col min="260" max="260" width="22.6640625" style="326" customWidth="1"/>
    <col min="261" max="261" width="25" style="326" customWidth="1"/>
    <col min="262" max="262" width="8" style="326" customWidth="1"/>
    <col min="263" max="312" width="8.33203125" style="326" hidden="1" customWidth="1"/>
    <col min="313" max="313" width="23.44140625" style="326" customWidth="1"/>
    <col min="314" max="314" width="14.44140625" style="326" customWidth="1"/>
    <col min="315" max="489" width="9" style="326"/>
    <col min="490" max="490" width="20.44140625" style="326" customWidth="1"/>
    <col min="491" max="491" width="53" style="326" customWidth="1"/>
    <col min="492" max="492" width="30.6640625" style="326" customWidth="1"/>
    <col min="493" max="493" width="30.44140625" style="326" customWidth="1"/>
    <col min="494" max="494" width="28.21875" style="326" customWidth="1"/>
    <col min="495" max="496" width="30.6640625" style="326" customWidth="1"/>
    <col min="497" max="497" width="26.44140625" style="326" customWidth="1"/>
    <col min="498" max="499" width="30.6640625" style="326" customWidth="1"/>
    <col min="500" max="500" width="26.44140625" style="326" customWidth="1"/>
    <col min="501" max="501" width="17.6640625" style="326" customWidth="1"/>
    <col min="502" max="503" width="28.44140625" style="326" customWidth="1"/>
    <col min="504" max="504" width="24" style="326" customWidth="1"/>
    <col min="505" max="506" width="30.6640625" style="326" customWidth="1"/>
    <col min="507" max="507" width="26.44140625" style="326" customWidth="1"/>
    <col min="508" max="509" width="30.6640625" style="326" customWidth="1"/>
    <col min="510" max="510" width="28.44140625" style="326" customWidth="1"/>
    <col min="511" max="511" width="23.44140625" style="326" customWidth="1"/>
    <col min="512" max="513" width="21.6640625" style="326" customWidth="1"/>
    <col min="514" max="514" width="24.21875" style="326" customWidth="1"/>
    <col min="515" max="515" width="24.44140625" style="326" customWidth="1"/>
    <col min="516" max="516" width="22.6640625" style="326" customWidth="1"/>
    <col min="517" max="517" width="25" style="326" customWidth="1"/>
    <col min="518" max="518" width="8" style="326" customWidth="1"/>
    <col min="519" max="568" width="8.33203125" style="326" hidden="1" customWidth="1"/>
    <col min="569" max="569" width="23.44140625" style="326" customWidth="1"/>
    <col min="570" max="570" width="14.44140625" style="326" customWidth="1"/>
    <col min="571" max="745" width="9" style="326"/>
    <col min="746" max="746" width="20.44140625" style="326" customWidth="1"/>
    <col min="747" max="747" width="53" style="326" customWidth="1"/>
    <col min="748" max="748" width="30.6640625" style="326" customWidth="1"/>
    <col min="749" max="749" width="30.44140625" style="326" customWidth="1"/>
    <col min="750" max="750" width="28.21875" style="326" customWidth="1"/>
    <col min="751" max="752" width="30.6640625" style="326" customWidth="1"/>
    <col min="753" max="753" width="26.44140625" style="326" customWidth="1"/>
    <col min="754" max="755" width="30.6640625" style="326" customWidth="1"/>
    <col min="756" max="756" width="26.44140625" style="326" customWidth="1"/>
    <col min="757" max="757" width="17.6640625" style="326" customWidth="1"/>
    <col min="758" max="759" width="28.44140625" style="326" customWidth="1"/>
    <col min="760" max="760" width="24" style="326" customWidth="1"/>
    <col min="761" max="762" width="30.6640625" style="326" customWidth="1"/>
    <col min="763" max="763" width="26.44140625" style="326" customWidth="1"/>
    <col min="764" max="765" width="30.6640625" style="326" customWidth="1"/>
    <col min="766" max="766" width="28.44140625" style="326" customWidth="1"/>
    <col min="767" max="767" width="23.44140625" style="326" customWidth="1"/>
    <col min="768" max="769" width="21.6640625" style="326" customWidth="1"/>
    <col min="770" max="770" width="24.21875" style="326" customWidth="1"/>
    <col min="771" max="771" width="24.44140625" style="326" customWidth="1"/>
    <col min="772" max="772" width="22.6640625" style="326" customWidth="1"/>
    <col min="773" max="773" width="25" style="326" customWidth="1"/>
    <col min="774" max="774" width="8" style="326" customWidth="1"/>
    <col min="775" max="824" width="8.33203125" style="326" hidden="1" customWidth="1"/>
    <col min="825" max="825" width="23.44140625" style="326" customWidth="1"/>
    <col min="826" max="826" width="14.44140625" style="326" customWidth="1"/>
    <col min="827" max="1001" width="9" style="326"/>
    <col min="1002" max="1002" width="20.44140625" style="326" customWidth="1"/>
    <col min="1003" max="1003" width="53" style="326" customWidth="1"/>
    <col min="1004" max="1004" width="30.6640625" style="326" customWidth="1"/>
    <col min="1005" max="1005" width="30.44140625" style="326" customWidth="1"/>
    <col min="1006" max="1006" width="28.21875" style="326" customWidth="1"/>
    <col min="1007" max="1008" width="30.6640625" style="326" customWidth="1"/>
    <col min="1009" max="1009" width="26.44140625" style="326" customWidth="1"/>
    <col min="1010" max="1011" width="30.6640625" style="326" customWidth="1"/>
    <col min="1012" max="1012" width="26.44140625" style="326" customWidth="1"/>
    <col min="1013" max="1013" width="17.6640625" style="326" customWidth="1"/>
    <col min="1014" max="1015" width="28.44140625" style="326" customWidth="1"/>
    <col min="1016" max="1016" width="24" style="326" customWidth="1"/>
    <col min="1017" max="1018" width="30.6640625" style="326" customWidth="1"/>
    <col min="1019" max="1019" width="26.44140625" style="326" customWidth="1"/>
    <col min="1020" max="1021" width="30.6640625" style="326" customWidth="1"/>
    <col min="1022" max="1022" width="28.44140625" style="326" customWidth="1"/>
    <col min="1023" max="1023" width="23.44140625" style="326" customWidth="1"/>
    <col min="1024" max="1025" width="21.6640625" style="326" customWidth="1"/>
    <col min="1026" max="1026" width="24.21875" style="326" customWidth="1"/>
    <col min="1027" max="1027" width="24.44140625" style="326" customWidth="1"/>
    <col min="1028" max="1028" width="22.6640625" style="326" customWidth="1"/>
    <col min="1029" max="1029" width="25" style="326" customWidth="1"/>
    <col min="1030" max="1030" width="8" style="326" customWidth="1"/>
    <col min="1031" max="1080" width="8.33203125" style="326" hidden="1" customWidth="1"/>
    <col min="1081" max="1081" width="23.44140625" style="326" customWidth="1"/>
    <col min="1082" max="1082" width="14.44140625" style="326" customWidth="1"/>
    <col min="1083" max="1257" width="9" style="326"/>
    <col min="1258" max="1258" width="20.44140625" style="326" customWidth="1"/>
    <col min="1259" max="1259" width="53" style="326" customWidth="1"/>
    <col min="1260" max="1260" width="30.6640625" style="326" customWidth="1"/>
    <col min="1261" max="1261" width="30.44140625" style="326" customWidth="1"/>
    <col min="1262" max="1262" width="28.21875" style="326" customWidth="1"/>
    <col min="1263" max="1264" width="30.6640625" style="326" customWidth="1"/>
    <col min="1265" max="1265" width="26.44140625" style="326" customWidth="1"/>
    <col min="1266" max="1267" width="30.6640625" style="326" customWidth="1"/>
    <col min="1268" max="1268" width="26.44140625" style="326" customWidth="1"/>
    <col min="1269" max="1269" width="17.6640625" style="326" customWidth="1"/>
    <col min="1270" max="1271" width="28.44140625" style="326" customWidth="1"/>
    <col min="1272" max="1272" width="24" style="326" customWidth="1"/>
    <col min="1273" max="1274" width="30.6640625" style="326" customWidth="1"/>
    <col min="1275" max="1275" width="26.44140625" style="326" customWidth="1"/>
    <col min="1276" max="1277" width="30.6640625" style="326" customWidth="1"/>
    <col min="1278" max="1278" width="28.44140625" style="326" customWidth="1"/>
    <col min="1279" max="1279" width="23.44140625" style="326" customWidth="1"/>
    <col min="1280" max="1281" width="21.6640625" style="326" customWidth="1"/>
    <col min="1282" max="1282" width="24.21875" style="326" customWidth="1"/>
    <col min="1283" max="1283" width="24.44140625" style="326" customWidth="1"/>
    <col min="1284" max="1284" width="22.6640625" style="326" customWidth="1"/>
    <col min="1285" max="1285" width="25" style="326" customWidth="1"/>
    <col min="1286" max="1286" width="8" style="326" customWidth="1"/>
    <col min="1287" max="1336" width="8.33203125" style="326" hidden="1" customWidth="1"/>
    <col min="1337" max="1337" width="23.44140625" style="326" customWidth="1"/>
    <col min="1338" max="1338" width="14.44140625" style="326" customWidth="1"/>
    <col min="1339" max="1513" width="9" style="326"/>
    <col min="1514" max="1514" width="20.44140625" style="326" customWidth="1"/>
    <col min="1515" max="1515" width="53" style="326" customWidth="1"/>
    <col min="1516" max="1516" width="30.6640625" style="326" customWidth="1"/>
    <col min="1517" max="1517" width="30.44140625" style="326" customWidth="1"/>
    <col min="1518" max="1518" width="28.21875" style="326" customWidth="1"/>
    <col min="1519" max="1520" width="30.6640625" style="326" customWidth="1"/>
    <col min="1521" max="1521" width="26.44140625" style="326" customWidth="1"/>
    <col min="1522" max="1523" width="30.6640625" style="326" customWidth="1"/>
    <col min="1524" max="1524" width="26.44140625" style="326" customWidth="1"/>
    <col min="1525" max="1525" width="17.6640625" style="326" customWidth="1"/>
    <col min="1526" max="1527" width="28.44140625" style="326" customWidth="1"/>
    <col min="1528" max="1528" width="24" style="326" customWidth="1"/>
    <col min="1529" max="1530" width="30.6640625" style="326" customWidth="1"/>
    <col min="1531" max="1531" width="26.44140625" style="326" customWidth="1"/>
    <col min="1532" max="1533" width="30.6640625" style="326" customWidth="1"/>
    <col min="1534" max="1534" width="28.44140625" style="326" customWidth="1"/>
    <col min="1535" max="1535" width="23.44140625" style="326" customWidth="1"/>
    <col min="1536" max="1537" width="21.6640625" style="326" customWidth="1"/>
    <col min="1538" max="1538" width="24.21875" style="326" customWidth="1"/>
    <col min="1539" max="1539" width="24.44140625" style="326" customWidth="1"/>
    <col min="1540" max="1540" width="22.6640625" style="326" customWidth="1"/>
    <col min="1541" max="1541" width="25" style="326" customWidth="1"/>
    <col min="1542" max="1542" width="8" style="326" customWidth="1"/>
    <col min="1543" max="1592" width="8.33203125" style="326" hidden="1" customWidth="1"/>
    <col min="1593" max="1593" width="23.44140625" style="326" customWidth="1"/>
    <col min="1594" max="1594" width="14.44140625" style="326" customWidth="1"/>
    <col min="1595" max="1769" width="9" style="326"/>
    <col min="1770" max="1770" width="20.44140625" style="326" customWidth="1"/>
    <col min="1771" max="1771" width="53" style="326" customWidth="1"/>
    <col min="1772" max="1772" width="30.6640625" style="326" customWidth="1"/>
    <col min="1773" max="1773" width="30.44140625" style="326" customWidth="1"/>
    <col min="1774" max="1774" width="28.21875" style="326" customWidth="1"/>
    <col min="1775" max="1776" width="30.6640625" style="326" customWidth="1"/>
    <col min="1777" max="1777" width="26.44140625" style="326" customWidth="1"/>
    <col min="1778" max="1779" width="30.6640625" style="326" customWidth="1"/>
    <col min="1780" max="1780" width="26.44140625" style="326" customWidth="1"/>
    <col min="1781" max="1781" width="17.6640625" style="326" customWidth="1"/>
    <col min="1782" max="1783" width="28.44140625" style="326" customWidth="1"/>
    <col min="1784" max="1784" width="24" style="326" customWidth="1"/>
    <col min="1785" max="1786" width="30.6640625" style="326" customWidth="1"/>
    <col min="1787" max="1787" width="26.44140625" style="326" customWidth="1"/>
    <col min="1788" max="1789" width="30.6640625" style="326" customWidth="1"/>
    <col min="1790" max="1790" width="28.44140625" style="326" customWidth="1"/>
    <col min="1791" max="1791" width="23.44140625" style="326" customWidth="1"/>
    <col min="1792" max="1793" width="21.6640625" style="326" customWidth="1"/>
    <col min="1794" max="1794" width="24.21875" style="326" customWidth="1"/>
    <col min="1795" max="1795" width="24.44140625" style="326" customWidth="1"/>
    <col min="1796" max="1796" width="22.6640625" style="326" customWidth="1"/>
    <col min="1797" max="1797" width="25" style="326" customWidth="1"/>
    <col min="1798" max="1798" width="8" style="326" customWidth="1"/>
    <col min="1799" max="1848" width="8.33203125" style="326" hidden="1" customWidth="1"/>
    <col min="1849" max="1849" width="23.44140625" style="326" customWidth="1"/>
    <col min="1850" max="1850" width="14.44140625" style="326" customWidth="1"/>
    <col min="1851" max="2025" width="9" style="326"/>
    <col min="2026" max="2026" width="20.44140625" style="326" customWidth="1"/>
    <col min="2027" max="2027" width="53" style="326" customWidth="1"/>
    <col min="2028" max="2028" width="30.6640625" style="326" customWidth="1"/>
    <col min="2029" max="2029" width="30.44140625" style="326" customWidth="1"/>
    <col min="2030" max="2030" width="28.21875" style="326" customWidth="1"/>
    <col min="2031" max="2032" width="30.6640625" style="326" customWidth="1"/>
    <col min="2033" max="2033" width="26.44140625" style="326" customWidth="1"/>
    <col min="2034" max="2035" width="30.6640625" style="326" customWidth="1"/>
    <col min="2036" max="2036" width="26.44140625" style="326" customWidth="1"/>
    <col min="2037" max="2037" width="17.6640625" style="326" customWidth="1"/>
    <col min="2038" max="2039" width="28.44140625" style="326" customWidth="1"/>
    <col min="2040" max="2040" width="24" style="326" customWidth="1"/>
    <col min="2041" max="2042" width="30.6640625" style="326" customWidth="1"/>
    <col min="2043" max="2043" width="26.44140625" style="326" customWidth="1"/>
    <col min="2044" max="2045" width="30.6640625" style="326" customWidth="1"/>
    <col min="2046" max="2046" width="28.44140625" style="326" customWidth="1"/>
    <col min="2047" max="2047" width="23.44140625" style="326" customWidth="1"/>
    <col min="2048" max="2049" width="21.6640625" style="326" customWidth="1"/>
    <col min="2050" max="2050" width="24.21875" style="326" customWidth="1"/>
    <col min="2051" max="2051" width="24.44140625" style="326" customWidth="1"/>
    <col min="2052" max="2052" width="22.6640625" style="326" customWidth="1"/>
    <col min="2053" max="2053" width="25" style="326" customWidth="1"/>
    <col min="2054" max="2054" width="8" style="326" customWidth="1"/>
    <col min="2055" max="2104" width="8.33203125" style="326" hidden="1" customWidth="1"/>
    <col min="2105" max="2105" width="23.44140625" style="326" customWidth="1"/>
    <col min="2106" max="2106" width="14.44140625" style="326" customWidth="1"/>
    <col min="2107" max="2281" width="9" style="326"/>
    <col min="2282" max="2282" width="20.44140625" style="326" customWidth="1"/>
    <col min="2283" max="2283" width="53" style="326" customWidth="1"/>
    <col min="2284" max="2284" width="30.6640625" style="326" customWidth="1"/>
    <col min="2285" max="2285" width="30.44140625" style="326" customWidth="1"/>
    <col min="2286" max="2286" width="28.21875" style="326" customWidth="1"/>
    <col min="2287" max="2288" width="30.6640625" style="326" customWidth="1"/>
    <col min="2289" max="2289" width="26.44140625" style="326" customWidth="1"/>
    <col min="2290" max="2291" width="30.6640625" style="326" customWidth="1"/>
    <col min="2292" max="2292" width="26.44140625" style="326" customWidth="1"/>
    <col min="2293" max="2293" width="17.6640625" style="326" customWidth="1"/>
    <col min="2294" max="2295" width="28.44140625" style="326" customWidth="1"/>
    <col min="2296" max="2296" width="24" style="326" customWidth="1"/>
    <col min="2297" max="2298" width="30.6640625" style="326" customWidth="1"/>
    <col min="2299" max="2299" width="26.44140625" style="326" customWidth="1"/>
    <col min="2300" max="2301" width="30.6640625" style="326" customWidth="1"/>
    <col min="2302" max="2302" width="28.44140625" style="326" customWidth="1"/>
    <col min="2303" max="2303" width="23.44140625" style="326" customWidth="1"/>
    <col min="2304" max="2305" width="21.6640625" style="326" customWidth="1"/>
    <col min="2306" max="2306" width="24.21875" style="326" customWidth="1"/>
    <col min="2307" max="2307" width="24.44140625" style="326" customWidth="1"/>
    <col min="2308" max="2308" width="22.6640625" style="326" customWidth="1"/>
    <col min="2309" max="2309" width="25" style="326" customWidth="1"/>
    <col min="2310" max="2310" width="8" style="326" customWidth="1"/>
    <col min="2311" max="2360" width="8.33203125" style="326" hidden="1" customWidth="1"/>
    <col min="2361" max="2361" width="23.44140625" style="326" customWidth="1"/>
    <col min="2362" max="2362" width="14.44140625" style="326" customWidth="1"/>
    <col min="2363" max="2537" width="9" style="326"/>
    <col min="2538" max="2538" width="20.44140625" style="326" customWidth="1"/>
    <col min="2539" max="2539" width="53" style="326" customWidth="1"/>
    <col min="2540" max="2540" width="30.6640625" style="326" customWidth="1"/>
    <col min="2541" max="2541" width="30.44140625" style="326" customWidth="1"/>
    <col min="2542" max="2542" width="28.21875" style="326" customWidth="1"/>
    <col min="2543" max="2544" width="30.6640625" style="326" customWidth="1"/>
    <col min="2545" max="2545" width="26.44140625" style="326" customWidth="1"/>
    <col min="2546" max="2547" width="30.6640625" style="326" customWidth="1"/>
    <col min="2548" max="2548" width="26.44140625" style="326" customWidth="1"/>
    <col min="2549" max="2549" width="17.6640625" style="326" customWidth="1"/>
    <col min="2550" max="2551" width="28.44140625" style="326" customWidth="1"/>
    <col min="2552" max="2552" width="24" style="326" customWidth="1"/>
    <col min="2553" max="2554" width="30.6640625" style="326" customWidth="1"/>
    <col min="2555" max="2555" width="26.44140625" style="326" customWidth="1"/>
    <col min="2556" max="2557" width="30.6640625" style="326" customWidth="1"/>
    <col min="2558" max="2558" width="28.44140625" style="326" customWidth="1"/>
    <col min="2559" max="2559" width="23.44140625" style="326" customWidth="1"/>
    <col min="2560" max="2561" width="21.6640625" style="326" customWidth="1"/>
    <col min="2562" max="2562" width="24.21875" style="326" customWidth="1"/>
    <col min="2563" max="2563" width="24.44140625" style="326" customWidth="1"/>
    <col min="2564" max="2564" width="22.6640625" style="326" customWidth="1"/>
    <col min="2565" max="2565" width="25" style="326" customWidth="1"/>
    <col min="2566" max="2566" width="8" style="326" customWidth="1"/>
    <col min="2567" max="2616" width="8.33203125" style="326" hidden="1" customWidth="1"/>
    <col min="2617" max="2617" width="23.44140625" style="326" customWidth="1"/>
    <col min="2618" max="2618" width="14.44140625" style="326" customWidth="1"/>
    <col min="2619" max="2793" width="9" style="326"/>
    <col min="2794" max="2794" width="20.44140625" style="326" customWidth="1"/>
    <col min="2795" max="2795" width="53" style="326" customWidth="1"/>
    <col min="2796" max="2796" width="30.6640625" style="326" customWidth="1"/>
    <col min="2797" max="2797" width="30.44140625" style="326" customWidth="1"/>
    <col min="2798" max="2798" width="28.21875" style="326" customWidth="1"/>
    <col min="2799" max="2800" width="30.6640625" style="326" customWidth="1"/>
    <col min="2801" max="2801" width="26.44140625" style="326" customWidth="1"/>
    <col min="2802" max="2803" width="30.6640625" style="326" customWidth="1"/>
    <col min="2804" max="2804" width="26.44140625" style="326" customWidth="1"/>
    <col min="2805" max="2805" width="17.6640625" style="326" customWidth="1"/>
    <col min="2806" max="2807" width="28.44140625" style="326" customWidth="1"/>
    <col min="2808" max="2808" width="24" style="326" customWidth="1"/>
    <col min="2809" max="2810" width="30.6640625" style="326" customWidth="1"/>
    <col min="2811" max="2811" width="26.44140625" style="326" customWidth="1"/>
    <col min="2812" max="2813" width="30.6640625" style="326" customWidth="1"/>
    <col min="2814" max="2814" width="28.44140625" style="326" customWidth="1"/>
    <col min="2815" max="2815" width="23.44140625" style="326" customWidth="1"/>
    <col min="2816" max="2817" width="21.6640625" style="326" customWidth="1"/>
    <col min="2818" max="2818" width="24.21875" style="326" customWidth="1"/>
    <col min="2819" max="2819" width="24.44140625" style="326" customWidth="1"/>
    <col min="2820" max="2820" width="22.6640625" style="326" customWidth="1"/>
    <col min="2821" max="2821" width="25" style="326" customWidth="1"/>
    <col min="2822" max="2822" width="8" style="326" customWidth="1"/>
    <col min="2823" max="2872" width="8.33203125" style="326" hidden="1" customWidth="1"/>
    <col min="2873" max="2873" width="23.44140625" style="326" customWidth="1"/>
    <col min="2874" max="2874" width="14.44140625" style="326" customWidth="1"/>
    <col min="2875" max="3049" width="9" style="326"/>
    <col min="3050" max="3050" width="20.44140625" style="326" customWidth="1"/>
    <col min="3051" max="3051" width="53" style="326" customWidth="1"/>
    <col min="3052" max="3052" width="30.6640625" style="326" customWidth="1"/>
    <col min="3053" max="3053" width="30.44140625" style="326" customWidth="1"/>
    <col min="3054" max="3054" width="28.21875" style="326" customWidth="1"/>
    <col min="3055" max="3056" width="30.6640625" style="326" customWidth="1"/>
    <col min="3057" max="3057" width="26.44140625" style="326" customWidth="1"/>
    <col min="3058" max="3059" width="30.6640625" style="326" customWidth="1"/>
    <col min="3060" max="3060" width="26.44140625" style="326" customWidth="1"/>
    <col min="3061" max="3061" width="17.6640625" style="326" customWidth="1"/>
    <col min="3062" max="3063" width="28.44140625" style="326" customWidth="1"/>
    <col min="3064" max="3064" width="24" style="326" customWidth="1"/>
    <col min="3065" max="3066" width="30.6640625" style="326" customWidth="1"/>
    <col min="3067" max="3067" width="26.44140625" style="326" customWidth="1"/>
    <col min="3068" max="3069" width="30.6640625" style="326" customWidth="1"/>
    <col min="3070" max="3070" width="28.44140625" style="326" customWidth="1"/>
    <col min="3071" max="3071" width="23.44140625" style="326" customWidth="1"/>
    <col min="3072" max="3073" width="21.6640625" style="326" customWidth="1"/>
    <col min="3074" max="3074" width="24.21875" style="326" customWidth="1"/>
    <col min="3075" max="3075" width="24.44140625" style="326" customWidth="1"/>
    <col min="3076" max="3076" width="22.6640625" style="326" customWidth="1"/>
    <col min="3077" max="3077" width="25" style="326" customWidth="1"/>
    <col min="3078" max="3078" width="8" style="326" customWidth="1"/>
    <col min="3079" max="3128" width="8.33203125" style="326" hidden="1" customWidth="1"/>
    <col min="3129" max="3129" width="23.44140625" style="326" customWidth="1"/>
    <col min="3130" max="3130" width="14.44140625" style="326" customWidth="1"/>
    <col min="3131" max="3305" width="9" style="326"/>
    <col min="3306" max="3306" width="20.44140625" style="326" customWidth="1"/>
    <col min="3307" max="3307" width="53" style="326" customWidth="1"/>
    <col min="3308" max="3308" width="30.6640625" style="326" customWidth="1"/>
    <col min="3309" max="3309" width="30.44140625" style="326" customWidth="1"/>
    <col min="3310" max="3310" width="28.21875" style="326" customWidth="1"/>
    <col min="3311" max="3312" width="30.6640625" style="326" customWidth="1"/>
    <col min="3313" max="3313" width="26.44140625" style="326" customWidth="1"/>
    <col min="3314" max="3315" width="30.6640625" style="326" customWidth="1"/>
    <col min="3316" max="3316" width="26.44140625" style="326" customWidth="1"/>
    <col min="3317" max="3317" width="17.6640625" style="326" customWidth="1"/>
    <col min="3318" max="3319" width="28.44140625" style="326" customWidth="1"/>
    <col min="3320" max="3320" width="24" style="326" customWidth="1"/>
    <col min="3321" max="3322" width="30.6640625" style="326" customWidth="1"/>
    <col min="3323" max="3323" width="26.44140625" style="326" customWidth="1"/>
    <col min="3324" max="3325" width="30.6640625" style="326" customWidth="1"/>
    <col min="3326" max="3326" width="28.44140625" style="326" customWidth="1"/>
    <col min="3327" max="3327" width="23.44140625" style="326" customWidth="1"/>
    <col min="3328" max="3329" width="21.6640625" style="326" customWidth="1"/>
    <col min="3330" max="3330" width="24.21875" style="326" customWidth="1"/>
    <col min="3331" max="3331" width="24.44140625" style="326" customWidth="1"/>
    <col min="3332" max="3332" width="22.6640625" style="326" customWidth="1"/>
    <col min="3333" max="3333" width="25" style="326" customWidth="1"/>
    <col min="3334" max="3334" width="8" style="326" customWidth="1"/>
    <col min="3335" max="3384" width="8.33203125" style="326" hidden="1" customWidth="1"/>
    <col min="3385" max="3385" width="23.44140625" style="326" customWidth="1"/>
    <col min="3386" max="3386" width="14.44140625" style="326" customWidth="1"/>
    <col min="3387" max="3561" width="9" style="326"/>
    <col min="3562" max="3562" width="20.44140625" style="326" customWidth="1"/>
    <col min="3563" max="3563" width="53" style="326" customWidth="1"/>
    <col min="3564" max="3564" width="30.6640625" style="326" customWidth="1"/>
    <col min="3565" max="3565" width="30.44140625" style="326" customWidth="1"/>
    <col min="3566" max="3566" width="28.21875" style="326" customWidth="1"/>
    <col min="3567" max="3568" width="30.6640625" style="326" customWidth="1"/>
    <col min="3569" max="3569" width="26.44140625" style="326" customWidth="1"/>
    <col min="3570" max="3571" width="30.6640625" style="326" customWidth="1"/>
    <col min="3572" max="3572" width="26.44140625" style="326" customWidth="1"/>
    <col min="3573" max="3573" width="17.6640625" style="326" customWidth="1"/>
    <col min="3574" max="3575" width="28.44140625" style="326" customWidth="1"/>
    <col min="3576" max="3576" width="24" style="326" customWidth="1"/>
    <col min="3577" max="3578" width="30.6640625" style="326" customWidth="1"/>
    <col min="3579" max="3579" width="26.44140625" style="326" customWidth="1"/>
    <col min="3580" max="3581" width="30.6640625" style="326" customWidth="1"/>
    <col min="3582" max="3582" width="28.44140625" style="326" customWidth="1"/>
    <col min="3583" max="3583" width="23.44140625" style="326" customWidth="1"/>
    <col min="3584" max="3585" width="21.6640625" style="326" customWidth="1"/>
    <col min="3586" max="3586" width="24.21875" style="326" customWidth="1"/>
    <col min="3587" max="3587" width="24.44140625" style="326" customWidth="1"/>
    <col min="3588" max="3588" width="22.6640625" style="326" customWidth="1"/>
    <col min="3589" max="3589" width="25" style="326" customWidth="1"/>
    <col min="3590" max="3590" width="8" style="326" customWidth="1"/>
    <col min="3591" max="3640" width="8.33203125" style="326" hidden="1" customWidth="1"/>
    <col min="3641" max="3641" width="23.44140625" style="326" customWidth="1"/>
    <col min="3642" max="3642" width="14.44140625" style="326" customWidth="1"/>
    <col min="3643" max="3817" width="9" style="326"/>
    <col min="3818" max="3818" width="20.44140625" style="326" customWidth="1"/>
    <col min="3819" max="3819" width="53" style="326" customWidth="1"/>
    <col min="3820" max="3820" width="30.6640625" style="326" customWidth="1"/>
    <col min="3821" max="3821" width="30.44140625" style="326" customWidth="1"/>
    <col min="3822" max="3822" width="28.21875" style="326" customWidth="1"/>
    <col min="3823" max="3824" width="30.6640625" style="326" customWidth="1"/>
    <col min="3825" max="3825" width="26.44140625" style="326" customWidth="1"/>
    <col min="3826" max="3827" width="30.6640625" style="326" customWidth="1"/>
    <col min="3828" max="3828" width="26.44140625" style="326" customWidth="1"/>
    <col min="3829" max="3829" width="17.6640625" style="326" customWidth="1"/>
    <col min="3830" max="3831" width="28.44140625" style="326" customWidth="1"/>
    <col min="3832" max="3832" width="24" style="326" customWidth="1"/>
    <col min="3833" max="3834" width="30.6640625" style="326" customWidth="1"/>
    <col min="3835" max="3835" width="26.44140625" style="326" customWidth="1"/>
    <col min="3836" max="3837" width="30.6640625" style="326" customWidth="1"/>
    <col min="3838" max="3838" width="28.44140625" style="326" customWidth="1"/>
    <col min="3839" max="3839" width="23.44140625" style="326" customWidth="1"/>
    <col min="3840" max="3841" width="21.6640625" style="326" customWidth="1"/>
    <col min="3842" max="3842" width="24.21875" style="326" customWidth="1"/>
    <col min="3843" max="3843" width="24.44140625" style="326" customWidth="1"/>
    <col min="3844" max="3844" width="22.6640625" style="326" customWidth="1"/>
    <col min="3845" max="3845" width="25" style="326" customWidth="1"/>
    <col min="3846" max="3846" width="8" style="326" customWidth="1"/>
    <col min="3847" max="3896" width="8.33203125" style="326" hidden="1" customWidth="1"/>
    <col min="3897" max="3897" width="23.44140625" style="326" customWidth="1"/>
    <col min="3898" max="3898" width="14.44140625" style="326" customWidth="1"/>
    <col min="3899" max="4073" width="9" style="326"/>
    <col min="4074" max="4074" width="20.44140625" style="326" customWidth="1"/>
    <col min="4075" max="4075" width="53" style="326" customWidth="1"/>
    <col min="4076" max="4076" width="30.6640625" style="326" customWidth="1"/>
    <col min="4077" max="4077" width="30.44140625" style="326" customWidth="1"/>
    <col min="4078" max="4078" width="28.21875" style="326" customWidth="1"/>
    <col min="4079" max="4080" width="30.6640625" style="326" customWidth="1"/>
    <col min="4081" max="4081" width="26.44140625" style="326" customWidth="1"/>
    <col min="4082" max="4083" width="30.6640625" style="326" customWidth="1"/>
    <col min="4084" max="4084" width="26.44140625" style="326" customWidth="1"/>
    <col min="4085" max="4085" width="17.6640625" style="326" customWidth="1"/>
    <col min="4086" max="4087" width="28.44140625" style="326" customWidth="1"/>
    <col min="4088" max="4088" width="24" style="326" customWidth="1"/>
    <col min="4089" max="4090" width="30.6640625" style="326" customWidth="1"/>
    <col min="4091" max="4091" width="26.44140625" style="326" customWidth="1"/>
    <col min="4092" max="4093" width="30.6640625" style="326" customWidth="1"/>
    <col min="4094" max="4094" width="28.44140625" style="326" customWidth="1"/>
    <col min="4095" max="4095" width="23.44140625" style="326" customWidth="1"/>
    <col min="4096" max="4097" width="21.6640625" style="326" customWidth="1"/>
    <col min="4098" max="4098" width="24.21875" style="326" customWidth="1"/>
    <col min="4099" max="4099" width="24.44140625" style="326" customWidth="1"/>
    <col min="4100" max="4100" width="22.6640625" style="326" customWidth="1"/>
    <col min="4101" max="4101" width="25" style="326" customWidth="1"/>
    <col min="4102" max="4102" width="8" style="326" customWidth="1"/>
    <col min="4103" max="4152" width="8.33203125" style="326" hidden="1" customWidth="1"/>
    <col min="4153" max="4153" width="23.44140625" style="326" customWidth="1"/>
    <col min="4154" max="4154" width="14.44140625" style="326" customWidth="1"/>
    <col min="4155" max="4329" width="9" style="326"/>
    <col min="4330" max="4330" width="20.44140625" style="326" customWidth="1"/>
    <col min="4331" max="4331" width="53" style="326" customWidth="1"/>
    <col min="4332" max="4332" width="30.6640625" style="326" customWidth="1"/>
    <col min="4333" max="4333" width="30.44140625" style="326" customWidth="1"/>
    <col min="4334" max="4334" width="28.21875" style="326" customWidth="1"/>
    <col min="4335" max="4336" width="30.6640625" style="326" customWidth="1"/>
    <col min="4337" max="4337" width="26.44140625" style="326" customWidth="1"/>
    <col min="4338" max="4339" width="30.6640625" style="326" customWidth="1"/>
    <col min="4340" max="4340" width="26.44140625" style="326" customWidth="1"/>
    <col min="4341" max="4341" width="17.6640625" style="326" customWidth="1"/>
    <col min="4342" max="4343" width="28.44140625" style="326" customWidth="1"/>
    <col min="4344" max="4344" width="24" style="326" customWidth="1"/>
    <col min="4345" max="4346" width="30.6640625" style="326" customWidth="1"/>
    <col min="4347" max="4347" width="26.44140625" style="326" customWidth="1"/>
    <col min="4348" max="4349" width="30.6640625" style="326" customWidth="1"/>
    <col min="4350" max="4350" width="28.44140625" style="326" customWidth="1"/>
    <col min="4351" max="4351" width="23.44140625" style="326" customWidth="1"/>
    <col min="4352" max="4353" width="21.6640625" style="326" customWidth="1"/>
    <col min="4354" max="4354" width="24.21875" style="326" customWidth="1"/>
    <col min="4355" max="4355" width="24.44140625" style="326" customWidth="1"/>
    <col min="4356" max="4356" width="22.6640625" style="326" customWidth="1"/>
    <col min="4357" max="4357" width="25" style="326" customWidth="1"/>
    <col min="4358" max="4358" width="8" style="326" customWidth="1"/>
    <col min="4359" max="4408" width="8.33203125" style="326" hidden="1" customWidth="1"/>
    <col min="4409" max="4409" width="23.44140625" style="326" customWidth="1"/>
    <col min="4410" max="4410" width="14.44140625" style="326" customWidth="1"/>
    <col min="4411" max="4585" width="9" style="326"/>
    <col min="4586" max="4586" width="20.44140625" style="326" customWidth="1"/>
    <col min="4587" max="4587" width="53" style="326" customWidth="1"/>
    <col min="4588" max="4588" width="30.6640625" style="326" customWidth="1"/>
    <col min="4589" max="4589" width="30.44140625" style="326" customWidth="1"/>
    <col min="4590" max="4590" width="28.21875" style="326" customWidth="1"/>
    <col min="4591" max="4592" width="30.6640625" style="326" customWidth="1"/>
    <col min="4593" max="4593" width="26.44140625" style="326" customWidth="1"/>
    <col min="4594" max="4595" width="30.6640625" style="326" customWidth="1"/>
    <col min="4596" max="4596" width="26.44140625" style="326" customWidth="1"/>
    <col min="4597" max="4597" width="17.6640625" style="326" customWidth="1"/>
    <col min="4598" max="4599" width="28.44140625" style="326" customWidth="1"/>
    <col min="4600" max="4600" width="24" style="326" customWidth="1"/>
    <col min="4601" max="4602" width="30.6640625" style="326" customWidth="1"/>
    <col min="4603" max="4603" width="26.44140625" style="326" customWidth="1"/>
    <col min="4604" max="4605" width="30.6640625" style="326" customWidth="1"/>
    <col min="4606" max="4606" width="28.44140625" style="326" customWidth="1"/>
    <col min="4607" max="4607" width="23.44140625" style="326" customWidth="1"/>
    <col min="4608" max="4609" width="21.6640625" style="326" customWidth="1"/>
    <col min="4610" max="4610" width="24.21875" style="326" customWidth="1"/>
    <col min="4611" max="4611" width="24.44140625" style="326" customWidth="1"/>
    <col min="4612" max="4612" width="22.6640625" style="326" customWidth="1"/>
    <col min="4613" max="4613" width="25" style="326" customWidth="1"/>
    <col min="4614" max="4614" width="8" style="326" customWidth="1"/>
    <col min="4615" max="4664" width="8.33203125" style="326" hidden="1" customWidth="1"/>
    <col min="4665" max="4665" width="23.44140625" style="326" customWidth="1"/>
    <col min="4666" max="4666" width="14.44140625" style="326" customWidth="1"/>
    <col min="4667" max="4841" width="9" style="326"/>
    <col min="4842" max="4842" width="20.44140625" style="326" customWidth="1"/>
    <col min="4843" max="4843" width="53" style="326" customWidth="1"/>
    <col min="4844" max="4844" width="30.6640625" style="326" customWidth="1"/>
    <col min="4845" max="4845" width="30.44140625" style="326" customWidth="1"/>
    <col min="4846" max="4846" width="28.21875" style="326" customWidth="1"/>
    <col min="4847" max="4848" width="30.6640625" style="326" customWidth="1"/>
    <col min="4849" max="4849" width="26.44140625" style="326" customWidth="1"/>
    <col min="4850" max="4851" width="30.6640625" style="326" customWidth="1"/>
    <col min="4852" max="4852" width="26.44140625" style="326" customWidth="1"/>
    <col min="4853" max="4853" width="17.6640625" style="326" customWidth="1"/>
    <col min="4854" max="4855" width="28.44140625" style="326" customWidth="1"/>
    <col min="4856" max="4856" width="24" style="326" customWidth="1"/>
    <col min="4857" max="4858" width="30.6640625" style="326" customWidth="1"/>
    <col min="4859" max="4859" width="26.44140625" style="326" customWidth="1"/>
    <col min="4860" max="4861" width="30.6640625" style="326" customWidth="1"/>
    <col min="4862" max="4862" width="28.44140625" style="326" customWidth="1"/>
    <col min="4863" max="4863" width="23.44140625" style="326" customWidth="1"/>
    <col min="4864" max="4865" width="21.6640625" style="326" customWidth="1"/>
    <col min="4866" max="4866" width="24.21875" style="326" customWidth="1"/>
    <col min="4867" max="4867" width="24.44140625" style="326" customWidth="1"/>
    <col min="4868" max="4868" width="22.6640625" style="326" customWidth="1"/>
    <col min="4869" max="4869" width="25" style="326" customWidth="1"/>
    <col min="4870" max="4870" width="8" style="326" customWidth="1"/>
    <col min="4871" max="4920" width="8.33203125" style="326" hidden="1" customWidth="1"/>
    <col min="4921" max="4921" width="23.44140625" style="326" customWidth="1"/>
    <col min="4922" max="4922" width="14.44140625" style="326" customWidth="1"/>
    <col min="4923" max="5097" width="9" style="326"/>
    <col min="5098" max="5098" width="20.44140625" style="326" customWidth="1"/>
    <col min="5099" max="5099" width="53" style="326" customWidth="1"/>
    <col min="5100" max="5100" width="30.6640625" style="326" customWidth="1"/>
    <col min="5101" max="5101" width="30.44140625" style="326" customWidth="1"/>
    <col min="5102" max="5102" width="28.21875" style="326" customWidth="1"/>
    <col min="5103" max="5104" width="30.6640625" style="326" customWidth="1"/>
    <col min="5105" max="5105" width="26.44140625" style="326" customWidth="1"/>
    <col min="5106" max="5107" width="30.6640625" style="326" customWidth="1"/>
    <col min="5108" max="5108" width="26.44140625" style="326" customWidth="1"/>
    <col min="5109" max="5109" width="17.6640625" style="326" customWidth="1"/>
    <col min="5110" max="5111" width="28.44140625" style="326" customWidth="1"/>
    <col min="5112" max="5112" width="24" style="326" customWidth="1"/>
    <col min="5113" max="5114" width="30.6640625" style="326" customWidth="1"/>
    <col min="5115" max="5115" width="26.44140625" style="326" customWidth="1"/>
    <col min="5116" max="5117" width="30.6640625" style="326" customWidth="1"/>
    <col min="5118" max="5118" width="28.44140625" style="326" customWidth="1"/>
    <col min="5119" max="5119" width="23.44140625" style="326" customWidth="1"/>
    <col min="5120" max="5121" width="21.6640625" style="326" customWidth="1"/>
    <col min="5122" max="5122" width="24.21875" style="326" customWidth="1"/>
    <col min="5123" max="5123" width="24.44140625" style="326" customWidth="1"/>
    <col min="5124" max="5124" width="22.6640625" style="326" customWidth="1"/>
    <col min="5125" max="5125" width="25" style="326" customWidth="1"/>
    <col min="5126" max="5126" width="8" style="326" customWidth="1"/>
    <col min="5127" max="5176" width="8.33203125" style="326" hidden="1" customWidth="1"/>
    <col min="5177" max="5177" width="23.44140625" style="326" customWidth="1"/>
    <col min="5178" max="5178" width="14.44140625" style="326" customWidth="1"/>
    <col min="5179" max="5353" width="9" style="326"/>
    <col min="5354" max="5354" width="20.44140625" style="326" customWidth="1"/>
    <col min="5355" max="5355" width="53" style="326" customWidth="1"/>
    <col min="5356" max="5356" width="30.6640625" style="326" customWidth="1"/>
    <col min="5357" max="5357" width="30.44140625" style="326" customWidth="1"/>
    <col min="5358" max="5358" width="28.21875" style="326" customWidth="1"/>
    <col min="5359" max="5360" width="30.6640625" style="326" customWidth="1"/>
    <col min="5361" max="5361" width="26.44140625" style="326" customWidth="1"/>
    <col min="5362" max="5363" width="30.6640625" style="326" customWidth="1"/>
    <col min="5364" max="5364" width="26.44140625" style="326" customWidth="1"/>
    <col min="5365" max="5365" width="17.6640625" style="326" customWidth="1"/>
    <col min="5366" max="5367" width="28.44140625" style="326" customWidth="1"/>
    <col min="5368" max="5368" width="24" style="326" customWidth="1"/>
    <col min="5369" max="5370" width="30.6640625" style="326" customWidth="1"/>
    <col min="5371" max="5371" width="26.44140625" style="326" customWidth="1"/>
    <col min="5372" max="5373" width="30.6640625" style="326" customWidth="1"/>
    <col min="5374" max="5374" width="28.44140625" style="326" customWidth="1"/>
    <col min="5375" max="5375" width="23.44140625" style="326" customWidth="1"/>
    <col min="5376" max="5377" width="21.6640625" style="326" customWidth="1"/>
    <col min="5378" max="5378" width="24.21875" style="326" customWidth="1"/>
    <col min="5379" max="5379" width="24.44140625" style="326" customWidth="1"/>
    <col min="5380" max="5380" width="22.6640625" style="326" customWidth="1"/>
    <col min="5381" max="5381" width="25" style="326" customWidth="1"/>
    <col min="5382" max="5382" width="8" style="326" customWidth="1"/>
    <col min="5383" max="5432" width="8.33203125" style="326" hidden="1" customWidth="1"/>
    <col min="5433" max="5433" width="23.44140625" style="326" customWidth="1"/>
    <col min="5434" max="5434" width="14.44140625" style="326" customWidth="1"/>
    <col min="5435" max="5609" width="9" style="326"/>
    <col min="5610" max="5610" width="20.44140625" style="326" customWidth="1"/>
    <col min="5611" max="5611" width="53" style="326" customWidth="1"/>
    <col min="5612" max="5612" width="30.6640625" style="326" customWidth="1"/>
    <col min="5613" max="5613" width="30.44140625" style="326" customWidth="1"/>
    <col min="5614" max="5614" width="28.21875" style="326" customWidth="1"/>
    <col min="5615" max="5616" width="30.6640625" style="326" customWidth="1"/>
    <col min="5617" max="5617" width="26.44140625" style="326" customWidth="1"/>
    <col min="5618" max="5619" width="30.6640625" style="326" customWidth="1"/>
    <col min="5620" max="5620" width="26.44140625" style="326" customWidth="1"/>
    <col min="5621" max="5621" width="17.6640625" style="326" customWidth="1"/>
    <col min="5622" max="5623" width="28.44140625" style="326" customWidth="1"/>
    <col min="5624" max="5624" width="24" style="326" customWidth="1"/>
    <col min="5625" max="5626" width="30.6640625" style="326" customWidth="1"/>
    <col min="5627" max="5627" width="26.44140625" style="326" customWidth="1"/>
    <col min="5628" max="5629" width="30.6640625" style="326" customWidth="1"/>
    <col min="5630" max="5630" width="28.44140625" style="326" customWidth="1"/>
    <col min="5631" max="5631" width="23.44140625" style="326" customWidth="1"/>
    <col min="5632" max="5633" width="21.6640625" style="326" customWidth="1"/>
    <col min="5634" max="5634" width="24.21875" style="326" customWidth="1"/>
    <col min="5635" max="5635" width="24.44140625" style="326" customWidth="1"/>
    <col min="5636" max="5636" width="22.6640625" style="326" customWidth="1"/>
    <col min="5637" max="5637" width="25" style="326" customWidth="1"/>
    <col min="5638" max="5638" width="8" style="326" customWidth="1"/>
    <col min="5639" max="5688" width="8.33203125" style="326" hidden="1" customWidth="1"/>
    <col min="5689" max="5689" width="23.44140625" style="326" customWidth="1"/>
    <col min="5690" max="5690" width="14.44140625" style="326" customWidth="1"/>
    <col min="5691" max="5865" width="9" style="326"/>
    <col min="5866" max="5866" width="20.44140625" style="326" customWidth="1"/>
    <col min="5867" max="5867" width="53" style="326" customWidth="1"/>
    <col min="5868" max="5868" width="30.6640625" style="326" customWidth="1"/>
    <col min="5869" max="5869" width="30.44140625" style="326" customWidth="1"/>
    <col min="5870" max="5870" width="28.21875" style="326" customWidth="1"/>
    <col min="5871" max="5872" width="30.6640625" style="326" customWidth="1"/>
    <col min="5873" max="5873" width="26.44140625" style="326" customWidth="1"/>
    <col min="5874" max="5875" width="30.6640625" style="326" customWidth="1"/>
    <col min="5876" max="5876" width="26.44140625" style="326" customWidth="1"/>
    <col min="5877" max="5877" width="17.6640625" style="326" customWidth="1"/>
    <col min="5878" max="5879" width="28.44140625" style="326" customWidth="1"/>
    <col min="5880" max="5880" width="24" style="326" customWidth="1"/>
    <col min="5881" max="5882" width="30.6640625" style="326" customWidth="1"/>
    <col min="5883" max="5883" width="26.44140625" style="326" customWidth="1"/>
    <col min="5884" max="5885" width="30.6640625" style="326" customWidth="1"/>
    <col min="5886" max="5886" width="28.44140625" style="326" customWidth="1"/>
    <col min="5887" max="5887" width="23.44140625" style="326" customWidth="1"/>
    <col min="5888" max="5889" width="21.6640625" style="326" customWidth="1"/>
    <col min="5890" max="5890" width="24.21875" style="326" customWidth="1"/>
    <col min="5891" max="5891" width="24.44140625" style="326" customWidth="1"/>
    <col min="5892" max="5892" width="22.6640625" style="326" customWidth="1"/>
    <col min="5893" max="5893" width="25" style="326" customWidth="1"/>
    <col min="5894" max="5894" width="8" style="326" customWidth="1"/>
    <col min="5895" max="5944" width="8.33203125" style="326" hidden="1" customWidth="1"/>
    <col min="5945" max="5945" width="23.44140625" style="326" customWidth="1"/>
    <col min="5946" max="5946" width="14.44140625" style="326" customWidth="1"/>
    <col min="5947" max="6121" width="9" style="326"/>
    <col min="6122" max="6122" width="20.44140625" style="326" customWidth="1"/>
    <col min="6123" max="6123" width="53" style="326" customWidth="1"/>
    <col min="6124" max="6124" width="30.6640625" style="326" customWidth="1"/>
    <col min="6125" max="6125" width="30.44140625" style="326" customWidth="1"/>
    <col min="6126" max="6126" width="28.21875" style="326" customWidth="1"/>
    <col min="6127" max="6128" width="30.6640625" style="326" customWidth="1"/>
    <col min="6129" max="6129" width="26.44140625" style="326" customWidth="1"/>
    <col min="6130" max="6131" width="30.6640625" style="326" customWidth="1"/>
    <col min="6132" max="6132" width="26.44140625" style="326" customWidth="1"/>
    <col min="6133" max="6133" width="17.6640625" style="326" customWidth="1"/>
    <col min="6134" max="6135" width="28.44140625" style="326" customWidth="1"/>
    <col min="6136" max="6136" width="24" style="326" customWidth="1"/>
    <col min="6137" max="6138" width="30.6640625" style="326" customWidth="1"/>
    <col min="6139" max="6139" width="26.44140625" style="326" customWidth="1"/>
    <col min="6140" max="6141" width="30.6640625" style="326" customWidth="1"/>
    <col min="6142" max="6142" width="28.44140625" style="326" customWidth="1"/>
    <col min="6143" max="6143" width="23.44140625" style="326" customWidth="1"/>
    <col min="6144" max="6145" width="21.6640625" style="326" customWidth="1"/>
    <col min="6146" max="6146" width="24.21875" style="326" customWidth="1"/>
    <col min="6147" max="6147" width="24.44140625" style="326" customWidth="1"/>
    <col min="6148" max="6148" width="22.6640625" style="326" customWidth="1"/>
    <col min="6149" max="6149" width="25" style="326" customWidth="1"/>
    <col min="6150" max="6150" width="8" style="326" customWidth="1"/>
    <col min="6151" max="6200" width="8.33203125" style="326" hidden="1" customWidth="1"/>
    <col min="6201" max="6201" width="23.44140625" style="326" customWidth="1"/>
    <col min="6202" max="6202" width="14.44140625" style="326" customWidth="1"/>
    <col min="6203" max="6377" width="9" style="326"/>
    <col min="6378" max="6378" width="20.44140625" style="326" customWidth="1"/>
    <col min="6379" max="6379" width="53" style="326" customWidth="1"/>
    <col min="6380" max="6380" width="30.6640625" style="326" customWidth="1"/>
    <col min="6381" max="6381" width="30.44140625" style="326" customWidth="1"/>
    <col min="6382" max="6382" width="28.21875" style="326" customWidth="1"/>
    <col min="6383" max="6384" width="30.6640625" style="326" customWidth="1"/>
    <col min="6385" max="6385" width="26.44140625" style="326" customWidth="1"/>
    <col min="6386" max="6387" width="30.6640625" style="326" customWidth="1"/>
    <col min="6388" max="6388" width="26.44140625" style="326" customWidth="1"/>
    <col min="6389" max="6389" width="17.6640625" style="326" customWidth="1"/>
    <col min="6390" max="6391" width="28.44140625" style="326" customWidth="1"/>
    <col min="6392" max="6392" width="24" style="326" customWidth="1"/>
    <col min="6393" max="6394" width="30.6640625" style="326" customWidth="1"/>
    <col min="6395" max="6395" width="26.44140625" style="326" customWidth="1"/>
    <col min="6396" max="6397" width="30.6640625" style="326" customWidth="1"/>
    <col min="6398" max="6398" width="28.44140625" style="326" customWidth="1"/>
    <col min="6399" max="6399" width="23.44140625" style="326" customWidth="1"/>
    <col min="6400" max="6401" width="21.6640625" style="326" customWidth="1"/>
    <col min="6402" max="6402" width="24.21875" style="326" customWidth="1"/>
    <col min="6403" max="6403" width="24.44140625" style="326" customWidth="1"/>
    <col min="6404" max="6404" width="22.6640625" style="326" customWidth="1"/>
    <col min="6405" max="6405" width="25" style="326" customWidth="1"/>
    <col min="6406" max="6406" width="8" style="326" customWidth="1"/>
    <col min="6407" max="6456" width="8.33203125" style="326" hidden="1" customWidth="1"/>
    <col min="6457" max="6457" width="23.44140625" style="326" customWidth="1"/>
    <col min="6458" max="6458" width="14.44140625" style="326" customWidth="1"/>
    <col min="6459" max="6633" width="9" style="326"/>
    <col min="6634" max="6634" width="20.44140625" style="326" customWidth="1"/>
    <col min="6635" max="6635" width="53" style="326" customWidth="1"/>
    <col min="6636" max="6636" width="30.6640625" style="326" customWidth="1"/>
    <col min="6637" max="6637" width="30.44140625" style="326" customWidth="1"/>
    <col min="6638" max="6638" width="28.21875" style="326" customWidth="1"/>
    <col min="6639" max="6640" width="30.6640625" style="326" customWidth="1"/>
    <col min="6641" max="6641" width="26.44140625" style="326" customWidth="1"/>
    <col min="6642" max="6643" width="30.6640625" style="326" customWidth="1"/>
    <col min="6644" max="6644" width="26.44140625" style="326" customWidth="1"/>
    <col min="6645" max="6645" width="17.6640625" style="326" customWidth="1"/>
    <col min="6646" max="6647" width="28.44140625" style="326" customWidth="1"/>
    <col min="6648" max="6648" width="24" style="326" customWidth="1"/>
    <col min="6649" max="6650" width="30.6640625" style="326" customWidth="1"/>
    <col min="6651" max="6651" width="26.44140625" style="326" customWidth="1"/>
    <col min="6652" max="6653" width="30.6640625" style="326" customWidth="1"/>
    <col min="6654" max="6654" width="28.44140625" style="326" customWidth="1"/>
    <col min="6655" max="6655" width="23.44140625" style="326" customWidth="1"/>
    <col min="6656" max="6657" width="21.6640625" style="326" customWidth="1"/>
    <col min="6658" max="6658" width="24.21875" style="326" customWidth="1"/>
    <col min="6659" max="6659" width="24.44140625" style="326" customWidth="1"/>
    <col min="6660" max="6660" width="22.6640625" style="326" customWidth="1"/>
    <col min="6661" max="6661" width="25" style="326" customWidth="1"/>
    <col min="6662" max="6662" width="8" style="326" customWidth="1"/>
    <col min="6663" max="6712" width="8.33203125" style="326" hidden="1" customWidth="1"/>
    <col min="6713" max="6713" width="23.44140625" style="326" customWidth="1"/>
    <col min="6714" max="6714" width="14.44140625" style="326" customWidth="1"/>
    <col min="6715" max="6889" width="9" style="326"/>
    <col min="6890" max="6890" width="20.44140625" style="326" customWidth="1"/>
    <col min="6891" max="6891" width="53" style="326" customWidth="1"/>
    <col min="6892" max="6892" width="30.6640625" style="326" customWidth="1"/>
    <col min="6893" max="6893" width="30.44140625" style="326" customWidth="1"/>
    <col min="6894" max="6894" width="28.21875" style="326" customWidth="1"/>
    <col min="6895" max="6896" width="30.6640625" style="326" customWidth="1"/>
    <col min="6897" max="6897" width="26.44140625" style="326" customWidth="1"/>
    <col min="6898" max="6899" width="30.6640625" style="326" customWidth="1"/>
    <col min="6900" max="6900" width="26.44140625" style="326" customWidth="1"/>
    <col min="6901" max="6901" width="17.6640625" style="326" customWidth="1"/>
    <col min="6902" max="6903" width="28.44140625" style="326" customWidth="1"/>
    <col min="6904" max="6904" width="24" style="326" customWidth="1"/>
    <col min="6905" max="6906" width="30.6640625" style="326" customWidth="1"/>
    <col min="6907" max="6907" width="26.44140625" style="326" customWidth="1"/>
    <col min="6908" max="6909" width="30.6640625" style="326" customWidth="1"/>
    <col min="6910" max="6910" width="28.44140625" style="326" customWidth="1"/>
    <col min="6911" max="6911" width="23.44140625" style="326" customWidth="1"/>
    <col min="6912" max="6913" width="21.6640625" style="326" customWidth="1"/>
    <col min="6914" max="6914" width="24.21875" style="326" customWidth="1"/>
    <col min="6915" max="6915" width="24.44140625" style="326" customWidth="1"/>
    <col min="6916" max="6916" width="22.6640625" style="326" customWidth="1"/>
    <col min="6917" max="6917" width="25" style="326" customWidth="1"/>
    <col min="6918" max="6918" width="8" style="326" customWidth="1"/>
    <col min="6919" max="6968" width="8.33203125" style="326" hidden="1" customWidth="1"/>
    <col min="6969" max="6969" width="23.44140625" style="326" customWidth="1"/>
    <col min="6970" max="6970" width="14.44140625" style="326" customWidth="1"/>
    <col min="6971" max="7145" width="9" style="326"/>
    <col min="7146" max="7146" width="20.44140625" style="326" customWidth="1"/>
    <col min="7147" max="7147" width="53" style="326" customWidth="1"/>
    <col min="7148" max="7148" width="30.6640625" style="326" customWidth="1"/>
    <col min="7149" max="7149" width="30.44140625" style="326" customWidth="1"/>
    <col min="7150" max="7150" width="28.21875" style="326" customWidth="1"/>
    <col min="7151" max="7152" width="30.6640625" style="326" customWidth="1"/>
    <col min="7153" max="7153" width="26.44140625" style="326" customWidth="1"/>
    <col min="7154" max="7155" width="30.6640625" style="326" customWidth="1"/>
    <col min="7156" max="7156" width="26.44140625" style="326" customWidth="1"/>
    <col min="7157" max="7157" width="17.6640625" style="326" customWidth="1"/>
    <col min="7158" max="7159" width="28.44140625" style="326" customWidth="1"/>
    <col min="7160" max="7160" width="24" style="326" customWidth="1"/>
    <col min="7161" max="7162" width="30.6640625" style="326" customWidth="1"/>
    <col min="7163" max="7163" width="26.44140625" style="326" customWidth="1"/>
    <col min="7164" max="7165" width="30.6640625" style="326" customWidth="1"/>
    <col min="7166" max="7166" width="28.44140625" style="326" customWidth="1"/>
    <col min="7167" max="7167" width="23.44140625" style="326" customWidth="1"/>
    <col min="7168" max="7169" width="21.6640625" style="326" customWidth="1"/>
    <col min="7170" max="7170" width="24.21875" style="326" customWidth="1"/>
    <col min="7171" max="7171" width="24.44140625" style="326" customWidth="1"/>
    <col min="7172" max="7172" width="22.6640625" style="326" customWidth="1"/>
    <col min="7173" max="7173" width="25" style="326" customWidth="1"/>
    <col min="7174" max="7174" width="8" style="326" customWidth="1"/>
    <col min="7175" max="7224" width="8.33203125" style="326" hidden="1" customWidth="1"/>
    <col min="7225" max="7225" width="23.44140625" style="326" customWidth="1"/>
    <col min="7226" max="7226" width="14.44140625" style="326" customWidth="1"/>
    <col min="7227" max="7401" width="9" style="326"/>
    <col min="7402" max="7402" width="20.44140625" style="326" customWidth="1"/>
    <col min="7403" max="7403" width="53" style="326" customWidth="1"/>
    <col min="7404" max="7404" width="30.6640625" style="326" customWidth="1"/>
    <col min="7405" max="7405" width="30.44140625" style="326" customWidth="1"/>
    <col min="7406" max="7406" width="28.21875" style="326" customWidth="1"/>
    <col min="7407" max="7408" width="30.6640625" style="326" customWidth="1"/>
    <col min="7409" max="7409" width="26.44140625" style="326" customWidth="1"/>
    <col min="7410" max="7411" width="30.6640625" style="326" customWidth="1"/>
    <col min="7412" max="7412" width="26.44140625" style="326" customWidth="1"/>
    <col min="7413" max="7413" width="17.6640625" style="326" customWidth="1"/>
    <col min="7414" max="7415" width="28.44140625" style="326" customWidth="1"/>
    <col min="7416" max="7416" width="24" style="326" customWidth="1"/>
    <col min="7417" max="7418" width="30.6640625" style="326" customWidth="1"/>
    <col min="7419" max="7419" width="26.44140625" style="326" customWidth="1"/>
    <col min="7420" max="7421" width="30.6640625" style="326" customWidth="1"/>
    <col min="7422" max="7422" width="28.44140625" style="326" customWidth="1"/>
    <col min="7423" max="7423" width="23.44140625" style="326" customWidth="1"/>
    <col min="7424" max="7425" width="21.6640625" style="326" customWidth="1"/>
    <col min="7426" max="7426" width="24.21875" style="326" customWidth="1"/>
    <col min="7427" max="7427" width="24.44140625" style="326" customWidth="1"/>
    <col min="7428" max="7428" width="22.6640625" style="326" customWidth="1"/>
    <col min="7429" max="7429" width="25" style="326" customWidth="1"/>
    <col min="7430" max="7430" width="8" style="326" customWidth="1"/>
    <col min="7431" max="7480" width="8.33203125" style="326" hidden="1" customWidth="1"/>
    <col min="7481" max="7481" width="23.44140625" style="326" customWidth="1"/>
    <col min="7482" max="7482" width="14.44140625" style="326" customWidth="1"/>
    <col min="7483" max="7657" width="9" style="326"/>
    <col min="7658" max="7658" width="20.44140625" style="326" customWidth="1"/>
    <col min="7659" max="7659" width="53" style="326" customWidth="1"/>
    <col min="7660" max="7660" width="30.6640625" style="326" customWidth="1"/>
    <col min="7661" max="7661" width="30.44140625" style="326" customWidth="1"/>
    <col min="7662" max="7662" width="28.21875" style="326" customWidth="1"/>
    <col min="7663" max="7664" width="30.6640625" style="326" customWidth="1"/>
    <col min="7665" max="7665" width="26.44140625" style="326" customWidth="1"/>
    <col min="7666" max="7667" width="30.6640625" style="326" customWidth="1"/>
    <col min="7668" max="7668" width="26.44140625" style="326" customWidth="1"/>
    <col min="7669" max="7669" width="17.6640625" style="326" customWidth="1"/>
    <col min="7670" max="7671" width="28.44140625" style="326" customWidth="1"/>
    <col min="7672" max="7672" width="24" style="326" customWidth="1"/>
    <col min="7673" max="7674" width="30.6640625" style="326" customWidth="1"/>
    <col min="7675" max="7675" width="26.44140625" style="326" customWidth="1"/>
    <col min="7676" max="7677" width="30.6640625" style="326" customWidth="1"/>
    <col min="7678" max="7678" width="28.44140625" style="326" customWidth="1"/>
    <col min="7679" max="7679" width="23.44140625" style="326" customWidth="1"/>
    <col min="7680" max="7681" width="21.6640625" style="326" customWidth="1"/>
    <col min="7682" max="7682" width="24.21875" style="326" customWidth="1"/>
    <col min="7683" max="7683" width="24.44140625" style="326" customWidth="1"/>
    <col min="7684" max="7684" width="22.6640625" style="326" customWidth="1"/>
    <col min="7685" max="7685" width="25" style="326" customWidth="1"/>
    <col min="7686" max="7686" width="8" style="326" customWidth="1"/>
    <col min="7687" max="7736" width="8.33203125" style="326" hidden="1" customWidth="1"/>
    <col min="7737" max="7737" width="23.44140625" style="326" customWidth="1"/>
    <col min="7738" max="7738" width="14.44140625" style="326" customWidth="1"/>
    <col min="7739" max="7913" width="9" style="326"/>
    <col min="7914" max="7914" width="20.44140625" style="326" customWidth="1"/>
    <col min="7915" max="7915" width="53" style="326" customWidth="1"/>
    <col min="7916" max="7916" width="30.6640625" style="326" customWidth="1"/>
    <col min="7917" max="7917" width="30.44140625" style="326" customWidth="1"/>
    <col min="7918" max="7918" width="28.21875" style="326" customWidth="1"/>
    <col min="7919" max="7920" width="30.6640625" style="326" customWidth="1"/>
    <col min="7921" max="7921" width="26.44140625" style="326" customWidth="1"/>
    <col min="7922" max="7923" width="30.6640625" style="326" customWidth="1"/>
    <col min="7924" max="7924" width="26.44140625" style="326" customWidth="1"/>
    <col min="7925" max="7925" width="17.6640625" style="326" customWidth="1"/>
    <col min="7926" max="7927" width="28.44140625" style="326" customWidth="1"/>
    <col min="7928" max="7928" width="24" style="326" customWidth="1"/>
    <col min="7929" max="7930" width="30.6640625" style="326" customWidth="1"/>
    <col min="7931" max="7931" width="26.44140625" style="326" customWidth="1"/>
    <col min="7932" max="7933" width="30.6640625" style="326" customWidth="1"/>
    <col min="7934" max="7934" width="28.44140625" style="326" customWidth="1"/>
    <col min="7935" max="7935" width="23.44140625" style="326" customWidth="1"/>
    <col min="7936" max="7937" width="21.6640625" style="326" customWidth="1"/>
    <col min="7938" max="7938" width="24.21875" style="326" customWidth="1"/>
    <col min="7939" max="7939" width="24.44140625" style="326" customWidth="1"/>
    <col min="7940" max="7940" width="22.6640625" style="326" customWidth="1"/>
    <col min="7941" max="7941" width="25" style="326" customWidth="1"/>
    <col min="7942" max="7942" width="8" style="326" customWidth="1"/>
    <col min="7943" max="7992" width="8.33203125" style="326" hidden="1" customWidth="1"/>
    <col min="7993" max="7993" width="23.44140625" style="326" customWidth="1"/>
    <col min="7994" max="7994" width="14.44140625" style="326" customWidth="1"/>
    <col min="7995" max="8169" width="9" style="326"/>
    <col min="8170" max="8170" width="20.44140625" style="326" customWidth="1"/>
    <col min="8171" max="8171" width="53" style="326" customWidth="1"/>
    <col min="8172" max="8172" width="30.6640625" style="326" customWidth="1"/>
    <col min="8173" max="8173" width="30.44140625" style="326" customWidth="1"/>
    <col min="8174" max="8174" width="28.21875" style="326" customWidth="1"/>
    <col min="8175" max="8176" width="30.6640625" style="326" customWidth="1"/>
    <col min="8177" max="8177" width="26.44140625" style="326" customWidth="1"/>
    <col min="8178" max="8179" width="30.6640625" style="326" customWidth="1"/>
    <col min="8180" max="8180" width="26.44140625" style="326" customWidth="1"/>
    <col min="8181" max="8181" width="17.6640625" style="326" customWidth="1"/>
    <col min="8182" max="8183" width="28.44140625" style="326" customWidth="1"/>
    <col min="8184" max="8184" width="24" style="326" customWidth="1"/>
    <col min="8185" max="8186" width="30.6640625" style="326" customWidth="1"/>
    <col min="8187" max="8187" width="26.44140625" style="326" customWidth="1"/>
    <col min="8188" max="8189" width="30.6640625" style="326" customWidth="1"/>
    <col min="8190" max="8190" width="28.44140625" style="326" customWidth="1"/>
    <col min="8191" max="8191" width="23.44140625" style="326" customWidth="1"/>
    <col min="8192" max="8193" width="21.6640625" style="326" customWidth="1"/>
    <col min="8194" max="8194" width="24.21875" style="326" customWidth="1"/>
    <col min="8195" max="8195" width="24.44140625" style="326" customWidth="1"/>
    <col min="8196" max="8196" width="22.6640625" style="326" customWidth="1"/>
    <col min="8197" max="8197" width="25" style="326" customWidth="1"/>
    <col min="8198" max="8198" width="8" style="326" customWidth="1"/>
    <col min="8199" max="8248" width="8.33203125" style="326" hidden="1" customWidth="1"/>
    <col min="8249" max="8249" width="23.44140625" style="326" customWidth="1"/>
    <col min="8250" max="8250" width="14.44140625" style="326" customWidth="1"/>
    <col min="8251" max="8425" width="9" style="326"/>
    <col min="8426" max="8426" width="20.44140625" style="326" customWidth="1"/>
    <col min="8427" max="8427" width="53" style="326" customWidth="1"/>
    <col min="8428" max="8428" width="30.6640625" style="326" customWidth="1"/>
    <col min="8429" max="8429" width="30.44140625" style="326" customWidth="1"/>
    <col min="8430" max="8430" width="28.21875" style="326" customWidth="1"/>
    <col min="8431" max="8432" width="30.6640625" style="326" customWidth="1"/>
    <col min="8433" max="8433" width="26.44140625" style="326" customWidth="1"/>
    <col min="8434" max="8435" width="30.6640625" style="326" customWidth="1"/>
    <col min="8436" max="8436" width="26.44140625" style="326" customWidth="1"/>
    <col min="8437" max="8437" width="17.6640625" style="326" customWidth="1"/>
    <col min="8438" max="8439" width="28.44140625" style="326" customWidth="1"/>
    <col min="8440" max="8440" width="24" style="326" customWidth="1"/>
    <col min="8441" max="8442" width="30.6640625" style="326" customWidth="1"/>
    <col min="8443" max="8443" width="26.44140625" style="326" customWidth="1"/>
    <col min="8444" max="8445" width="30.6640625" style="326" customWidth="1"/>
    <col min="8446" max="8446" width="28.44140625" style="326" customWidth="1"/>
    <col min="8447" max="8447" width="23.44140625" style="326" customWidth="1"/>
    <col min="8448" max="8449" width="21.6640625" style="326" customWidth="1"/>
    <col min="8450" max="8450" width="24.21875" style="326" customWidth="1"/>
    <col min="8451" max="8451" width="24.44140625" style="326" customWidth="1"/>
    <col min="8452" max="8452" width="22.6640625" style="326" customWidth="1"/>
    <col min="8453" max="8453" width="25" style="326" customWidth="1"/>
    <col min="8454" max="8454" width="8" style="326" customWidth="1"/>
    <col min="8455" max="8504" width="8.33203125" style="326" hidden="1" customWidth="1"/>
    <col min="8505" max="8505" width="23.44140625" style="326" customWidth="1"/>
    <col min="8506" max="8506" width="14.44140625" style="326" customWidth="1"/>
    <col min="8507" max="8681" width="9" style="326"/>
    <col min="8682" max="8682" width="20.44140625" style="326" customWidth="1"/>
    <col min="8683" max="8683" width="53" style="326" customWidth="1"/>
    <col min="8684" max="8684" width="30.6640625" style="326" customWidth="1"/>
    <col min="8685" max="8685" width="30.44140625" style="326" customWidth="1"/>
    <col min="8686" max="8686" width="28.21875" style="326" customWidth="1"/>
    <col min="8687" max="8688" width="30.6640625" style="326" customWidth="1"/>
    <col min="8689" max="8689" width="26.44140625" style="326" customWidth="1"/>
    <col min="8690" max="8691" width="30.6640625" style="326" customWidth="1"/>
    <col min="8692" max="8692" width="26.44140625" style="326" customWidth="1"/>
    <col min="8693" max="8693" width="17.6640625" style="326" customWidth="1"/>
    <col min="8694" max="8695" width="28.44140625" style="326" customWidth="1"/>
    <col min="8696" max="8696" width="24" style="326" customWidth="1"/>
    <col min="8697" max="8698" width="30.6640625" style="326" customWidth="1"/>
    <col min="8699" max="8699" width="26.44140625" style="326" customWidth="1"/>
    <col min="8700" max="8701" width="30.6640625" style="326" customWidth="1"/>
    <col min="8702" max="8702" width="28.44140625" style="326" customWidth="1"/>
    <col min="8703" max="8703" width="23.44140625" style="326" customWidth="1"/>
    <col min="8704" max="8705" width="21.6640625" style="326" customWidth="1"/>
    <col min="8706" max="8706" width="24.21875" style="326" customWidth="1"/>
    <col min="8707" max="8707" width="24.44140625" style="326" customWidth="1"/>
    <col min="8708" max="8708" width="22.6640625" style="326" customWidth="1"/>
    <col min="8709" max="8709" width="25" style="326" customWidth="1"/>
    <col min="8710" max="8710" width="8" style="326" customWidth="1"/>
    <col min="8711" max="8760" width="8.33203125" style="326" hidden="1" customWidth="1"/>
    <col min="8761" max="8761" width="23.44140625" style="326" customWidth="1"/>
    <col min="8762" max="8762" width="14.44140625" style="326" customWidth="1"/>
    <col min="8763" max="8937" width="9" style="326"/>
    <col min="8938" max="8938" width="20.44140625" style="326" customWidth="1"/>
    <col min="8939" max="8939" width="53" style="326" customWidth="1"/>
    <col min="8940" max="8940" width="30.6640625" style="326" customWidth="1"/>
    <col min="8941" max="8941" width="30.44140625" style="326" customWidth="1"/>
    <col min="8942" max="8942" width="28.21875" style="326" customWidth="1"/>
    <col min="8943" max="8944" width="30.6640625" style="326" customWidth="1"/>
    <col min="8945" max="8945" width="26.44140625" style="326" customWidth="1"/>
    <col min="8946" max="8947" width="30.6640625" style="326" customWidth="1"/>
    <col min="8948" max="8948" width="26.44140625" style="326" customWidth="1"/>
    <col min="8949" max="8949" width="17.6640625" style="326" customWidth="1"/>
    <col min="8950" max="8951" width="28.44140625" style="326" customWidth="1"/>
    <col min="8952" max="8952" width="24" style="326" customWidth="1"/>
    <col min="8953" max="8954" width="30.6640625" style="326" customWidth="1"/>
    <col min="8955" max="8955" width="26.44140625" style="326" customWidth="1"/>
    <col min="8956" max="8957" width="30.6640625" style="326" customWidth="1"/>
    <col min="8958" max="8958" width="28.44140625" style="326" customWidth="1"/>
    <col min="8959" max="8959" width="23.44140625" style="326" customWidth="1"/>
    <col min="8960" max="8961" width="21.6640625" style="326" customWidth="1"/>
    <col min="8962" max="8962" width="24.21875" style="326" customWidth="1"/>
    <col min="8963" max="8963" width="24.44140625" style="326" customWidth="1"/>
    <col min="8964" max="8964" width="22.6640625" style="326" customWidth="1"/>
    <col min="8965" max="8965" width="25" style="326" customWidth="1"/>
    <col min="8966" max="8966" width="8" style="326" customWidth="1"/>
    <col min="8967" max="9016" width="8.33203125" style="326" hidden="1" customWidth="1"/>
    <col min="9017" max="9017" width="23.44140625" style="326" customWidth="1"/>
    <col min="9018" max="9018" width="14.44140625" style="326" customWidth="1"/>
    <col min="9019" max="9193" width="9" style="326"/>
    <col min="9194" max="9194" width="20.44140625" style="326" customWidth="1"/>
    <col min="9195" max="9195" width="53" style="326" customWidth="1"/>
    <col min="9196" max="9196" width="30.6640625" style="326" customWidth="1"/>
    <col min="9197" max="9197" width="30.44140625" style="326" customWidth="1"/>
    <col min="9198" max="9198" width="28.21875" style="326" customWidth="1"/>
    <col min="9199" max="9200" width="30.6640625" style="326" customWidth="1"/>
    <col min="9201" max="9201" width="26.44140625" style="326" customWidth="1"/>
    <col min="9202" max="9203" width="30.6640625" style="326" customWidth="1"/>
    <col min="9204" max="9204" width="26.44140625" style="326" customWidth="1"/>
    <col min="9205" max="9205" width="17.6640625" style="326" customWidth="1"/>
    <col min="9206" max="9207" width="28.44140625" style="326" customWidth="1"/>
    <col min="9208" max="9208" width="24" style="326" customWidth="1"/>
    <col min="9209" max="9210" width="30.6640625" style="326" customWidth="1"/>
    <col min="9211" max="9211" width="26.44140625" style="326" customWidth="1"/>
    <col min="9212" max="9213" width="30.6640625" style="326" customWidth="1"/>
    <col min="9214" max="9214" width="28.44140625" style="326" customWidth="1"/>
    <col min="9215" max="9215" width="23.44140625" style="326" customWidth="1"/>
    <col min="9216" max="9217" width="21.6640625" style="326" customWidth="1"/>
    <col min="9218" max="9218" width="24.21875" style="326" customWidth="1"/>
    <col min="9219" max="9219" width="24.44140625" style="326" customWidth="1"/>
    <col min="9220" max="9220" width="22.6640625" style="326" customWidth="1"/>
    <col min="9221" max="9221" width="25" style="326" customWidth="1"/>
    <col min="9222" max="9222" width="8" style="326" customWidth="1"/>
    <col min="9223" max="9272" width="8.33203125" style="326" hidden="1" customWidth="1"/>
    <col min="9273" max="9273" width="23.44140625" style="326" customWidth="1"/>
    <col min="9274" max="9274" width="14.44140625" style="326" customWidth="1"/>
    <col min="9275" max="9449" width="9" style="326"/>
    <col min="9450" max="9450" width="20.44140625" style="326" customWidth="1"/>
    <col min="9451" max="9451" width="53" style="326" customWidth="1"/>
    <col min="9452" max="9452" width="30.6640625" style="326" customWidth="1"/>
    <col min="9453" max="9453" width="30.44140625" style="326" customWidth="1"/>
    <col min="9454" max="9454" width="28.21875" style="326" customWidth="1"/>
    <col min="9455" max="9456" width="30.6640625" style="326" customWidth="1"/>
    <col min="9457" max="9457" width="26.44140625" style="326" customWidth="1"/>
    <col min="9458" max="9459" width="30.6640625" style="326" customWidth="1"/>
    <col min="9460" max="9460" width="26.44140625" style="326" customWidth="1"/>
    <col min="9461" max="9461" width="17.6640625" style="326" customWidth="1"/>
    <col min="9462" max="9463" width="28.44140625" style="326" customWidth="1"/>
    <col min="9464" max="9464" width="24" style="326" customWidth="1"/>
    <col min="9465" max="9466" width="30.6640625" style="326" customWidth="1"/>
    <col min="9467" max="9467" width="26.44140625" style="326" customWidth="1"/>
    <col min="9468" max="9469" width="30.6640625" style="326" customWidth="1"/>
    <col min="9470" max="9470" width="28.44140625" style="326" customWidth="1"/>
    <col min="9471" max="9471" width="23.44140625" style="326" customWidth="1"/>
    <col min="9472" max="9473" width="21.6640625" style="326" customWidth="1"/>
    <col min="9474" max="9474" width="24.21875" style="326" customWidth="1"/>
    <col min="9475" max="9475" width="24.44140625" style="326" customWidth="1"/>
    <col min="9476" max="9476" width="22.6640625" style="326" customWidth="1"/>
    <col min="9477" max="9477" width="25" style="326" customWidth="1"/>
    <col min="9478" max="9478" width="8" style="326" customWidth="1"/>
    <col min="9479" max="9528" width="8.33203125" style="326" hidden="1" customWidth="1"/>
    <col min="9529" max="9529" width="23.44140625" style="326" customWidth="1"/>
    <col min="9530" max="9530" width="14.44140625" style="326" customWidth="1"/>
    <col min="9531" max="9705" width="9" style="326"/>
    <col min="9706" max="9706" width="20.44140625" style="326" customWidth="1"/>
    <col min="9707" max="9707" width="53" style="326" customWidth="1"/>
    <col min="9708" max="9708" width="30.6640625" style="326" customWidth="1"/>
    <col min="9709" max="9709" width="30.44140625" style="326" customWidth="1"/>
    <col min="9710" max="9710" width="28.21875" style="326" customWidth="1"/>
    <col min="9711" max="9712" width="30.6640625" style="326" customWidth="1"/>
    <col min="9713" max="9713" width="26.44140625" style="326" customWidth="1"/>
    <col min="9714" max="9715" width="30.6640625" style="326" customWidth="1"/>
    <col min="9716" max="9716" width="26.44140625" style="326" customWidth="1"/>
    <col min="9717" max="9717" width="17.6640625" style="326" customWidth="1"/>
    <col min="9718" max="9719" width="28.44140625" style="326" customWidth="1"/>
    <col min="9720" max="9720" width="24" style="326" customWidth="1"/>
    <col min="9721" max="9722" width="30.6640625" style="326" customWidth="1"/>
    <col min="9723" max="9723" width="26.44140625" style="326" customWidth="1"/>
    <col min="9724" max="9725" width="30.6640625" style="326" customWidth="1"/>
    <col min="9726" max="9726" width="28.44140625" style="326" customWidth="1"/>
    <col min="9727" max="9727" width="23.44140625" style="326" customWidth="1"/>
    <col min="9728" max="9729" width="21.6640625" style="326" customWidth="1"/>
    <col min="9730" max="9730" width="24.21875" style="326" customWidth="1"/>
    <col min="9731" max="9731" width="24.44140625" style="326" customWidth="1"/>
    <col min="9732" max="9732" width="22.6640625" style="326" customWidth="1"/>
    <col min="9733" max="9733" width="25" style="326" customWidth="1"/>
    <col min="9734" max="9734" width="8" style="326" customWidth="1"/>
    <col min="9735" max="9784" width="8.33203125" style="326" hidden="1" customWidth="1"/>
    <col min="9785" max="9785" width="23.44140625" style="326" customWidth="1"/>
    <col min="9786" max="9786" width="14.44140625" style="326" customWidth="1"/>
    <col min="9787" max="9961" width="9" style="326"/>
    <col min="9962" max="9962" width="20.44140625" style="326" customWidth="1"/>
    <col min="9963" max="9963" width="53" style="326" customWidth="1"/>
    <col min="9964" max="9964" width="30.6640625" style="326" customWidth="1"/>
    <col min="9965" max="9965" width="30.44140625" style="326" customWidth="1"/>
    <col min="9966" max="9966" width="28.21875" style="326" customWidth="1"/>
    <col min="9967" max="9968" width="30.6640625" style="326" customWidth="1"/>
    <col min="9969" max="9969" width="26.44140625" style="326" customWidth="1"/>
    <col min="9970" max="9971" width="30.6640625" style="326" customWidth="1"/>
    <col min="9972" max="9972" width="26.44140625" style="326" customWidth="1"/>
    <col min="9973" max="9973" width="17.6640625" style="326" customWidth="1"/>
    <col min="9974" max="9975" width="28.44140625" style="326" customWidth="1"/>
    <col min="9976" max="9976" width="24" style="326" customWidth="1"/>
    <col min="9977" max="9978" width="30.6640625" style="326" customWidth="1"/>
    <col min="9979" max="9979" width="26.44140625" style="326" customWidth="1"/>
    <col min="9980" max="9981" width="30.6640625" style="326" customWidth="1"/>
    <col min="9982" max="9982" width="28.44140625" style="326" customWidth="1"/>
    <col min="9983" max="9983" width="23.44140625" style="326" customWidth="1"/>
    <col min="9984" max="9985" width="21.6640625" style="326" customWidth="1"/>
    <col min="9986" max="9986" width="24.21875" style="326" customWidth="1"/>
    <col min="9987" max="9987" width="24.44140625" style="326" customWidth="1"/>
    <col min="9988" max="9988" width="22.6640625" style="326" customWidth="1"/>
    <col min="9989" max="9989" width="25" style="326" customWidth="1"/>
    <col min="9990" max="9990" width="8" style="326" customWidth="1"/>
    <col min="9991" max="10040" width="8.33203125" style="326" hidden="1" customWidth="1"/>
    <col min="10041" max="10041" width="23.44140625" style="326" customWidth="1"/>
    <col min="10042" max="10042" width="14.44140625" style="326" customWidth="1"/>
    <col min="10043" max="10217" width="9" style="326"/>
    <col min="10218" max="10218" width="20.44140625" style="326" customWidth="1"/>
    <col min="10219" max="10219" width="53" style="326" customWidth="1"/>
    <col min="10220" max="10220" width="30.6640625" style="326" customWidth="1"/>
    <col min="10221" max="10221" width="30.44140625" style="326" customWidth="1"/>
    <col min="10222" max="10222" width="28.21875" style="326" customWidth="1"/>
    <col min="10223" max="10224" width="30.6640625" style="326" customWidth="1"/>
    <col min="10225" max="10225" width="26.44140625" style="326" customWidth="1"/>
    <col min="10226" max="10227" width="30.6640625" style="326" customWidth="1"/>
    <col min="10228" max="10228" width="26.44140625" style="326" customWidth="1"/>
    <col min="10229" max="10229" width="17.6640625" style="326" customWidth="1"/>
    <col min="10230" max="10231" width="28.44140625" style="326" customWidth="1"/>
    <col min="10232" max="10232" width="24" style="326" customWidth="1"/>
    <col min="10233" max="10234" width="30.6640625" style="326" customWidth="1"/>
    <col min="10235" max="10235" width="26.44140625" style="326" customWidth="1"/>
    <col min="10236" max="10237" width="30.6640625" style="326" customWidth="1"/>
    <col min="10238" max="10238" width="28.44140625" style="326" customWidth="1"/>
    <col min="10239" max="10239" width="23.44140625" style="326" customWidth="1"/>
    <col min="10240" max="10241" width="21.6640625" style="326" customWidth="1"/>
    <col min="10242" max="10242" width="24.21875" style="326" customWidth="1"/>
    <col min="10243" max="10243" width="24.44140625" style="326" customWidth="1"/>
    <col min="10244" max="10244" width="22.6640625" style="326" customWidth="1"/>
    <col min="10245" max="10245" width="25" style="326" customWidth="1"/>
    <col min="10246" max="10246" width="8" style="326" customWidth="1"/>
    <col min="10247" max="10296" width="8.33203125" style="326" hidden="1" customWidth="1"/>
    <col min="10297" max="10297" width="23.44140625" style="326" customWidth="1"/>
    <col min="10298" max="10298" width="14.44140625" style="326" customWidth="1"/>
    <col min="10299" max="10473" width="9" style="326"/>
    <col min="10474" max="10474" width="20.44140625" style="326" customWidth="1"/>
    <col min="10475" max="10475" width="53" style="326" customWidth="1"/>
    <col min="10476" max="10476" width="30.6640625" style="326" customWidth="1"/>
    <col min="10477" max="10477" width="30.44140625" style="326" customWidth="1"/>
    <col min="10478" max="10478" width="28.21875" style="326" customWidth="1"/>
    <col min="10479" max="10480" width="30.6640625" style="326" customWidth="1"/>
    <col min="10481" max="10481" width="26.44140625" style="326" customWidth="1"/>
    <col min="10482" max="10483" width="30.6640625" style="326" customWidth="1"/>
    <col min="10484" max="10484" width="26.44140625" style="326" customWidth="1"/>
    <col min="10485" max="10485" width="17.6640625" style="326" customWidth="1"/>
    <col min="10486" max="10487" width="28.44140625" style="326" customWidth="1"/>
    <col min="10488" max="10488" width="24" style="326" customWidth="1"/>
    <col min="10489" max="10490" width="30.6640625" style="326" customWidth="1"/>
    <col min="10491" max="10491" width="26.44140625" style="326" customWidth="1"/>
    <col min="10492" max="10493" width="30.6640625" style="326" customWidth="1"/>
    <col min="10494" max="10494" width="28.44140625" style="326" customWidth="1"/>
    <col min="10495" max="10495" width="23.44140625" style="326" customWidth="1"/>
    <col min="10496" max="10497" width="21.6640625" style="326" customWidth="1"/>
    <col min="10498" max="10498" width="24.21875" style="326" customWidth="1"/>
    <col min="10499" max="10499" width="24.44140625" style="326" customWidth="1"/>
    <col min="10500" max="10500" width="22.6640625" style="326" customWidth="1"/>
    <col min="10501" max="10501" width="25" style="326" customWidth="1"/>
    <col min="10502" max="10502" width="8" style="326" customWidth="1"/>
    <col min="10503" max="10552" width="8.33203125" style="326" hidden="1" customWidth="1"/>
    <col min="10553" max="10553" width="23.44140625" style="326" customWidth="1"/>
    <col min="10554" max="10554" width="14.44140625" style="326" customWidth="1"/>
    <col min="10555" max="10729" width="9" style="326"/>
    <col min="10730" max="10730" width="20.44140625" style="326" customWidth="1"/>
    <col min="10731" max="10731" width="53" style="326" customWidth="1"/>
    <col min="10732" max="10732" width="30.6640625" style="326" customWidth="1"/>
    <col min="10733" max="10733" width="30.44140625" style="326" customWidth="1"/>
    <col min="10734" max="10734" width="28.21875" style="326" customWidth="1"/>
    <col min="10735" max="10736" width="30.6640625" style="326" customWidth="1"/>
    <col min="10737" max="10737" width="26.44140625" style="326" customWidth="1"/>
    <col min="10738" max="10739" width="30.6640625" style="326" customWidth="1"/>
    <col min="10740" max="10740" width="26.44140625" style="326" customWidth="1"/>
    <col min="10741" max="10741" width="17.6640625" style="326" customWidth="1"/>
    <col min="10742" max="10743" width="28.44140625" style="326" customWidth="1"/>
    <col min="10744" max="10744" width="24" style="326" customWidth="1"/>
    <col min="10745" max="10746" width="30.6640625" style="326" customWidth="1"/>
    <col min="10747" max="10747" width="26.44140625" style="326" customWidth="1"/>
    <col min="10748" max="10749" width="30.6640625" style="326" customWidth="1"/>
    <col min="10750" max="10750" width="28.44140625" style="326" customWidth="1"/>
    <col min="10751" max="10751" width="23.44140625" style="326" customWidth="1"/>
    <col min="10752" max="10753" width="21.6640625" style="326" customWidth="1"/>
    <col min="10754" max="10754" width="24.21875" style="326" customWidth="1"/>
    <col min="10755" max="10755" width="24.44140625" style="326" customWidth="1"/>
    <col min="10756" max="10756" width="22.6640625" style="326" customWidth="1"/>
    <col min="10757" max="10757" width="25" style="326" customWidth="1"/>
    <col min="10758" max="10758" width="8" style="326" customWidth="1"/>
    <col min="10759" max="10808" width="8.33203125" style="326" hidden="1" customWidth="1"/>
    <col min="10809" max="10809" width="23.44140625" style="326" customWidth="1"/>
    <col min="10810" max="10810" width="14.44140625" style="326" customWidth="1"/>
    <col min="10811" max="10985" width="9" style="326"/>
    <col min="10986" max="10986" width="20.44140625" style="326" customWidth="1"/>
    <col min="10987" max="10987" width="53" style="326" customWidth="1"/>
    <col min="10988" max="10988" width="30.6640625" style="326" customWidth="1"/>
    <col min="10989" max="10989" width="30.44140625" style="326" customWidth="1"/>
    <col min="10990" max="10990" width="28.21875" style="326" customWidth="1"/>
    <col min="10991" max="10992" width="30.6640625" style="326" customWidth="1"/>
    <col min="10993" max="10993" width="26.44140625" style="326" customWidth="1"/>
    <col min="10994" max="10995" width="30.6640625" style="326" customWidth="1"/>
    <col min="10996" max="10996" width="26.44140625" style="326" customWidth="1"/>
    <col min="10997" max="10997" width="17.6640625" style="326" customWidth="1"/>
    <col min="10998" max="10999" width="28.44140625" style="326" customWidth="1"/>
    <col min="11000" max="11000" width="24" style="326" customWidth="1"/>
    <col min="11001" max="11002" width="30.6640625" style="326" customWidth="1"/>
    <col min="11003" max="11003" width="26.44140625" style="326" customWidth="1"/>
    <col min="11004" max="11005" width="30.6640625" style="326" customWidth="1"/>
    <col min="11006" max="11006" width="28.44140625" style="326" customWidth="1"/>
    <col min="11007" max="11007" width="23.44140625" style="326" customWidth="1"/>
    <col min="11008" max="11009" width="21.6640625" style="326" customWidth="1"/>
    <col min="11010" max="11010" width="24.21875" style="326" customWidth="1"/>
    <col min="11011" max="11011" width="24.44140625" style="326" customWidth="1"/>
    <col min="11012" max="11012" width="22.6640625" style="326" customWidth="1"/>
    <col min="11013" max="11013" width="25" style="326" customWidth="1"/>
    <col min="11014" max="11014" width="8" style="326" customWidth="1"/>
    <col min="11015" max="11064" width="8.33203125" style="326" hidden="1" customWidth="1"/>
    <col min="11065" max="11065" width="23.44140625" style="326" customWidth="1"/>
    <col min="11066" max="11066" width="14.44140625" style="326" customWidth="1"/>
    <col min="11067" max="11241" width="9" style="326"/>
    <col min="11242" max="11242" width="20.44140625" style="326" customWidth="1"/>
    <col min="11243" max="11243" width="53" style="326" customWidth="1"/>
    <col min="11244" max="11244" width="30.6640625" style="326" customWidth="1"/>
    <col min="11245" max="11245" width="30.44140625" style="326" customWidth="1"/>
    <col min="11246" max="11246" width="28.21875" style="326" customWidth="1"/>
    <col min="11247" max="11248" width="30.6640625" style="326" customWidth="1"/>
    <col min="11249" max="11249" width="26.44140625" style="326" customWidth="1"/>
    <col min="11250" max="11251" width="30.6640625" style="326" customWidth="1"/>
    <col min="11252" max="11252" width="26.44140625" style="326" customWidth="1"/>
    <col min="11253" max="11253" width="17.6640625" style="326" customWidth="1"/>
    <col min="11254" max="11255" width="28.44140625" style="326" customWidth="1"/>
    <col min="11256" max="11256" width="24" style="326" customWidth="1"/>
    <col min="11257" max="11258" width="30.6640625" style="326" customWidth="1"/>
    <col min="11259" max="11259" width="26.44140625" style="326" customWidth="1"/>
    <col min="11260" max="11261" width="30.6640625" style="326" customWidth="1"/>
    <col min="11262" max="11262" width="28.44140625" style="326" customWidth="1"/>
    <col min="11263" max="11263" width="23.44140625" style="326" customWidth="1"/>
    <col min="11264" max="11265" width="21.6640625" style="326" customWidth="1"/>
    <col min="11266" max="11266" width="24.21875" style="326" customWidth="1"/>
    <col min="11267" max="11267" width="24.44140625" style="326" customWidth="1"/>
    <col min="11268" max="11268" width="22.6640625" style="326" customWidth="1"/>
    <col min="11269" max="11269" width="25" style="326" customWidth="1"/>
    <col min="11270" max="11270" width="8" style="326" customWidth="1"/>
    <col min="11271" max="11320" width="8.33203125" style="326" hidden="1" customWidth="1"/>
    <col min="11321" max="11321" width="23.44140625" style="326" customWidth="1"/>
    <col min="11322" max="11322" width="14.44140625" style="326" customWidth="1"/>
    <col min="11323" max="11497" width="9" style="326"/>
    <col min="11498" max="11498" width="20.44140625" style="326" customWidth="1"/>
    <col min="11499" max="11499" width="53" style="326" customWidth="1"/>
    <col min="11500" max="11500" width="30.6640625" style="326" customWidth="1"/>
    <col min="11501" max="11501" width="30.44140625" style="326" customWidth="1"/>
    <col min="11502" max="11502" width="28.21875" style="326" customWidth="1"/>
    <col min="11503" max="11504" width="30.6640625" style="326" customWidth="1"/>
    <col min="11505" max="11505" width="26.44140625" style="326" customWidth="1"/>
    <col min="11506" max="11507" width="30.6640625" style="326" customWidth="1"/>
    <col min="11508" max="11508" width="26.44140625" style="326" customWidth="1"/>
    <col min="11509" max="11509" width="17.6640625" style="326" customWidth="1"/>
    <col min="11510" max="11511" width="28.44140625" style="326" customWidth="1"/>
    <col min="11512" max="11512" width="24" style="326" customWidth="1"/>
    <col min="11513" max="11514" width="30.6640625" style="326" customWidth="1"/>
    <col min="11515" max="11515" width="26.44140625" style="326" customWidth="1"/>
    <col min="11516" max="11517" width="30.6640625" style="326" customWidth="1"/>
    <col min="11518" max="11518" width="28.44140625" style="326" customWidth="1"/>
    <col min="11519" max="11519" width="23.44140625" style="326" customWidth="1"/>
    <col min="11520" max="11521" width="21.6640625" style="326" customWidth="1"/>
    <col min="11522" max="11522" width="24.21875" style="326" customWidth="1"/>
    <col min="11523" max="11523" width="24.44140625" style="326" customWidth="1"/>
    <col min="11524" max="11524" width="22.6640625" style="326" customWidth="1"/>
    <col min="11525" max="11525" width="25" style="326" customWidth="1"/>
    <col min="11526" max="11526" width="8" style="326" customWidth="1"/>
    <col min="11527" max="11576" width="8.33203125" style="326" hidden="1" customWidth="1"/>
    <col min="11577" max="11577" width="23.44140625" style="326" customWidth="1"/>
    <col min="11578" max="11578" width="14.44140625" style="326" customWidth="1"/>
    <col min="11579" max="11753" width="9" style="326"/>
    <col min="11754" max="11754" width="20.44140625" style="326" customWidth="1"/>
    <col min="11755" max="11755" width="53" style="326" customWidth="1"/>
    <col min="11756" max="11756" width="30.6640625" style="326" customWidth="1"/>
    <col min="11757" max="11757" width="30.44140625" style="326" customWidth="1"/>
    <col min="11758" max="11758" width="28.21875" style="326" customWidth="1"/>
    <col min="11759" max="11760" width="30.6640625" style="326" customWidth="1"/>
    <col min="11761" max="11761" width="26.44140625" style="326" customWidth="1"/>
    <col min="11762" max="11763" width="30.6640625" style="326" customWidth="1"/>
    <col min="11764" max="11764" width="26.44140625" style="326" customWidth="1"/>
    <col min="11765" max="11765" width="17.6640625" style="326" customWidth="1"/>
    <col min="11766" max="11767" width="28.44140625" style="326" customWidth="1"/>
    <col min="11768" max="11768" width="24" style="326" customWidth="1"/>
    <col min="11769" max="11770" width="30.6640625" style="326" customWidth="1"/>
    <col min="11771" max="11771" width="26.44140625" style="326" customWidth="1"/>
    <col min="11772" max="11773" width="30.6640625" style="326" customWidth="1"/>
    <col min="11774" max="11774" width="28.44140625" style="326" customWidth="1"/>
    <col min="11775" max="11775" width="23.44140625" style="326" customWidth="1"/>
    <col min="11776" max="11777" width="21.6640625" style="326" customWidth="1"/>
    <col min="11778" max="11778" width="24.21875" style="326" customWidth="1"/>
    <col min="11779" max="11779" width="24.44140625" style="326" customWidth="1"/>
    <col min="11780" max="11780" width="22.6640625" style="326" customWidth="1"/>
    <col min="11781" max="11781" width="25" style="326" customWidth="1"/>
    <col min="11782" max="11782" width="8" style="326" customWidth="1"/>
    <col min="11783" max="11832" width="8.33203125" style="326" hidden="1" customWidth="1"/>
    <col min="11833" max="11833" width="23.44140625" style="326" customWidth="1"/>
    <col min="11834" max="11834" width="14.44140625" style="326" customWidth="1"/>
    <col min="11835" max="12009" width="9" style="326"/>
    <col min="12010" max="12010" width="20.44140625" style="326" customWidth="1"/>
    <col min="12011" max="12011" width="53" style="326" customWidth="1"/>
    <col min="12012" max="12012" width="30.6640625" style="326" customWidth="1"/>
    <col min="12013" max="12013" width="30.44140625" style="326" customWidth="1"/>
    <col min="12014" max="12014" width="28.21875" style="326" customWidth="1"/>
    <col min="12015" max="12016" width="30.6640625" style="326" customWidth="1"/>
    <col min="12017" max="12017" width="26.44140625" style="326" customWidth="1"/>
    <col min="12018" max="12019" width="30.6640625" style="326" customWidth="1"/>
    <col min="12020" max="12020" width="26.44140625" style="326" customWidth="1"/>
    <col min="12021" max="12021" width="17.6640625" style="326" customWidth="1"/>
    <col min="12022" max="12023" width="28.44140625" style="326" customWidth="1"/>
    <col min="12024" max="12024" width="24" style="326" customWidth="1"/>
    <col min="12025" max="12026" width="30.6640625" style="326" customWidth="1"/>
    <col min="12027" max="12027" width="26.44140625" style="326" customWidth="1"/>
    <col min="12028" max="12029" width="30.6640625" style="326" customWidth="1"/>
    <col min="12030" max="12030" width="28.44140625" style="326" customWidth="1"/>
    <col min="12031" max="12031" width="23.44140625" style="326" customWidth="1"/>
    <col min="12032" max="12033" width="21.6640625" style="326" customWidth="1"/>
    <col min="12034" max="12034" width="24.21875" style="326" customWidth="1"/>
    <col min="12035" max="12035" width="24.44140625" style="326" customWidth="1"/>
    <col min="12036" max="12036" width="22.6640625" style="326" customWidth="1"/>
    <col min="12037" max="12037" width="25" style="326" customWidth="1"/>
    <col min="12038" max="12038" width="8" style="326" customWidth="1"/>
    <col min="12039" max="12088" width="8.33203125" style="326" hidden="1" customWidth="1"/>
    <col min="12089" max="12089" width="23.44140625" style="326" customWidth="1"/>
    <col min="12090" max="12090" width="14.44140625" style="326" customWidth="1"/>
    <col min="12091" max="12265" width="9" style="326"/>
    <col min="12266" max="12266" width="20.44140625" style="326" customWidth="1"/>
    <col min="12267" max="12267" width="53" style="326" customWidth="1"/>
    <col min="12268" max="12268" width="30.6640625" style="326" customWidth="1"/>
    <col min="12269" max="12269" width="30.44140625" style="326" customWidth="1"/>
    <col min="12270" max="12270" width="28.21875" style="326" customWidth="1"/>
    <col min="12271" max="12272" width="30.6640625" style="326" customWidth="1"/>
    <col min="12273" max="12273" width="26.44140625" style="326" customWidth="1"/>
    <col min="12274" max="12275" width="30.6640625" style="326" customWidth="1"/>
    <col min="12276" max="12276" width="26.44140625" style="326" customWidth="1"/>
    <col min="12277" max="12277" width="17.6640625" style="326" customWidth="1"/>
    <col min="12278" max="12279" width="28.44140625" style="326" customWidth="1"/>
    <col min="12280" max="12280" width="24" style="326" customWidth="1"/>
    <col min="12281" max="12282" width="30.6640625" style="326" customWidth="1"/>
    <col min="12283" max="12283" width="26.44140625" style="326" customWidth="1"/>
    <col min="12284" max="12285" width="30.6640625" style="326" customWidth="1"/>
    <col min="12286" max="12286" width="28.44140625" style="326" customWidth="1"/>
    <col min="12287" max="12287" width="23.44140625" style="326" customWidth="1"/>
    <col min="12288" max="12289" width="21.6640625" style="326" customWidth="1"/>
    <col min="12290" max="12290" width="24.21875" style="326" customWidth="1"/>
    <col min="12291" max="12291" width="24.44140625" style="326" customWidth="1"/>
    <col min="12292" max="12292" width="22.6640625" style="326" customWidth="1"/>
    <col min="12293" max="12293" width="25" style="326" customWidth="1"/>
    <col min="12294" max="12294" width="8" style="326" customWidth="1"/>
    <col min="12295" max="12344" width="8.33203125" style="326" hidden="1" customWidth="1"/>
    <col min="12345" max="12345" width="23.44140625" style="326" customWidth="1"/>
    <col min="12346" max="12346" width="14.44140625" style="326" customWidth="1"/>
    <col min="12347" max="12521" width="9" style="326"/>
    <col min="12522" max="12522" width="20.44140625" style="326" customWidth="1"/>
    <col min="12523" max="12523" width="53" style="326" customWidth="1"/>
    <col min="12524" max="12524" width="30.6640625" style="326" customWidth="1"/>
    <col min="12525" max="12525" width="30.44140625" style="326" customWidth="1"/>
    <col min="12526" max="12526" width="28.21875" style="326" customWidth="1"/>
    <col min="12527" max="12528" width="30.6640625" style="326" customWidth="1"/>
    <col min="12529" max="12529" width="26.44140625" style="326" customWidth="1"/>
    <col min="12530" max="12531" width="30.6640625" style="326" customWidth="1"/>
    <col min="12532" max="12532" width="26.44140625" style="326" customWidth="1"/>
    <col min="12533" max="12533" width="17.6640625" style="326" customWidth="1"/>
    <col min="12534" max="12535" width="28.44140625" style="326" customWidth="1"/>
    <col min="12536" max="12536" width="24" style="326" customWidth="1"/>
    <col min="12537" max="12538" width="30.6640625" style="326" customWidth="1"/>
    <col min="12539" max="12539" width="26.44140625" style="326" customWidth="1"/>
    <col min="12540" max="12541" width="30.6640625" style="326" customWidth="1"/>
    <col min="12542" max="12542" width="28.44140625" style="326" customWidth="1"/>
    <col min="12543" max="12543" width="23.44140625" style="326" customWidth="1"/>
    <col min="12544" max="12545" width="21.6640625" style="326" customWidth="1"/>
    <col min="12546" max="12546" width="24.21875" style="326" customWidth="1"/>
    <col min="12547" max="12547" width="24.44140625" style="326" customWidth="1"/>
    <col min="12548" max="12548" width="22.6640625" style="326" customWidth="1"/>
    <col min="12549" max="12549" width="25" style="326" customWidth="1"/>
    <col min="12550" max="12550" width="8" style="326" customWidth="1"/>
    <col min="12551" max="12600" width="8.33203125" style="326" hidden="1" customWidth="1"/>
    <col min="12601" max="12601" width="23.44140625" style="326" customWidth="1"/>
    <col min="12602" max="12602" width="14.44140625" style="326" customWidth="1"/>
    <col min="12603" max="12777" width="9" style="326"/>
    <col min="12778" max="12778" width="20.44140625" style="326" customWidth="1"/>
    <col min="12779" max="12779" width="53" style="326" customWidth="1"/>
    <col min="12780" max="12780" width="30.6640625" style="326" customWidth="1"/>
    <col min="12781" max="12781" width="30.44140625" style="326" customWidth="1"/>
    <col min="12782" max="12782" width="28.21875" style="326" customWidth="1"/>
    <col min="12783" max="12784" width="30.6640625" style="326" customWidth="1"/>
    <col min="12785" max="12785" width="26.44140625" style="326" customWidth="1"/>
    <col min="12786" max="12787" width="30.6640625" style="326" customWidth="1"/>
    <col min="12788" max="12788" width="26.44140625" style="326" customWidth="1"/>
    <col min="12789" max="12789" width="17.6640625" style="326" customWidth="1"/>
    <col min="12790" max="12791" width="28.44140625" style="326" customWidth="1"/>
    <col min="12792" max="12792" width="24" style="326" customWidth="1"/>
    <col min="12793" max="12794" width="30.6640625" style="326" customWidth="1"/>
    <col min="12795" max="12795" width="26.44140625" style="326" customWidth="1"/>
    <col min="12796" max="12797" width="30.6640625" style="326" customWidth="1"/>
    <col min="12798" max="12798" width="28.44140625" style="326" customWidth="1"/>
    <col min="12799" max="12799" width="23.44140625" style="326" customWidth="1"/>
    <col min="12800" max="12801" width="21.6640625" style="326" customWidth="1"/>
    <col min="12802" max="12802" width="24.21875" style="326" customWidth="1"/>
    <col min="12803" max="12803" width="24.44140625" style="326" customWidth="1"/>
    <col min="12804" max="12804" width="22.6640625" style="326" customWidth="1"/>
    <col min="12805" max="12805" width="25" style="326" customWidth="1"/>
    <col min="12806" max="12806" width="8" style="326" customWidth="1"/>
    <col min="12807" max="12856" width="8.33203125" style="326" hidden="1" customWidth="1"/>
    <col min="12857" max="12857" width="23.44140625" style="326" customWidth="1"/>
    <col min="12858" max="12858" width="14.44140625" style="326" customWidth="1"/>
    <col min="12859" max="13033" width="9" style="326"/>
    <col min="13034" max="13034" width="20.44140625" style="326" customWidth="1"/>
    <col min="13035" max="13035" width="53" style="326" customWidth="1"/>
    <col min="13036" max="13036" width="30.6640625" style="326" customWidth="1"/>
    <col min="13037" max="13037" width="30.44140625" style="326" customWidth="1"/>
    <col min="13038" max="13038" width="28.21875" style="326" customWidth="1"/>
    <col min="13039" max="13040" width="30.6640625" style="326" customWidth="1"/>
    <col min="13041" max="13041" width="26.44140625" style="326" customWidth="1"/>
    <col min="13042" max="13043" width="30.6640625" style="326" customWidth="1"/>
    <col min="13044" max="13044" width="26.44140625" style="326" customWidth="1"/>
    <col min="13045" max="13045" width="17.6640625" style="326" customWidth="1"/>
    <col min="13046" max="13047" width="28.44140625" style="326" customWidth="1"/>
    <col min="13048" max="13048" width="24" style="326" customWidth="1"/>
    <col min="13049" max="13050" width="30.6640625" style="326" customWidth="1"/>
    <col min="13051" max="13051" width="26.44140625" style="326" customWidth="1"/>
    <col min="13052" max="13053" width="30.6640625" style="326" customWidth="1"/>
    <col min="13054" max="13054" width="28.44140625" style="326" customWidth="1"/>
    <col min="13055" max="13055" width="23.44140625" style="326" customWidth="1"/>
    <col min="13056" max="13057" width="21.6640625" style="326" customWidth="1"/>
    <col min="13058" max="13058" width="24.21875" style="326" customWidth="1"/>
    <col min="13059" max="13059" width="24.44140625" style="326" customWidth="1"/>
    <col min="13060" max="13060" width="22.6640625" style="326" customWidth="1"/>
    <col min="13061" max="13061" width="25" style="326" customWidth="1"/>
    <col min="13062" max="13062" width="8" style="326" customWidth="1"/>
    <col min="13063" max="13112" width="8.33203125" style="326" hidden="1" customWidth="1"/>
    <col min="13113" max="13113" width="23.44140625" style="326" customWidth="1"/>
    <col min="13114" max="13114" width="14.44140625" style="326" customWidth="1"/>
    <col min="13115" max="13289" width="9" style="326"/>
    <col min="13290" max="13290" width="20.44140625" style="326" customWidth="1"/>
    <col min="13291" max="13291" width="53" style="326" customWidth="1"/>
    <col min="13292" max="13292" width="30.6640625" style="326" customWidth="1"/>
    <col min="13293" max="13293" width="30.44140625" style="326" customWidth="1"/>
    <col min="13294" max="13294" width="28.21875" style="326" customWidth="1"/>
    <col min="13295" max="13296" width="30.6640625" style="326" customWidth="1"/>
    <col min="13297" max="13297" width="26.44140625" style="326" customWidth="1"/>
    <col min="13298" max="13299" width="30.6640625" style="326" customWidth="1"/>
    <col min="13300" max="13300" width="26.44140625" style="326" customWidth="1"/>
    <col min="13301" max="13301" width="17.6640625" style="326" customWidth="1"/>
    <col min="13302" max="13303" width="28.44140625" style="326" customWidth="1"/>
    <col min="13304" max="13304" width="24" style="326" customWidth="1"/>
    <col min="13305" max="13306" width="30.6640625" style="326" customWidth="1"/>
    <col min="13307" max="13307" width="26.44140625" style="326" customWidth="1"/>
    <col min="13308" max="13309" width="30.6640625" style="326" customWidth="1"/>
    <col min="13310" max="13310" width="28.44140625" style="326" customWidth="1"/>
    <col min="13311" max="13311" width="23.44140625" style="326" customWidth="1"/>
    <col min="13312" max="13313" width="21.6640625" style="326" customWidth="1"/>
    <col min="13314" max="13314" width="24.21875" style="326" customWidth="1"/>
    <col min="13315" max="13315" width="24.44140625" style="326" customWidth="1"/>
    <col min="13316" max="13316" width="22.6640625" style="326" customWidth="1"/>
    <col min="13317" max="13317" width="25" style="326" customWidth="1"/>
    <col min="13318" max="13318" width="8" style="326" customWidth="1"/>
    <col min="13319" max="13368" width="8.33203125" style="326" hidden="1" customWidth="1"/>
    <col min="13369" max="13369" width="23.44140625" style="326" customWidth="1"/>
    <col min="13370" max="13370" width="14.44140625" style="326" customWidth="1"/>
    <col min="13371" max="13545" width="9" style="326"/>
    <col min="13546" max="13546" width="20.44140625" style="326" customWidth="1"/>
    <col min="13547" max="13547" width="53" style="326" customWidth="1"/>
    <col min="13548" max="13548" width="30.6640625" style="326" customWidth="1"/>
    <col min="13549" max="13549" width="30.44140625" style="326" customWidth="1"/>
    <col min="13550" max="13550" width="28.21875" style="326" customWidth="1"/>
    <col min="13551" max="13552" width="30.6640625" style="326" customWidth="1"/>
    <col min="13553" max="13553" width="26.44140625" style="326" customWidth="1"/>
    <col min="13554" max="13555" width="30.6640625" style="326" customWidth="1"/>
    <col min="13556" max="13556" width="26.44140625" style="326" customWidth="1"/>
    <col min="13557" max="13557" width="17.6640625" style="326" customWidth="1"/>
    <col min="13558" max="13559" width="28.44140625" style="326" customWidth="1"/>
    <col min="13560" max="13560" width="24" style="326" customWidth="1"/>
    <col min="13561" max="13562" width="30.6640625" style="326" customWidth="1"/>
    <col min="13563" max="13563" width="26.44140625" style="326" customWidth="1"/>
    <col min="13564" max="13565" width="30.6640625" style="326" customWidth="1"/>
    <col min="13566" max="13566" width="28.44140625" style="326" customWidth="1"/>
    <col min="13567" max="13567" width="23.44140625" style="326" customWidth="1"/>
    <col min="13568" max="13569" width="21.6640625" style="326" customWidth="1"/>
    <col min="13570" max="13570" width="24.21875" style="326" customWidth="1"/>
    <col min="13571" max="13571" width="24.44140625" style="326" customWidth="1"/>
    <col min="13572" max="13572" width="22.6640625" style="326" customWidth="1"/>
    <col min="13573" max="13573" width="25" style="326" customWidth="1"/>
    <col min="13574" max="13574" width="8" style="326" customWidth="1"/>
    <col min="13575" max="13624" width="8.33203125" style="326" hidden="1" customWidth="1"/>
    <col min="13625" max="13625" width="23.44140625" style="326" customWidth="1"/>
    <col min="13626" max="13626" width="14.44140625" style="326" customWidth="1"/>
    <col min="13627" max="13801" width="9" style="326"/>
    <col min="13802" max="13802" width="20.44140625" style="326" customWidth="1"/>
    <col min="13803" max="13803" width="53" style="326" customWidth="1"/>
    <col min="13804" max="13804" width="30.6640625" style="326" customWidth="1"/>
    <col min="13805" max="13805" width="30.44140625" style="326" customWidth="1"/>
    <col min="13806" max="13806" width="28.21875" style="326" customWidth="1"/>
    <col min="13807" max="13808" width="30.6640625" style="326" customWidth="1"/>
    <col min="13809" max="13809" width="26.44140625" style="326" customWidth="1"/>
    <col min="13810" max="13811" width="30.6640625" style="326" customWidth="1"/>
    <col min="13812" max="13812" width="26.44140625" style="326" customWidth="1"/>
    <col min="13813" max="13813" width="17.6640625" style="326" customWidth="1"/>
    <col min="13814" max="13815" width="28.44140625" style="326" customWidth="1"/>
    <col min="13816" max="13816" width="24" style="326" customWidth="1"/>
    <col min="13817" max="13818" width="30.6640625" style="326" customWidth="1"/>
    <col min="13819" max="13819" width="26.44140625" style="326" customWidth="1"/>
    <col min="13820" max="13821" width="30.6640625" style="326" customWidth="1"/>
    <col min="13822" max="13822" width="28.44140625" style="326" customWidth="1"/>
    <col min="13823" max="13823" width="23.44140625" style="326" customWidth="1"/>
    <col min="13824" max="13825" width="21.6640625" style="326" customWidth="1"/>
    <col min="13826" max="13826" width="24.21875" style="326" customWidth="1"/>
    <col min="13827" max="13827" width="24.44140625" style="326" customWidth="1"/>
    <col min="13828" max="13828" width="22.6640625" style="326" customWidth="1"/>
    <col min="13829" max="13829" width="25" style="326" customWidth="1"/>
    <col min="13830" max="13830" width="8" style="326" customWidth="1"/>
    <col min="13831" max="13880" width="8.33203125" style="326" hidden="1" customWidth="1"/>
    <col min="13881" max="13881" width="23.44140625" style="326" customWidth="1"/>
    <col min="13882" max="13882" width="14.44140625" style="326" customWidth="1"/>
    <col min="13883" max="14057" width="9" style="326"/>
    <col min="14058" max="14058" width="20.44140625" style="326" customWidth="1"/>
    <col min="14059" max="14059" width="53" style="326" customWidth="1"/>
    <col min="14060" max="14060" width="30.6640625" style="326" customWidth="1"/>
    <col min="14061" max="14061" width="30.44140625" style="326" customWidth="1"/>
    <col min="14062" max="14062" width="28.21875" style="326" customWidth="1"/>
    <col min="14063" max="14064" width="30.6640625" style="326" customWidth="1"/>
    <col min="14065" max="14065" width="26.44140625" style="326" customWidth="1"/>
    <col min="14066" max="14067" width="30.6640625" style="326" customWidth="1"/>
    <col min="14068" max="14068" width="26.44140625" style="326" customWidth="1"/>
    <col min="14069" max="14069" width="17.6640625" style="326" customWidth="1"/>
    <col min="14070" max="14071" width="28.44140625" style="326" customWidth="1"/>
    <col min="14072" max="14072" width="24" style="326" customWidth="1"/>
    <col min="14073" max="14074" width="30.6640625" style="326" customWidth="1"/>
    <col min="14075" max="14075" width="26.44140625" style="326" customWidth="1"/>
    <col min="14076" max="14077" width="30.6640625" style="326" customWidth="1"/>
    <col min="14078" max="14078" width="28.44140625" style="326" customWidth="1"/>
    <col min="14079" max="14079" width="23.44140625" style="326" customWidth="1"/>
    <col min="14080" max="14081" width="21.6640625" style="326" customWidth="1"/>
    <col min="14082" max="14082" width="24.21875" style="326" customWidth="1"/>
    <col min="14083" max="14083" width="24.44140625" style="326" customWidth="1"/>
    <col min="14084" max="14084" width="22.6640625" style="326" customWidth="1"/>
    <col min="14085" max="14085" width="25" style="326" customWidth="1"/>
    <col min="14086" max="14086" width="8" style="326" customWidth="1"/>
    <col min="14087" max="14136" width="8.33203125" style="326" hidden="1" customWidth="1"/>
    <col min="14137" max="14137" width="23.44140625" style="326" customWidth="1"/>
    <col min="14138" max="14138" width="14.44140625" style="326" customWidth="1"/>
    <col min="14139" max="14313" width="9" style="326"/>
    <col min="14314" max="14314" width="20.44140625" style="326" customWidth="1"/>
    <col min="14315" max="14315" width="53" style="326" customWidth="1"/>
    <col min="14316" max="14316" width="30.6640625" style="326" customWidth="1"/>
    <col min="14317" max="14317" width="30.44140625" style="326" customWidth="1"/>
    <col min="14318" max="14318" width="28.21875" style="326" customWidth="1"/>
    <col min="14319" max="14320" width="30.6640625" style="326" customWidth="1"/>
    <col min="14321" max="14321" width="26.44140625" style="326" customWidth="1"/>
    <col min="14322" max="14323" width="30.6640625" style="326" customWidth="1"/>
    <col min="14324" max="14324" width="26.44140625" style="326" customWidth="1"/>
    <col min="14325" max="14325" width="17.6640625" style="326" customWidth="1"/>
    <col min="14326" max="14327" width="28.44140625" style="326" customWidth="1"/>
    <col min="14328" max="14328" width="24" style="326" customWidth="1"/>
    <col min="14329" max="14330" width="30.6640625" style="326" customWidth="1"/>
    <col min="14331" max="14331" width="26.44140625" style="326" customWidth="1"/>
    <col min="14332" max="14333" width="30.6640625" style="326" customWidth="1"/>
    <col min="14334" max="14334" width="28.44140625" style="326" customWidth="1"/>
    <col min="14335" max="14335" width="23.44140625" style="326" customWidth="1"/>
    <col min="14336" max="14337" width="21.6640625" style="326" customWidth="1"/>
    <col min="14338" max="14338" width="24.21875" style="326" customWidth="1"/>
    <col min="14339" max="14339" width="24.44140625" style="326" customWidth="1"/>
    <col min="14340" max="14340" width="22.6640625" style="326" customWidth="1"/>
    <col min="14341" max="14341" width="25" style="326" customWidth="1"/>
    <col min="14342" max="14342" width="8" style="326" customWidth="1"/>
    <col min="14343" max="14392" width="8.33203125" style="326" hidden="1" customWidth="1"/>
    <col min="14393" max="14393" width="23.44140625" style="326" customWidth="1"/>
    <col min="14394" max="14394" width="14.44140625" style="326" customWidth="1"/>
    <col min="14395" max="14569" width="9" style="326"/>
    <col min="14570" max="14570" width="20.44140625" style="326" customWidth="1"/>
    <col min="14571" max="14571" width="53" style="326" customWidth="1"/>
    <col min="14572" max="14572" width="30.6640625" style="326" customWidth="1"/>
    <col min="14573" max="14573" width="30.44140625" style="326" customWidth="1"/>
    <col min="14574" max="14574" width="28.21875" style="326" customWidth="1"/>
    <col min="14575" max="14576" width="30.6640625" style="326" customWidth="1"/>
    <col min="14577" max="14577" width="26.44140625" style="326" customWidth="1"/>
    <col min="14578" max="14579" width="30.6640625" style="326" customWidth="1"/>
    <col min="14580" max="14580" width="26.44140625" style="326" customWidth="1"/>
    <col min="14581" max="14581" width="17.6640625" style="326" customWidth="1"/>
    <col min="14582" max="14583" width="28.44140625" style="326" customWidth="1"/>
    <col min="14584" max="14584" width="24" style="326" customWidth="1"/>
    <col min="14585" max="14586" width="30.6640625" style="326" customWidth="1"/>
    <col min="14587" max="14587" width="26.44140625" style="326" customWidth="1"/>
    <col min="14588" max="14589" width="30.6640625" style="326" customWidth="1"/>
    <col min="14590" max="14590" width="28.44140625" style="326" customWidth="1"/>
    <col min="14591" max="14591" width="23.44140625" style="326" customWidth="1"/>
    <col min="14592" max="14593" width="21.6640625" style="326" customWidth="1"/>
    <col min="14594" max="14594" width="24.21875" style="326" customWidth="1"/>
    <col min="14595" max="14595" width="24.44140625" style="326" customWidth="1"/>
    <col min="14596" max="14596" width="22.6640625" style="326" customWidth="1"/>
    <col min="14597" max="14597" width="25" style="326" customWidth="1"/>
    <col min="14598" max="14598" width="8" style="326" customWidth="1"/>
    <col min="14599" max="14648" width="8.33203125" style="326" hidden="1" customWidth="1"/>
    <col min="14649" max="14649" width="23.44140625" style="326" customWidth="1"/>
    <col min="14650" max="14650" width="14.44140625" style="326" customWidth="1"/>
    <col min="14651" max="14825" width="9" style="326"/>
    <col min="14826" max="14826" width="20.44140625" style="326" customWidth="1"/>
    <col min="14827" max="14827" width="53" style="326" customWidth="1"/>
    <col min="14828" max="14828" width="30.6640625" style="326" customWidth="1"/>
    <col min="14829" max="14829" width="30.44140625" style="326" customWidth="1"/>
    <col min="14830" max="14830" width="28.21875" style="326" customWidth="1"/>
    <col min="14831" max="14832" width="30.6640625" style="326" customWidth="1"/>
    <col min="14833" max="14833" width="26.44140625" style="326" customWidth="1"/>
    <col min="14834" max="14835" width="30.6640625" style="326" customWidth="1"/>
    <col min="14836" max="14836" width="26.44140625" style="326" customWidth="1"/>
    <col min="14837" max="14837" width="17.6640625" style="326" customWidth="1"/>
    <col min="14838" max="14839" width="28.44140625" style="326" customWidth="1"/>
    <col min="14840" max="14840" width="24" style="326" customWidth="1"/>
    <col min="14841" max="14842" width="30.6640625" style="326" customWidth="1"/>
    <col min="14843" max="14843" width="26.44140625" style="326" customWidth="1"/>
    <col min="14844" max="14845" width="30.6640625" style="326" customWidth="1"/>
    <col min="14846" max="14846" width="28.44140625" style="326" customWidth="1"/>
    <col min="14847" max="14847" width="23.44140625" style="326" customWidth="1"/>
    <col min="14848" max="14849" width="21.6640625" style="326" customWidth="1"/>
    <col min="14850" max="14850" width="24.21875" style="326" customWidth="1"/>
    <col min="14851" max="14851" width="24.44140625" style="326" customWidth="1"/>
    <col min="14852" max="14852" width="22.6640625" style="326" customWidth="1"/>
    <col min="14853" max="14853" width="25" style="326" customWidth="1"/>
    <col min="14854" max="14854" width="8" style="326" customWidth="1"/>
    <col min="14855" max="14904" width="8.33203125" style="326" hidden="1" customWidth="1"/>
    <col min="14905" max="14905" width="23.44140625" style="326" customWidth="1"/>
    <col min="14906" max="14906" width="14.44140625" style="326" customWidth="1"/>
    <col min="14907" max="15081" width="9" style="326"/>
    <col min="15082" max="15082" width="20.44140625" style="326" customWidth="1"/>
    <col min="15083" max="15083" width="53" style="326" customWidth="1"/>
    <col min="15084" max="15084" width="30.6640625" style="326" customWidth="1"/>
    <col min="15085" max="15085" width="30.44140625" style="326" customWidth="1"/>
    <col min="15086" max="15086" width="28.21875" style="326" customWidth="1"/>
    <col min="15087" max="15088" width="30.6640625" style="326" customWidth="1"/>
    <col min="15089" max="15089" width="26.44140625" style="326" customWidth="1"/>
    <col min="15090" max="15091" width="30.6640625" style="326" customWidth="1"/>
    <col min="15092" max="15092" width="26.44140625" style="326" customWidth="1"/>
    <col min="15093" max="15093" width="17.6640625" style="326" customWidth="1"/>
    <col min="15094" max="15095" width="28.44140625" style="326" customWidth="1"/>
    <col min="15096" max="15096" width="24" style="326" customWidth="1"/>
    <col min="15097" max="15098" width="30.6640625" style="326" customWidth="1"/>
    <col min="15099" max="15099" width="26.44140625" style="326" customWidth="1"/>
    <col min="15100" max="15101" width="30.6640625" style="326" customWidth="1"/>
    <col min="15102" max="15102" width="28.44140625" style="326" customWidth="1"/>
    <col min="15103" max="15103" width="23.44140625" style="326" customWidth="1"/>
    <col min="15104" max="15105" width="21.6640625" style="326" customWidth="1"/>
    <col min="15106" max="15106" width="24.21875" style="326" customWidth="1"/>
    <col min="15107" max="15107" width="24.44140625" style="326" customWidth="1"/>
    <col min="15108" max="15108" width="22.6640625" style="326" customWidth="1"/>
    <col min="15109" max="15109" width="25" style="326" customWidth="1"/>
    <col min="15110" max="15110" width="8" style="326" customWidth="1"/>
    <col min="15111" max="15160" width="8.33203125" style="326" hidden="1" customWidth="1"/>
    <col min="15161" max="15161" width="23.44140625" style="326" customWidth="1"/>
    <col min="15162" max="15162" width="14.44140625" style="326" customWidth="1"/>
    <col min="15163" max="15337" width="9" style="326"/>
    <col min="15338" max="15338" width="20.44140625" style="326" customWidth="1"/>
    <col min="15339" max="15339" width="53" style="326" customWidth="1"/>
    <col min="15340" max="15340" width="30.6640625" style="326" customWidth="1"/>
    <col min="15341" max="15341" width="30.44140625" style="326" customWidth="1"/>
    <col min="15342" max="15342" width="28.21875" style="326" customWidth="1"/>
    <col min="15343" max="15344" width="30.6640625" style="326" customWidth="1"/>
    <col min="15345" max="15345" width="26.44140625" style="326" customWidth="1"/>
    <col min="15346" max="15347" width="30.6640625" style="326" customWidth="1"/>
    <col min="15348" max="15348" width="26.44140625" style="326" customWidth="1"/>
    <col min="15349" max="15349" width="17.6640625" style="326" customWidth="1"/>
    <col min="15350" max="15351" width="28.44140625" style="326" customWidth="1"/>
    <col min="15352" max="15352" width="24" style="326" customWidth="1"/>
    <col min="15353" max="15354" width="30.6640625" style="326" customWidth="1"/>
    <col min="15355" max="15355" width="26.44140625" style="326" customWidth="1"/>
    <col min="15356" max="15357" width="30.6640625" style="326" customWidth="1"/>
    <col min="15358" max="15358" width="28.44140625" style="326" customWidth="1"/>
    <col min="15359" max="15359" width="23.44140625" style="326" customWidth="1"/>
    <col min="15360" max="15361" width="21.6640625" style="326" customWidth="1"/>
    <col min="15362" max="15362" width="24.21875" style="326" customWidth="1"/>
    <col min="15363" max="15363" width="24.44140625" style="326" customWidth="1"/>
    <col min="15364" max="15364" width="22.6640625" style="326" customWidth="1"/>
    <col min="15365" max="15365" width="25" style="326" customWidth="1"/>
    <col min="15366" max="15366" width="8" style="326" customWidth="1"/>
    <col min="15367" max="15416" width="8.33203125" style="326" hidden="1" customWidth="1"/>
    <col min="15417" max="15417" width="23.44140625" style="326" customWidth="1"/>
    <col min="15418" max="15418" width="14.44140625" style="326" customWidth="1"/>
    <col min="15419" max="15593" width="9" style="326"/>
    <col min="15594" max="15594" width="20.44140625" style="326" customWidth="1"/>
    <col min="15595" max="15595" width="53" style="326" customWidth="1"/>
    <col min="15596" max="15596" width="30.6640625" style="326" customWidth="1"/>
    <col min="15597" max="15597" width="30.44140625" style="326" customWidth="1"/>
    <col min="15598" max="15598" width="28.21875" style="326" customWidth="1"/>
    <col min="15599" max="15600" width="30.6640625" style="326" customWidth="1"/>
    <col min="15601" max="15601" width="26.44140625" style="326" customWidth="1"/>
    <col min="15602" max="15603" width="30.6640625" style="326" customWidth="1"/>
    <col min="15604" max="15604" width="26.44140625" style="326" customWidth="1"/>
    <col min="15605" max="15605" width="17.6640625" style="326" customWidth="1"/>
    <col min="15606" max="15607" width="28.44140625" style="326" customWidth="1"/>
    <col min="15608" max="15608" width="24" style="326" customWidth="1"/>
    <col min="15609" max="15610" width="30.6640625" style="326" customWidth="1"/>
    <col min="15611" max="15611" width="26.44140625" style="326" customWidth="1"/>
    <col min="15612" max="15613" width="30.6640625" style="326" customWidth="1"/>
    <col min="15614" max="15614" width="28.44140625" style="326" customWidth="1"/>
    <col min="15615" max="15615" width="23.44140625" style="326" customWidth="1"/>
    <col min="15616" max="15617" width="21.6640625" style="326" customWidth="1"/>
    <col min="15618" max="15618" width="24.21875" style="326" customWidth="1"/>
    <col min="15619" max="15619" width="24.44140625" style="326" customWidth="1"/>
    <col min="15620" max="15620" width="22.6640625" style="326" customWidth="1"/>
    <col min="15621" max="15621" width="25" style="326" customWidth="1"/>
    <col min="15622" max="15622" width="8" style="326" customWidth="1"/>
    <col min="15623" max="15672" width="8.33203125" style="326" hidden="1" customWidth="1"/>
    <col min="15673" max="15673" width="23.44140625" style="326" customWidth="1"/>
    <col min="15674" max="15674" width="14.44140625" style="326" customWidth="1"/>
    <col min="15675" max="15849" width="9" style="326"/>
    <col min="15850" max="15850" width="20.44140625" style="326" customWidth="1"/>
    <col min="15851" max="15851" width="53" style="326" customWidth="1"/>
    <col min="15852" max="15852" width="30.6640625" style="326" customWidth="1"/>
    <col min="15853" max="15853" width="30.44140625" style="326" customWidth="1"/>
    <col min="15854" max="15854" width="28.21875" style="326" customWidth="1"/>
    <col min="15855" max="15856" width="30.6640625" style="326" customWidth="1"/>
    <col min="15857" max="15857" width="26.44140625" style="326" customWidth="1"/>
    <col min="15858" max="15859" width="30.6640625" style="326" customWidth="1"/>
    <col min="15860" max="15860" width="26.44140625" style="326" customWidth="1"/>
    <col min="15861" max="15861" width="17.6640625" style="326" customWidth="1"/>
    <col min="15862" max="15863" width="28.44140625" style="326" customWidth="1"/>
    <col min="15864" max="15864" width="24" style="326" customWidth="1"/>
    <col min="15865" max="15866" width="30.6640625" style="326" customWidth="1"/>
    <col min="15867" max="15867" width="26.44140625" style="326" customWidth="1"/>
    <col min="15868" max="15869" width="30.6640625" style="326" customWidth="1"/>
    <col min="15870" max="15870" width="28.44140625" style="326" customWidth="1"/>
    <col min="15871" max="15871" width="23.44140625" style="326" customWidth="1"/>
    <col min="15872" max="15873" width="21.6640625" style="326" customWidth="1"/>
    <col min="15874" max="15874" width="24.21875" style="326" customWidth="1"/>
    <col min="15875" max="15875" width="24.44140625" style="326" customWidth="1"/>
    <col min="15876" max="15876" width="22.6640625" style="326" customWidth="1"/>
    <col min="15877" max="15877" width="25" style="326" customWidth="1"/>
    <col min="15878" max="15878" width="8" style="326" customWidth="1"/>
    <col min="15879" max="15928" width="8.33203125" style="326" hidden="1" customWidth="1"/>
    <col min="15929" max="15929" width="23.44140625" style="326" customWidth="1"/>
    <col min="15930" max="15930" width="14.44140625" style="326" customWidth="1"/>
    <col min="15931" max="16105" width="9" style="326"/>
    <col min="16106" max="16106" width="20.44140625" style="326" customWidth="1"/>
    <col min="16107" max="16107" width="53" style="326" customWidth="1"/>
    <col min="16108" max="16108" width="30.6640625" style="326" customWidth="1"/>
    <col min="16109" max="16109" width="30.44140625" style="326" customWidth="1"/>
    <col min="16110" max="16110" width="28.21875" style="326" customWidth="1"/>
    <col min="16111" max="16112" width="30.6640625" style="326" customWidth="1"/>
    <col min="16113" max="16113" width="26.44140625" style="326" customWidth="1"/>
    <col min="16114" max="16115" width="30.6640625" style="326" customWidth="1"/>
    <col min="16116" max="16116" width="26.44140625" style="326" customWidth="1"/>
    <col min="16117" max="16117" width="17.6640625" style="326" customWidth="1"/>
    <col min="16118" max="16119" width="28.44140625" style="326" customWidth="1"/>
    <col min="16120" max="16120" width="24" style="326" customWidth="1"/>
    <col min="16121" max="16122" width="30.6640625" style="326" customWidth="1"/>
    <col min="16123" max="16123" width="26.44140625" style="326" customWidth="1"/>
    <col min="16124" max="16125" width="30.6640625" style="326" customWidth="1"/>
    <col min="16126" max="16126" width="28.44140625" style="326" customWidth="1"/>
    <col min="16127" max="16127" width="23.44140625" style="326" customWidth="1"/>
    <col min="16128" max="16129" width="21.6640625" style="326" customWidth="1"/>
    <col min="16130" max="16130" width="24.21875" style="326" customWidth="1"/>
    <col min="16131" max="16131" width="24.44140625" style="326" customWidth="1"/>
    <col min="16132" max="16132" width="22.6640625" style="326" customWidth="1"/>
    <col min="16133" max="16133" width="25" style="326" customWidth="1"/>
    <col min="16134" max="16134" width="8" style="326" customWidth="1"/>
    <col min="16135" max="16184" width="8.33203125" style="326" hidden="1" customWidth="1"/>
    <col min="16185" max="16185" width="23.44140625" style="326" customWidth="1"/>
    <col min="16186" max="16186" width="14.44140625" style="326" customWidth="1"/>
    <col min="16187" max="16384" width="9" style="326"/>
  </cols>
  <sheetData>
    <row r="1" spans="1:65" ht="19.5" customHeight="1">
      <c r="A1" s="330" t="s">
        <v>785</v>
      </c>
      <c r="B1" s="331" t="s">
        <v>21</v>
      </c>
      <c r="C1" s="332" t="s">
        <v>786</v>
      </c>
      <c r="E1" s="332"/>
      <c r="F1" s="216">
        <v>6</v>
      </c>
      <c r="G1" s="216">
        <v>7</v>
      </c>
      <c r="H1" s="333" t="s">
        <v>787</v>
      </c>
      <c r="I1" s="216">
        <v>9</v>
      </c>
      <c r="J1" s="216">
        <v>10</v>
      </c>
      <c r="K1" s="216">
        <v>11</v>
      </c>
      <c r="L1" s="216">
        <v>12</v>
      </c>
      <c r="M1" s="216">
        <v>13</v>
      </c>
      <c r="N1" s="216">
        <v>14</v>
      </c>
      <c r="O1" s="216">
        <v>15</v>
      </c>
      <c r="P1" s="216">
        <v>16</v>
      </c>
      <c r="Q1" s="216">
        <v>17</v>
      </c>
      <c r="R1" s="216">
        <v>18</v>
      </c>
      <c r="S1" s="216">
        <v>19</v>
      </c>
      <c r="T1" s="216">
        <v>20</v>
      </c>
      <c r="U1" s="216">
        <v>21</v>
      </c>
      <c r="V1" s="216">
        <v>22</v>
      </c>
      <c r="W1" s="216">
        <v>23</v>
      </c>
      <c r="X1" s="216">
        <v>24</v>
      </c>
      <c r="Y1" s="216">
        <v>25</v>
      </c>
      <c r="Z1" s="216">
        <v>26</v>
      </c>
      <c r="AA1" s="216">
        <v>27</v>
      </c>
      <c r="AB1" s="216">
        <v>28</v>
      </c>
      <c r="AL1" s="233" t="s">
        <v>785</v>
      </c>
      <c r="AM1" s="233" t="s">
        <v>21</v>
      </c>
      <c r="AN1" s="208">
        <v>3</v>
      </c>
      <c r="AO1" s="208">
        <v>4</v>
      </c>
      <c r="AP1" s="208">
        <v>5</v>
      </c>
      <c r="AQ1" s="208">
        <v>6</v>
      </c>
      <c r="AR1" s="208">
        <v>7</v>
      </c>
      <c r="AS1" s="208">
        <v>8</v>
      </c>
      <c r="AT1" s="208">
        <v>9</v>
      </c>
      <c r="AU1" s="208">
        <v>10</v>
      </c>
      <c r="AV1" s="208">
        <v>11</v>
      </c>
      <c r="AW1" s="208">
        <v>12</v>
      </c>
      <c r="AX1" s="208">
        <v>13</v>
      </c>
      <c r="AY1" s="208">
        <v>14</v>
      </c>
      <c r="AZ1" s="208">
        <v>15</v>
      </c>
      <c r="BA1" s="208">
        <v>16</v>
      </c>
      <c r="BB1" s="208">
        <v>17</v>
      </c>
      <c r="BC1" s="208">
        <v>18</v>
      </c>
      <c r="BD1" s="208">
        <v>19</v>
      </c>
      <c r="BE1" s="208">
        <v>20</v>
      </c>
      <c r="BF1" s="208">
        <v>21</v>
      </c>
      <c r="BG1" s="334">
        <v>22</v>
      </c>
      <c r="BH1" s="97"/>
      <c r="BI1" s="335">
        <v>24</v>
      </c>
      <c r="BJ1" s="335">
        <v>25</v>
      </c>
      <c r="BK1" s="335">
        <v>26</v>
      </c>
      <c r="BL1" s="335">
        <v>27</v>
      </c>
    </row>
    <row r="2" spans="1:65" s="337" customFormat="1" ht="19.5" customHeight="1">
      <c r="A2" s="2713" t="s">
        <v>292</v>
      </c>
      <c r="B2" s="2714" t="s">
        <v>293</v>
      </c>
      <c r="C2" s="2715" t="s">
        <v>788</v>
      </c>
      <c r="D2" s="2715" t="s">
        <v>789</v>
      </c>
      <c r="E2" s="2715" t="s">
        <v>790</v>
      </c>
      <c r="F2" s="2716" t="s">
        <v>791</v>
      </c>
      <c r="G2" s="2716"/>
      <c r="H2" s="2716"/>
      <c r="I2" s="2714" t="s">
        <v>792</v>
      </c>
      <c r="J2" s="2714"/>
      <c r="K2" s="2714"/>
      <c r="L2" s="2717" t="s">
        <v>793</v>
      </c>
      <c r="M2" s="2718" t="s">
        <v>794</v>
      </c>
      <c r="N2" s="2718"/>
      <c r="O2" s="2718"/>
      <c r="P2" s="2719" t="s">
        <v>795</v>
      </c>
      <c r="Q2" s="2719"/>
      <c r="R2" s="2719"/>
      <c r="S2" s="2719" t="s">
        <v>796</v>
      </c>
      <c r="T2" s="2719"/>
      <c r="U2" s="2719"/>
      <c r="V2" s="2716" t="s">
        <v>797</v>
      </c>
      <c r="W2" s="2716"/>
      <c r="X2" s="2716"/>
      <c r="Y2" s="2719" t="s">
        <v>798</v>
      </c>
      <c r="Z2" s="2719"/>
      <c r="AA2" s="2719"/>
      <c r="AB2" s="2719"/>
      <c r="AC2" s="336"/>
      <c r="AD2" s="336" t="s">
        <v>799</v>
      </c>
      <c r="AE2" s="233"/>
      <c r="AF2" s="233"/>
      <c r="AG2" s="336"/>
      <c r="AH2" s="336"/>
      <c r="AI2" s="233"/>
      <c r="AJ2" s="233"/>
      <c r="AK2" s="233"/>
      <c r="AL2" s="2720" t="s">
        <v>800</v>
      </c>
      <c r="AM2" s="2721" t="s">
        <v>801</v>
      </c>
      <c r="AN2" s="2720" t="s">
        <v>802</v>
      </c>
      <c r="AO2" s="2722" t="s">
        <v>803</v>
      </c>
      <c r="AP2" s="2722" t="s">
        <v>804</v>
      </c>
      <c r="AQ2" s="2723" t="s">
        <v>805</v>
      </c>
      <c r="AR2" s="2724" t="s">
        <v>806</v>
      </c>
      <c r="AS2" s="2724"/>
      <c r="AT2" s="2724"/>
      <c r="AU2" s="2724" t="s">
        <v>807</v>
      </c>
      <c r="AV2" s="2724"/>
      <c r="AW2" s="2724"/>
      <c r="AX2" s="2725" t="s">
        <v>808</v>
      </c>
      <c r="AY2" s="2725"/>
      <c r="AZ2" s="2725"/>
      <c r="BA2" s="2725" t="s">
        <v>809</v>
      </c>
      <c r="BB2" s="2725"/>
      <c r="BC2" s="2725"/>
      <c r="BD2" s="2726" t="s">
        <v>810</v>
      </c>
      <c r="BE2" s="2726"/>
      <c r="BF2" s="2726"/>
      <c r="BG2" s="2726"/>
      <c r="BI2" s="2727" t="s">
        <v>811</v>
      </c>
      <c r="BJ2" s="2727"/>
      <c r="BK2" s="2727"/>
      <c r="BL2" s="2727"/>
    </row>
    <row r="3" spans="1:65" s="337" customFormat="1" ht="19.5" customHeight="1">
      <c r="A3" s="2713"/>
      <c r="B3" s="2714"/>
      <c r="C3" s="2715"/>
      <c r="D3" s="2715"/>
      <c r="E3" s="2715"/>
      <c r="F3" s="1" t="s">
        <v>738</v>
      </c>
      <c r="G3" s="1" t="s">
        <v>736</v>
      </c>
      <c r="H3" s="1" t="s">
        <v>812</v>
      </c>
      <c r="I3" s="2" t="s">
        <v>738</v>
      </c>
      <c r="J3" s="2" t="s">
        <v>736</v>
      </c>
      <c r="K3" s="2" t="s">
        <v>812</v>
      </c>
      <c r="L3" s="2717"/>
      <c r="M3" s="1" t="s">
        <v>738</v>
      </c>
      <c r="N3" s="1" t="s">
        <v>736</v>
      </c>
      <c r="O3" s="1" t="s">
        <v>812</v>
      </c>
      <c r="P3" s="1" t="s">
        <v>738</v>
      </c>
      <c r="Q3" s="1" t="s">
        <v>736</v>
      </c>
      <c r="R3" s="1" t="s">
        <v>812</v>
      </c>
      <c r="S3" s="1" t="s">
        <v>738</v>
      </c>
      <c r="T3" s="1" t="s">
        <v>736</v>
      </c>
      <c r="U3" s="1" t="s">
        <v>812</v>
      </c>
      <c r="V3" s="1" t="s">
        <v>813</v>
      </c>
      <c r="W3" s="1" t="s">
        <v>795</v>
      </c>
      <c r="X3" s="1" t="s">
        <v>571</v>
      </c>
      <c r="Y3" s="1" t="s">
        <v>814</v>
      </c>
      <c r="Z3" s="338" t="s">
        <v>815</v>
      </c>
      <c r="AA3" s="1" t="s">
        <v>795</v>
      </c>
      <c r="AB3" s="1" t="s">
        <v>571</v>
      </c>
      <c r="AC3" s="336"/>
      <c r="AD3" s="339" t="s">
        <v>816</v>
      </c>
      <c r="AE3" s="339" t="s">
        <v>817</v>
      </c>
      <c r="AF3" s="339" t="s">
        <v>818</v>
      </c>
      <c r="AG3" s="340" t="s">
        <v>819</v>
      </c>
      <c r="AH3" s="339" t="s">
        <v>820</v>
      </c>
      <c r="AI3" s="233"/>
      <c r="AJ3" s="233"/>
      <c r="AK3" s="233"/>
      <c r="AL3" s="2720"/>
      <c r="AM3" s="2721"/>
      <c r="AN3" s="2720"/>
      <c r="AO3" s="2722"/>
      <c r="AP3" s="2722"/>
      <c r="AQ3" s="2723"/>
      <c r="AR3" s="341" t="s">
        <v>802</v>
      </c>
      <c r="AS3" s="342" t="s">
        <v>803</v>
      </c>
      <c r="AT3" s="343" t="s">
        <v>804</v>
      </c>
      <c r="AU3" s="341" t="s">
        <v>802</v>
      </c>
      <c r="AV3" s="342" t="s">
        <v>803</v>
      </c>
      <c r="AW3" s="343" t="s">
        <v>804</v>
      </c>
      <c r="AX3" s="344" t="s">
        <v>821</v>
      </c>
      <c r="AY3" s="345" t="s">
        <v>822</v>
      </c>
      <c r="AZ3" s="346" t="s">
        <v>823</v>
      </c>
      <c r="BA3" s="344" t="s">
        <v>821</v>
      </c>
      <c r="BB3" s="345" t="s">
        <v>822</v>
      </c>
      <c r="BC3" s="346" t="s">
        <v>823</v>
      </c>
      <c r="BD3" s="347" t="s">
        <v>821</v>
      </c>
      <c r="BE3" s="348" t="s">
        <v>822</v>
      </c>
      <c r="BF3" s="349" t="s">
        <v>823</v>
      </c>
      <c r="BG3" s="346" t="s">
        <v>824</v>
      </c>
      <c r="BH3" s="350"/>
      <c r="BI3" s="351" t="s">
        <v>825</v>
      </c>
      <c r="BJ3" s="352" t="s">
        <v>826</v>
      </c>
      <c r="BK3" s="352" t="s">
        <v>804</v>
      </c>
      <c r="BL3" s="353" t="s">
        <v>824</v>
      </c>
    </row>
    <row r="4" spans="1:65" ht="19.5" customHeight="1">
      <c r="A4" s="354" t="s">
        <v>772</v>
      </c>
      <c r="B4" s="355" t="s">
        <v>773</v>
      </c>
      <c r="C4" s="356">
        <v>8843135926</v>
      </c>
      <c r="D4" s="356">
        <v>8221453625.8739996</v>
      </c>
      <c r="E4" s="356">
        <v>621682300.12600005</v>
      </c>
      <c r="F4" s="357">
        <v>8634622541</v>
      </c>
      <c r="G4" s="357">
        <v>8027598964</v>
      </c>
      <c r="H4" s="358">
        <v>607023577</v>
      </c>
      <c r="I4" s="359"/>
      <c r="J4" s="359"/>
      <c r="K4" s="358"/>
      <c r="L4" s="360">
        <v>0.98387362589302396</v>
      </c>
      <c r="M4" s="358">
        <v>65905667</v>
      </c>
      <c r="N4" s="361">
        <v>61272425</v>
      </c>
      <c r="O4" s="358">
        <v>4633242</v>
      </c>
      <c r="P4" s="358">
        <v>65905667</v>
      </c>
      <c r="Q4" s="358">
        <v>61272425</v>
      </c>
      <c r="R4" s="358">
        <v>4633242</v>
      </c>
      <c r="S4" s="358">
        <v>8700528208</v>
      </c>
      <c r="T4" s="357">
        <v>8088871389</v>
      </c>
      <c r="U4" s="357">
        <v>611656819</v>
      </c>
      <c r="V4" s="358"/>
      <c r="W4" s="357"/>
      <c r="X4" s="357">
        <v>-6488189</v>
      </c>
      <c r="Y4" s="357"/>
      <c r="Z4" s="357"/>
      <c r="AA4" s="358"/>
      <c r="AB4" s="358"/>
      <c r="AC4" s="362"/>
      <c r="AD4" s="97">
        <v>0</v>
      </c>
      <c r="AE4" s="97">
        <v>0</v>
      </c>
      <c r="AF4" s="97">
        <v>0</v>
      </c>
      <c r="AG4" s="208" t="s">
        <v>630</v>
      </c>
      <c r="AI4" s="97" t="s">
        <v>827</v>
      </c>
      <c r="AJ4" s="363" t="s">
        <v>828</v>
      </c>
      <c r="AL4" s="364" t="s">
        <v>772</v>
      </c>
      <c r="AM4" s="365" t="s">
        <v>829</v>
      </c>
      <c r="AN4" s="364">
        <v>8843136</v>
      </c>
      <c r="AO4" s="366">
        <v>8221454</v>
      </c>
      <c r="AP4" s="366">
        <v>621682</v>
      </c>
      <c r="AQ4" s="367">
        <v>7.0301078712348197E-2</v>
      </c>
      <c r="AR4" s="364"/>
      <c r="AS4" s="366"/>
      <c r="AT4" s="368"/>
      <c r="AU4" s="364"/>
      <c r="AV4" s="366"/>
      <c r="AW4" s="368"/>
      <c r="AX4" s="369">
        <v>65906</v>
      </c>
      <c r="AY4" s="366">
        <v>61272</v>
      </c>
      <c r="AZ4" s="368">
        <v>4634</v>
      </c>
      <c r="BA4" s="369">
        <v>65906</v>
      </c>
      <c r="BB4" s="366">
        <v>61272</v>
      </c>
      <c r="BC4" s="368">
        <v>4634</v>
      </c>
      <c r="BD4" s="369">
        <v>8700528</v>
      </c>
      <c r="BE4" s="366">
        <v>8088871</v>
      </c>
      <c r="BF4" s="365">
        <v>611657</v>
      </c>
      <c r="BG4" s="370">
        <v>0.98387359416387998</v>
      </c>
      <c r="BH4" s="327">
        <v>3.1729143645797799E-8</v>
      </c>
      <c r="BI4" s="371">
        <v>142608</v>
      </c>
      <c r="BJ4" s="372">
        <v>132583</v>
      </c>
      <c r="BK4" s="372">
        <v>10025</v>
      </c>
      <c r="BL4" s="373">
        <v>1.6126405836119701E-2</v>
      </c>
      <c r="BM4" s="327"/>
    </row>
    <row r="5" spans="1:65" ht="19.5" customHeight="1">
      <c r="A5" s="354" t="s">
        <v>307</v>
      </c>
      <c r="B5" s="374" t="s">
        <v>830</v>
      </c>
      <c r="C5" s="356">
        <v>1380500564</v>
      </c>
      <c r="D5" s="356">
        <v>1715109012</v>
      </c>
      <c r="E5" s="356">
        <v>-334608448</v>
      </c>
      <c r="F5" s="357">
        <v>1061900353</v>
      </c>
      <c r="G5" s="357">
        <v>1319285854</v>
      </c>
      <c r="H5" s="358">
        <v>-257385501</v>
      </c>
      <c r="I5" s="359"/>
      <c r="J5" s="359"/>
      <c r="K5" s="358"/>
      <c r="L5" s="360">
        <v>0.82918519292346904</v>
      </c>
      <c r="M5" s="358">
        <v>82790273</v>
      </c>
      <c r="N5" s="361">
        <v>102857143</v>
      </c>
      <c r="O5" s="358">
        <v>-20066870</v>
      </c>
      <c r="P5" s="358">
        <v>82790273</v>
      </c>
      <c r="Q5" s="358">
        <v>102857143</v>
      </c>
      <c r="R5" s="358">
        <v>-20066870</v>
      </c>
      <c r="S5" s="358">
        <v>1144690626</v>
      </c>
      <c r="T5" s="357">
        <v>1422142997</v>
      </c>
      <c r="U5" s="357">
        <v>-277452371</v>
      </c>
      <c r="V5" s="358"/>
      <c r="W5" s="358"/>
      <c r="X5" s="358"/>
      <c r="Y5" s="358">
        <v>77222947</v>
      </c>
      <c r="Z5" s="358">
        <v>-20066870</v>
      </c>
      <c r="AA5" s="358">
        <v>-20066870</v>
      </c>
      <c r="AB5" s="375">
        <v>57156077</v>
      </c>
      <c r="AC5" s="362"/>
      <c r="AD5" s="97">
        <v>0</v>
      </c>
      <c r="AE5" s="97">
        <v>0</v>
      </c>
      <c r="AF5" s="97">
        <v>0</v>
      </c>
      <c r="AG5" s="208" t="s">
        <v>630</v>
      </c>
      <c r="AH5" s="208">
        <v>0</v>
      </c>
      <c r="AI5" s="97" t="s">
        <v>827</v>
      </c>
      <c r="AJ5" s="363" t="s">
        <v>831</v>
      </c>
      <c r="AL5" s="364" t="s">
        <v>307</v>
      </c>
      <c r="AM5" s="365" t="s">
        <v>832</v>
      </c>
      <c r="AN5" s="364">
        <v>1380501</v>
      </c>
      <c r="AO5" s="366">
        <v>1715109</v>
      </c>
      <c r="AP5" s="366">
        <v>-334608</v>
      </c>
      <c r="AQ5" s="367">
        <v>-0.24238157016909101</v>
      </c>
      <c r="AR5" s="364"/>
      <c r="AS5" s="366"/>
      <c r="AT5" s="368"/>
      <c r="AU5" s="364"/>
      <c r="AV5" s="366"/>
      <c r="AW5" s="368"/>
      <c r="AX5" s="369">
        <v>82790</v>
      </c>
      <c r="AY5" s="366">
        <v>82790</v>
      </c>
      <c r="AZ5" s="368">
        <v>0</v>
      </c>
      <c r="BA5" s="369">
        <v>82790</v>
      </c>
      <c r="BB5" s="366">
        <v>82790</v>
      </c>
      <c r="BC5" s="368">
        <v>0</v>
      </c>
      <c r="BD5" s="369">
        <v>1144691</v>
      </c>
      <c r="BE5" s="366">
        <v>1479299</v>
      </c>
      <c r="BF5" s="365">
        <v>-334608</v>
      </c>
      <c r="BG5" s="370">
        <v>0.82918520160434495</v>
      </c>
      <c r="BH5" s="327">
        <v>-8.6808760180190397E-9</v>
      </c>
      <c r="BI5" s="371">
        <v>235809</v>
      </c>
      <c r="BJ5" s="372">
        <v>235810</v>
      </c>
      <c r="BK5" s="372">
        <v>-1</v>
      </c>
      <c r="BL5" s="373">
        <v>0.170814798395655</v>
      </c>
    </row>
    <row r="6" spans="1:65" ht="19.5" customHeight="1">
      <c r="A6" s="354" t="s">
        <v>833</v>
      </c>
      <c r="B6" s="376" t="s">
        <v>834</v>
      </c>
      <c r="C6" s="356">
        <v>5433483058</v>
      </c>
      <c r="D6" s="356">
        <v>5390063047</v>
      </c>
      <c r="E6" s="356">
        <v>43420011</v>
      </c>
      <c r="F6" s="357">
        <v>5377944082</v>
      </c>
      <c r="G6" s="357">
        <v>5334967894</v>
      </c>
      <c r="H6" s="358">
        <v>42976188</v>
      </c>
      <c r="I6" s="359"/>
      <c r="J6" s="359"/>
      <c r="K6" s="358"/>
      <c r="L6" s="360">
        <v>0.99248031003597303</v>
      </c>
      <c r="M6" s="358">
        <v>14680868</v>
      </c>
      <c r="N6" s="361">
        <v>14563550</v>
      </c>
      <c r="O6" s="358">
        <v>117318</v>
      </c>
      <c r="P6" s="358">
        <v>14680868</v>
      </c>
      <c r="Q6" s="358">
        <v>14563550</v>
      </c>
      <c r="R6" s="358">
        <v>117318</v>
      </c>
      <c r="S6" s="358">
        <v>5392624950</v>
      </c>
      <c r="T6" s="357">
        <v>5349531444</v>
      </c>
      <c r="U6" s="357">
        <v>43093506</v>
      </c>
      <c r="V6" s="358"/>
      <c r="W6" s="357"/>
      <c r="X6" s="357"/>
      <c r="Y6" s="358"/>
      <c r="Z6" s="358"/>
      <c r="AA6" s="358"/>
      <c r="AB6" s="358"/>
      <c r="AC6" s="362"/>
      <c r="AD6" s="97">
        <v>0</v>
      </c>
      <c r="AE6" s="97">
        <v>0</v>
      </c>
      <c r="AF6" s="97">
        <v>0</v>
      </c>
      <c r="AG6" s="208" t="s">
        <v>630</v>
      </c>
      <c r="AI6" s="97" t="s">
        <v>827</v>
      </c>
      <c r="AJ6" s="363" t="s">
        <v>828</v>
      </c>
      <c r="AL6" s="364" t="s">
        <v>833</v>
      </c>
      <c r="AM6" s="365" t="s">
        <v>835</v>
      </c>
      <c r="AN6" s="364">
        <v>5433483</v>
      </c>
      <c r="AO6" s="366">
        <v>5390063</v>
      </c>
      <c r="AP6" s="366">
        <v>43420</v>
      </c>
      <c r="AQ6" s="367">
        <v>7.9911909175017191E-3</v>
      </c>
      <c r="AR6" s="364"/>
      <c r="AS6" s="366"/>
      <c r="AT6" s="368"/>
      <c r="AU6" s="364"/>
      <c r="AV6" s="366"/>
      <c r="AW6" s="368"/>
      <c r="AX6" s="369">
        <v>14681</v>
      </c>
      <c r="AY6" s="366">
        <v>14564</v>
      </c>
      <c r="AZ6" s="368">
        <v>117</v>
      </c>
      <c r="BA6" s="369">
        <v>14681</v>
      </c>
      <c r="BB6" s="366">
        <v>14564</v>
      </c>
      <c r="BC6" s="368">
        <v>117</v>
      </c>
      <c r="BD6" s="369">
        <v>5392625</v>
      </c>
      <c r="BE6" s="366">
        <v>5349531</v>
      </c>
      <c r="BF6" s="365">
        <v>43094</v>
      </c>
      <c r="BG6" s="370">
        <v>0.99248032983631296</v>
      </c>
      <c r="BH6" s="327">
        <v>-1.9800340034237301E-8</v>
      </c>
      <c r="BI6" s="371">
        <v>40858</v>
      </c>
      <c r="BJ6" s="372">
        <v>40532</v>
      </c>
      <c r="BK6" s="372">
        <v>326</v>
      </c>
      <c r="BL6" s="373">
        <v>7.5196701636869303E-3</v>
      </c>
    </row>
    <row r="7" spans="1:65" ht="19.5" customHeight="1">
      <c r="A7" s="354" t="s">
        <v>774</v>
      </c>
      <c r="B7" s="376" t="s">
        <v>775</v>
      </c>
      <c r="C7" s="356">
        <v>9178049082</v>
      </c>
      <c r="D7" s="356">
        <v>9011378958</v>
      </c>
      <c r="E7" s="377">
        <v>166670124</v>
      </c>
      <c r="F7" s="357">
        <v>8934352354</v>
      </c>
      <c r="G7" s="357">
        <v>8772107676</v>
      </c>
      <c r="H7" s="358">
        <v>162244678</v>
      </c>
      <c r="I7" s="359"/>
      <c r="J7" s="359"/>
      <c r="K7" s="358"/>
      <c r="L7" s="360">
        <v>0.97904687197375295</v>
      </c>
      <c r="M7" s="358">
        <v>51387891</v>
      </c>
      <c r="N7" s="361">
        <v>50454705</v>
      </c>
      <c r="O7" s="358">
        <v>933186</v>
      </c>
      <c r="P7" s="358">
        <v>51387891</v>
      </c>
      <c r="Q7" s="358">
        <v>50454705</v>
      </c>
      <c r="R7" s="358">
        <v>933186</v>
      </c>
      <c r="S7" s="358">
        <v>8985740245</v>
      </c>
      <c r="T7" s="357">
        <v>8822562381</v>
      </c>
      <c r="U7" s="357">
        <v>163177864</v>
      </c>
      <c r="V7" s="358"/>
      <c r="W7" s="357"/>
      <c r="X7" s="357"/>
      <c r="Y7" s="358"/>
      <c r="Z7" s="358"/>
      <c r="AA7" s="358"/>
      <c r="AB7" s="358"/>
      <c r="AC7" s="362"/>
      <c r="AD7" s="97">
        <v>0</v>
      </c>
      <c r="AE7" s="97">
        <v>0</v>
      </c>
      <c r="AF7" s="97">
        <v>0</v>
      </c>
      <c r="AG7" s="208" t="s">
        <v>630</v>
      </c>
      <c r="AH7" s="208">
        <v>3492260</v>
      </c>
      <c r="AI7" s="97" t="s">
        <v>827</v>
      </c>
      <c r="AJ7" s="363" t="s">
        <v>828</v>
      </c>
      <c r="AL7" s="364" t="s">
        <v>774</v>
      </c>
      <c r="AM7" s="365" t="s">
        <v>836</v>
      </c>
      <c r="AN7" s="364">
        <v>9178049</v>
      </c>
      <c r="AO7" s="366">
        <v>9011379</v>
      </c>
      <c r="AP7" s="366">
        <v>166670</v>
      </c>
      <c r="AQ7" s="367">
        <v>1.8159632837000499E-2</v>
      </c>
      <c r="AR7" s="364"/>
      <c r="AS7" s="366"/>
      <c r="AT7" s="368"/>
      <c r="AU7" s="364"/>
      <c r="AV7" s="366"/>
      <c r="AW7" s="368"/>
      <c r="AX7" s="369">
        <v>51388</v>
      </c>
      <c r="AY7" s="366">
        <v>50455</v>
      </c>
      <c r="AZ7" s="368">
        <v>933</v>
      </c>
      <c r="BA7" s="369">
        <v>51388</v>
      </c>
      <c r="BB7" s="366">
        <v>50455</v>
      </c>
      <c r="BC7" s="368">
        <v>933</v>
      </c>
      <c r="BD7" s="369">
        <v>8985740</v>
      </c>
      <c r="BE7" s="366">
        <v>8822562</v>
      </c>
      <c r="BF7" s="365">
        <v>163178</v>
      </c>
      <c r="BG7" s="370">
        <v>0.97904685407541403</v>
      </c>
      <c r="BH7" s="327">
        <v>1.7898338922073301E-8</v>
      </c>
      <c r="BI7" s="371">
        <v>192310</v>
      </c>
      <c r="BJ7" s="372">
        <v>188818</v>
      </c>
      <c r="BK7" s="372">
        <v>3492</v>
      </c>
      <c r="BL7" s="373">
        <v>2.0953145924586001E-2</v>
      </c>
    </row>
    <row r="8" spans="1:65" ht="19.5" customHeight="1">
      <c r="A8" s="354" t="s">
        <v>309</v>
      </c>
      <c r="B8" s="376" t="s">
        <v>310</v>
      </c>
      <c r="C8" s="356">
        <v>5183677439</v>
      </c>
      <c r="D8" s="356">
        <v>5096957439</v>
      </c>
      <c r="E8" s="377">
        <v>86720000</v>
      </c>
      <c r="F8" s="357">
        <v>4016948041</v>
      </c>
      <c r="G8" s="357">
        <v>3949746766</v>
      </c>
      <c r="H8" s="358">
        <v>67201275</v>
      </c>
      <c r="I8" s="359"/>
      <c r="J8" s="359"/>
      <c r="K8" s="358"/>
      <c r="L8" s="360">
        <v>0.83615603249693904</v>
      </c>
      <c r="M8" s="358">
        <v>317415120</v>
      </c>
      <c r="N8" s="361">
        <v>312104944</v>
      </c>
      <c r="O8" s="358">
        <v>5310176</v>
      </c>
      <c r="P8" s="358">
        <v>317415120</v>
      </c>
      <c r="Q8" s="358">
        <v>312104944</v>
      </c>
      <c r="R8" s="358">
        <v>5310176</v>
      </c>
      <c r="S8" s="358">
        <v>4334363161</v>
      </c>
      <c r="T8" s="357">
        <v>4261851710</v>
      </c>
      <c r="U8" s="357">
        <v>72511451</v>
      </c>
      <c r="V8" s="358"/>
      <c r="W8" s="357"/>
      <c r="X8" s="357"/>
      <c r="Y8" s="358"/>
      <c r="Z8" s="358"/>
      <c r="AA8" s="358"/>
      <c r="AB8" s="358"/>
      <c r="AC8" s="362"/>
      <c r="AD8" s="97">
        <v>0</v>
      </c>
      <c r="AE8" s="97">
        <v>0</v>
      </c>
      <c r="AF8" s="97">
        <v>0</v>
      </c>
      <c r="AG8" s="208" t="s">
        <v>630</v>
      </c>
      <c r="AI8" s="97" t="s">
        <v>827</v>
      </c>
      <c r="AJ8" s="363" t="s">
        <v>828</v>
      </c>
      <c r="AL8" s="364" t="s">
        <v>309</v>
      </c>
      <c r="AM8" s="365" t="s">
        <v>837</v>
      </c>
      <c r="AN8" s="364">
        <v>5183677</v>
      </c>
      <c r="AO8" s="366">
        <v>5096957</v>
      </c>
      <c r="AP8" s="366">
        <v>86720</v>
      </c>
      <c r="AQ8" s="367">
        <v>1.67294374244383E-2</v>
      </c>
      <c r="AR8" s="364"/>
      <c r="AS8" s="366"/>
      <c r="AT8" s="368"/>
      <c r="AU8" s="364"/>
      <c r="AV8" s="366"/>
      <c r="AW8" s="368"/>
      <c r="AX8" s="369">
        <v>317415</v>
      </c>
      <c r="AY8" s="366">
        <v>312105</v>
      </c>
      <c r="AZ8" s="368">
        <v>5310</v>
      </c>
      <c r="BA8" s="369">
        <v>317415</v>
      </c>
      <c r="BB8" s="366">
        <v>312105</v>
      </c>
      <c r="BC8" s="368">
        <v>5310</v>
      </c>
      <c r="BD8" s="369">
        <v>4334363</v>
      </c>
      <c r="BE8" s="366">
        <v>4261852</v>
      </c>
      <c r="BF8" s="365">
        <v>72511</v>
      </c>
      <c r="BG8" s="370">
        <v>0.83615607222440802</v>
      </c>
      <c r="BH8" s="327">
        <v>-3.9727468426065102E-8</v>
      </c>
      <c r="BI8" s="371">
        <v>849314</v>
      </c>
      <c r="BJ8" s="372">
        <v>835105</v>
      </c>
      <c r="BK8" s="372">
        <v>14209</v>
      </c>
      <c r="BL8" s="373">
        <v>0.16384392777559301</v>
      </c>
    </row>
    <row r="9" spans="1:65" ht="19.5" customHeight="1">
      <c r="A9" s="354" t="s">
        <v>311</v>
      </c>
      <c r="B9" s="354" t="s">
        <v>312</v>
      </c>
      <c r="C9" s="356">
        <v>2958065333.0999999</v>
      </c>
      <c r="D9" s="356">
        <v>2835766246.1044002</v>
      </c>
      <c r="E9" s="377">
        <v>122299086.9956</v>
      </c>
      <c r="F9" s="357">
        <v>2141110312</v>
      </c>
      <c r="G9" s="357">
        <v>2052587644</v>
      </c>
      <c r="H9" s="358">
        <v>88522668</v>
      </c>
      <c r="I9" s="359"/>
      <c r="J9" s="359"/>
      <c r="K9" s="358"/>
      <c r="L9" s="360">
        <v>0.82814753339635505</v>
      </c>
      <c r="M9" s="358">
        <v>308604197</v>
      </c>
      <c r="N9" s="361">
        <v>295845178</v>
      </c>
      <c r="O9" s="358">
        <v>12759019</v>
      </c>
      <c r="P9" s="358">
        <v>308604197</v>
      </c>
      <c r="Q9" s="358">
        <v>295845178</v>
      </c>
      <c r="R9" s="358">
        <v>12759019</v>
      </c>
      <c r="S9" s="358">
        <v>2449714509</v>
      </c>
      <c r="T9" s="357">
        <v>2348432822</v>
      </c>
      <c r="U9" s="357">
        <v>101281687</v>
      </c>
      <c r="V9" s="358"/>
      <c r="W9" s="357"/>
      <c r="X9" s="357"/>
      <c r="Y9" s="358"/>
      <c r="Z9" s="358"/>
      <c r="AA9" s="358"/>
      <c r="AB9" s="358"/>
      <c r="AC9" s="362"/>
      <c r="AD9" s="97">
        <v>0</v>
      </c>
      <c r="AE9" s="97">
        <v>0</v>
      </c>
      <c r="AF9" s="97">
        <v>0</v>
      </c>
      <c r="AG9" s="208" t="s">
        <v>630</v>
      </c>
      <c r="AH9" s="208">
        <v>21017399.995600201</v>
      </c>
      <c r="AI9" s="97" t="s">
        <v>838</v>
      </c>
      <c r="AJ9" s="363" t="s">
        <v>839</v>
      </c>
      <c r="AL9" s="364" t="s">
        <v>311</v>
      </c>
      <c r="AM9" s="365" t="s">
        <v>840</v>
      </c>
      <c r="AN9" s="364">
        <v>2958065</v>
      </c>
      <c r="AO9" s="366">
        <v>2835766</v>
      </c>
      <c r="AP9" s="366">
        <v>122299</v>
      </c>
      <c r="AQ9" s="367">
        <v>4.1344257141070297E-2</v>
      </c>
      <c r="AR9" s="364"/>
      <c r="AS9" s="366"/>
      <c r="AT9" s="368"/>
      <c r="AU9" s="364"/>
      <c r="AV9" s="366"/>
      <c r="AW9" s="368"/>
      <c r="AX9" s="369">
        <v>308604</v>
      </c>
      <c r="AY9" s="366">
        <v>295845</v>
      </c>
      <c r="AZ9" s="368">
        <v>12759</v>
      </c>
      <c r="BA9" s="369">
        <v>308604</v>
      </c>
      <c r="BB9" s="366">
        <v>295845</v>
      </c>
      <c r="BC9" s="368">
        <v>12759</v>
      </c>
      <c r="BD9" s="369">
        <v>2449715</v>
      </c>
      <c r="BE9" s="366">
        <v>2348433</v>
      </c>
      <c r="BF9" s="365">
        <v>101282</v>
      </c>
      <c r="BG9" s="370">
        <v>0.82814779256033899</v>
      </c>
      <c r="BH9" s="327">
        <v>-2.5916398427305902E-7</v>
      </c>
      <c r="BI9" s="371">
        <v>508348</v>
      </c>
      <c r="BJ9" s="372">
        <v>487332</v>
      </c>
      <c r="BK9" s="372">
        <v>21016</v>
      </c>
      <c r="BL9" s="373">
        <v>0.17185220743966101</v>
      </c>
    </row>
    <row r="10" spans="1:65" ht="19.5" customHeight="1">
      <c r="A10" s="354" t="s">
        <v>313</v>
      </c>
      <c r="B10" s="376" t="s">
        <v>314</v>
      </c>
      <c r="C10" s="356">
        <v>3288230929</v>
      </c>
      <c r="D10" s="356">
        <v>3091061313</v>
      </c>
      <c r="E10" s="377">
        <v>197169616</v>
      </c>
      <c r="F10" s="357">
        <v>2024802993</v>
      </c>
      <c r="G10" s="357">
        <v>1903391317</v>
      </c>
      <c r="H10" s="358">
        <v>121411676</v>
      </c>
      <c r="I10" s="359"/>
      <c r="J10" s="359"/>
      <c r="K10" s="358"/>
      <c r="L10" s="360">
        <v>0.80450413440246105</v>
      </c>
      <c r="M10" s="358">
        <v>620592384</v>
      </c>
      <c r="N10" s="361">
        <v>583380289</v>
      </c>
      <c r="O10" s="358">
        <v>37212095</v>
      </c>
      <c r="P10" s="358">
        <v>620592384</v>
      </c>
      <c r="Q10" s="358">
        <v>583380289</v>
      </c>
      <c r="R10" s="358">
        <v>37212095</v>
      </c>
      <c r="S10" s="358">
        <v>2645395377</v>
      </c>
      <c r="T10" s="357">
        <v>2486771606</v>
      </c>
      <c r="U10" s="357">
        <v>158623771</v>
      </c>
      <c r="V10" s="358"/>
      <c r="W10" s="357"/>
      <c r="X10" s="357"/>
      <c r="Y10" s="358"/>
      <c r="Z10" s="358"/>
      <c r="AA10" s="358"/>
      <c r="AB10" s="358"/>
      <c r="AC10" s="362"/>
      <c r="AD10" s="97">
        <v>0</v>
      </c>
      <c r="AE10" s="97">
        <v>0</v>
      </c>
      <c r="AF10" s="97">
        <v>0</v>
      </c>
      <c r="AG10" s="208" t="s">
        <v>630</v>
      </c>
      <c r="AI10" s="97" t="s">
        <v>827</v>
      </c>
      <c r="AJ10" s="363" t="s">
        <v>828</v>
      </c>
      <c r="AL10" s="364" t="s">
        <v>313</v>
      </c>
      <c r="AM10" s="365" t="s">
        <v>841</v>
      </c>
      <c r="AN10" s="364">
        <v>3288231</v>
      </c>
      <c r="AO10" s="366">
        <v>3091061</v>
      </c>
      <c r="AP10" s="366">
        <v>197170</v>
      </c>
      <c r="AQ10" s="367">
        <v>5.99623323300583E-2</v>
      </c>
      <c r="AR10" s="364"/>
      <c r="AS10" s="366"/>
      <c r="AT10" s="368"/>
      <c r="AU10" s="364"/>
      <c r="AV10" s="366"/>
      <c r="AW10" s="368"/>
      <c r="AX10" s="369">
        <v>620592</v>
      </c>
      <c r="AY10" s="366">
        <v>583380</v>
      </c>
      <c r="AZ10" s="368">
        <v>37212</v>
      </c>
      <c r="BA10" s="369">
        <v>620592</v>
      </c>
      <c r="BB10" s="366">
        <v>583380</v>
      </c>
      <c r="BC10" s="368">
        <v>37212</v>
      </c>
      <c r="BD10" s="369">
        <v>2645395</v>
      </c>
      <c r="BE10" s="366">
        <v>2486772</v>
      </c>
      <c r="BF10" s="365">
        <v>158623</v>
      </c>
      <c r="BG10" s="370">
        <v>0.80450400230397401</v>
      </c>
      <c r="BH10" s="327">
        <v>1.32098486704813E-7</v>
      </c>
      <c r="BI10" s="371">
        <v>642836</v>
      </c>
      <c r="BJ10" s="372">
        <v>604289</v>
      </c>
      <c r="BK10" s="372">
        <v>38547</v>
      </c>
      <c r="BL10" s="373">
        <v>0.19549599769602599</v>
      </c>
    </row>
    <row r="11" spans="1:65" ht="19.5" customHeight="1">
      <c r="A11" s="354" t="s">
        <v>315</v>
      </c>
      <c r="B11" s="376" t="s">
        <v>316</v>
      </c>
      <c r="C11" s="356">
        <v>5519137604</v>
      </c>
      <c r="D11" s="356">
        <v>5270244571</v>
      </c>
      <c r="E11" s="377">
        <v>248893033</v>
      </c>
      <c r="F11" s="357">
        <v>2665447454</v>
      </c>
      <c r="G11" s="357">
        <v>2545245468</v>
      </c>
      <c r="H11" s="358">
        <v>120201986</v>
      </c>
      <c r="I11" s="359"/>
      <c r="J11" s="359"/>
      <c r="K11" s="358"/>
      <c r="L11" s="360">
        <v>0.633175191026633</v>
      </c>
      <c r="M11" s="358">
        <v>829133553</v>
      </c>
      <c r="N11" s="361">
        <v>791742645</v>
      </c>
      <c r="O11" s="358">
        <v>37390908</v>
      </c>
      <c r="P11" s="358">
        <v>829133553</v>
      </c>
      <c r="Q11" s="358">
        <v>791742645</v>
      </c>
      <c r="R11" s="358">
        <v>37390908</v>
      </c>
      <c r="S11" s="358">
        <v>3494581007</v>
      </c>
      <c r="T11" s="357">
        <v>3336988113</v>
      </c>
      <c r="U11" s="357">
        <v>157592894</v>
      </c>
      <c r="V11" s="358"/>
      <c r="W11" s="357"/>
      <c r="X11" s="357"/>
      <c r="Y11" s="358"/>
      <c r="Z11" s="358"/>
      <c r="AA11" s="358"/>
      <c r="AB11" s="358"/>
      <c r="AC11" s="362"/>
      <c r="AD11" s="97">
        <v>0</v>
      </c>
      <c r="AE11" s="97">
        <v>0</v>
      </c>
      <c r="AF11" s="97">
        <v>0</v>
      </c>
      <c r="AG11" s="208" t="s">
        <v>630</v>
      </c>
      <c r="AI11" s="97" t="s">
        <v>842</v>
      </c>
      <c r="AJ11" s="363" t="s">
        <v>828</v>
      </c>
      <c r="AL11" s="364" t="s">
        <v>315</v>
      </c>
      <c r="AM11" s="365" t="s">
        <v>843</v>
      </c>
      <c r="AN11" s="364">
        <v>5519138</v>
      </c>
      <c r="AO11" s="366">
        <v>5270245</v>
      </c>
      <c r="AP11" s="366">
        <v>248893</v>
      </c>
      <c r="AQ11" s="367">
        <v>4.5096353814671801E-2</v>
      </c>
      <c r="AR11" s="364"/>
      <c r="AS11" s="366"/>
      <c r="AT11" s="368"/>
      <c r="AU11" s="364"/>
      <c r="AV11" s="366"/>
      <c r="AW11" s="368"/>
      <c r="AX11" s="369">
        <v>829134</v>
      </c>
      <c r="AY11" s="366">
        <v>791743</v>
      </c>
      <c r="AZ11" s="368">
        <v>37391</v>
      </c>
      <c r="BA11" s="369">
        <v>829134</v>
      </c>
      <c r="BB11" s="366">
        <v>791743</v>
      </c>
      <c r="BC11" s="368">
        <v>37391</v>
      </c>
      <c r="BD11" s="369">
        <v>3494581</v>
      </c>
      <c r="BE11" s="366">
        <v>3336988</v>
      </c>
      <c r="BF11" s="365">
        <v>157593</v>
      </c>
      <c r="BG11" s="370">
        <v>0.63317514437943001</v>
      </c>
      <c r="BH11" s="327">
        <v>4.6647202767147198E-8</v>
      </c>
      <c r="BI11" s="371">
        <v>2024557</v>
      </c>
      <c r="BJ11" s="372">
        <v>1933257</v>
      </c>
      <c r="BK11" s="372">
        <v>91300</v>
      </c>
      <c r="BL11" s="373">
        <v>0.36682485562056999</v>
      </c>
    </row>
    <row r="12" spans="1:65" ht="19.5" customHeight="1">
      <c r="A12" s="354" t="s">
        <v>317</v>
      </c>
      <c r="B12" s="376" t="s">
        <v>318</v>
      </c>
      <c r="C12" s="356">
        <v>4395613594</v>
      </c>
      <c r="D12" s="356">
        <v>4131406239</v>
      </c>
      <c r="E12" s="377">
        <v>264207355</v>
      </c>
      <c r="F12" s="357">
        <v>2823011488</v>
      </c>
      <c r="G12" s="357">
        <v>2653328602</v>
      </c>
      <c r="H12" s="358">
        <v>169682886</v>
      </c>
      <c r="I12" s="359"/>
      <c r="J12" s="359"/>
      <c r="K12" s="358"/>
      <c r="L12" s="360">
        <v>0.78603136853131905</v>
      </c>
      <c r="M12" s="358">
        <v>632078681</v>
      </c>
      <c r="N12" s="361">
        <v>594086298</v>
      </c>
      <c r="O12" s="358">
        <v>37992383</v>
      </c>
      <c r="P12" s="358">
        <v>632078681</v>
      </c>
      <c r="Q12" s="358">
        <v>594086298</v>
      </c>
      <c r="R12" s="358">
        <v>37992383</v>
      </c>
      <c r="S12" s="358">
        <v>3455090169</v>
      </c>
      <c r="T12" s="357">
        <v>3247414900</v>
      </c>
      <c r="U12" s="357">
        <v>207675269</v>
      </c>
      <c r="V12" s="358"/>
      <c r="W12" s="357"/>
      <c r="X12" s="357"/>
      <c r="Y12" s="358"/>
      <c r="Z12" s="358"/>
      <c r="AA12" s="358"/>
      <c r="AB12" s="358"/>
      <c r="AC12" s="362"/>
      <c r="AD12" s="97">
        <v>0</v>
      </c>
      <c r="AE12" s="97">
        <v>0</v>
      </c>
      <c r="AF12" s="97">
        <v>0</v>
      </c>
      <c r="AG12" s="208" t="s">
        <v>630</v>
      </c>
      <c r="AI12" s="97" t="s">
        <v>844</v>
      </c>
      <c r="AJ12" s="363" t="s">
        <v>828</v>
      </c>
      <c r="AL12" s="364" t="s">
        <v>317</v>
      </c>
      <c r="AM12" s="365" t="s">
        <v>845</v>
      </c>
      <c r="AN12" s="364">
        <v>4395614</v>
      </c>
      <c r="AO12" s="366">
        <v>4131406</v>
      </c>
      <c r="AP12" s="366">
        <v>264208</v>
      </c>
      <c r="AQ12" s="367">
        <v>6.0107188665792802E-2</v>
      </c>
      <c r="AR12" s="364"/>
      <c r="AS12" s="366"/>
      <c r="AT12" s="368"/>
      <c r="AU12" s="364"/>
      <c r="AV12" s="366"/>
      <c r="AW12" s="368"/>
      <c r="AX12" s="369">
        <v>632079</v>
      </c>
      <c r="AY12" s="366">
        <v>594086</v>
      </c>
      <c r="AZ12" s="368">
        <v>37993</v>
      </c>
      <c r="BA12" s="369">
        <v>632079</v>
      </c>
      <c r="BB12" s="366">
        <v>594086</v>
      </c>
      <c r="BC12" s="368">
        <v>37993</v>
      </c>
      <c r="BD12" s="369">
        <v>3455090</v>
      </c>
      <c r="BE12" s="366">
        <v>3247415</v>
      </c>
      <c r="BF12" s="365">
        <v>207675</v>
      </c>
      <c r="BG12" s="370">
        <v>0.786031257521702</v>
      </c>
      <c r="BH12" s="327">
        <v>1.11009616721169E-7</v>
      </c>
      <c r="BI12" s="371">
        <v>940524</v>
      </c>
      <c r="BJ12" s="372">
        <v>883991</v>
      </c>
      <c r="BK12" s="372">
        <v>56533</v>
      </c>
      <c r="BL12" s="373">
        <v>0.213968742478298</v>
      </c>
    </row>
    <row r="13" spans="1:65" ht="19.5" customHeight="1">
      <c r="A13" s="354" t="s">
        <v>319</v>
      </c>
      <c r="B13" s="376" t="s">
        <v>320</v>
      </c>
      <c r="C13" s="356">
        <v>3047786876</v>
      </c>
      <c r="D13" s="356">
        <v>2880158145</v>
      </c>
      <c r="E13" s="377">
        <v>167628731</v>
      </c>
      <c r="F13" s="357">
        <v>1639673046</v>
      </c>
      <c r="G13" s="357">
        <v>1549490785</v>
      </c>
      <c r="H13" s="358">
        <v>90182261</v>
      </c>
      <c r="I13" s="359"/>
      <c r="J13" s="359"/>
      <c r="K13" s="358"/>
      <c r="L13" s="360">
        <v>0.69676350671362197</v>
      </c>
      <c r="M13" s="358">
        <v>483913625</v>
      </c>
      <c r="N13" s="361">
        <v>457298304</v>
      </c>
      <c r="O13" s="358">
        <v>26615321</v>
      </c>
      <c r="P13" s="358">
        <v>483913625</v>
      </c>
      <c r="Q13" s="358">
        <v>457298304</v>
      </c>
      <c r="R13" s="358">
        <v>26615321</v>
      </c>
      <c r="S13" s="358">
        <v>2123586671</v>
      </c>
      <c r="T13" s="357">
        <v>2006789089</v>
      </c>
      <c r="U13" s="357">
        <v>116797582</v>
      </c>
      <c r="V13" s="358"/>
      <c r="W13" s="357"/>
      <c r="X13" s="357"/>
      <c r="Y13" s="358"/>
      <c r="Z13" s="358"/>
      <c r="AA13" s="358"/>
      <c r="AB13" s="358"/>
      <c r="AC13" s="362"/>
      <c r="AD13" s="97">
        <v>0</v>
      </c>
      <c r="AE13" s="97">
        <v>0</v>
      </c>
      <c r="AF13" s="97">
        <v>0</v>
      </c>
      <c r="AG13" s="208" t="s">
        <v>630</v>
      </c>
      <c r="AI13" s="97" t="s">
        <v>838</v>
      </c>
      <c r="AJ13" s="363" t="s">
        <v>839</v>
      </c>
      <c r="AL13" s="364" t="s">
        <v>319</v>
      </c>
      <c r="AM13" s="365" t="s">
        <v>846</v>
      </c>
      <c r="AN13" s="364">
        <v>3047787</v>
      </c>
      <c r="AO13" s="366">
        <v>2880158</v>
      </c>
      <c r="AP13" s="366">
        <v>167629</v>
      </c>
      <c r="AQ13" s="367">
        <v>5.5000234596446498E-2</v>
      </c>
      <c r="AR13" s="364"/>
      <c r="AS13" s="366"/>
      <c r="AT13" s="368"/>
      <c r="AU13" s="364"/>
      <c r="AV13" s="366"/>
      <c r="AW13" s="368"/>
      <c r="AX13" s="369">
        <v>483914</v>
      </c>
      <c r="AY13" s="366">
        <v>457298</v>
      </c>
      <c r="AZ13" s="368">
        <v>26616</v>
      </c>
      <c r="BA13" s="369">
        <v>483914</v>
      </c>
      <c r="BB13" s="366">
        <v>457298</v>
      </c>
      <c r="BC13" s="368">
        <v>26616</v>
      </c>
      <c r="BD13" s="369">
        <v>2123587</v>
      </c>
      <c r="BE13" s="366">
        <v>2006789</v>
      </c>
      <c r="BF13" s="365">
        <v>116798</v>
      </c>
      <c r="BG13" s="370">
        <v>0.69676358616924405</v>
      </c>
      <c r="BH13" s="327">
        <v>-7.9455621526669504E-8</v>
      </c>
      <c r="BI13" s="371">
        <v>924200</v>
      </c>
      <c r="BJ13" s="372">
        <v>873369</v>
      </c>
      <c r="BK13" s="372">
        <v>50831</v>
      </c>
      <c r="BL13" s="373">
        <v>0.303236413830757</v>
      </c>
    </row>
    <row r="14" spans="1:65" ht="19.5" customHeight="1">
      <c r="A14" s="354" t="s">
        <v>321</v>
      </c>
      <c r="B14" s="378" t="s">
        <v>322</v>
      </c>
      <c r="C14" s="356">
        <v>12266508647</v>
      </c>
      <c r="D14" s="356">
        <v>11592012508</v>
      </c>
      <c r="E14" s="377">
        <v>674496139</v>
      </c>
      <c r="F14" s="357">
        <v>5577342800</v>
      </c>
      <c r="G14" s="357">
        <v>5270662529.7568598</v>
      </c>
      <c r="H14" s="358">
        <v>306680270.24313903</v>
      </c>
      <c r="I14" s="359"/>
      <c r="J14" s="359"/>
      <c r="K14" s="358"/>
      <c r="L14" s="360">
        <v>0.69818298506591503</v>
      </c>
      <c r="M14" s="358">
        <v>2986924823</v>
      </c>
      <c r="N14" s="361">
        <v>2822683366</v>
      </c>
      <c r="O14" s="358">
        <v>164241457</v>
      </c>
      <c r="P14" s="358">
        <v>2986924823</v>
      </c>
      <c r="Q14" s="358">
        <v>2822683366</v>
      </c>
      <c r="R14" s="358">
        <v>164241457</v>
      </c>
      <c r="S14" s="358">
        <v>8564267623</v>
      </c>
      <c r="T14" s="357">
        <v>8093345895.7568598</v>
      </c>
      <c r="U14" s="357">
        <v>470921727.24313903</v>
      </c>
      <c r="V14" s="357"/>
      <c r="W14" s="358"/>
      <c r="X14" s="358"/>
      <c r="Y14" s="357"/>
      <c r="Z14" s="358"/>
      <c r="AA14" s="358"/>
      <c r="AB14" s="358"/>
      <c r="AC14" s="362"/>
      <c r="AD14" s="97">
        <v>0</v>
      </c>
      <c r="AE14" s="97">
        <v>0</v>
      </c>
      <c r="AF14" s="97">
        <v>0</v>
      </c>
      <c r="AG14" s="208" t="s">
        <v>630</v>
      </c>
      <c r="AL14" s="364" t="s">
        <v>321</v>
      </c>
      <c r="AM14" s="365" t="s">
        <v>847</v>
      </c>
      <c r="AN14" s="364">
        <v>12266509</v>
      </c>
      <c r="AO14" s="366">
        <v>11592013</v>
      </c>
      <c r="AP14" s="366">
        <v>674496</v>
      </c>
      <c r="AQ14" s="367">
        <v>5.4986793716125797E-2</v>
      </c>
      <c r="AR14" s="364"/>
      <c r="AS14" s="366"/>
      <c r="AT14" s="368"/>
      <c r="AU14" s="364"/>
      <c r="AV14" s="366"/>
      <c r="AW14" s="368"/>
      <c r="AX14" s="369">
        <v>2986925</v>
      </c>
      <c r="AY14" s="366">
        <v>2822683</v>
      </c>
      <c r="AZ14" s="368">
        <v>164242</v>
      </c>
      <c r="BA14" s="369">
        <v>2986925</v>
      </c>
      <c r="BB14" s="366">
        <v>2822683</v>
      </c>
      <c r="BC14" s="368">
        <v>164242</v>
      </c>
      <c r="BD14" s="369">
        <v>8564268</v>
      </c>
      <c r="BE14" s="366">
        <v>8093346</v>
      </c>
      <c r="BF14" s="365">
        <v>470922</v>
      </c>
      <c r="BG14" s="370">
        <v>0.69818299566730901</v>
      </c>
      <c r="BH14" s="327">
        <v>-1.06013934297877E-8</v>
      </c>
      <c r="BI14" s="371">
        <v>3702241</v>
      </c>
      <c r="BJ14" s="372">
        <v>3498667</v>
      </c>
      <c r="BK14" s="372">
        <v>203574</v>
      </c>
      <c r="BL14" s="373">
        <v>0.30181700433269198</v>
      </c>
    </row>
    <row r="15" spans="1:65" ht="19.5" customHeight="1">
      <c r="A15" s="354" t="s">
        <v>323</v>
      </c>
      <c r="B15" s="378" t="s">
        <v>324</v>
      </c>
      <c r="C15" s="356">
        <v>5978342857</v>
      </c>
      <c r="D15" s="356">
        <v>5619642286</v>
      </c>
      <c r="E15" s="377">
        <v>358700571</v>
      </c>
      <c r="F15" s="357">
        <v>1350991168</v>
      </c>
      <c r="G15" s="357">
        <v>1269931697.84813</v>
      </c>
      <c r="H15" s="358">
        <v>81059470.151866406</v>
      </c>
      <c r="I15" s="359"/>
      <c r="J15" s="359"/>
      <c r="K15" s="358"/>
      <c r="L15" s="360">
        <v>0.51321498561539103</v>
      </c>
      <c r="M15" s="358">
        <v>1717183975</v>
      </c>
      <c r="N15" s="361">
        <v>1614152937.125</v>
      </c>
      <c r="O15" s="358">
        <v>103031037.875</v>
      </c>
      <c r="P15" s="358">
        <v>1717183975</v>
      </c>
      <c r="Q15" s="358">
        <v>1614152937.125</v>
      </c>
      <c r="R15" s="358">
        <v>103031037.875</v>
      </c>
      <c r="S15" s="358">
        <v>3068175143</v>
      </c>
      <c r="T15" s="357">
        <v>2884084634.9731302</v>
      </c>
      <c r="U15" s="357">
        <v>184090508.02686599</v>
      </c>
      <c r="V15" s="357"/>
      <c r="W15" s="358"/>
      <c r="X15" s="358"/>
      <c r="Y15" s="357"/>
      <c r="Z15" s="358"/>
      <c r="AA15" s="358"/>
      <c r="AB15" s="358"/>
      <c r="AC15" s="362"/>
      <c r="AD15" s="97">
        <v>0</v>
      </c>
      <c r="AE15" s="97">
        <v>0</v>
      </c>
      <c r="AF15" s="97">
        <v>0</v>
      </c>
      <c r="AG15" s="208" t="s">
        <v>630</v>
      </c>
      <c r="AL15" s="364" t="s">
        <v>323</v>
      </c>
      <c r="AM15" s="365" t="s">
        <v>848</v>
      </c>
      <c r="AN15" s="364">
        <v>5978343</v>
      </c>
      <c r="AO15" s="366">
        <v>5619642</v>
      </c>
      <c r="AP15" s="366">
        <v>358701</v>
      </c>
      <c r="AQ15" s="367">
        <v>6.0000070253580298E-2</v>
      </c>
      <c r="AR15" s="364"/>
      <c r="AS15" s="366"/>
      <c r="AT15" s="368"/>
      <c r="AU15" s="364"/>
      <c r="AV15" s="366"/>
      <c r="AW15" s="368"/>
      <c r="AX15" s="369">
        <v>1717184</v>
      </c>
      <c r="AY15" s="366">
        <v>1614153</v>
      </c>
      <c r="AZ15" s="368">
        <v>103031</v>
      </c>
      <c r="BA15" s="369">
        <v>1717184</v>
      </c>
      <c r="BB15" s="366">
        <v>1614153</v>
      </c>
      <c r="BC15" s="368">
        <v>103031</v>
      </c>
      <c r="BD15" s="369">
        <v>3068175</v>
      </c>
      <c r="BE15" s="366">
        <v>2884085</v>
      </c>
      <c r="BF15" s="365">
        <v>184090</v>
      </c>
      <c r="BG15" s="370">
        <v>0.51321494935971401</v>
      </c>
      <c r="BH15" s="327">
        <v>3.6255677127172703E-8</v>
      </c>
      <c r="BI15" s="371">
        <v>2910168</v>
      </c>
      <c r="BJ15" s="372">
        <v>2735557</v>
      </c>
      <c r="BK15" s="372">
        <v>174611</v>
      </c>
      <c r="BL15" s="373">
        <v>0.48678505064028599</v>
      </c>
    </row>
    <row r="16" spans="1:65" ht="19.5" customHeight="1">
      <c r="A16" s="354" t="s">
        <v>849</v>
      </c>
      <c r="B16" s="378" t="s">
        <v>850</v>
      </c>
      <c r="C16" s="356">
        <v>57904762</v>
      </c>
      <c r="D16" s="356">
        <v>53272381</v>
      </c>
      <c r="E16" s="377">
        <v>4632381</v>
      </c>
      <c r="F16" s="357">
        <v>41719901</v>
      </c>
      <c r="G16" s="357">
        <v>38382309</v>
      </c>
      <c r="H16" s="358">
        <v>3337592.0000000098</v>
      </c>
      <c r="I16" s="359"/>
      <c r="J16" s="359"/>
      <c r="K16" s="358"/>
      <c r="L16" s="360">
        <v>0.99999992491418799</v>
      </c>
      <c r="M16" s="358">
        <v>16184857</v>
      </c>
      <c r="N16" s="361">
        <v>14890068</v>
      </c>
      <c r="O16" s="358">
        <v>1294789</v>
      </c>
      <c r="P16" s="358">
        <v>16184857</v>
      </c>
      <c r="Q16" s="358">
        <v>14890068</v>
      </c>
      <c r="R16" s="358">
        <v>1294789</v>
      </c>
      <c r="S16" s="358">
        <v>57904758</v>
      </c>
      <c r="T16" s="357">
        <v>53272377</v>
      </c>
      <c r="U16" s="357">
        <v>4632381.0000000102</v>
      </c>
      <c r="V16" s="357"/>
      <c r="W16" s="358"/>
      <c r="X16" s="358"/>
      <c r="Y16" s="357"/>
      <c r="Z16" s="358"/>
      <c r="AA16" s="358"/>
      <c r="AB16" s="358"/>
      <c r="AC16" s="362"/>
      <c r="AD16" s="97">
        <v>0</v>
      </c>
      <c r="AE16" s="97">
        <v>0</v>
      </c>
      <c r="AF16" s="97">
        <v>0</v>
      </c>
      <c r="AG16" s="208" t="s">
        <v>630</v>
      </c>
      <c r="AL16" s="364" t="s">
        <v>849</v>
      </c>
      <c r="AM16" s="365" t="s">
        <v>851</v>
      </c>
      <c r="AN16" s="364">
        <v>57905</v>
      </c>
      <c r="AO16" s="366">
        <v>53272</v>
      </c>
      <c r="AP16" s="366">
        <v>4633</v>
      </c>
      <c r="AQ16" s="367">
        <v>8.0010361799499205E-2</v>
      </c>
      <c r="AR16" s="364"/>
      <c r="AS16" s="366"/>
      <c r="AT16" s="368"/>
      <c r="AU16" s="364"/>
      <c r="AV16" s="366"/>
      <c r="AW16" s="368"/>
      <c r="AX16" s="369">
        <v>16185</v>
      </c>
      <c r="AY16" s="366">
        <v>14890</v>
      </c>
      <c r="AZ16" s="368">
        <v>1295</v>
      </c>
      <c r="BA16" s="369">
        <v>16185</v>
      </c>
      <c r="BB16" s="366">
        <v>14890</v>
      </c>
      <c r="BC16" s="368">
        <v>1295</v>
      </c>
      <c r="BD16" s="369">
        <v>57905</v>
      </c>
      <c r="BE16" s="366">
        <v>53272</v>
      </c>
      <c r="BF16" s="365">
        <v>4633</v>
      </c>
      <c r="BG16" s="370">
        <v>1</v>
      </c>
      <c r="BH16" s="327">
        <v>-7.5085812012432003E-8</v>
      </c>
      <c r="BI16" s="371">
        <v>0</v>
      </c>
      <c r="BJ16" s="372">
        <v>0</v>
      </c>
      <c r="BK16" s="372">
        <v>0</v>
      </c>
      <c r="BL16" s="373">
        <v>0</v>
      </c>
    </row>
    <row r="17" spans="1:64" ht="19.5" customHeight="1">
      <c r="A17" s="354" t="s">
        <v>852</v>
      </c>
      <c r="B17" s="379" t="s">
        <v>853</v>
      </c>
      <c r="C17" s="356">
        <v>22400000</v>
      </c>
      <c r="D17" s="356">
        <v>19018736</v>
      </c>
      <c r="E17" s="377">
        <v>3381264</v>
      </c>
      <c r="F17" s="357">
        <v>22400000</v>
      </c>
      <c r="G17" s="357">
        <v>19018736</v>
      </c>
      <c r="H17" s="358">
        <v>3381264</v>
      </c>
      <c r="I17" s="359"/>
      <c r="J17" s="359"/>
      <c r="K17" s="358"/>
      <c r="L17" s="360">
        <v>1</v>
      </c>
      <c r="M17" s="358">
        <v>0</v>
      </c>
      <c r="N17" s="361">
        <v>0</v>
      </c>
      <c r="O17" s="358">
        <v>0</v>
      </c>
      <c r="P17" s="358">
        <v>0</v>
      </c>
      <c r="Q17" s="358">
        <v>0</v>
      </c>
      <c r="R17" s="358">
        <v>0</v>
      </c>
      <c r="S17" s="358">
        <v>22400000</v>
      </c>
      <c r="T17" s="357">
        <v>19018736</v>
      </c>
      <c r="U17" s="357">
        <v>3381264</v>
      </c>
      <c r="V17" s="357"/>
      <c r="W17" s="358"/>
      <c r="X17" s="358"/>
      <c r="Y17" s="357"/>
      <c r="Z17" s="358"/>
      <c r="AA17" s="358"/>
      <c r="AB17" s="358"/>
      <c r="AC17" s="362"/>
      <c r="AD17" s="97">
        <v>0</v>
      </c>
      <c r="AE17" s="97">
        <v>0</v>
      </c>
      <c r="AF17" s="97">
        <v>0</v>
      </c>
      <c r="AL17" s="364" t="s">
        <v>852</v>
      </c>
      <c r="AM17" s="365" t="s">
        <v>853</v>
      </c>
      <c r="AN17" s="364">
        <v>22400</v>
      </c>
      <c r="AO17" s="366">
        <v>19019</v>
      </c>
      <c r="AP17" s="366">
        <v>3381</v>
      </c>
      <c r="AQ17" s="367">
        <v>0.1509375</v>
      </c>
      <c r="AR17" s="364"/>
      <c r="AS17" s="366"/>
      <c r="AT17" s="368"/>
      <c r="AU17" s="364"/>
      <c r="AV17" s="366"/>
      <c r="AW17" s="368"/>
      <c r="AX17" s="369">
        <v>0</v>
      </c>
      <c r="AY17" s="366">
        <v>0</v>
      </c>
      <c r="AZ17" s="368">
        <v>0</v>
      </c>
      <c r="BA17" s="369">
        <v>0</v>
      </c>
      <c r="BB17" s="366">
        <v>0</v>
      </c>
      <c r="BC17" s="368">
        <v>0</v>
      </c>
      <c r="BD17" s="369">
        <v>22400</v>
      </c>
      <c r="BE17" s="366">
        <v>19019</v>
      </c>
      <c r="BF17" s="365">
        <v>3381</v>
      </c>
      <c r="BG17" s="370">
        <v>1</v>
      </c>
      <c r="BH17" s="327">
        <v>0</v>
      </c>
      <c r="BI17" s="371">
        <v>0</v>
      </c>
      <c r="BJ17" s="372">
        <v>0</v>
      </c>
      <c r="BK17" s="372">
        <v>0</v>
      </c>
      <c r="BL17" s="373">
        <v>0</v>
      </c>
    </row>
    <row r="18" spans="1:64" ht="19.5" customHeight="1">
      <c r="A18" s="354" t="s">
        <v>325</v>
      </c>
      <c r="B18" s="379" t="s">
        <v>854</v>
      </c>
      <c r="C18" s="356">
        <v>522857143</v>
      </c>
      <c r="D18" s="356">
        <v>491507143</v>
      </c>
      <c r="E18" s="377">
        <v>31350000</v>
      </c>
      <c r="F18" s="357">
        <v>176985998</v>
      </c>
      <c r="G18" s="357">
        <v>166374092</v>
      </c>
      <c r="H18" s="358">
        <v>10611906</v>
      </c>
      <c r="I18" s="359"/>
      <c r="J18" s="359"/>
      <c r="K18" s="358"/>
      <c r="L18" s="360">
        <v>0.65169761123898895</v>
      </c>
      <c r="M18" s="358">
        <v>163758753</v>
      </c>
      <c r="N18" s="361">
        <v>153939939</v>
      </c>
      <c r="O18" s="358">
        <v>9818814</v>
      </c>
      <c r="P18" s="358">
        <v>163758753</v>
      </c>
      <c r="Q18" s="358">
        <v>153939939</v>
      </c>
      <c r="R18" s="358">
        <v>9818814</v>
      </c>
      <c r="S18" s="358">
        <v>340744751</v>
      </c>
      <c r="T18" s="357">
        <v>320314031</v>
      </c>
      <c r="U18" s="357">
        <v>20430720</v>
      </c>
      <c r="V18" s="357"/>
      <c r="W18" s="358"/>
      <c r="X18" s="358"/>
      <c r="Y18" s="357"/>
      <c r="Z18" s="358"/>
      <c r="AA18" s="358"/>
      <c r="AB18" s="358"/>
      <c r="AC18" s="362"/>
      <c r="AD18" s="97">
        <v>0</v>
      </c>
      <c r="AE18" s="97">
        <v>0</v>
      </c>
      <c r="AF18" s="97">
        <v>0</v>
      </c>
      <c r="AL18" s="364" t="s">
        <v>325</v>
      </c>
      <c r="AM18" s="365" t="s">
        <v>326</v>
      </c>
      <c r="AN18" s="364">
        <v>522857</v>
      </c>
      <c r="AO18" s="366">
        <v>491507</v>
      </c>
      <c r="AP18" s="366">
        <v>31350</v>
      </c>
      <c r="AQ18" s="367">
        <v>5.9959032775691999E-2</v>
      </c>
      <c r="AR18" s="364"/>
      <c r="AS18" s="366"/>
      <c r="AT18" s="368"/>
      <c r="AU18" s="364"/>
      <c r="AV18" s="366"/>
      <c r="AW18" s="368"/>
      <c r="AX18" s="369">
        <v>163759</v>
      </c>
      <c r="AY18" s="366">
        <v>153940</v>
      </c>
      <c r="AZ18" s="368">
        <v>9819</v>
      </c>
      <c r="BA18" s="369">
        <v>163759</v>
      </c>
      <c r="BB18" s="366">
        <v>153940</v>
      </c>
      <c r="BC18" s="368">
        <v>9819</v>
      </c>
      <c r="BD18" s="369">
        <v>340745</v>
      </c>
      <c r="BE18" s="366">
        <v>320314</v>
      </c>
      <c r="BF18" s="365">
        <v>20431</v>
      </c>
      <c r="BG18" s="370">
        <v>0.65169826549132903</v>
      </c>
      <c r="BH18" s="327">
        <v>-6.5425234041516202E-7</v>
      </c>
      <c r="BI18" s="371">
        <v>182112</v>
      </c>
      <c r="BJ18" s="372">
        <v>171193</v>
      </c>
      <c r="BK18" s="372">
        <v>10919</v>
      </c>
      <c r="BL18" s="373">
        <v>0.34830173450867102</v>
      </c>
    </row>
    <row r="19" spans="1:64" ht="19.5" customHeight="1">
      <c r="A19" s="354" t="s">
        <v>855</v>
      </c>
      <c r="B19" s="378" t="s">
        <v>856</v>
      </c>
      <c r="C19" s="356">
        <v>10000000000</v>
      </c>
      <c r="D19" s="356">
        <v>9400000000</v>
      </c>
      <c r="E19" s="164">
        <v>600000000</v>
      </c>
      <c r="F19" s="357">
        <v>250000000</v>
      </c>
      <c r="G19" s="357">
        <v>235000000</v>
      </c>
      <c r="H19" s="358">
        <v>15000000</v>
      </c>
      <c r="I19" s="359"/>
      <c r="J19" s="359"/>
      <c r="K19" s="358"/>
      <c r="L19" s="360">
        <v>7.4999999999999997E-2</v>
      </c>
      <c r="M19" s="358">
        <v>500000000</v>
      </c>
      <c r="N19" s="361">
        <v>470000000</v>
      </c>
      <c r="O19" s="358">
        <v>30000000</v>
      </c>
      <c r="P19" s="358">
        <v>500000000</v>
      </c>
      <c r="Q19" s="358">
        <v>470000000</v>
      </c>
      <c r="R19" s="358">
        <v>30000000</v>
      </c>
      <c r="S19" s="358">
        <v>750000000</v>
      </c>
      <c r="T19" s="357">
        <v>705000000</v>
      </c>
      <c r="U19" s="357">
        <v>45000000</v>
      </c>
      <c r="V19" s="357"/>
      <c r="W19" s="358"/>
      <c r="X19" s="358"/>
      <c r="Y19" s="357"/>
      <c r="Z19" s="358"/>
      <c r="AA19" s="358"/>
      <c r="AB19" s="358"/>
      <c r="AC19" s="362"/>
      <c r="AD19" s="97">
        <v>0</v>
      </c>
      <c r="AE19" s="97">
        <v>0</v>
      </c>
      <c r="AF19" s="97">
        <v>0</v>
      </c>
      <c r="AL19" s="364" t="s">
        <v>855</v>
      </c>
      <c r="AM19" s="365" t="s">
        <v>857</v>
      </c>
      <c r="AN19" s="364">
        <v>10000000</v>
      </c>
      <c r="AO19" s="366">
        <v>9400000</v>
      </c>
      <c r="AP19" s="366">
        <v>600000</v>
      </c>
      <c r="AQ19" s="367">
        <v>0.06</v>
      </c>
      <c r="AR19" s="364"/>
      <c r="AS19" s="366"/>
      <c r="AT19" s="368"/>
      <c r="AU19" s="364"/>
      <c r="AV19" s="366"/>
      <c r="AW19" s="368"/>
      <c r="AX19" s="369">
        <v>500000</v>
      </c>
      <c r="AY19" s="366">
        <v>470000</v>
      </c>
      <c r="AZ19" s="368">
        <v>30000</v>
      </c>
      <c r="BA19" s="369">
        <v>500000</v>
      </c>
      <c r="BB19" s="366">
        <v>470000</v>
      </c>
      <c r="BC19" s="368">
        <v>30000</v>
      </c>
      <c r="BD19" s="369">
        <v>750000</v>
      </c>
      <c r="BE19" s="366">
        <v>705000</v>
      </c>
      <c r="BF19" s="365">
        <v>45000</v>
      </c>
      <c r="BG19" s="370">
        <v>7.4999999999999997E-2</v>
      </c>
      <c r="BH19" s="327">
        <v>0</v>
      </c>
      <c r="BI19" s="371">
        <v>9250000</v>
      </c>
      <c r="BJ19" s="372">
        <v>8695000</v>
      </c>
      <c r="BK19" s="372">
        <v>555000</v>
      </c>
      <c r="BL19" s="373">
        <v>0.92500000000000004</v>
      </c>
    </row>
    <row r="20" spans="1:64" ht="19.5" customHeight="1">
      <c r="A20" s="354" t="s">
        <v>858</v>
      </c>
      <c r="B20" s="378" t="s">
        <v>859</v>
      </c>
      <c r="C20" s="380">
        <v>10000000000</v>
      </c>
      <c r="D20" s="380">
        <v>9400000000</v>
      </c>
      <c r="E20" s="164">
        <v>600000000</v>
      </c>
      <c r="F20" s="357">
        <v>0</v>
      </c>
      <c r="G20" s="357">
        <v>0</v>
      </c>
      <c r="H20" s="358">
        <v>0</v>
      </c>
      <c r="I20" s="359"/>
      <c r="J20" s="359"/>
      <c r="K20" s="358"/>
      <c r="L20" s="360">
        <v>2.5000000000000001E-2</v>
      </c>
      <c r="M20" s="358">
        <v>250000000</v>
      </c>
      <c r="N20" s="361">
        <v>235000000</v>
      </c>
      <c r="O20" s="358">
        <v>15000000</v>
      </c>
      <c r="P20" s="358">
        <v>250000000</v>
      </c>
      <c r="Q20" s="358">
        <v>235000000</v>
      </c>
      <c r="R20" s="358">
        <v>15000000</v>
      </c>
      <c r="S20" s="358">
        <v>250000000</v>
      </c>
      <c r="T20" s="357">
        <v>235000000</v>
      </c>
      <c r="U20" s="357">
        <v>15000000</v>
      </c>
      <c r="V20" s="357"/>
      <c r="W20" s="358"/>
      <c r="X20" s="358"/>
      <c r="Y20" s="357"/>
      <c r="Z20" s="358"/>
      <c r="AA20" s="358"/>
      <c r="AB20" s="358"/>
      <c r="AC20" s="362"/>
      <c r="AD20" s="97">
        <v>0</v>
      </c>
      <c r="AE20" s="97">
        <v>0</v>
      </c>
      <c r="AF20" s="97">
        <v>0</v>
      </c>
      <c r="AL20" s="364" t="s">
        <v>858</v>
      </c>
      <c r="AM20" s="365" t="s">
        <v>860</v>
      </c>
      <c r="AN20" s="364">
        <v>10000000</v>
      </c>
      <c r="AO20" s="366">
        <v>9400000</v>
      </c>
      <c r="AP20" s="366">
        <v>600000</v>
      </c>
      <c r="AQ20" s="367">
        <v>0.06</v>
      </c>
      <c r="AR20" s="364"/>
      <c r="AS20" s="366"/>
      <c r="AT20" s="368"/>
      <c r="AU20" s="364"/>
      <c r="AV20" s="366"/>
      <c r="AW20" s="368"/>
      <c r="AX20" s="369">
        <v>250000</v>
      </c>
      <c r="AY20" s="366">
        <v>235000</v>
      </c>
      <c r="AZ20" s="368">
        <v>15000</v>
      </c>
      <c r="BA20" s="369">
        <v>250000</v>
      </c>
      <c r="BB20" s="366">
        <v>235000</v>
      </c>
      <c r="BC20" s="368">
        <v>15000</v>
      </c>
      <c r="BD20" s="369">
        <v>250000</v>
      </c>
      <c r="BE20" s="366">
        <v>235000</v>
      </c>
      <c r="BF20" s="365">
        <v>15000</v>
      </c>
      <c r="BG20" s="370">
        <v>2.5000000000000001E-2</v>
      </c>
      <c r="BH20" s="327">
        <v>0</v>
      </c>
      <c r="BI20" s="371">
        <v>9750000</v>
      </c>
      <c r="BJ20" s="372">
        <v>9165000</v>
      </c>
      <c r="BK20" s="372">
        <v>585000</v>
      </c>
      <c r="BL20" s="373">
        <v>0.97499999999999998</v>
      </c>
    </row>
    <row r="21" spans="1:64" ht="19.5" customHeight="1">
      <c r="A21" s="354" t="s">
        <v>861</v>
      </c>
      <c r="B21" s="378" t="s">
        <v>862</v>
      </c>
      <c r="C21" s="356">
        <v>0</v>
      </c>
      <c r="D21" s="356">
        <v>0</v>
      </c>
      <c r="E21" s="377">
        <v>0</v>
      </c>
      <c r="F21" s="357">
        <v>0</v>
      </c>
      <c r="G21" s="357">
        <v>0</v>
      </c>
      <c r="H21" s="358">
        <v>0</v>
      </c>
      <c r="I21" s="359"/>
      <c r="J21" s="359"/>
      <c r="K21" s="358"/>
      <c r="L21" s="360">
        <v>0</v>
      </c>
      <c r="M21" s="358">
        <v>0</v>
      </c>
      <c r="N21" s="361">
        <v>0</v>
      </c>
      <c r="O21" s="358">
        <v>0</v>
      </c>
      <c r="P21" s="358">
        <v>0</v>
      </c>
      <c r="Q21" s="358">
        <v>0</v>
      </c>
      <c r="R21" s="358">
        <v>0</v>
      </c>
      <c r="S21" s="358">
        <v>0</v>
      </c>
      <c r="T21" s="357">
        <v>0</v>
      </c>
      <c r="U21" s="357">
        <v>0</v>
      </c>
      <c r="V21" s="357"/>
      <c r="W21" s="358"/>
      <c r="X21" s="358"/>
      <c r="Y21" s="357"/>
      <c r="Z21" s="358"/>
      <c r="AA21" s="358"/>
      <c r="AB21" s="358"/>
      <c r="AC21" s="362"/>
      <c r="AD21" s="97">
        <v>0</v>
      </c>
      <c r="AE21" s="97">
        <v>0</v>
      </c>
      <c r="AF21" s="97">
        <v>0</v>
      </c>
      <c r="AL21" s="364" t="s">
        <v>861</v>
      </c>
      <c r="AM21" s="365" t="s">
        <v>863</v>
      </c>
      <c r="AN21" s="364">
        <v>0</v>
      </c>
      <c r="AO21" s="366">
        <v>0</v>
      </c>
      <c r="AP21" s="366">
        <v>0</v>
      </c>
      <c r="AQ21" s="367" t="e">
        <f>#DIV/0!</f>
        <v>#DIV/0!</v>
      </c>
      <c r="AR21" s="364"/>
      <c r="AS21" s="366"/>
      <c r="AT21" s="368"/>
      <c r="AU21" s="364"/>
      <c r="AV21" s="366"/>
      <c r="AW21" s="368"/>
      <c r="AX21" s="369">
        <v>0</v>
      </c>
      <c r="AY21" s="366">
        <v>0</v>
      </c>
      <c r="AZ21" s="368">
        <v>0</v>
      </c>
      <c r="BA21" s="369">
        <v>0</v>
      </c>
      <c r="BB21" s="366">
        <v>0</v>
      </c>
      <c r="BC21" s="368">
        <v>0</v>
      </c>
      <c r="BD21" s="369">
        <v>0</v>
      </c>
      <c r="BE21" s="366">
        <v>0</v>
      </c>
      <c r="BF21" s="365">
        <v>0</v>
      </c>
      <c r="BG21" s="370"/>
      <c r="BH21" s="327">
        <v>0</v>
      </c>
      <c r="BI21" s="371">
        <v>0</v>
      </c>
      <c r="BJ21" s="372">
        <v>0</v>
      </c>
      <c r="BK21" s="372">
        <v>0</v>
      </c>
      <c r="BL21" s="373">
        <v>1</v>
      </c>
    </row>
    <row r="22" spans="1:64" ht="19.5" customHeight="1">
      <c r="A22" s="354" t="s">
        <v>864</v>
      </c>
      <c r="B22" s="378" t="s">
        <v>865</v>
      </c>
      <c r="C22" s="356">
        <v>0</v>
      </c>
      <c r="D22" s="356">
        <v>0</v>
      </c>
      <c r="E22" s="377">
        <v>0</v>
      </c>
      <c r="F22" s="357">
        <v>0</v>
      </c>
      <c r="G22" s="357">
        <v>77222948</v>
      </c>
      <c r="H22" s="358">
        <v>-77222948</v>
      </c>
      <c r="I22" s="359"/>
      <c r="J22" s="359"/>
      <c r="K22" s="358"/>
      <c r="L22" s="381">
        <v>0</v>
      </c>
      <c r="M22" s="358">
        <v>0</v>
      </c>
      <c r="N22" s="227">
        <v>-20066870</v>
      </c>
      <c r="O22" s="358">
        <v>20066870</v>
      </c>
      <c r="P22" s="358">
        <v>0</v>
      </c>
      <c r="Q22" s="358">
        <v>-20066870</v>
      </c>
      <c r="R22" s="358">
        <v>20066870</v>
      </c>
      <c r="S22" s="358">
        <v>0</v>
      </c>
      <c r="T22" s="357">
        <v>57156078</v>
      </c>
      <c r="U22" s="357">
        <v>-57156078</v>
      </c>
      <c r="V22" s="357"/>
      <c r="W22" s="358"/>
      <c r="X22" s="358"/>
      <c r="Y22" s="357"/>
      <c r="Z22" s="358"/>
      <c r="AA22" s="358"/>
      <c r="AB22" s="358"/>
      <c r="AC22" s="362"/>
      <c r="AL22" s="364" t="s">
        <v>187</v>
      </c>
      <c r="AM22" s="365" t="s">
        <v>187</v>
      </c>
      <c r="AN22" s="382" t="s">
        <v>866</v>
      </c>
      <c r="AO22" s="383" t="s">
        <v>866</v>
      </c>
      <c r="AP22" s="383" t="s">
        <v>866</v>
      </c>
      <c r="AQ22" s="367" t="s">
        <v>866</v>
      </c>
      <c r="AR22" s="382" t="s">
        <v>866</v>
      </c>
      <c r="AS22" s="383" t="s">
        <v>866</v>
      </c>
      <c r="AT22" s="384" t="s">
        <v>866</v>
      </c>
      <c r="AU22" s="382" t="s">
        <v>866</v>
      </c>
      <c r="AV22" s="383" t="s">
        <v>866</v>
      </c>
      <c r="AW22" s="384" t="s">
        <v>866</v>
      </c>
      <c r="AX22" s="385" t="s">
        <v>866</v>
      </c>
      <c r="AY22" s="383" t="s">
        <v>866</v>
      </c>
      <c r="AZ22" s="384" t="s">
        <v>866</v>
      </c>
      <c r="BA22" s="385" t="s">
        <v>866</v>
      </c>
      <c r="BB22" s="383" t="s">
        <v>866</v>
      </c>
      <c r="BC22" s="384" t="s">
        <v>866</v>
      </c>
      <c r="BD22" s="385" t="s">
        <v>866</v>
      </c>
      <c r="BE22" s="383" t="s">
        <v>866</v>
      </c>
      <c r="BF22" s="386" t="s">
        <v>866</v>
      </c>
      <c r="BG22" s="370"/>
      <c r="BH22" s="327">
        <v>0</v>
      </c>
      <c r="BI22" s="387" t="s">
        <v>866</v>
      </c>
      <c r="BJ22" s="388" t="s">
        <v>866</v>
      </c>
      <c r="BK22" s="388" t="s">
        <v>866</v>
      </c>
      <c r="BL22" s="373"/>
    </row>
    <row r="23" spans="1:64" ht="19.5" customHeight="1">
      <c r="A23" s="354" t="s">
        <v>867</v>
      </c>
      <c r="B23" s="378" t="s">
        <v>868</v>
      </c>
      <c r="C23" s="356">
        <v>0</v>
      </c>
      <c r="D23" s="356">
        <v>0</v>
      </c>
      <c r="E23" s="377">
        <v>0</v>
      </c>
      <c r="F23" s="357">
        <v>0</v>
      </c>
      <c r="G23" s="357">
        <v>0</v>
      </c>
      <c r="H23" s="358">
        <v>0</v>
      </c>
      <c r="I23" s="359"/>
      <c r="J23" s="359"/>
      <c r="K23" s="358"/>
      <c r="L23" s="381"/>
      <c r="M23" s="358"/>
      <c r="N23" s="389"/>
      <c r="O23" s="358"/>
      <c r="P23" s="358"/>
      <c r="Q23" s="358"/>
      <c r="R23" s="358"/>
      <c r="S23" s="358"/>
      <c r="T23" s="357"/>
      <c r="U23" s="357"/>
      <c r="V23" s="357"/>
      <c r="W23" s="358"/>
      <c r="X23" s="358"/>
      <c r="Y23" s="357"/>
      <c r="Z23" s="358"/>
      <c r="AA23" s="358"/>
      <c r="AB23" s="358"/>
      <c r="AC23" s="362"/>
      <c r="AL23" s="364" t="s">
        <v>867</v>
      </c>
      <c r="AM23" s="365" t="s">
        <v>869</v>
      </c>
      <c r="AN23" s="364"/>
      <c r="AO23" s="366"/>
      <c r="AP23" s="366"/>
      <c r="AQ23" s="367"/>
      <c r="AR23" s="364"/>
      <c r="AS23" s="366"/>
      <c r="AT23" s="368"/>
      <c r="AU23" s="364"/>
      <c r="AV23" s="366"/>
      <c r="AW23" s="368"/>
      <c r="AX23" s="369"/>
      <c r="AY23" s="366"/>
      <c r="AZ23" s="368"/>
      <c r="BA23" s="369"/>
      <c r="BB23" s="366"/>
      <c r="BC23" s="368"/>
      <c r="BD23" s="369"/>
      <c r="BE23" s="366"/>
      <c r="BF23" s="365"/>
      <c r="BG23" s="370"/>
      <c r="BH23" s="327"/>
      <c r="BI23" s="371"/>
      <c r="BJ23" s="372"/>
      <c r="BK23" s="372"/>
      <c r="BL23" s="373"/>
    </row>
    <row r="24" spans="1:64" ht="19.5" customHeight="1">
      <c r="A24" s="2728" t="s">
        <v>870</v>
      </c>
      <c r="B24" s="2728"/>
      <c r="C24" s="390">
        <v>88075693814.100006</v>
      </c>
      <c r="D24" s="390">
        <v>84219051649.978394</v>
      </c>
      <c r="E24" s="390">
        <v>3856642164.1216002</v>
      </c>
      <c r="F24" s="390">
        <v>46739252531</v>
      </c>
      <c r="G24" s="390">
        <v>45184343282.605003</v>
      </c>
      <c r="H24" s="390">
        <v>1554909248.39501</v>
      </c>
      <c r="I24" s="390">
        <v>0</v>
      </c>
      <c r="J24" s="390">
        <v>0</v>
      </c>
      <c r="K24" s="390">
        <v>0</v>
      </c>
      <c r="L24" s="391"/>
      <c r="M24" s="390">
        <v>9040554667</v>
      </c>
      <c r="N24" s="390">
        <v>8554204921.125</v>
      </c>
      <c r="O24" s="390">
        <v>486349745.875</v>
      </c>
      <c r="P24" s="390">
        <v>9040554667</v>
      </c>
      <c r="Q24" s="390">
        <v>8554204921.125</v>
      </c>
      <c r="R24" s="390">
        <v>486349745.875</v>
      </c>
      <c r="S24" s="390">
        <v>55779807198</v>
      </c>
      <c r="T24" s="390">
        <v>53738548203.730003</v>
      </c>
      <c r="U24" s="390">
        <v>2041258994.27001</v>
      </c>
      <c r="V24" s="390">
        <v>0</v>
      </c>
      <c r="W24" s="390">
        <v>0</v>
      </c>
      <c r="X24" s="390">
        <v>-6488189</v>
      </c>
      <c r="Y24" s="390">
        <v>77222947</v>
      </c>
      <c r="Z24" s="390">
        <v>-20066870</v>
      </c>
      <c r="AA24" s="390">
        <v>-20066870</v>
      </c>
      <c r="AB24" s="390">
        <v>57156077</v>
      </c>
      <c r="AC24" s="392"/>
      <c r="AG24" s="208" t="s">
        <v>630</v>
      </c>
      <c r="AI24" s="233"/>
      <c r="AJ24" s="233"/>
      <c r="AL24" s="393"/>
      <c r="AM24" s="394" t="s">
        <v>871</v>
      </c>
      <c r="AN24" s="393">
        <v>88075695</v>
      </c>
      <c r="AO24" s="390">
        <v>84219051</v>
      </c>
      <c r="AP24" s="390">
        <v>3856644</v>
      </c>
      <c r="AQ24" s="395">
        <v>4.3787834998066197E-2</v>
      </c>
      <c r="AR24" s="396">
        <v>0</v>
      </c>
      <c r="AS24" s="397">
        <v>0</v>
      </c>
      <c r="AT24" s="398">
        <v>0</v>
      </c>
      <c r="AU24" s="396">
        <v>0</v>
      </c>
      <c r="AV24" s="397">
        <v>0</v>
      </c>
      <c r="AW24" s="398">
        <v>0</v>
      </c>
      <c r="AX24" s="396">
        <v>9040556</v>
      </c>
      <c r="AY24" s="390">
        <v>8554204</v>
      </c>
      <c r="AZ24" s="399">
        <v>486352</v>
      </c>
      <c r="BA24" s="400">
        <v>9040556</v>
      </c>
      <c r="BB24" s="390">
        <v>8554204</v>
      </c>
      <c r="BC24" s="399">
        <v>486352</v>
      </c>
      <c r="BD24" s="400">
        <v>55779808</v>
      </c>
      <c r="BE24" s="390">
        <v>53738548</v>
      </c>
      <c r="BF24" s="401">
        <v>2041260</v>
      </c>
      <c r="BG24" s="399"/>
      <c r="BH24" s="402"/>
      <c r="BI24" s="403">
        <v>32295885</v>
      </c>
      <c r="BJ24" s="404">
        <v>30480503</v>
      </c>
      <c r="BK24" s="404">
        <v>1815382</v>
      </c>
      <c r="BL24" s="405">
        <v>5.6210938328520803E-2</v>
      </c>
    </row>
    <row r="25" spans="1:64" ht="19.5" customHeight="1">
      <c r="A25" s="354" t="s">
        <v>872</v>
      </c>
      <c r="B25" s="406" t="s">
        <v>873</v>
      </c>
      <c r="C25" s="356">
        <v>666666667</v>
      </c>
      <c r="D25" s="356">
        <v>691666667</v>
      </c>
      <c r="E25" s="356">
        <v>-25000000</v>
      </c>
      <c r="F25" s="357">
        <v>49800587</v>
      </c>
      <c r="G25" s="357">
        <v>51668109</v>
      </c>
      <c r="H25" s="358">
        <v>-1867522</v>
      </c>
      <c r="I25" s="359"/>
      <c r="J25" s="359"/>
      <c r="K25" s="358"/>
      <c r="L25" s="407">
        <v>7.4700880445927306E-2</v>
      </c>
      <c r="M25" s="358">
        <v>0</v>
      </c>
      <c r="N25" s="361">
        <v>0</v>
      </c>
      <c r="O25" s="358">
        <v>0</v>
      </c>
      <c r="P25" s="358">
        <v>0</v>
      </c>
      <c r="Q25" s="357">
        <v>0</v>
      </c>
      <c r="R25" s="358">
        <v>0</v>
      </c>
      <c r="S25" s="358">
        <v>49800587</v>
      </c>
      <c r="T25" s="357">
        <v>51668109</v>
      </c>
      <c r="U25" s="357">
        <v>-1867522</v>
      </c>
      <c r="V25" s="357"/>
      <c r="W25" s="358"/>
      <c r="X25" s="358"/>
      <c r="Y25" s="358">
        <v>23132478</v>
      </c>
      <c r="Z25" s="358">
        <v>0</v>
      </c>
      <c r="AA25" s="358">
        <v>0</v>
      </c>
      <c r="AB25" s="375">
        <v>23132478</v>
      </c>
      <c r="AC25" s="362"/>
      <c r="AD25" s="97">
        <v>0</v>
      </c>
      <c r="AE25" s="97">
        <v>0</v>
      </c>
      <c r="AF25" s="97">
        <v>0</v>
      </c>
      <c r="AG25" s="208" t="s">
        <v>630</v>
      </c>
      <c r="AH25" s="208">
        <v>0</v>
      </c>
      <c r="AL25" s="364" t="s">
        <v>872</v>
      </c>
      <c r="AM25" s="365" t="s">
        <v>874</v>
      </c>
      <c r="AN25" s="364">
        <v>666667</v>
      </c>
      <c r="AO25" s="366">
        <v>691667</v>
      </c>
      <c r="AP25" s="366">
        <v>-25000</v>
      </c>
      <c r="AQ25" s="367">
        <v>-3.7499981250009397E-2</v>
      </c>
      <c r="AR25" s="364"/>
      <c r="AS25" s="366"/>
      <c r="AT25" s="368"/>
      <c r="AU25" s="364"/>
      <c r="AV25" s="366"/>
      <c r="AW25" s="368"/>
      <c r="AX25" s="369">
        <v>0</v>
      </c>
      <c r="AY25" s="366">
        <v>0</v>
      </c>
      <c r="AZ25" s="368">
        <v>0</v>
      </c>
      <c r="BA25" s="369">
        <v>0</v>
      </c>
      <c r="BB25" s="366">
        <v>0</v>
      </c>
      <c r="BC25" s="368">
        <v>0</v>
      </c>
      <c r="BD25" s="369">
        <v>49801</v>
      </c>
      <c r="BE25" s="366">
        <v>74801</v>
      </c>
      <c r="BF25" s="365">
        <v>-25000</v>
      </c>
      <c r="BG25" s="370">
        <v>7.4701462649268704E-2</v>
      </c>
      <c r="BH25" s="327">
        <v>-5.82203341370491E-7</v>
      </c>
      <c r="BI25" s="371">
        <v>616866</v>
      </c>
      <c r="BJ25" s="372">
        <v>616866</v>
      </c>
      <c r="BK25" s="372">
        <v>0</v>
      </c>
      <c r="BL25" s="373">
        <v>0.92529853735073098</v>
      </c>
    </row>
    <row r="26" spans="1:64" ht="19.5" customHeight="1">
      <c r="A26" s="354" t="s">
        <v>765</v>
      </c>
      <c r="B26" s="406" t="s">
        <v>766</v>
      </c>
      <c r="C26" s="356">
        <v>775187400</v>
      </c>
      <c r="D26" s="356">
        <v>725993090</v>
      </c>
      <c r="E26" s="356">
        <v>49194310</v>
      </c>
      <c r="F26" s="357">
        <v>744931153</v>
      </c>
      <c r="G26" s="357">
        <v>697656940</v>
      </c>
      <c r="H26" s="358">
        <v>47274213</v>
      </c>
      <c r="I26" s="359"/>
      <c r="J26" s="359"/>
      <c r="K26" s="358"/>
      <c r="L26" s="407">
        <v>1</v>
      </c>
      <c r="M26" s="358">
        <v>30256247</v>
      </c>
      <c r="N26" s="361">
        <v>28336150</v>
      </c>
      <c r="O26" s="358">
        <v>1920097</v>
      </c>
      <c r="P26" s="358">
        <v>30256247</v>
      </c>
      <c r="Q26" s="357">
        <v>28336150</v>
      </c>
      <c r="R26" s="358">
        <v>1920097</v>
      </c>
      <c r="S26" s="358">
        <v>775187400</v>
      </c>
      <c r="T26" s="357">
        <v>725993090</v>
      </c>
      <c r="U26" s="357">
        <v>49194310</v>
      </c>
      <c r="V26" s="357"/>
      <c r="W26" s="358"/>
      <c r="X26" s="358"/>
      <c r="Y26" s="357"/>
      <c r="Z26" s="358"/>
      <c r="AA26" s="358"/>
      <c r="AB26" s="357"/>
      <c r="AC26" s="362"/>
      <c r="AD26" s="97">
        <v>0</v>
      </c>
      <c r="AE26" s="97">
        <v>0</v>
      </c>
      <c r="AF26" s="97">
        <v>0</v>
      </c>
      <c r="AG26" s="208" t="s">
        <v>630</v>
      </c>
      <c r="AL26" s="364" t="s">
        <v>765</v>
      </c>
      <c r="AM26" s="365" t="s">
        <v>875</v>
      </c>
      <c r="AN26" s="364">
        <v>775187</v>
      </c>
      <c r="AO26" s="366">
        <v>725993</v>
      </c>
      <c r="AP26" s="366">
        <v>49194</v>
      </c>
      <c r="AQ26" s="367">
        <v>6.3460816551361196E-2</v>
      </c>
      <c r="AR26" s="364"/>
      <c r="AS26" s="366"/>
      <c r="AT26" s="368"/>
      <c r="AU26" s="364"/>
      <c r="AV26" s="366"/>
      <c r="AW26" s="368"/>
      <c r="AX26" s="369">
        <v>30256</v>
      </c>
      <c r="AY26" s="366">
        <v>28336</v>
      </c>
      <c r="AZ26" s="368">
        <v>1920</v>
      </c>
      <c r="BA26" s="369">
        <v>30256</v>
      </c>
      <c r="BB26" s="366">
        <v>28336</v>
      </c>
      <c r="BC26" s="368">
        <v>1920</v>
      </c>
      <c r="BD26" s="369">
        <v>775187</v>
      </c>
      <c r="BE26" s="366">
        <v>725993</v>
      </c>
      <c r="BF26" s="365">
        <v>49194</v>
      </c>
      <c r="BG26" s="370">
        <v>1</v>
      </c>
      <c r="BH26" s="327">
        <v>0</v>
      </c>
      <c r="BI26" s="371">
        <v>0</v>
      </c>
      <c r="BJ26" s="372">
        <v>0</v>
      </c>
      <c r="BK26" s="372">
        <v>0</v>
      </c>
      <c r="BL26" s="373">
        <v>0</v>
      </c>
    </row>
    <row r="27" spans="1:64" ht="19.5" customHeight="1">
      <c r="A27" s="354" t="s">
        <v>776</v>
      </c>
      <c r="B27" s="406" t="s">
        <v>777</v>
      </c>
      <c r="C27" s="356">
        <v>345402250</v>
      </c>
      <c r="D27" s="356">
        <v>335995079</v>
      </c>
      <c r="E27" s="356">
        <v>9407171</v>
      </c>
      <c r="F27" s="357">
        <v>345402250</v>
      </c>
      <c r="G27" s="357">
        <v>335995079</v>
      </c>
      <c r="H27" s="358">
        <v>9407171</v>
      </c>
      <c r="I27" s="359"/>
      <c r="J27" s="359"/>
      <c r="K27" s="358"/>
      <c r="L27" s="407">
        <v>1</v>
      </c>
      <c r="M27" s="358">
        <v>0</v>
      </c>
      <c r="N27" s="361">
        <v>0</v>
      </c>
      <c r="O27" s="358">
        <v>0</v>
      </c>
      <c r="P27" s="358">
        <v>0</v>
      </c>
      <c r="Q27" s="357">
        <v>0</v>
      </c>
      <c r="R27" s="358">
        <v>0</v>
      </c>
      <c r="S27" s="358">
        <v>345402250</v>
      </c>
      <c r="T27" s="357">
        <v>335995079</v>
      </c>
      <c r="U27" s="357">
        <v>9407171</v>
      </c>
      <c r="V27" s="357"/>
      <c r="W27" s="358"/>
      <c r="X27" s="358"/>
      <c r="Y27" s="357"/>
      <c r="Z27" s="358"/>
      <c r="AA27" s="358"/>
      <c r="AB27" s="357"/>
      <c r="AC27" s="362"/>
      <c r="AD27" s="97">
        <v>0</v>
      </c>
      <c r="AE27" s="97">
        <v>0</v>
      </c>
      <c r="AF27" s="97">
        <v>0</v>
      </c>
      <c r="AG27" s="208" t="s">
        <v>630</v>
      </c>
      <c r="AL27" s="364" t="s">
        <v>776</v>
      </c>
      <c r="AM27" s="365" t="s">
        <v>876</v>
      </c>
      <c r="AN27" s="364">
        <v>345402</v>
      </c>
      <c r="AO27" s="366">
        <v>335995</v>
      </c>
      <c r="AP27" s="366">
        <v>9407</v>
      </c>
      <c r="AQ27" s="367">
        <v>2.7234932050190799E-2</v>
      </c>
      <c r="AR27" s="364"/>
      <c r="AS27" s="366"/>
      <c r="AT27" s="368"/>
      <c r="AU27" s="364"/>
      <c r="AV27" s="366"/>
      <c r="AW27" s="368"/>
      <c r="AX27" s="369">
        <v>0</v>
      </c>
      <c r="AY27" s="366">
        <v>0</v>
      </c>
      <c r="AZ27" s="368">
        <v>0</v>
      </c>
      <c r="BA27" s="369">
        <v>0</v>
      </c>
      <c r="BB27" s="366">
        <v>0</v>
      </c>
      <c r="BC27" s="368">
        <v>0</v>
      </c>
      <c r="BD27" s="369">
        <v>345402</v>
      </c>
      <c r="BE27" s="366">
        <v>335995</v>
      </c>
      <c r="BF27" s="365">
        <v>9407</v>
      </c>
      <c r="BG27" s="370">
        <v>1</v>
      </c>
      <c r="BH27" s="327">
        <v>0</v>
      </c>
      <c r="BI27" s="371">
        <v>0</v>
      </c>
      <c r="BJ27" s="372">
        <v>0</v>
      </c>
      <c r="BK27" s="372">
        <v>0</v>
      </c>
      <c r="BL27" s="373">
        <v>0</v>
      </c>
    </row>
    <row r="28" spans="1:64" ht="19.5" customHeight="1">
      <c r="A28" s="354" t="s">
        <v>877</v>
      </c>
      <c r="B28" s="406" t="s">
        <v>878</v>
      </c>
      <c r="C28" s="356">
        <v>463809524</v>
      </c>
      <c r="D28" s="356">
        <v>435979950</v>
      </c>
      <c r="E28" s="356">
        <v>27829574</v>
      </c>
      <c r="F28" s="357">
        <v>449711382</v>
      </c>
      <c r="G28" s="357">
        <v>422727727</v>
      </c>
      <c r="H28" s="358">
        <v>26983655</v>
      </c>
      <c r="I28" s="359"/>
      <c r="J28" s="359"/>
      <c r="K28" s="358"/>
      <c r="L28" s="407">
        <v>0.99966814299602502</v>
      </c>
      <c r="M28" s="358">
        <v>13944224</v>
      </c>
      <c r="N28" s="361">
        <v>13107540</v>
      </c>
      <c r="O28" s="358">
        <v>836684</v>
      </c>
      <c r="P28" s="358">
        <v>13944224</v>
      </c>
      <c r="Q28" s="357">
        <v>13107540</v>
      </c>
      <c r="R28" s="358">
        <v>836684</v>
      </c>
      <c r="S28" s="358">
        <v>463655606</v>
      </c>
      <c r="T28" s="357">
        <v>435835267</v>
      </c>
      <c r="U28" s="357">
        <v>27820339</v>
      </c>
      <c r="V28" s="357"/>
      <c r="W28" s="358"/>
      <c r="X28" s="358"/>
      <c r="Y28" s="357"/>
      <c r="Z28" s="358"/>
      <c r="AA28" s="358"/>
      <c r="AB28" s="357"/>
      <c r="AC28" s="362"/>
      <c r="AD28" s="97">
        <v>0</v>
      </c>
      <c r="AE28" s="97">
        <v>0</v>
      </c>
      <c r="AF28" s="97">
        <v>0</v>
      </c>
      <c r="AG28" s="208" t="s">
        <v>630</v>
      </c>
      <c r="AL28" s="364" t="s">
        <v>877</v>
      </c>
      <c r="AM28" s="365" t="s">
        <v>879</v>
      </c>
      <c r="AN28" s="364">
        <v>463810</v>
      </c>
      <c r="AO28" s="366">
        <v>435980</v>
      </c>
      <c r="AP28" s="366">
        <v>27830</v>
      </c>
      <c r="AQ28" s="367">
        <v>6.0003018477393803E-2</v>
      </c>
      <c r="AR28" s="364"/>
      <c r="AS28" s="366"/>
      <c r="AT28" s="368"/>
      <c r="AU28" s="364"/>
      <c r="AV28" s="366"/>
      <c r="AW28" s="368"/>
      <c r="AX28" s="369">
        <v>13944</v>
      </c>
      <c r="AY28" s="366">
        <v>13108</v>
      </c>
      <c r="AZ28" s="368">
        <v>836</v>
      </c>
      <c r="BA28" s="369">
        <v>13944</v>
      </c>
      <c r="BB28" s="366">
        <v>13108</v>
      </c>
      <c r="BC28" s="368">
        <v>836</v>
      </c>
      <c r="BD28" s="369">
        <v>463656</v>
      </c>
      <c r="BE28" s="366">
        <v>435835</v>
      </c>
      <c r="BF28" s="365">
        <v>27821</v>
      </c>
      <c r="BG28" s="370">
        <v>0.99966796748668596</v>
      </c>
      <c r="BH28" s="327">
        <v>1.7550933861798499E-7</v>
      </c>
      <c r="BI28" s="371">
        <v>154</v>
      </c>
      <c r="BJ28" s="372">
        <v>145</v>
      </c>
      <c r="BK28" s="372">
        <v>9</v>
      </c>
      <c r="BL28" s="373">
        <v>3.3203251331359601E-4</v>
      </c>
    </row>
    <row r="29" spans="1:64" ht="19.5" customHeight="1">
      <c r="A29" s="354" t="s">
        <v>389</v>
      </c>
      <c r="B29" s="406" t="s">
        <v>390</v>
      </c>
      <c r="C29" s="356">
        <v>7475000000</v>
      </c>
      <c r="D29" s="356">
        <v>7018779343</v>
      </c>
      <c r="E29" s="356">
        <v>456220657</v>
      </c>
      <c r="F29" s="357">
        <v>794325076</v>
      </c>
      <c r="G29" s="357">
        <v>745845142</v>
      </c>
      <c r="H29" s="358">
        <v>48479934</v>
      </c>
      <c r="I29" s="359"/>
      <c r="J29" s="359"/>
      <c r="K29" s="358"/>
      <c r="L29" s="407">
        <v>0.47916663192356501</v>
      </c>
      <c r="M29" s="358">
        <v>2787445498</v>
      </c>
      <c r="N29" s="361">
        <v>2617319716</v>
      </c>
      <c r="O29" s="358">
        <v>170125782</v>
      </c>
      <c r="P29" s="358">
        <v>2787445498</v>
      </c>
      <c r="Q29" s="357">
        <v>2617319716</v>
      </c>
      <c r="R29" s="358">
        <v>170125782</v>
      </c>
      <c r="S29" s="358">
        <v>3581770574</v>
      </c>
      <c r="T29" s="357">
        <v>3363164858</v>
      </c>
      <c r="U29" s="357">
        <v>218605716</v>
      </c>
      <c r="V29" s="357"/>
      <c r="W29" s="358"/>
      <c r="X29" s="358"/>
      <c r="Y29" s="357"/>
      <c r="Z29" s="358"/>
      <c r="AA29" s="358"/>
      <c r="AB29" s="357"/>
      <c r="AC29" s="362"/>
      <c r="AD29" s="97">
        <v>0</v>
      </c>
      <c r="AE29" s="97">
        <v>0</v>
      </c>
      <c r="AF29" s="97">
        <v>0</v>
      </c>
      <c r="AG29" s="208" t="s">
        <v>630</v>
      </c>
      <c r="AL29" s="364" t="s">
        <v>389</v>
      </c>
      <c r="AM29" s="365" t="s">
        <v>880</v>
      </c>
      <c r="AN29" s="364">
        <v>7475000</v>
      </c>
      <c r="AO29" s="366">
        <v>7018779</v>
      </c>
      <c r="AP29" s="366">
        <v>456221</v>
      </c>
      <c r="AQ29" s="367">
        <v>6.1032909698996697E-2</v>
      </c>
      <c r="AR29" s="364"/>
      <c r="AS29" s="366"/>
      <c r="AT29" s="368"/>
      <c r="AU29" s="364"/>
      <c r="AV29" s="366"/>
      <c r="AW29" s="368"/>
      <c r="AX29" s="369">
        <v>2787445</v>
      </c>
      <c r="AY29" s="366">
        <v>2617320</v>
      </c>
      <c r="AZ29" s="368">
        <v>170125</v>
      </c>
      <c r="BA29" s="369">
        <v>2787445</v>
      </c>
      <c r="BB29" s="366">
        <v>2617320</v>
      </c>
      <c r="BC29" s="368">
        <v>170125</v>
      </c>
      <c r="BD29" s="369">
        <v>3581771</v>
      </c>
      <c r="BE29" s="366">
        <v>3363165</v>
      </c>
      <c r="BF29" s="365">
        <v>218606</v>
      </c>
      <c r="BG29" s="370">
        <v>0.47916668896321102</v>
      </c>
      <c r="BH29" s="327">
        <v>-5.7039645673384598E-8</v>
      </c>
      <c r="BI29" s="371">
        <v>3893229</v>
      </c>
      <c r="BJ29" s="372">
        <v>3655614</v>
      </c>
      <c r="BK29" s="372">
        <v>237615</v>
      </c>
      <c r="BL29" s="373">
        <v>0.52083331103678898</v>
      </c>
    </row>
    <row r="30" spans="1:64" ht="19.5" customHeight="1">
      <c r="A30" s="354" t="s">
        <v>391</v>
      </c>
      <c r="B30" s="406" t="s">
        <v>392</v>
      </c>
      <c r="C30" s="356">
        <v>5182913288</v>
      </c>
      <c r="D30" s="356">
        <v>4897754312</v>
      </c>
      <c r="E30" s="356">
        <v>285158976</v>
      </c>
      <c r="F30" s="357">
        <v>2138996788</v>
      </c>
      <c r="G30" s="357">
        <v>2021311212</v>
      </c>
      <c r="H30" s="358">
        <v>117685576</v>
      </c>
      <c r="I30" s="359"/>
      <c r="J30" s="359"/>
      <c r="K30" s="358"/>
      <c r="L30" s="407">
        <v>0.81675188712487601</v>
      </c>
      <c r="M30" s="358">
        <v>2094157421</v>
      </c>
      <c r="N30" s="361">
        <v>1978938865</v>
      </c>
      <c r="O30" s="358">
        <v>115218556</v>
      </c>
      <c r="P30" s="358">
        <v>2094157421</v>
      </c>
      <c r="Q30" s="357">
        <v>1978938865</v>
      </c>
      <c r="R30" s="358">
        <v>115218556</v>
      </c>
      <c r="S30" s="358">
        <v>4233154209</v>
      </c>
      <c r="T30" s="357">
        <v>4000250077</v>
      </c>
      <c r="U30" s="357">
        <v>232904132</v>
      </c>
      <c r="V30" s="357"/>
      <c r="W30" s="358"/>
      <c r="X30" s="358"/>
      <c r="Y30" s="357"/>
      <c r="Z30" s="358"/>
      <c r="AA30" s="358"/>
      <c r="AB30" s="357"/>
      <c r="AC30" s="362"/>
      <c r="AD30" s="97">
        <v>0</v>
      </c>
      <c r="AE30" s="97">
        <v>0</v>
      </c>
      <c r="AF30" s="97">
        <v>0</v>
      </c>
      <c r="AG30" s="208" t="s">
        <v>630</v>
      </c>
      <c r="AL30" s="364" t="s">
        <v>391</v>
      </c>
      <c r="AM30" s="365" t="s">
        <v>881</v>
      </c>
      <c r="AN30" s="364">
        <v>5182913</v>
      </c>
      <c r="AO30" s="366">
        <v>4897754</v>
      </c>
      <c r="AP30" s="366">
        <v>285159</v>
      </c>
      <c r="AQ30" s="367">
        <v>5.5019059744973502E-2</v>
      </c>
      <c r="AR30" s="364"/>
      <c r="AS30" s="366"/>
      <c r="AT30" s="368"/>
      <c r="AU30" s="364"/>
      <c r="AV30" s="366"/>
      <c r="AW30" s="368"/>
      <c r="AX30" s="369">
        <v>2094157</v>
      </c>
      <c r="AY30" s="366">
        <v>1978939</v>
      </c>
      <c r="AZ30" s="368">
        <v>115218</v>
      </c>
      <c r="BA30" s="369">
        <v>2094157</v>
      </c>
      <c r="BB30" s="366">
        <v>1978939</v>
      </c>
      <c r="BC30" s="368">
        <v>115218</v>
      </c>
      <c r="BD30" s="369">
        <v>4233154</v>
      </c>
      <c r="BE30" s="366">
        <v>4000250</v>
      </c>
      <c r="BF30" s="365">
        <v>232904</v>
      </c>
      <c r="BG30" s="370">
        <v>0.81675189222740197</v>
      </c>
      <c r="BH30" s="327">
        <v>-5.1025258462900102E-9</v>
      </c>
      <c r="BI30" s="371">
        <v>949759</v>
      </c>
      <c r="BJ30" s="372">
        <v>897504</v>
      </c>
      <c r="BK30" s="372">
        <v>52255</v>
      </c>
      <c r="BL30" s="373">
        <v>0.18324810777259801</v>
      </c>
    </row>
    <row r="31" spans="1:64" ht="19.5" customHeight="1">
      <c r="A31" s="354" t="s">
        <v>393</v>
      </c>
      <c r="B31" s="406" t="s">
        <v>394</v>
      </c>
      <c r="C31" s="356">
        <v>238095238</v>
      </c>
      <c r="D31" s="356">
        <v>210476190</v>
      </c>
      <c r="E31" s="356">
        <v>27619048</v>
      </c>
      <c r="F31" s="357">
        <v>122197738</v>
      </c>
      <c r="G31" s="357">
        <v>108022800</v>
      </c>
      <c r="H31" s="358">
        <v>14174938</v>
      </c>
      <c r="I31" s="359"/>
      <c r="J31" s="359"/>
      <c r="K31" s="358"/>
      <c r="L31" s="407">
        <v>0.94773755644284496</v>
      </c>
      <c r="M31" s="358">
        <v>103454061</v>
      </c>
      <c r="N31" s="361">
        <v>91453390</v>
      </c>
      <c r="O31" s="358">
        <v>12000671</v>
      </c>
      <c r="P31" s="358">
        <v>103454061</v>
      </c>
      <c r="Q31" s="357">
        <v>91453390</v>
      </c>
      <c r="R31" s="358">
        <v>12000671</v>
      </c>
      <c r="S31" s="358">
        <v>225651799</v>
      </c>
      <c r="T31" s="358">
        <v>199476190</v>
      </c>
      <c r="U31" s="357">
        <v>26175609</v>
      </c>
      <c r="V31" s="357"/>
      <c r="W31" s="358"/>
      <c r="X31" s="358"/>
      <c r="Y31" s="357"/>
      <c r="Z31" s="358"/>
      <c r="AA31" s="358"/>
      <c r="AB31" s="357"/>
      <c r="AC31" s="362"/>
      <c r="AD31" s="97">
        <v>0</v>
      </c>
      <c r="AE31" s="97">
        <v>0</v>
      </c>
      <c r="AF31" s="97">
        <v>0</v>
      </c>
      <c r="AG31" s="208" t="s">
        <v>630</v>
      </c>
      <c r="AL31" s="364" t="s">
        <v>393</v>
      </c>
      <c r="AM31" s="365" t="s">
        <v>882</v>
      </c>
      <c r="AN31" s="364">
        <v>238095</v>
      </c>
      <c r="AO31" s="366">
        <v>210476</v>
      </c>
      <c r="AP31" s="366">
        <v>27619</v>
      </c>
      <c r="AQ31" s="367">
        <v>0.11599991599991601</v>
      </c>
      <c r="AR31" s="364"/>
      <c r="AS31" s="366"/>
      <c r="AT31" s="368"/>
      <c r="AU31" s="364"/>
      <c r="AV31" s="366"/>
      <c r="AW31" s="368"/>
      <c r="AX31" s="369">
        <v>103454</v>
      </c>
      <c r="AY31" s="366">
        <v>91453</v>
      </c>
      <c r="AZ31" s="368">
        <v>12001</v>
      </c>
      <c r="BA31" s="369">
        <v>103454</v>
      </c>
      <c r="BB31" s="366">
        <v>91453</v>
      </c>
      <c r="BC31" s="368">
        <v>12001</v>
      </c>
      <c r="BD31" s="369">
        <v>225652</v>
      </c>
      <c r="BE31" s="366">
        <v>199476</v>
      </c>
      <c r="BF31" s="365">
        <v>26176</v>
      </c>
      <c r="BG31" s="370">
        <v>0.94773934773934798</v>
      </c>
      <c r="BH31" s="327">
        <v>-1.7912965027955301E-6</v>
      </c>
      <c r="BI31" s="371">
        <v>12443</v>
      </c>
      <c r="BJ31" s="372">
        <v>11000</v>
      </c>
      <c r="BK31" s="372">
        <v>1443</v>
      </c>
      <c r="BL31" s="373">
        <v>5.2260652260652199E-2</v>
      </c>
    </row>
    <row r="32" spans="1:64" ht="19.5" customHeight="1">
      <c r="A32" s="354" t="s">
        <v>565</v>
      </c>
      <c r="B32" s="406" t="s">
        <v>566</v>
      </c>
      <c r="C32" s="356">
        <v>859350566</v>
      </c>
      <c r="D32" s="356">
        <v>794724577</v>
      </c>
      <c r="E32" s="356">
        <v>64625989</v>
      </c>
      <c r="F32" s="357">
        <v>847171825</v>
      </c>
      <c r="G32" s="357">
        <v>783461717</v>
      </c>
      <c r="H32" s="358">
        <v>63710108</v>
      </c>
      <c r="I32" s="359"/>
      <c r="J32" s="359"/>
      <c r="K32" s="358"/>
      <c r="L32" s="407">
        <v>1</v>
      </c>
      <c r="M32" s="358">
        <v>12178741</v>
      </c>
      <c r="N32" s="361">
        <v>11262860</v>
      </c>
      <c r="O32" s="358">
        <v>915881</v>
      </c>
      <c r="P32" s="358">
        <v>12178741</v>
      </c>
      <c r="Q32" s="357">
        <v>11262860</v>
      </c>
      <c r="R32" s="358">
        <v>915881</v>
      </c>
      <c r="S32" s="358">
        <v>859350566</v>
      </c>
      <c r="T32" s="358">
        <v>794724577</v>
      </c>
      <c r="U32" s="357">
        <v>64625989</v>
      </c>
      <c r="V32" s="357"/>
      <c r="W32" s="358"/>
      <c r="X32" s="358"/>
      <c r="Y32" s="357"/>
      <c r="Z32" s="358"/>
      <c r="AA32" s="358"/>
      <c r="AB32" s="357"/>
      <c r="AC32" s="362"/>
      <c r="AD32" s="97">
        <v>0</v>
      </c>
      <c r="AE32" s="97">
        <v>0</v>
      </c>
      <c r="AF32" s="97">
        <v>0</v>
      </c>
      <c r="AG32" s="208" t="s">
        <v>630</v>
      </c>
      <c r="AL32" s="364" t="s">
        <v>565</v>
      </c>
      <c r="AM32" s="365" t="s">
        <v>882</v>
      </c>
      <c r="AN32" s="364">
        <v>859351</v>
      </c>
      <c r="AO32" s="366">
        <v>794725</v>
      </c>
      <c r="AP32" s="366">
        <v>64626</v>
      </c>
      <c r="AQ32" s="367">
        <v>7.5203263858423394E-2</v>
      </c>
      <c r="AR32" s="364"/>
      <c r="AS32" s="366"/>
      <c r="AT32" s="368"/>
      <c r="AU32" s="364"/>
      <c r="AV32" s="366"/>
      <c r="AW32" s="368"/>
      <c r="AX32" s="369">
        <v>12179</v>
      </c>
      <c r="AY32" s="366">
        <v>11263</v>
      </c>
      <c r="AZ32" s="368">
        <v>916</v>
      </c>
      <c r="BA32" s="369">
        <v>12179</v>
      </c>
      <c r="BB32" s="366">
        <v>11263</v>
      </c>
      <c r="BC32" s="368">
        <v>916</v>
      </c>
      <c r="BD32" s="369">
        <v>859351</v>
      </c>
      <c r="BE32" s="366">
        <v>794725</v>
      </c>
      <c r="BF32" s="365">
        <v>64626</v>
      </c>
      <c r="BG32" s="370">
        <v>1</v>
      </c>
      <c r="BH32" s="327">
        <v>0</v>
      </c>
      <c r="BI32" s="371">
        <v>0</v>
      </c>
      <c r="BJ32" s="372">
        <v>0</v>
      </c>
      <c r="BK32" s="372">
        <v>0</v>
      </c>
      <c r="BL32" s="373">
        <v>0</v>
      </c>
    </row>
    <row r="33" spans="1:64" ht="19.5" customHeight="1">
      <c r="A33" s="354" t="s">
        <v>778</v>
      </c>
      <c r="B33" s="406" t="s">
        <v>883</v>
      </c>
      <c r="C33" s="356">
        <v>933117919</v>
      </c>
      <c r="D33" s="356">
        <v>933117919</v>
      </c>
      <c r="E33" s="356">
        <v>0</v>
      </c>
      <c r="F33" s="357">
        <v>901726998</v>
      </c>
      <c r="G33" s="357">
        <v>901726998</v>
      </c>
      <c r="H33" s="358">
        <v>0</v>
      </c>
      <c r="I33" s="359"/>
      <c r="J33" s="359"/>
      <c r="K33" s="358"/>
      <c r="L33" s="407">
        <v>1</v>
      </c>
      <c r="M33" s="358">
        <v>31390921</v>
      </c>
      <c r="N33" s="361">
        <v>31390921</v>
      </c>
      <c r="O33" s="358">
        <v>0</v>
      </c>
      <c r="P33" s="358">
        <v>31390921</v>
      </c>
      <c r="Q33" s="357">
        <v>31390921</v>
      </c>
      <c r="R33" s="358">
        <v>0</v>
      </c>
      <c r="S33" s="358">
        <v>933117919</v>
      </c>
      <c r="T33" s="358">
        <v>933117919</v>
      </c>
      <c r="U33" s="357">
        <v>0</v>
      </c>
      <c r="V33" s="357"/>
      <c r="W33" s="358"/>
      <c r="X33" s="358"/>
      <c r="Y33" s="357"/>
      <c r="Z33" s="358"/>
      <c r="AA33" s="358"/>
      <c r="AB33" s="357"/>
      <c r="AC33" s="362"/>
      <c r="AD33" s="97">
        <v>0</v>
      </c>
      <c r="AE33" s="97">
        <v>0</v>
      </c>
      <c r="AF33" s="97">
        <v>0</v>
      </c>
      <c r="AG33" s="208" t="s">
        <v>630</v>
      </c>
      <c r="AL33" s="364" t="s">
        <v>778</v>
      </c>
      <c r="AM33" s="365" t="s">
        <v>884</v>
      </c>
      <c r="AN33" s="364">
        <v>933118</v>
      </c>
      <c r="AO33" s="366">
        <v>933118</v>
      </c>
      <c r="AP33" s="366">
        <v>0</v>
      </c>
      <c r="AQ33" s="367">
        <v>0</v>
      </c>
      <c r="AR33" s="364"/>
      <c r="AS33" s="366"/>
      <c r="AT33" s="368"/>
      <c r="AU33" s="364"/>
      <c r="AV33" s="366"/>
      <c r="AW33" s="368"/>
      <c r="AX33" s="369">
        <v>31391</v>
      </c>
      <c r="AY33" s="366">
        <v>31391</v>
      </c>
      <c r="AZ33" s="368">
        <v>0</v>
      </c>
      <c r="BA33" s="369">
        <v>31391</v>
      </c>
      <c r="BB33" s="366">
        <v>31391</v>
      </c>
      <c r="BC33" s="368">
        <v>0</v>
      </c>
      <c r="BD33" s="369">
        <v>933118</v>
      </c>
      <c r="BE33" s="366">
        <v>933118</v>
      </c>
      <c r="BF33" s="365">
        <v>0</v>
      </c>
      <c r="BG33" s="370">
        <v>1</v>
      </c>
      <c r="BH33" s="327">
        <v>0</v>
      </c>
      <c r="BI33" s="371">
        <v>0</v>
      </c>
      <c r="BJ33" s="372">
        <v>0</v>
      </c>
      <c r="BK33" s="372">
        <v>0</v>
      </c>
      <c r="BL33" s="373">
        <v>0</v>
      </c>
    </row>
    <row r="34" spans="1:64" ht="19.5" customHeight="1">
      <c r="A34" s="354" t="s">
        <v>885</v>
      </c>
      <c r="B34" s="406" t="s">
        <v>886</v>
      </c>
      <c r="C34" s="356">
        <v>879788670</v>
      </c>
      <c r="D34" s="356">
        <v>812013687</v>
      </c>
      <c r="E34" s="356">
        <v>67774983</v>
      </c>
      <c r="F34" s="357">
        <v>846682462</v>
      </c>
      <c r="G34" s="357">
        <v>781457833</v>
      </c>
      <c r="H34" s="358">
        <v>65224629</v>
      </c>
      <c r="I34" s="359"/>
      <c r="J34" s="359"/>
      <c r="K34" s="358"/>
      <c r="L34" s="407">
        <v>1</v>
      </c>
      <c r="M34" s="358">
        <v>33106208</v>
      </c>
      <c r="N34" s="361">
        <v>30555854</v>
      </c>
      <c r="O34" s="358">
        <v>2550354</v>
      </c>
      <c r="P34" s="358">
        <v>33106208</v>
      </c>
      <c r="Q34" s="357">
        <v>30555854</v>
      </c>
      <c r="R34" s="358">
        <v>2550354</v>
      </c>
      <c r="S34" s="358">
        <v>879788670</v>
      </c>
      <c r="T34" s="358">
        <v>812013687</v>
      </c>
      <c r="U34" s="357">
        <v>67774983</v>
      </c>
      <c r="V34" s="357"/>
      <c r="W34" s="358"/>
      <c r="X34" s="358"/>
      <c r="Y34" s="357"/>
      <c r="Z34" s="358"/>
      <c r="AA34" s="358"/>
      <c r="AB34" s="357"/>
      <c r="AC34" s="362"/>
      <c r="AD34" s="97">
        <v>0</v>
      </c>
      <c r="AE34" s="97">
        <v>0</v>
      </c>
      <c r="AF34" s="97">
        <v>0</v>
      </c>
      <c r="AG34" s="208" t="s">
        <v>630</v>
      </c>
      <c r="AL34" s="364" t="s">
        <v>885</v>
      </c>
      <c r="AM34" s="365" t="s">
        <v>887</v>
      </c>
      <c r="AN34" s="364">
        <v>879789</v>
      </c>
      <c r="AO34" s="366">
        <v>812014</v>
      </c>
      <c r="AP34" s="366">
        <v>67775</v>
      </c>
      <c r="AQ34" s="367">
        <v>7.7035516470426404E-2</v>
      </c>
      <c r="AR34" s="364"/>
      <c r="AS34" s="366"/>
      <c r="AT34" s="368"/>
      <c r="AU34" s="364"/>
      <c r="AV34" s="366"/>
      <c r="AW34" s="368"/>
      <c r="AX34" s="369">
        <v>33106</v>
      </c>
      <c r="AY34" s="366">
        <v>30556</v>
      </c>
      <c r="AZ34" s="368">
        <v>2550</v>
      </c>
      <c r="BA34" s="369">
        <v>33106</v>
      </c>
      <c r="BB34" s="366">
        <v>30556</v>
      </c>
      <c r="BC34" s="368">
        <v>2550</v>
      </c>
      <c r="BD34" s="369">
        <v>879789</v>
      </c>
      <c r="BE34" s="366">
        <v>812014</v>
      </c>
      <c r="BF34" s="365">
        <v>67775</v>
      </c>
      <c r="BG34" s="370">
        <v>1</v>
      </c>
      <c r="BH34" s="327">
        <v>0</v>
      </c>
      <c r="BI34" s="371">
        <v>0</v>
      </c>
      <c r="BJ34" s="372">
        <v>0</v>
      </c>
      <c r="BK34" s="372">
        <v>0</v>
      </c>
      <c r="BL34" s="373">
        <v>0</v>
      </c>
    </row>
    <row r="35" spans="1:64" ht="19.5" customHeight="1">
      <c r="A35" s="354" t="s">
        <v>403</v>
      </c>
      <c r="B35" s="406" t="s">
        <v>404</v>
      </c>
      <c r="C35" s="356">
        <v>4041975845</v>
      </c>
      <c r="D35" s="356">
        <v>3905373750</v>
      </c>
      <c r="E35" s="356">
        <v>136602095</v>
      </c>
      <c r="F35" s="357">
        <v>3881678264</v>
      </c>
      <c r="G35" s="357">
        <v>3750493565</v>
      </c>
      <c r="H35" s="358">
        <v>131184699</v>
      </c>
      <c r="I35" s="359"/>
      <c r="J35" s="359"/>
      <c r="K35" s="358"/>
      <c r="L35" s="407">
        <v>0.99997162038588505</v>
      </c>
      <c r="M35" s="358">
        <v>160182871</v>
      </c>
      <c r="N35" s="361">
        <v>154769352</v>
      </c>
      <c r="O35" s="358">
        <v>5413519</v>
      </c>
      <c r="P35" s="358">
        <v>160182871</v>
      </c>
      <c r="Q35" s="357">
        <v>154769352</v>
      </c>
      <c r="R35" s="358">
        <v>5413519</v>
      </c>
      <c r="S35" s="358">
        <v>4041861135</v>
      </c>
      <c r="T35" s="358">
        <v>3905262917</v>
      </c>
      <c r="U35" s="358">
        <v>136598218</v>
      </c>
      <c r="V35" s="357"/>
      <c r="W35" s="358"/>
      <c r="X35" s="358"/>
      <c r="Y35" s="357"/>
      <c r="Z35" s="358"/>
      <c r="AA35" s="358"/>
      <c r="AB35" s="357"/>
      <c r="AC35" s="362"/>
      <c r="AD35" s="97">
        <v>0</v>
      </c>
      <c r="AE35" s="97">
        <v>0</v>
      </c>
      <c r="AF35" s="97">
        <v>0</v>
      </c>
      <c r="AG35" s="208" t="s">
        <v>630</v>
      </c>
      <c r="AL35" s="364" t="s">
        <v>403</v>
      </c>
      <c r="AM35" s="365" t="s">
        <v>888</v>
      </c>
      <c r="AN35" s="364">
        <v>4041976</v>
      </c>
      <c r="AO35" s="366">
        <v>3905374</v>
      </c>
      <c r="AP35" s="366">
        <v>136602</v>
      </c>
      <c r="AQ35" s="367">
        <v>3.37958463880043E-2</v>
      </c>
      <c r="AR35" s="364"/>
      <c r="AS35" s="366"/>
      <c r="AT35" s="368"/>
      <c r="AU35" s="364"/>
      <c r="AV35" s="366"/>
      <c r="AW35" s="368"/>
      <c r="AX35" s="369">
        <v>160183</v>
      </c>
      <c r="AY35" s="366">
        <v>154769</v>
      </c>
      <c r="AZ35" s="368">
        <v>5414</v>
      </c>
      <c r="BA35" s="369">
        <v>160183</v>
      </c>
      <c r="BB35" s="366">
        <v>154769</v>
      </c>
      <c r="BC35" s="368">
        <v>5414</v>
      </c>
      <c r="BD35" s="369">
        <v>4041861</v>
      </c>
      <c r="BE35" s="366">
        <v>3905263</v>
      </c>
      <c r="BF35" s="365">
        <v>136598</v>
      </c>
      <c r="BG35" s="370">
        <v>0.99997154856931403</v>
      </c>
      <c r="BH35" s="327">
        <v>7.1816571467486794E-8</v>
      </c>
      <c r="BI35" s="371">
        <v>115</v>
      </c>
      <c r="BJ35" s="372">
        <v>111</v>
      </c>
      <c r="BK35" s="372">
        <v>4</v>
      </c>
      <c r="BL35" s="373">
        <v>2.8451430686415899E-5</v>
      </c>
    </row>
    <row r="36" spans="1:64" ht="19.5" customHeight="1">
      <c r="A36" s="354" t="s">
        <v>405</v>
      </c>
      <c r="B36" s="406" t="s">
        <v>406</v>
      </c>
      <c r="C36" s="356">
        <v>1081428571</v>
      </c>
      <c r="D36" s="356">
        <v>1018292803</v>
      </c>
      <c r="E36" s="356">
        <v>63135768</v>
      </c>
      <c r="F36" s="357">
        <v>1028123413</v>
      </c>
      <c r="G36" s="357">
        <v>968099697</v>
      </c>
      <c r="H36" s="358">
        <v>60023716</v>
      </c>
      <c r="I36" s="359"/>
      <c r="J36" s="359"/>
      <c r="K36" s="358"/>
      <c r="L36" s="407">
        <v>0.99403140827265601</v>
      </c>
      <c r="M36" s="358">
        <v>46850552</v>
      </c>
      <c r="N36" s="361">
        <v>44115332</v>
      </c>
      <c r="O36" s="358">
        <v>2735220</v>
      </c>
      <c r="P36" s="358">
        <v>46850552</v>
      </c>
      <c r="Q36" s="357">
        <v>44115332</v>
      </c>
      <c r="R36" s="358">
        <v>2735220</v>
      </c>
      <c r="S36" s="358">
        <v>1074973965</v>
      </c>
      <c r="T36" s="358">
        <v>1012215029</v>
      </c>
      <c r="U36" s="357">
        <v>62758936</v>
      </c>
      <c r="V36" s="357"/>
      <c r="W36" s="358"/>
      <c r="X36" s="358"/>
      <c r="Y36" s="357"/>
      <c r="Z36" s="358"/>
      <c r="AA36" s="358"/>
      <c r="AB36" s="357"/>
      <c r="AC36" s="362"/>
      <c r="AD36" s="97">
        <v>0</v>
      </c>
      <c r="AE36" s="97">
        <v>0</v>
      </c>
      <c r="AF36" s="97">
        <v>0</v>
      </c>
      <c r="AG36" s="208" t="s">
        <v>630</v>
      </c>
      <c r="AL36" s="364" t="s">
        <v>405</v>
      </c>
      <c r="AM36" s="365" t="s">
        <v>889</v>
      </c>
      <c r="AN36" s="364">
        <v>1081429</v>
      </c>
      <c r="AO36" s="366">
        <v>1018293</v>
      </c>
      <c r="AP36" s="366">
        <v>63136</v>
      </c>
      <c r="AQ36" s="367">
        <v>5.83820112092426E-2</v>
      </c>
      <c r="AR36" s="364"/>
      <c r="AS36" s="366"/>
      <c r="AT36" s="368"/>
      <c r="AU36" s="364"/>
      <c r="AV36" s="366"/>
      <c r="AW36" s="368"/>
      <c r="AX36" s="369">
        <v>46851</v>
      </c>
      <c r="AY36" s="366">
        <v>44115</v>
      </c>
      <c r="AZ36" s="368">
        <v>2736</v>
      </c>
      <c r="BA36" s="369">
        <v>46851</v>
      </c>
      <c r="BB36" s="366">
        <v>44115</v>
      </c>
      <c r="BC36" s="368">
        <v>2736</v>
      </c>
      <c r="BD36" s="369">
        <v>1074974</v>
      </c>
      <c r="BE36" s="366">
        <v>1012215</v>
      </c>
      <c r="BF36" s="365">
        <v>62759</v>
      </c>
      <c r="BG36" s="370">
        <v>0.99403104595863401</v>
      </c>
      <c r="BH36" s="327">
        <v>3.6231402167352698E-7</v>
      </c>
      <c r="BI36" s="371">
        <v>6455</v>
      </c>
      <c r="BJ36" s="372">
        <v>6078</v>
      </c>
      <c r="BK36" s="372">
        <v>377</v>
      </c>
      <c r="BL36" s="373">
        <v>5.9689540413656603E-3</v>
      </c>
    </row>
    <row r="37" spans="1:64" ht="19.5" customHeight="1">
      <c r="A37" s="354" t="s">
        <v>890</v>
      </c>
      <c r="B37" s="406" t="s">
        <v>891</v>
      </c>
      <c r="C37" s="356">
        <v>3535631782</v>
      </c>
      <c r="D37" s="356">
        <v>3443492109</v>
      </c>
      <c r="E37" s="356">
        <v>92139673</v>
      </c>
      <c r="F37" s="357">
        <v>3304340133</v>
      </c>
      <c r="G37" s="357">
        <v>3218227993</v>
      </c>
      <c r="H37" s="358">
        <v>86112140</v>
      </c>
      <c r="I37" s="359"/>
      <c r="J37" s="359"/>
      <c r="K37" s="358"/>
      <c r="L37" s="407">
        <v>0.99335606695882805</v>
      </c>
      <c r="M37" s="358">
        <v>207801148</v>
      </c>
      <c r="N37" s="361">
        <v>202385785</v>
      </c>
      <c r="O37" s="358">
        <v>5415363</v>
      </c>
      <c r="P37" s="358">
        <v>207801148</v>
      </c>
      <c r="Q37" s="357">
        <v>202385785</v>
      </c>
      <c r="R37" s="358">
        <v>5415363</v>
      </c>
      <c r="S37" s="358">
        <v>3512141281</v>
      </c>
      <c r="T37" s="358">
        <v>3420613778</v>
      </c>
      <c r="U37" s="357">
        <v>91527503</v>
      </c>
      <c r="V37" s="357"/>
      <c r="W37" s="358"/>
      <c r="X37" s="358"/>
      <c r="Y37" s="358">
        <v>35000000</v>
      </c>
      <c r="Z37" s="358"/>
      <c r="AA37" s="358"/>
      <c r="AB37" s="375">
        <v>35000000</v>
      </c>
      <c r="AC37" s="362"/>
      <c r="AD37" s="97">
        <v>0</v>
      </c>
      <c r="AE37" s="97">
        <v>0</v>
      </c>
      <c r="AF37" s="97">
        <v>0</v>
      </c>
      <c r="AG37" s="208" t="s">
        <v>892</v>
      </c>
      <c r="AL37" s="364" t="s">
        <v>890</v>
      </c>
      <c r="AM37" s="365" t="s">
        <v>893</v>
      </c>
      <c r="AN37" s="364">
        <v>3535632</v>
      </c>
      <c r="AO37" s="366">
        <v>3443492</v>
      </c>
      <c r="AP37" s="366">
        <v>92140</v>
      </c>
      <c r="AQ37" s="367">
        <v>2.6060404476484E-2</v>
      </c>
      <c r="AR37" s="364"/>
      <c r="AS37" s="366"/>
      <c r="AT37" s="368"/>
      <c r="AU37" s="364"/>
      <c r="AV37" s="366"/>
      <c r="AW37" s="368"/>
      <c r="AX37" s="369">
        <v>207801</v>
      </c>
      <c r="AY37" s="366">
        <v>202386</v>
      </c>
      <c r="AZ37" s="368">
        <v>5415</v>
      </c>
      <c r="BA37" s="369">
        <v>207801</v>
      </c>
      <c r="BB37" s="366">
        <v>202386</v>
      </c>
      <c r="BC37" s="368">
        <v>5415</v>
      </c>
      <c r="BD37" s="369">
        <v>3512141</v>
      </c>
      <c r="BE37" s="366">
        <v>3455614</v>
      </c>
      <c r="BF37" s="365">
        <v>56527</v>
      </c>
      <c r="BG37" s="370">
        <v>0.99335592618236301</v>
      </c>
      <c r="BH37" s="327">
        <v>1.4077646515175999E-7</v>
      </c>
      <c r="BI37" s="371">
        <v>23491</v>
      </c>
      <c r="BJ37" s="372">
        <v>-12122</v>
      </c>
      <c r="BK37" s="372">
        <v>35613</v>
      </c>
      <c r="BL37" s="373">
        <v>6.6440738176370999E-3</v>
      </c>
    </row>
    <row r="38" spans="1:64" ht="19.5" customHeight="1">
      <c r="A38" s="354" t="s">
        <v>567</v>
      </c>
      <c r="B38" s="406" t="s">
        <v>568</v>
      </c>
      <c r="C38" s="356">
        <v>1221444109</v>
      </c>
      <c r="D38" s="356">
        <v>1109439744</v>
      </c>
      <c r="E38" s="356">
        <v>112004365</v>
      </c>
      <c r="F38" s="357">
        <v>1188536297</v>
      </c>
      <c r="G38" s="357">
        <v>1079549523</v>
      </c>
      <c r="H38" s="358">
        <v>108986774</v>
      </c>
      <c r="I38" s="359"/>
      <c r="J38" s="359"/>
      <c r="K38" s="358"/>
      <c r="L38" s="407">
        <v>1</v>
      </c>
      <c r="M38" s="358">
        <v>32907812</v>
      </c>
      <c r="N38" s="361">
        <v>29890221</v>
      </c>
      <c r="O38" s="358">
        <v>3017591</v>
      </c>
      <c r="P38" s="358">
        <v>32907812</v>
      </c>
      <c r="Q38" s="357">
        <v>29890221</v>
      </c>
      <c r="R38" s="358">
        <v>3017591</v>
      </c>
      <c r="S38" s="358">
        <v>1221444109</v>
      </c>
      <c r="T38" s="358">
        <v>1109439744</v>
      </c>
      <c r="U38" s="357">
        <v>112004365</v>
      </c>
      <c r="V38" s="358"/>
      <c r="W38" s="358"/>
      <c r="X38" s="358"/>
      <c r="Y38" s="358"/>
      <c r="Z38" s="358"/>
      <c r="AA38" s="358"/>
      <c r="AB38" s="358"/>
      <c r="AC38" s="362"/>
      <c r="AD38" s="97">
        <v>0</v>
      </c>
      <c r="AE38" s="97">
        <v>0</v>
      </c>
      <c r="AF38" s="97">
        <v>0</v>
      </c>
      <c r="AG38" s="208" t="s">
        <v>630</v>
      </c>
      <c r="AL38" s="364" t="s">
        <v>567</v>
      </c>
      <c r="AM38" s="365" t="s">
        <v>894</v>
      </c>
      <c r="AN38" s="364">
        <v>1221444</v>
      </c>
      <c r="AO38" s="366">
        <v>1109440</v>
      </c>
      <c r="AP38" s="366">
        <v>112004</v>
      </c>
      <c r="AQ38" s="367">
        <v>9.1698022995732903E-2</v>
      </c>
      <c r="AR38" s="364"/>
      <c r="AS38" s="366"/>
      <c r="AT38" s="368"/>
      <c r="AU38" s="364"/>
      <c r="AV38" s="366"/>
      <c r="AW38" s="368"/>
      <c r="AX38" s="369">
        <v>32908</v>
      </c>
      <c r="AY38" s="366">
        <v>29890</v>
      </c>
      <c r="AZ38" s="368">
        <v>3018</v>
      </c>
      <c r="BA38" s="369">
        <v>32908</v>
      </c>
      <c r="BB38" s="366">
        <v>29890</v>
      </c>
      <c r="BC38" s="368">
        <v>3018</v>
      </c>
      <c r="BD38" s="369">
        <v>1221444</v>
      </c>
      <c r="BE38" s="366">
        <v>1109440</v>
      </c>
      <c r="BF38" s="365">
        <v>112004</v>
      </c>
      <c r="BG38" s="370">
        <v>1</v>
      </c>
      <c r="BH38" s="327">
        <v>0</v>
      </c>
      <c r="BI38" s="371">
        <v>0</v>
      </c>
      <c r="BJ38" s="372">
        <v>0</v>
      </c>
      <c r="BK38" s="372">
        <v>0</v>
      </c>
      <c r="BL38" s="373">
        <v>0</v>
      </c>
    </row>
    <row r="39" spans="1:64" ht="19.5" customHeight="1">
      <c r="A39" s="354" t="s">
        <v>779</v>
      </c>
      <c r="B39" s="406" t="s">
        <v>780</v>
      </c>
      <c r="C39" s="356">
        <v>4470790156</v>
      </c>
      <c r="D39" s="356">
        <v>4174725305</v>
      </c>
      <c r="E39" s="356">
        <v>296064851</v>
      </c>
      <c r="F39" s="357">
        <v>4425204218</v>
      </c>
      <c r="G39" s="357">
        <v>4132158161</v>
      </c>
      <c r="H39" s="358">
        <v>293046057</v>
      </c>
      <c r="I39" s="359"/>
      <c r="J39" s="359"/>
      <c r="K39" s="358"/>
      <c r="L39" s="407">
        <v>1</v>
      </c>
      <c r="M39" s="358">
        <v>45585938</v>
      </c>
      <c r="N39" s="361">
        <v>42567144</v>
      </c>
      <c r="O39" s="358">
        <v>3018794</v>
      </c>
      <c r="P39" s="358">
        <v>45585938</v>
      </c>
      <c r="Q39" s="357">
        <v>42567144</v>
      </c>
      <c r="R39" s="358">
        <v>3018794</v>
      </c>
      <c r="S39" s="358">
        <v>4470790156</v>
      </c>
      <c r="T39" s="358">
        <v>4174725305</v>
      </c>
      <c r="U39" s="358">
        <v>296064851</v>
      </c>
      <c r="V39" s="358"/>
      <c r="W39" s="358"/>
      <c r="X39" s="358"/>
      <c r="Y39" s="358"/>
      <c r="Z39" s="358"/>
      <c r="AA39" s="358"/>
      <c r="AB39" s="358"/>
      <c r="AC39" s="362"/>
      <c r="AD39" s="97">
        <v>0</v>
      </c>
      <c r="AE39" s="97">
        <v>0</v>
      </c>
      <c r="AF39" s="97">
        <v>0</v>
      </c>
      <c r="AG39" s="208" t="s">
        <v>630</v>
      </c>
      <c r="AL39" s="364" t="s">
        <v>779</v>
      </c>
      <c r="AM39" s="365" t="s">
        <v>895</v>
      </c>
      <c r="AN39" s="364">
        <v>4470790</v>
      </c>
      <c r="AO39" s="366">
        <v>4174725</v>
      </c>
      <c r="AP39" s="366">
        <v>296065</v>
      </c>
      <c r="AQ39" s="367">
        <v>6.6222077082573799E-2</v>
      </c>
      <c r="AR39" s="364"/>
      <c r="AS39" s="366"/>
      <c r="AT39" s="368"/>
      <c r="AU39" s="364"/>
      <c r="AV39" s="366"/>
      <c r="AW39" s="368"/>
      <c r="AX39" s="369">
        <v>45586</v>
      </c>
      <c r="AY39" s="366">
        <v>42567</v>
      </c>
      <c r="AZ39" s="368">
        <v>3019</v>
      </c>
      <c r="BA39" s="369">
        <v>45586</v>
      </c>
      <c r="BB39" s="366">
        <v>42567</v>
      </c>
      <c r="BC39" s="368">
        <v>3019</v>
      </c>
      <c r="BD39" s="369">
        <v>4470790</v>
      </c>
      <c r="BE39" s="366">
        <v>4174725</v>
      </c>
      <c r="BF39" s="365">
        <v>296065</v>
      </c>
      <c r="BG39" s="370">
        <v>1</v>
      </c>
      <c r="BH39" s="327">
        <v>0</v>
      </c>
      <c r="BI39" s="371">
        <v>0</v>
      </c>
      <c r="BJ39" s="372">
        <v>0</v>
      </c>
      <c r="BK39" s="372">
        <v>0</v>
      </c>
      <c r="BL39" s="373">
        <v>0</v>
      </c>
    </row>
    <row r="40" spans="1:64" ht="19.5" customHeight="1">
      <c r="A40" s="354" t="s">
        <v>781</v>
      </c>
      <c r="B40" s="406" t="s">
        <v>782</v>
      </c>
      <c r="C40" s="356">
        <v>2229878305</v>
      </c>
      <c r="D40" s="356">
        <v>2088218748</v>
      </c>
      <c r="E40" s="356">
        <v>141659557</v>
      </c>
      <c r="F40" s="357">
        <v>2095585595</v>
      </c>
      <c r="G40" s="357">
        <v>1962457376</v>
      </c>
      <c r="H40" s="358">
        <v>133128219</v>
      </c>
      <c r="I40" s="359"/>
      <c r="J40" s="359"/>
      <c r="K40" s="358"/>
      <c r="L40" s="407">
        <v>0.98423554283691395</v>
      </c>
      <c r="M40" s="358">
        <v>99139889</v>
      </c>
      <c r="N40" s="361">
        <v>92841737</v>
      </c>
      <c r="O40" s="358">
        <v>6298152</v>
      </c>
      <c r="P40" s="358">
        <v>99139889</v>
      </c>
      <c r="Q40" s="357">
        <v>92841737</v>
      </c>
      <c r="R40" s="358">
        <v>6298152</v>
      </c>
      <c r="S40" s="358">
        <v>2194725484</v>
      </c>
      <c r="T40" s="358">
        <v>2055299113</v>
      </c>
      <c r="U40" s="357">
        <v>139426371</v>
      </c>
      <c r="V40" s="358"/>
      <c r="W40" s="358"/>
      <c r="X40" s="358"/>
      <c r="Y40" s="358"/>
      <c r="Z40" s="358"/>
      <c r="AA40" s="358"/>
      <c r="AB40" s="358"/>
      <c r="AC40" s="362"/>
      <c r="AD40" s="97">
        <v>0</v>
      </c>
      <c r="AE40" s="97">
        <v>0</v>
      </c>
      <c r="AF40" s="97">
        <v>0</v>
      </c>
      <c r="AG40" s="208" t="s">
        <v>630</v>
      </c>
      <c r="AL40" s="364" t="s">
        <v>781</v>
      </c>
      <c r="AM40" s="365" t="s">
        <v>896</v>
      </c>
      <c r="AN40" s="364">
        <v>2229878</v>
      </c>
      <c r="AO40" s="366">
        <v>2088219</v>
      </c>
      <c r="AP40" s="366">
        <v>141659</v>
      </c>
      <c r="AQ40" s="367">
        <v>6.3527690752588295E-2</v>
      </c>
      <c r="AR40" s="364"/>
      <c r="AS40" s="366"/>
      <c r="AT40" s="368"/>
      <c r="AU40" s="364"/>
      <c r="AV40" s="366"/>
      <c r="AW40" s="368"/>
      <c r="AX40" s="369">
        <v>99140</v>
      </c>
      <c r="AY40" s="366">
        <v>92842</v>
      </c>
      <c r="AZ40" s="368">
        <v>6298</v>
      </c>
      <c r="BA40" s="369">
        <v>99140</v>
      </c>
      <c r="BB40" s="366">
        <v>92842</v>
      </c>
      <c r="BC40" s="368">
        <v>6298</v>
      </c>
      <c r="BD40" s="369">
        <v>2194725</v>
      </c>
      <c r="BE40" s="366">
        <v>2055299</v>
      </c>
      <c r="BF40" s="365">
        <v>139426</v>
      </c>
      <c r="BG40" s="370">
        <v>0.98423546041532295</v>
      </c>
      <c r="BH40" s="327">
        <v>8.2421590774650597E-8</v>
      </c>
      <c r="BI40" s="371">
        <v>35153</v>
      </c>
      <c r="BJ40" s="372">
        <v>32920</v>
      </c>
      <c r="BK40" s="372">
        <v>2233</v>
      </c>
      <c r="BL40" s="373">
        <v>1.5764539584676801E-2</v>
      </c>
    </row>
    <row r="41" spans="1:64" ht="19.5" customHeight="1">
      <c r="A41" s="354" t="s">
        <v>897</v>
      </c>
      <c r="B41" s="406" t="s">
        <v>898</v>
      </c>
      <c r="C41" s="356">
        <v>1449803462</v>
      </c>
      <c r="D41" s="356">
        <v>1358935182</v>
      </c>
      <c r="E41" s="356">
        <v>90868280</v>
      </c>
      <c r="F41" s="357">
        <v>1446816234</v>
      </c>
      <c r="G41" s="357">
        <v>1356135182</v>
      </c>
      <c r="H41" s="358">
        <v>90681052</v>
      </c>
      <c r="I41" s="359"/>
      <c r="J41" s="359"/>
      <c r="K41" s="358"/>
      <c r="L41" s="407">
        <v>0.99793956324253896</v>
      </c>
      <c r="M41" s="358">
        <v>0</v>
      </c>
      <c r="N41" s="361">
        <v>0</v>
      </c>
      <c r="O41" s="358">
        <v>0</v>
      </c>
      <c r="P41" s="358">
        <v>0</v>
      </c>
      <c r="Q41" s="357">
        <v>0</v>
      </c>
      <c r="R41" s="358">
        <v>0</v>
      </c>
      <c r="S41" s="358">
        <v>1446816234</v>
      </c>
      <c r="T41" s="358">
        <v>1356135182</v>
      </c>
      <c r="U41" s="357">
        <v>90681052</v>
      </c>
      <c r="V41" s="358"/>
      <c r="W41" s="358"/>
      <c r="X41" s="358"/>
      <c r="Y41" s="358"/>
      <c r="Z41" s="358"/>
      <c r="AA41" s="358"/>
      <c r="AB41" s="358"/>
      <c r="AC41" s="362"/>
      <c r="AD41" s="97">
        <v>0</v>
      </c>
      <c r="AE41" s="97">
        <v>0</v>
      </c>
      <c r="AF41" s="97">
        <v>0</v>
      </c>
      <c r="AG41" s="208" t="s">
        <v>630</v>
      </c>
      <c r="AL41" s="364" t="s">
        <v>897</v>
      </c>
      <c r="AM41" s="365" t="s">
        <v>899</v>
      </c>
      <c r="AN41" s="364">
        <v>1449803</v>
      </c>
      <c r="AO41" s="366">
        <v>1358935</v>
      </c>
      <c r="AP41" s="366">
        <v>90868</v>
      </c>
      <c r="AQ41" s="367">
        <v>6.2676101511722607E-2</v>
      </c>
      <c r="AR41" s="364"/>
      <c r="AS41" s="366"/>
      <c r="AT41" s="368"/>
      <c r="AU41" s="364"/>
      <c r="AV41" s="366"/>
      <c r="AW41" s="368"/>
      <c r="AX41" s="369">
        <v>0</v>
      </c>
      <c r="AY41" s="366">
        <v>0</v>
      </c>
      <c r="AZ41" s="368">
        <v>0</v>
      </c>
      <c r="BA41" s="369">
        <v>0</v>
      </c>
      <c r="BB41" s="366">
        <v>0</v>
      </c>
      <c r="BC41" s="368">
        <v>0</v>
      </c>
      <c r="BD41" s="369">
        <v>1446816</v>
      </c>
      <c r="BE41" s="366">
        <v>1356135</v>
      </c>
      <c r="BF41" s="365">
        <v>90681</v>
      </c>
      <c r="BG41" s="370">
        <v>0.99793972008610798</v>
      </c>
      <c r="BH41" s="327">
        <v>-1.56843569243392E-7</v>
      </c>
      <c r="BI41" s="371">
        <v>2987</v>
      </c>
      <c r="BJ41" s="372">
        <v>2800</v>
      </c>
      <c r="BK41" s="372">
        <v>187</v>
      </c>
      <c r="BL41" s="373">
        <v>2.0602799138917899E-3</v>
      </c>
    </row>
    <row r="42" spans="1:64" ht="19.5" customHeight="1">
      <c r="A42" s="354" t="s">
        <v>407</v>
      </c>
      <c r="B42" s="406" t="s">
        <v>408</v>
      </c>
      <c r="C42" s="356">
        <v>3252514518</v>
      </c>
      <c r="D42" s="356">
        <v>3054894126</v>
      </c>
      <c r="E42" s="356">
        <v>197620392</v>
      </c>
      <c r="F42" s="357">
        <v>2974148584</v>
      </c>
      <c r="G42" s="357">
        <v>2793441501.7571402</v>
      </c>
      <c r="H42" s="358">
        <v>180707082.24285701</v>
      </c>
      <c r="I42" s="359"/>
      <c r="J42" s="359"/>
      <c r="K42" s="358"/>
      <c r="L42" s="407">
        <v>0.98585696968181702</v>
      </c>
      <c r="M42" s="358">
        <v>232365523</v>
      </c>
      <c r="N42" s="361">
        <v>218247164</v>
      </c>
      <c r="O42" s="358">
        <v>14118359</v>
      </c>
      <c r="P42" s="358">
        <v>232365523</v>
      </c>
      <c r="Q42" s="357">
        <v>218247164</v>
      </c>
      <c r="R42" s="358">
        <v>14118359</v>
      </c>
      <c r="S42" s="358">
        <v>3206514107</v>
      </c>
      <c r="T42" s="358">
        <v>3011688665.7571402</v>
      </c>
      <c r="U42" s="358">
        <v>194825441.24285701</v>
      </c>
      <c r="V42" s="358"/>
      <c r="W42" s="358"/>
      <c r="X42" s="358"/>
      <c r="Y42" s="358"/>
      <c r="Z42" s="358"/>
      <c r="AA42" s="358"/>
      <c r="AB42" s="358"/>
      <c r="AC42" s="362"/>
      <c r="AD42" s="97">
        <v>0</v>
      </c>
      <c r="AE42" s="97">
        <v>0</v>
      </c>
      <c r="AF42" s="97">
        <v>0</v>
      </c>
      <c r="AG42" s="208" t="s">
        <v>630</v>
      </c>
      <c r="AL42" s="364" t="s">
        <v>407</v>
      </c>
      <c r="AM42" s="365" t="s">
        <v>900</v>
      </c>
      <c r="AN42" s="364">
        <v>3252515</v>
      </c>
      <c r="AO42" s="366">
        <v>3054894</v>
      </c>
      <c r="AP42" s="366">
        <v>197621</v>
      </c>
      <c r="AQ42" s="367">
        <v>6.0759443077126503E-2</v>
      </c>
      <c r="AR42" s="364"/>
      <c r="AS42" s="366"/>
      <c r="AT42" s="368"/>
      <c r="AU42" s="364"/>
      <c r="AV42" s="366"/>
      <c r="AW42" s="368"/>
      <c r="AX42" s="369">
        <v>232366</v>
      </c>
      <c r="AY42" s="366">
        <v>218247</v>
      </c>
      <c r="AZ42" s="368">
        <v>14119</v>
      </c>
      <c r="BA42" s="369">
        <v>232366</v>
      </c>
      <c r="BB42" s="366">
        <v>218247</v>
      </c>
      <c r="BC42" s="368">
        <v>14119</v>
      </c>
      <c r="BD42" s="369">
        <v>3206514</v>
      </c>
      <c r="BE42" s="366">
        <v>3011689</v>
      </c>
      <c r="BF42" s="365">
        <v>194825</v>
      </c>
      <c r="BG42" s="370">
        <v>0.98585679082187205</v>
      </c>
      <c r="BH42" s="327">
        <v>1.7885994529898099E-7</v>
      </c>
      <c r="BI42" s="371">
        <v>46001</v>
      </c>
      <c r="BJ42" s="372">
        <v>43205</v>
      </c>
      <c r="BK42" s="372">
        <v>2796</v>
      </c>
      <c r="BL42" s="373">
        <v>1.4143209178128301E-2</v>
      </c>
    </row>
    <row r="43" spans="1:64" ht="19.5" customHeight="1">
      <c r="A43" s="354" t="s">
        <v>409</v>
      </c>
      <c r="B43" s="406" t="s">
        <v>901</v>
      </c>
      <c r="C43" s="356">
        <v>1027055272</v>
      </c>
      <c r="D43" s="356">
        <v>974532876</v>
      </c>
      <c r="E43" s="356">
        <v>52522396</v>
      </c>
      <c r="F43" s="357">
        <v>1004696705</v>
      </c>
      <c r="G43" s="357">
        <v>953317700</v>
      </c>
      <c r="H43" s="358">
        <v>51379005</v>
      </c>
      <c r="I43" s="359"/>
      <c r="J43" s="359"/>
      <c r="K43" s="358"/>
      <c r="L43" s="407">
        <v>1</v>
      </c>
      <c r="M43" s="358">
        <v>22358567</v>
      </c>
      <c r="N43" s="361">
        <v>21215176</v>
      </c>
      <c r="O43" s="358">
        <v>1143391</v>
      </c>
      <c r="P43" s="358">
        <v>22358567</v>
      </c>
      <c r="Q43" s="357">
        <v>21215176</v>
      </c>
      <c r="R43" s="358">
        <v>1143391</v>
      </c>
      <c r="S43" s="358">
        <v>1027055272</v>
      </c>
      <c r="T43" s="358">
        <v>974532876</v>
      </c>
      <c r="U43" s="357">
        <v>52522396</v>
      </c>
      <c r="V43" s="358"/>
      <c r="W43" s="358"/>
      <c r="X43" s="358"/>
      <c r="Y43" s="358"/>
      <c r="Z43" s="358"/>
      <c r="AA43" s="358"/>
      <c r="AB43" s="358"/>
      <c r="AC43" s="362"/>
      <c r="AD43" s="97">
        <v>0</v>
      </c>
      <c r="AE43" s="97">
        <v>0</v>
      </c>
      <c r="AF43" s="97">
        <v>0</v>
      </c>
      <c r="AG43" s="208" t="s">
        <v>630</v>
      </c>
      <c r="AL43" s="364" t="s">
        <v>409</v>
      </c>
      <c r="AM43" s="365" t="s">
        <v>902</v>
      </c>
      <c r="AN43" s="364">
        <v>1027055</v>
      </c>
      <c r="AO43" s="366">
        <v>974533</v>
      </c>
      <c r="AP43" s="366">
        <v>52522</v>
      </c>
      <c r="AQ43" s="367">
        <v>5.1138449255395298E-2</v>
      </c>
      <c r="AR43" s="364"/>
      <c r="AS43" s="366"/>
      <c r="AT43" s="368"/>
      <c r="AU43" s="364"/>
      <c r="AV43" s="366"/>
      <c r="AW43" s="368"/>
      <c r="AX43" s="369">
        <v>22359</v>
      </c>
      <c r="AY43" s="366">
        <v>21215</v>
      </c>
      <c r="AZ43" s="368">
        <v>1144</v>
      </c>
      <c r="BA43" s="369">
        <v>22359</v>
      </c>
      <c r="BB43" s="366">
        <v>21215</v>
      </c>
      <c r="BC43" s="368">
        <v>1144</v>
      </c>
      <c r="BD43" s="369">
        <v>1027055</v>
      </c>
      <c r="BE43" s="366">
        <v>974533</v>
      </c>
      <c r="BF43" s="365">
        <v>52522</v>
      </c>
      <c r="BG43" s="370">
        <v>1</v>
      </c>
      <c r="BH43" s="327">
        <v>0</v>
      </c>
      <c r="BI43" s="371">
        <v>0</v>
      </c>
      <c r="BJ43" s="372">
        <v>0</v>
      </c>
      <c r="BK43" s="372">
        <v>0</v>
      </c>
      <c r="BL43" s="373">
        <v>0</v>
      </c>
    </row>
    <row r="44" spans="1:64" ht="19.5" customHeight="1">
      <c r="A44" s="354" t="s">
        <v>903</v>
      </c>
      <c r="B44" s="406" t="s">
        <v>904</v>
      </c>
      <c r="C44" s="356">
        <v>2056876929</v>
      </c>
      <c r="D44" s="356">
        <v>1943748699</v>
      </c>
      <c r="E44" s="356">
        <v>113128230</v>
      </c>
      <c r="F44" s="357">
        <v>309086481</v>
      </c>
      <c r="G44" s="357">
        <v>298704987</v>
      </c>
      <c r="H44" s="358">
        <v>10381494</v>
      </c>
      <c r="I44" s="359"/>
      <c r="J44" s="359"/>
      <c r="K44" s="358"/>
      <c r="L44" s="407">
        <v>0.15367469424091401</v>
      </c>
      <c r="M44" s="358">
        <v>7003452</v>
      </c>
      <c r="N44" s="361">
        <v>0</v>
      </c>
      <c r="O44" s="358">
        <v>7003452</v>
      </c>
      <c r="P44" s="358">
        <v>7003452</v>
      </c>
      <c r="Q44" s="357">
        <v>0</v>
      </c>
      <c r="R44" s="358">
        <v>7003452</v>
      </c>
      <c r="S44" s="358">
        <v>316089933</v>
      </c>
      <c r="T44" s="358">
        <v>298704987</v>
      </c>
      <c r="U44" s="357">
        <v>17384946</v>
      </c>
      <c r="V44" s="358"/>
      <c r="W44" s="358"/>
      <c r="X44" s="358"/>
      <c r="Y44" s="358"/>
      <c r="Z44" s="358"/>
      <c r="AA44" s="358"/>
      <c r="AB44" s="358"/>
      <c r="AC44" s="362"/>
      <c r="AD44" s="97">
        <v>0</v>
      </c>
      <c r="AE44" s="97">
        <v>3.05311331771918E-16</v>
      </c>
      <c r="AF44" s="97">
        <v>0</v>
      </c>
      <c r="AG44" s="208" t="s">
        <v>630</v>
      </c>
      <c r="AL44" s="364" t="s">
        <v>903</v>
      </c>
      <c r="AM44" s="365" t="s">
        <v>905</v>
      </c>
      <c r="AN44" s="364">
        <v>2056877</v>
      </c>
      <c r="AO44" s="366">
        <v>1943749</v>
      </c>
      <c r="AP44" s="366">
        <v>113128</v>
      </c>
      <c r="AQ44" s="367">
        <v>5.4999885749123602E-2</v>
      </c>
      <c r="AR44" s="364"/>
      <c r="AS44" s="366"/>
      <c r="AT44" s="368"/>
      <c r="AU44" s="364"/>
      <c r="AV44" s="366"/>
      <c r="AW44" s="368"/>
      <c r="AX44" s="369">
        <v>7003</v>
      </c>
      <c r="AY44" s="366">
        <v>0</v>
      </c>
      <c r="AZ44" s="368">
        <v>7003</v>
      </c>
      <c r="BA44" s="369">
        <v>7003</v>
      </c>
      <c r="BB44" s="366">
        <v>0</v>
      </c>
      <c r="BC44" s="368">
        <v>7003</v>
      </c>
      <c r="BD44" s="369">
        <v>316090</v>
      </c>
      <c r="BE44" s="366">
        <v>298705</v>
      </c>
      <c r="BF44" s="365">
        <v>17385</v>
      </c>
      <c r="BG44" s="370">
        <v>0.15367472143448499</v>
      </c>
      <c r="BH44" s="327">
        <v>-2.71935713669347E-8</v>
      </c>
      <c r="BI44" s="371">
        <v>1740787</v>
      </c>
      <c r="BJ44" s="372">
        <v>1645044</v>
      </c>
      <c r="BK44" s="372">
        <v>95743</v>
      </c>
      <c r="BL44" s="373">
        <v>0.84632527856551498</v>
      </c>
    </row>
    <row r="45" spans="1:64" ht="19.5" customHeight="1">
      <c r="A45" s="354" t="s">
        <v>411</v>
      </c>
      <c r="B45" s="406" t="s">
        <v>906</v>
      </c>
      <c r="C45" s="356">
        <v>2977338571</v>
      </c>
      <c r="D45" s="356">
        <v>2789207143</v>
      </c>
      <c r="E45" s="356">
        <v>188131428</v>
      </c>
      <c r="F45" s="357">
        <v>1539021040</v>
      </c>
      <c r="G45" s="357">
        <v>1441773710</v>
      </c>
      <c r="H45" s="358">
        <v>97247330</v>
      </c>
      <c r="I45" s="359"/>
      <c r="J45" s="359"/>
      <c r="K45" s="358"/>
      <c r="L45" s="407">
        <v>0.77918006393116401</v>
      </c>
      <c r="M45" s="358">
        <v>780861818</v>
      </c>
      <c r="N45" s="361">
        <v>731520890</v>
      </c>
      <c r="O45" s="358">
        <v>49340928</v>
      </c>
      <c r="P45" s="358">
        <v>780861818</v>
      </c>
      <c r="Q45" s="357">
        <v>731520890</v>
      </c>
      <c r="R45" s="358">
        <v>49340928</v>
      </c>
      <c r="S45" s="358">
        <v>2319882858</v>
      </c>
      <c r="T45" s="358">
        <v>2173294600</v>
      </c>
      <c r="U45" s="357">
        <v>146588258</v>
      </c>
      <c r="V45" s="358"/>
      <c r="W45" s="358"/>
      <c r="X45" s="358"/>
      <c r="Y45" s="358"/>
      <c r="Z45" s="358"/>
      <c r="AA45" s="358"/>
      <c r="AB45" s="358"/>
      <c r="AC45" s="362"/>
      <c r="AD45" s="97">
        <v>0</v>
      </c>
      <c r="AE45" s="97">
        <v>0</v>
      </c>
      <c r="AF45" s="97">
        <v>0</v>
      </c>
      <c r="AG45" s="208" t="s">
        <v>630</v>
      </c>
      <c r="AL45" s="364" t="s">
        <v>411</v>
      </c>
      <c r="AM45" s="365" t="s">
        <v>907</v>
      </c>
      <c r="AN45" s="364">
        <v>2977339</v>
      </c>
      <c r="AO45" s="366">
        <v>2789207</v>
      </c>
      <c r="AP45" s="366">
        <v>188132</v>
      </c>
      <c r="AQ45" s="367">
        <v>6.3187967510585794E-2</v>
      </c>
      <c r="AR45" s="364"/>
      <c r="AS45" s="366"/>
      <c r="AT45" s="368"/>
      <c r="AU45" s="364"/>
      <c r="AV45" s="366"/>
      <c r="AW45" s="368"/>
      <c r="AX45" s="369">
        <v>780862</v>
      </c>
      <c r="AY45" s="366">
        <v>731521</v>
      </c>
      <c r="AZ45" s="368">
        <v>49341</v>
      </c>
      <c r="BA45" s="369">
        <v>780862</v>
      </c>
      <c r="BB45" s="366">
        <v>731521</v>
      </c>
      <c r="BC45" s="368">
        <v>49341</v>
      </c>
      <c r="BD45" s="369">
        <v>2319883</v>
      </c>
      <c r="BE45" s="366">
        <v>2173295</v>
      </c>
      <c r="BF45" s="365">
        <v>146588</v>
      </c>
      <c r="BG45" s="370">
        <v>0.77917999932154203</v>
      </c>
      <c r="BH45" s="327">
        <v>6.4609622207889599E-8</v>
      </c>
      <c r="BI45" s="371">
        <v>657456</v>
      </c>
      <c r="BJ45" s="372">
        <v>615912</v>
      </c>
      <c r="BK45" s="372">
        <v>41544</v>
      </c>
      <c r="BL45" s="373">
        <v>0.220820000678458</v>
      </c>
    </row>
    <row r="46" spans="1:64" ht="19.5" customHeight="1">
      <c r="A46" s="354" t="s">
        <v>413</v>
      </c>
      <c r="B46" s="406" t="s">
        <v>908</v>
      </c>
      <c r="C46" s="356">
        <v>369047619</v>
      </c>
      <c r="D46" s="356">
        <v>348011904</v>
      </c>
      <c r="E46" s="356">
        <v>21035715</v>
      </c>
      <c r="F46" s="357">
        <v>121697173</v>
      </c>
      <c r="G46" s="357">
        <v>114760434.3</v>
      </c>
      <c r="H46" s="358">
        <v>6936738.7000000002</v>
      </c>
      <c r="I46" s="359"/>
      <c r="J46" s="359"/>
      <c r="K46" s="358"/>
      <c r="L46" s="407">
        <v>0.84417410704433804</v>
      </c>
      <c r="M46" s="358">
        <v>189843271</v>
      </c>
      <c r="N46" s="361">
        <v>179022204</v>
      </c>
      <c r="O46" s="358">
        <v>10821067</v>
      </c>
      <c r="P46" s="358">
        <v>189843271</v>
      </c>
      <c r="Q46" s="357">
        <v>179022204</v>
      </c>
      <c r="R46" s="358">
        <v>10821067</v>
      </c>
      <c r="S46" s="358">
        <v>311540444</v>
      </c>
      <c r="T46" s="358">
        <v>293782638.30000001</v>
      </c>
      <c r="U46" s="357">
        <v>17757805.699999999</v>
      </c>
      <c r="V46" s="358"/>
      <c r="W46" s="358"/>
      <c r="X46" s="358"/>
      <c r="Y46" s="358"/>
      <c r="Z46" s="358"/>
      <c r="AA46" s="358"/>
      <c r="AB46" s="358"/>
      <c r="AC46" s="362"/>
      <c r="AD46" s="97">
        <v>0</v>
      </c>
      <c r="AE46" s="97">
        <v>0</v>
      </c>
      <c r="AF46" s="97">
        <v>0</v>
      </c>
      <c r="AG46" s="208" t="s">
        <v>630</v>
      </c>
      <c r="AL46" s="364" t="s">
        <v>413</v>
      </c>
      <c r="AM46" s="365" t="s">
        <v>909</v>
      </c>
      <c r="AN46" s="364">
        <v>369048</v>
      </c>
      <c r="AO46" s="366">
        <v>348012</v>
      </c>
      <c r="AP46" s="366">
        <v>21036</v>
      </c>
      <c r="AQ46" s="367">
        <v>5.7000715354100298E-2</v>
      </c>
      <c r="AR46" s="364"/>
      <c r="AS46" s="366"/>
      <c r="AT46" s="368"/>
      <c r="AU46" s="364"/>
      <c r="AV46" s="366"/>
      <c r="AW46" s="368"/>
      <c r="AX46" s="369">
        <v>189843</v>
      </c>
      <c r="AY46" s="366">
        <v>179022</v>
      </c>
      <c r="AZ46" s="368">
        <v>10821</v>
      </c>
      <c r="BA46" s="369">
        <v>189843</v>
      </c>
      <c r="BB46" s="366">
        <v>179022</v>
      </c>
      <c r="BC46" s="368">
        <v>10821</v>
      </c>
      <c r="BD46" s="369">
        <v>311540</v>
      </c>
      <c r="BE46" s="366">
        <v>293783</v>
      </c>
      <c r="BF46" s="365">
        <v>17757</v>
      </c>
      <c r="BG46" s="370">
        <v>0.84417203182241896</v>
      </c>
      <c r="BH46" s="327">
        <v>2.07522191930654E-6</v>
      </c>
      <c r="BI46" s="371">
        <v>57508</v>
      </c>
      <c r="BJ46" s="372">
        <v>54229</v>
      </c>
      <c r="BK46" s="372">
        <v>3279</v>
      </c>
      <c r="BL46" s="373">
        <v>0.15582796817758099</v>
      </c>
    </row>
    <row r="47" spans="1:64" ht="19.5" customHeight="1">
      <c r="A47" s="354" t="s">
        <v>415</v>
      </c>
      <c r="B47" s="406" t="s">
        <v>539</v>
      </c>
      <c r="C47" s="356">
        <v>2254200000</v>
      </c>
      <c r="D47" s="356">
        <v>2129760000</v>
      </c>
      <c r="E47" s="356">
        <v>124440000</v>
      </c>
      <c r="F47" s="357">
        <v>289505849</v>
      </c>
      <c r="G47" s="357">
        <v>273524078</v>
      </c>
      <c r="H47" s="358">
        <v>15981771</v>
      </c>
      <c r="I47" s="359"/>
      <c r="J47" s="359"/>
      <c r="K47" s="358"/>
      <c r="L47" s="407">
        <v>0.45259988543309998</v>
      </c>
      <c r="M47" s="358">
        <v>730744813</v>
      </c>
      <c r="N47" s="361">
        <v>690405054</v>
      </c>
      <c r="O47" s="358">
        <v>40339759</v>
      </c>
      <c r="P47" s="358">
        <v>730744813</v>
      </c>
      <c r="Q47" s="357">
        <v>690405054</v>
      </c>
      <c r="R47" s="358">
        <v>40339759</v>
      </c>
      <c r="S47" s="358">
        <v>1020250662</v>
      </c>
      <c r="T47" s="358">
        <v>963929132</v>
      </c>
      <c r="U47" s="357">
        <v>56321530</v>
      </c>
      <c r="V47" s="358"/>
      <c r="W47" s="358"/>
      <c r="X47" s="358"/>
      <c r="Y47" s="358"/>
      <c r="Z47" s="358"/>
      <c r="AA47" s="358"/>
      <c r="AB47" s="358"/>
      <c r="AC47" s="362"/>
      <c r="AD47" s="97">
        <v>0</v>
      </c>
      <c r="AE47" s="97">
        <v>4.4408920985006301E-16</v>
      </c>
      <c r="AF47" s="97">
        <v>0</v>
      </c>
      <c r="AL47" s="364" t="s">
        <v>415</v>
      </c>
      <c r="AM47" s="365" t="s">
        <v>910</v>
      </c>
      <c r="AN47" s="364">
        <v>2254200</v>
      </c>
      <c r="AO47" s="366">
        <v>2129760</v>
      </c>
      <c r="AP47" s="366">
        <v>124440</v>
      </c>
      <c r="AQ47" s="367">
        <v>5.5203619909502302E-2</v>
      </c>
      <c r="AR47" s="364"/>
      <c r="AS47" s="366"/>
      <c r="AT47" s="368"/>
      <c r="AU47" s="364"/>
      <c r="AV47" s="366"/>
      <c r="AW47" s="368"/>
      <c r="AX47" s="369">
        <v>730745</v>
      </c>
      <c r="AY47" s="366">
        <v>690405</v>
      </c>
      <c r="AZ47" s="368">
        <v>40340</v>
      </c>
      <c r="BA47" s="369">
        <v>730745</v>
      </c>
      <c r="BB47" s="366">
        <v>690405</v>
      </c>
      <c r="BC47" s="368">
        <v>40340</v>
      </c>
      <c r="BD47" s="369">
        <v>1020251</v>
      </c>
      <c r="BE47" s="366">
        <v>963929</v>
      </c>
      <c r="BF47" s="365">
        <v>56322</v>
      </c>
      <c r="BG47" s="370">
        <v>0.45260003548930899</v>
      </c>
      <c r="BH47" s="327">
        <v>-1.5005620884744899E-7</v>
      </c>
      <c r="BI47" s="371">
        <v>1233949</v>
      </c>
      <c r="BJ47" s="372">
        <v>1165831</v>
      </c>
      <c r="BK47" s="372">
        <v>68118</v>
      </c>
      <c r="BL47" s="373">
        <v>0.54739996451069095</v>
      </c>
    </row>
    <row r="48" spans="1:64" ht="19.5" customHeight="1">
      <c r="A48" s="354" t="s">
        <v>417</v>
      </c>
      <c r="B48" s="406" t="s">
        <v>540</v>
      </c>
      <c r="C48" s="356">
        <v>1544284161</v>
      </c>
      <c r="D48" s="356">
        <v>1454306174</v>
      </c>
      <c r="E48" s="356">
        <v>89977987</v>
      </c>
      <c r="F48" s="357">
        <v>250364406</v>
      </c>
      <c r="G48" s="357">
        <v>235776880</v>
      </c>
      <c r="H48" s="358">
        <v>14587526</v>
      </c>
      <c r="I48" s="359"/>
      <c r="J48" s="359"/>
      <c r="K48" s="358"/>
      <c r="L48" s="407">
        <v>0.552913830922099</v>
      </c>
      <c r="M48" s="358">
        <v>603491665</v>
      </c>
      <c r="N48" s="361">
        <v>568329118</v>
      </c>
      <c r="O48" s="358">
        <v>35162547</v>
      </c>
      <c r="P48" s="358">
        <v>603491665</v>
      </c>
      <c r="Q48" s="357">
        <v>568329118</v>
      </c>
      <c r="R48" s="358">
        <v>35162547</v>
      </c>
      <c r="S48" s="358">
        <v>853856071</v>
      </c>
      <c r="T48" s="358">
        <v>804105998</v>
      </c>
      <c r="U48" s="358">
        <v>49750073</v>
      </c>
      <c r="V48" s="358"/>
      <c r="W48" s="358"/>
      <c r="X48" s="358"/>
      <c r="Y48" s="358"/>
      <c r="Z48" s="358"/>
      <c r="AA48" s="358"/>
      <c r="AB48" s="358"/>
      <c r="AC48" s="362"/>
      <c r="AD48" s="97">
        <v>0</v>
      </c>
      <c r="AE48" s="97">
        <v>0</v>
      </c>
      <c r="AF48" s="97">
        <v>0</v>
      </c>
      <c r="AL48" s="364" t="s">
        <v>417</v>
      </c>
      <c r="AM48" s="365" t="s">
        <v>911</v>
      </c>
      <c r="AN48" s="364">
        <v>1544284</v>
      </c>
      <c r="AO48" s="366">
        <v>1454306</v>
      </c>
      <c r="AP48" s="366">
        <v>89978</v>
      </c>
      <c r="AQ48" s="367">
        <v>5.82651895635777E-2</v>
      </c>
      <c r="AR48" s="364"/>
      <c r="AS48" s="366"/>
      <c r="AT48" s="368"/>
      <c r="AU48" s="364"/>
      <c r="AV48" s="366"/>
      <c r="AW48" s="368"/>
      <c r="AX48" s="369">
        <v>603492</v>
      </c>
      <c r="AY48" s="366">
        <v>568329</v>
      </c>
      <c r="AZ48" s="368">
        <v>35163</v>
      </c>
      <c r="BA48" s="369">
        <v>603492</v>
      </c>
      <c r="BB48" s="366">
        <v>568329</v>
      </c>
      <c r="BC48" s="368">
        <v>35163</v>
      </c>
      <c r="BD48" s="369">
        <v>853856</v>
      </c>
      <c r="BE48" s="366">
        <v>804106</v>
      </c>
      <c r="BF48" s="365">
        <v>49750</v>
      </c>
      <c r="BG48" s="370">
        <v>0.55291384227253504</v>
      </c>
      <c r="BH48" s="327">
        <v>-1.13504363685735E-8</v>
      </c>
      <c r="BI48" s="371">
        <v>690428</v>
      </c>
      <c r="BJ48" s="372">
        <v>650200</v>
      </c>
      <c r="BK48" s="372">
        <v>40228</v>
      </c>
      <c r="BL48" s="373">
        <v>0.44708615772746502</v>
      </c>
    </row>
    <row r="49" spans="1:64" ht="19.5" customHeight="1">
      <c r="A49" s="354" t="s">
        <v>912</v>
      </c>
      <c r="B49" s="406" t="s">
        <v>913</v>
      </c>
      <c r="C49" s="356">
        <v>1380952380.9523799</v>
      </c>
      <c r="D49" s="356">
        <v>1305000000</v>
      </c>
      <c r="E49" s="356">
        <v>75952380.952380896</v>
      </c>
      <c r="F49" s="357">
        <v>13809524</v>
      </c>
      <c r="G49" s="357">
        <v>13050000</v>
      </c>
      <c r="H49" s="358">
        <v>759524</v>
      </c>
      <c r="I49" s="359"/>
      <c r="J49" s="359"/>
      <c r="K49" s="358"/>
      <c r="L49" s="407">
        <v>0.26</v>
      </c>
      <c r="M49" s="358">
        <v>326250000</v>
      </c>
      <c r="N49" s="361">
        <v>326250000</v>
      </c>
      <c r="O49" s="358">
        <v>0</v>
      </c>
      <c r="P49" s="358">
        <v>326250000</v>
      </c>
      <c r="Q49" s="357">
        <v>326250000</v>
      </c>
      <c r="R49" s="358">
        <v>0</v>
      </c>
      <c r="S49" s="358">
        <v>340059524</v>
      </c>
      <c r="T49" s="358">
        <v>339300000</v>
      </c>
      <c r="U49" s="357">
        <v>759524</v>
      </c>
      <c r="V49" s="358"/>
      <c r="W49" s="358"/>
      <c r="X49" s="358"/>
      <c r="Y49" s="358"/>
      <c r="Z49" s="358"/>
      <c r="AA49" s="358"/>
      <c r="AB49" s="358"/>
      <c r="AC49" s="362"/>
      <c r="AD49" s="97">
        <v>18988095</v>
      </c>
      <c r="AE49" s="97">
        <v>0</v>
      </c>
      <c r="AF49" s="97">
        <v>18988095</v>
      </c>
      <c r="AL49" s="364" t="s">
        <v>912</v>
      </c>
      <c r="AM49" s="365" t="s">
        <v>914</v>
      </c>
      <c r="AN49" s="364">
        <v>1380952</v>
      </c>
      <c r="AO49" s="366">
        <v>1305000</v>
      </c>
      <c r="AP49" s="366">
        <v>75952</v>
      </c>
      <c r="AQ49" s="367">
        <v>5.4999739310272897E-2</v>
      </c>
      <c r="AR49" s="364"/>
      <c r="AS49" s="366"/>
      <c r="AT49" s="368"/>
      <c r="AU49" s="364"/>
      <c r="AV49" s="366"/>
      <c r="AW49" s="368"/>
      <c r="AX49" s="369">
        <v>326250</v>
      </c>
      <c r="AY49" s="366">
        <v>326250</v>
      </c>
      <c r="AZ49" s="368">
        <v>0</v>
      </c>
      <c r="BA49" s="369">
        <v>326250</v>
      </c>
      <c r="BB49" s="366">
        <v>326250</v>
      </c>
      <c r="BC49" s="368">
        <v>0</v>
      </c>
      <c r="BD49" s="369">
        <v>340060</v>
      </c>
      <c r="BE49" s="366">
        <v>339300</v>
      </c>
      <c r="BF49" s="365">
        <v>760</v>
      </c>
      <c r="BG49" s="370">
        <v>0.24625041275873499</v>
      </c>
      <c r="BH49" s="327">
        <v>1.37495872412655E-2</v>
      </c>
      <c r="BI49" s="371">
        <v>1040892</v>
      </c>
      <c r="BJ49" s="372">
        <v>965700</v>
      </c>
      <c r="BK49" s="372">
        <v>75192</v>
      </c>
      <c r="BL49" s="373">
        <v>0.75374958724126495</v>
      </c>
    </row>
    <row r="50" spans="1:64" ht="19.5" customHeight="1">
      <c r="A50" s="354" t="s">
        <v>419</v>
      </c>
      <c r="B50" s="406" t="s">
        <v>420</v>
      </c>
      <c r="C50" s="356">
        <v>1495238095</v>
      </c>
      <c r="D50" s="356">
        <v>1412908069</v>
      </c>
      <c r="E50" s="356">
        <v>82330026</v>
      </c>
      <c r="F50" s="357">
        <v>317105578</v>
      </c>
      <c r="G50" s="357">
        <v>299645274.40600002</v>
      </c>
      <c r="H50" s="358">
        <v>17460303.594000001</v>
      </c>
      <c r="I50" s="359"/>
      <c r="J50" s="359"/>
      <c r="K50" s="358"/>
      <c r="L50" s="407">
        <v>0.50796830745964106</v>
      </c>
      <c r="M50" s="358">
        <v>442427986</v>
      </c>
      <c r="N50" s="361">
        <v>418067246</v>
      </c>
      <c r="O50" s="358">
        <v>24360740</v>
      </c>
      <c r="P50" s="358">
        <v>442427986</v>
      </c>
      <c r="Q50" s="357">
        <v>418067246</v>
      </c>
      <c r="R50" s="358">
        <v>24360740</v>
      </c>
      <c r="S50" s="358">
        <v>759533564</v>
      </c>
      <c r="T50" s="358">
        <v>717712520.40600002</v>
      </c>
      <c r="U50" s="357">
        <v>41821043.593999997</v>
      </c>
      <c r="V50" s="358"/>
      <c r="W50" s="358"/>
      <c r="X50" s="358"/>
      <c r="Y50" s="358"/>
      <c r="Z50" s="358"/>
      <c r="AA50" s="358"/>
      <c r="AB50" s="358"/>
      <c r="AC50" s="362"/>
      <c r="AD50" s="97">
        <v>0</v>
      </c>
      <c r="AE50" s="97">
        <v>0</v>
      </c>
      <c r="AF50" s="97">
        <v>0</v>
      </c>
      <c r="AL50" s="364" t="s">
        <v>419</v>
      </c>
      <c r="AM50" s="365" t="s">
        <v>915</v>
      </c>
      <c r="AN50" s="364">
        <v>1495238</v>
      </c>
      <c r="AO50" s="366">
        <v>1412908</v>
      </c>
      <c r="AP50" s="366">
        <v>82330</v>
      </c>
      <c r="AQ50" s="367">
        <v>5.5061468475252798E-2</v>
      </c>
      <c r="AR50" s="408"/>
      <c r="AS50" s="366"/>
      <c r="AT50" s="368"/>
      <c r="AU50" s="364"/>
      <c r="AV50" s="366"/>
      <c r="AW50" s="368"/>
      <c r="AX50" s="369">
        <v>442428</v>
      </c>
      <c r="AY50" s="366">
        <v>418067</v>
      </c>
      <c r="AZ50" s="368">
        <v>24361</v>
      </c>
      <c r="BA50" s="369">
        <v>442428</v>
      </c>
      <c r="BB50" s="366">
        <v>418067</v>
      </c>
      <c r="BC50" s="368">
        <v>24361</v>
      </c>
      <c r="BD50" s="369">
        <v>759534</v>
      </c>
      <c r="BE50" s="366">
        <v>717713</v>
      </c>
      <c r="BF50" s="365">
        <v>41821</v>
      </c>
      <c r="BG50" s="370">
        <v>0.50796863108080503</v>
      </c>
      <c r="BH50" s="327">
        <v>-3.23621163422772E-7</v>
      </c>
      <c r="BI50" s="371">
        <v>735704</v>
      </c>
      <c r="BJ50" s="372">
        <v>695195</v>
      </c>
      <c r="BK50" s="372">
        <v>40509</v>
      </c>
      <c r="BL50" s="373">
        <v>0.49203136891919602</v>
      </c>
    </row>
    <row r="51" spans="1:64" ht="19.5" customHeight="1">
      <c r="A51" s="354" t="s">
        <v>421</v>
      </c>
      <c r="B51" s="406" t="s">
        <v>422</v>
      </c>
      <c r="C51" s="356">
        <v>285714286</v>
      </c>
      <c r="D51" s="356">
        <v>269984987</v>
      </c>
      <c r="E51" s="356">
        <v>15729299</v>
      </c>
      <c r="F51" s="357">
        <v>182615770</v>
      </c>
      <c r="G51" s="357">
        <v>172562307</v>
      </c>
      <c r="H51" s="358">
        <v>10053463</v>
      </c>
      <c r="I51" s="359"/>
      <c r="J51" s="359"/>
      <c r="K51" s="358"/>
      <c r="L51" s="407">
        <v>0.99983220178090904</v>
      </c>
      <c r="M51" s="358">
        <v>103050574</v>
      </c>
      <c r="N51" s="361">
        <v>97377377</v>
      </c>
      <c r="O51" s="358">
        <v>5673197</v>
      </c>
      <c r="P51" s="358">
        <v>103050574</v>
      </c>
      <c r="Q51" s="357">
        <v>97377377</v>
      </c>
      <c r="R51" s="358">
        <v>5673197</v>
      </c>
      <c r="S51" s="358">
        <v>285666344</v>
      </c>
      <c r="T51" s="358">
        <v>269939684</v>
      </c>
      <c r="U51" s="357">
        <v>15726660</v>
      </c>
      <c r="V51" s="358"/>
      <c r="W51" s="358"/>
      <c r="X51" s="358"/>
      <c r="Y51" s="358"/>
      <c r="Z51" s="358"/>
      <c r="AA51" s="358"/>
      <c r="AB51" s="358"/>
      <c r="AC51" s="362"/>
      <c r="AD51" s="97">
        <v>0</v>
      </c>
      <c r="AE51" s="97">
        <v>0</v>
      </c>
      <c r="AF51" s="97">
        <v>0</v>
      </c>
      <c r="AL51" s="364" t="s">
        <v>421</v>
      </c>
      <c r="AM51" s="365" t="s">
        <v>916</v>
      </c>
      <c r="AN51" s="364">
        <v>285714</v>
      </c>
      <c r="AO51" s="366">
        <v>269985</v>
      </c>
      <c r="AP51" s="366">
        <v>15729</v>
      </c>
      <c r="AQ51" s="367">
        <v>5.5051555051555102E-2</v>
      </c>
      <c r="AR51" s="364"/>
      <c r="AS51" s="366"/>
      <c r="AT51" s="368"/>
      <c r="AU51" s="364"/>
      <c r="AV51" s="366"/>
      <c r="AW51" s="368"/>
      <c r="AX51" s="369">
        <v>103051</v>
      </c>
      <c r="AY51" s="366">
        <v>97377</v>
      </c>
      <c r="AZ51" s="368">
        <v>5674</v>
      </c>
      <c r="BA51" s="369">
        <v>103051</v>
      </c>
      <c r="BB51" s="366">
        <v>97377</v>
      </c>
      <c r="BC51" s="368">
        <v>5674</v>
      </c>
      <c r="BD51" s="369">
        <v>285666</v>
      </c>
      <c r="BE51" s="366">
        <v>269940</v>
      </c>
      <c r="BF51" s="365">
        <v>15726</v>
      </c>
      <c r="BG51" s="370">
        <v>0.999831999832</v>
      </c>
      <c r="BH51" s="327">
        <v>2.0194890915092901E-7</v>
      </c>
      <c r="BI51" s="371">
        <v>48</v>
      </c>
      <c r="BJ51" s="372">
        <v>45</v>
      </c>
      <c r="BK51" s="372">
        <v>3</v>
      </c>
      <c r="BL51" s="373">
        <v>1.68000168000115E-4</v>
      </c>
    </row>
    <row r="52" spans="1:64" ht="19.5" customHeight="1">
      <c r="A52" s="354" t="s">
        <v>423</v>
      </c>
      <c r="B52" s="406" t="s">
        <v>424</v>
      </c>
      <c r="C52" s="356">
        <v>741409524</v>
      </c>
      <c r="D52" s="356">
        <v>686744218</v>
      </c>
      <c r="E52" s="356">
        <v>54665306</v>
      </c>
      <c r="F52" s="357">
        <v>250791808</v>
      </c>
      <c r="G52" s="357">
        <v>232300528</v>
      </c>
      <c r="H52" s="358">
        <v>18491280</v>
      </c>
      <c r="I52" s="359"/>
      <c r="J52" s="359"/>
      <c r="K52" s="358"/>
      <c r="L52" s="407">
        <v>0.732491166019544</v>
      </c>
      <c r="M52" s="358">
        <v>292284119</v>
      </c>
      <c r="N52" s="361">
        <v>270733545</v>
      </c>
      <c r="O52" s="358">
        <v>21550574</v>
      </c>
      <c r="P52" s="358">
        <v>292284119</v>
      </c>
      <c r="Q52" s="357">
        <v>270733545</v>
      </c>
      <c r="R52" s="358">
        <v>21550574</v>
      </c>
      <c r="S52" s="358">
        <v>543075927</v>
      </c>
      <c r="T52" s="358">
        <v>503034073</v>
      </c>
      <c r="U52" s="357">
        <v>40041854</v>
      </c>
      <c r="V52" s="358"/>
      <c r="W52" s="358"/>
      <c r="X52" s="358"/>
      <c r="Y52" s="358"/>
      <c r="Z52" s="358"/>
      <c r="AA52" s="358"/>
      <c r="AB52" s="358"/>
      <c r="AC52" s="362"/>
      <c r="AD52" s="97">
        <v>0</v>
      </c>
      <c r="AE52" s="97">
        <v>0</v>
      </c>
      <c r="AF52" s="97">
        <v>0</v>
      </c>
      <c r="AL52" s="364" t="s">
        <v>423</v>
      </c>
      <c r="AM52" s="365" t="s">
        <v>917</v>
      </c>
      <c r="AN52" s="364">
        <v>741410</v>
      </c>
      <c r="AO52" s="366">
        <v>686744</v>
      </c>
      <c r="AP52" s="366">
        <v>54666</v>
      </c>
      <c r="AQ52" s="367">
        <v>7.3732482701878904E-2</v>
      </c>
      <c r="AR52" s="364"/>
      <c r="AS52" s="366"/>
      <c r="AT52" s="368"/>
      <c r="AU52" s="364"/>
      <c r="AV52" s="366"/>
      <c r="AW52" s="368"/>
      <c r="AX52" s="369">
        <v>292284</v>
      </c>
      <c r="AY52" s="366">
        <v>270734</v>
      </c>
      <c r="AZ52" s="368">
        <v>21550</v>
      </c>
      <c r="BA52" s="369">
        <v>292284</v>
      </c>
      <c r="BB52" s="366">
        <v>270734</v>
      </c>
      <c r="BC52" s="368">
        <v>21550</v>
      </c>
      <c r="BD52" s="369">
        <v>543076</v>
      </c>
      <c r="BE52" s="366">
        <v>503034</v>
      </c>
      <c r="BF52" s="365">
        <v>40042</v>
      </c>
      <c r="BG52" s="370">
        <v>0.73249079456710897</v>
      </c>
      <c r="BH52" s="327">
        <v>3.7145243536596E-7</v>
      </c>
      <c r="BI52" s="371">
        <v>198334</v>
      </c>
      <c r="BJ52" s="372">
        <v>183710</v>
      </c>
      <c r="BK52" s="372">
        <v>14624</v>
      </c>
      <c r="BL52" s="373">
        <v>0.26750920543289097</v>
      </c>
    </row>
    <row r="53" spans="1:64" ht="19.5" customHeight="1">
      <c r="A53" s="354" t="s">
        <v>918</v>
      </c>
      <c r="B53" s="406" t="s">
        <v>856</v>
      </c>
      <c r="C53" s="356">
        <v>8000000000</v>
      </c>
      <c r="D53" s="356">
        <v>7560000000</v>
      </c>
      <c r="E53" s="356">
        <v>440000000</v>
      </c>
      <c r="F53" s="357">
        <v>200000000</v>
      </c>
      <c r="G53" s="357">
        <v>189000000</v>
      </c>
      <c r="H53" s="358">
        <v>11000000</v>
      </c>
      <c r="I53" s="359"/>
      <c r="J53" s="359"/>
      <c r="K53" s="358"/>
      <c r="L53" s="407">
        <v>0.1</v>
      </c>
      <c r="M53" s="358">
        <v>600000000</v>
      </c>
      <c r="N53" s="361">
        <v>567000000</v>
      </c>
      <c r="O53" s="358">
        <v>33000000</v>
      </c>
      <c r="P53" s="358">
        <v>600000000</v>
      </c>
      <c r="Q53" s="357">
        <v>567000000</v>
      </c>
      <c r="R53" s="358">
        <v>33000000</v>
      </c>
      <c r="S53" s="358">
        <v>800000000</v>
      </c>
      <c r="T53" s="358">
        <v>756000000</v>
      </c>
      <c r="U53" s="357">
        <v>44000000</v>
      </c>
      <c r="V53" s="358"/>
      <c r="W53" s="358"/>
      <c r="X53" s="358"/>
      <c r="Y53" s="358"/>
      <c r="Z53" s="358"/>
      <c r="AA53" s="358"/>
      <c r="AB53" s="358"/>
      <c r="AC53" s="362"/>
      <c r="AD53" s="97">
        <v>0</v>
      </c>
      <c r="AE53" s="97">
        <v>0</v>
      </c>
      <c r="AF53" s="97">
        <v>0</v>
      </c>
      <c r="AL53" s="364" t="s">
        <v>918</v>
      </c>
      <c r="AM53" s="365" t="s">
        <v>857</v>
      </c>
      <c r="AN53" s="364">
        <v>8000000</v>
      </c>
      <c r="AO53" s="366">
        <v>7560000</v>
      </c>
      <c r="AP53" s="366">
        <v>440000</v>
      </c>
      <c r="AQ53" s="367">
        <v>5.5E-2</v>
      </c>
      <c r="AR53" s="364"/>
      <c r="AS53" s="366"/>
      <c r="AT53" s="368"/>
      <c r="AU53" s="364"/>
      <c r="AV53" s="366"/>
      <c r="AW53" s="368"/>
      <c r="AX53" s="369">
        <v>600000</v>
      </c>
      <c r="AY53" s="366">
        <v>567000</v>
      </c>
      <c r="AZ53" s="368">
        <v>33000</v>
      </c>
      <c r="BA53" s="369">
        <v>600000</v>
      </c>
      <c r="BB53" s="366">
        <v>567000</v>
      </c>
      <c r="BC53" s="368">
        <v>33000</v>
      </c>
      <c r="BD53" s="369">
        <v>800000</v>
      </c>
      <c r="BE53" s="366">
        <v>756000</v>
      </c>
      <c r="BF53" s="365">
        <v>44000</v>
      </c>
      <c r="BG53" s="370">
        <v>0.1</v>
      </c>
      <c r="BH53" s="327">
        <v>0</v>
      </c>
      <c r="BI53" s="371">
        <v>7200000</v>
      </c>
      <c r="BJ53" s="372">
        <v>6804000</v>
      </c>
      <c r="BK53" s="372">
        <v>396000</v>
      </c>
      <c r="BL53" s="373">
        <v>0.9</v>
      </c>
    </row>
    <row r="54" spans="1:64" ht="19.5" customHeight="1">
      <c r="A54" s="354" t="s">
        <v>919</v>
      </c>
      <c r="B54" s="406" t="s">
        <v>859</v>
      </c>
      <c r="C54" s="380">
        <v>10000000000</v>
      </c>
      <c r="D54" s="380">
        <v>9450000000</v>
      </c>
      <c r="E54" s="356">
        <v>550000000</v>
      </c>
      <c r="F54" s="357">
        <v>0</v>
      </c>
      <c r="G54" s="357">
        <v>0</v>
      </c>
      <c r="H54" s="358">
        <v>0</v>
      </c>
      <c r="I54" s="359"/>
      <c r="J54" s="359"/>
      <c r="K54" s="358"/>
      <c r="L54" s="407">
        <v>2.5000000000000001E-2</v>
      </c>
      <c r="M54" s="358">
        <v>250000000</v>
      </c>
      <c r="N54" s="361">
        <v>236250000</v>
      </c>
      <c r="O54" s="358">
        <v>13750000</v>
      </c>
      <c r="P54" s="358">
        <v>250000000</v>
      </c>
      <c r="Q54" s="357">
        <v>236250000</v>
      </c>
      <c r="R54" s="358">
        <v>13750000</v>
      </c>
      <c r="S54" s="358">
        <v>250000000</v>
      </c>
      <c r="T54" s="358">
        <v>236250000</v>
      </c>
      <c r="U54" s="357">
        <v>13750000</v>
      </c>
      <c r="V54" s="358"/>
      <c r="W54" s="358"/>
      <c r="X54" s="358"/>
      <c r="Y54" s="358"/>
      <c r="Z54" s="358"/>
      <c r="AA54" s="358"/>
      <c r="AB54" s="358"/>
      <c r="AC54" s="362"/>
      <c r="AD54" s="97">
        <v>0</v>
      </c>
      <c r="AE54" s="97">
        <v>0</v>
      </c>
      <c r="AF54" s="97">
        <v>0</v>
      </c>
      <c r="AL54" s="364" t="s">
        <v>919</v>
      </c>
      <c r="AM54" s="365" t="s">
        <v>860</v>
      </c>
      <c r="AN54" s="364">
        <v>10000000</v>
      </c>
      <c r="AO54" s="366">
        <v>9450000</v>
      </c>
      <c r="AP54" s="366">
        <v>550000</v>
      </c>
      <c r="AQ54" s="367">
        <v>5.5E-2</v>
      </c>
      <c r="AR54" s="364"/>
      <c r="AS54" s="366"/>
      <c r="AT54" s="368"/>
      <c r="AU54" s="364"/>
      <c r="AV54" s="366"/>
      <c r="AW54" s="368"/>
      <c r="AX54" s="369">
        <v>250000</v>
      </c>
      <c r="AY54" s="366">
        <v>236250</v>
      </c>
      <c r="AZ54" s="368">
        <v>13750</v>
      </c>
      <c r="BA54" s="369">
        <v>250000</v>
      </c>
      <c r="BB54" s="366">
        <v>236250</v>
      </c>
      <c r="BC54" s="368">
        <v>13750</v>
      </c>
      <c r="BD54" s="369">
        <v>250000</v>
      </c>
      <c r="BE54" s="366">
        <v>236250</v>
      </c>
      <c r="BF54" s="365">
        <v>13750</v>
      </c>
      <c r="BG54" s="370">
        <v>2.5000000000000001E-2</v>
      </c>
      <c r="BH54" s="327">
        <v>0</v>
      </c>
      <c r="BI54" s="371">
        <v>9750000</v>
      </c>
      <c r="BJ54" s="372">
        <v>9213750</v>
      </c>
      <c r="BK54" s="372">
        <v>536250</v>
      </c>
      <c r="BL54" s="373">
        <v>0.97499999999999998</v>
      </c>
    </row>
    <row r="55" spans="1:64" ht="19.5" customHeight="1">
      <c r="A55" s="354" t="s">
        <v>920</v>
      </c>
      <c r="B55" s="406" t="s">
        <v>862</v>
      </c>
      <c r="C55" s="356">
        <v>0</v>
      </c>
      <c r="D55" s="356">
        <v>0</v>
      </c>
      <c r="E55" s="356">
        <v>0</v>
      </c>
      <c r="F55" s="357">
        <v>0</v>
      </c>
      <c r="G55" s="357">
        <v>0</v>
      </c>
      <c r="H55" s="358">
        <v>0</v>
      </c>
      <c r="I55" s="359"/>
      <c r="J55" s="359"/>
      <c r="K55" s="358"/>
      <c r="L55" s="407">
        <v>0</v>
      </c>
      <c r="M55" s="358">
        <v>0</v>
      </c>
      <c r="N55" s="361">
        <v>0</v>
      </c>
      <c r="O55" s="358">
        <v>0</v>
      </c>
      <c r="P55" s="358">
        <v>0</v>
      </c>
      <c r="Q55" s="357">
        <v>0</v>
      </c>
      <c r="R55" s="358">
        <v>0</v>
      </c>
      <c r="S55" s="358">
        <v>0</v>
      </c>
      <c r="T55" s="358">
        <v>0</v>
      </c>
      <c r="U55" s="357">
        <v>0</v>
      </c>
      <c r="V55" s="358"/>
      <c r="W55" s="358"/>
      <c r="X55" s="358"/>
      <c r="Y55" s="358"/>
      <c r="Z55" s="358"/>
      <c r="AA55" s="358"/>
      <c r="AB55" s="358"/>
      <c r="AC55" s="362"/>
      <c r="AD55" s="97">
        <v>0</v>
      </c>
      <c r="AE55" s="97" t="e">
        <f>#DIV/0!</f>
        <v>#DIV/0!</v>
      </c>
      <c r="AF55" s="97">
        <v>0</v>
      </c>
      <c r="AL55" s="364" t="s">
        <v>920</v>
      </c>
      <c r="AM55" s="365" t="s">
        <v>863</v>
      </c>
      <c r="AN55" s="364">
        <v>0</v>
      </c>
      <c r="AO55" s="366">
        <v>0</v>
      </c>
      <c r="AP55" s="366">
        <v>0</v>
      </c>
      <c r="AQ55" s="367" t="e">
        <f>#DIV/0!</f>
        <v>#DIV/0!</v>
      </c>
      <c r="AR55" s="364"/>
      <c r="AS55" s="366"/>
      <c r="AT55" s="368"/>
      <c r="AU55" s="364"/>
      <c r="AV55" s="366"/>
      <c r="AW55" s="368"/>
      <c r="AX55" s="369">
        <v>0</v>
      </c>
      <c r="AY55" s="366">
        <v>0</v>
      </c>
      <c r="AZ55" s="368">
        <v>0</v>
      </c>
      <c r="BA55" s="369">
        <v>0</v>
      </c>
      <c r="BB55" s="366">
        <v>0</v>
      </c>
      <c r="BC55" s="368">
        <v>0</v>
      </c>
      <c r="BD55" s="369">
        <v>0</v>
      </c>
      <c r="BE55" s="366">
        <v>0</v>
      </c>
      <c r="BF55" s="365">
        <v>0</v>
      </c>
      <c r="BG55" s="370" t="e">
        <f>#DIV/0!</f>
        <v>#DIV/0!</v>
      </c>
      <c r="BH55" s="327" t="e">
        <f>#DIV/0!</f>
        <v>#DIV/0!</v>
      </c>
      <c r="BI55" s="371">
        <v>0</v>
      </c>
      <c r="BJ55" s="372">
        <v>0</v>
      </c>
      <c r="BK55" s="372">
        <v>0</v>
      </c>
      <c r="BL55" s="373" t="e">
        <f>#DIV/0!</f>
        <v>#DIV/0!</v>
      </c>
    </row>
    <row r="56" spans="1:64" ht="19.5" customHeight="1">
      <c r="A56" s="354" t="s">
        <v>921</v>
      </c>
      <c r="B56" s="406" t="s">
        <v>922</v>
      </c>
      <c r="C56" s="356">
        <v>-417948976</v>
      </c>
      <c r="D56" s="356">
        <v>-417948976</v>
      </c>
      <c r="E56" s="356">
        <v>0</v>
      </c>
      <c r="F56" s="357">
        <v>-416558342</v>
      </c>
      <c r="G56" s="357">
        <v>-416558342</v>
      </c>
      <c r="H56" s="358">
        <v>0</v>
      </c>
      <c r="I56" s="359"/>
      <c r="J56" s="359"/>
      <c r="K56" s="358"/>
      <c r="L56" s="407">
        <v>0.99837149020793403</v>
      </c>
      <c r="M56" s="358">
        <v>-710000</v>
      </c>
      <c r="N56" s="361">
        <v>-710000</v>
      </c>
      <c r="O56" s="358">
        <v>0</v>
      </c>
      <c r="P56" s="358">
        <v>-710000</v>
      </c>
      <c r="Q56" s="357">
        <v>-710000</v>
      </c>
      <c r="R56" s="358">
        <v>0</v>
      </c>
      <c r="S56" s="226">
        <v>-417268342</v>
      </c>
      <c r="T56" s="226">
        <v>-417268342</v>
      </c>
      <c r="U56" s="225">
        <v>0</v>
      </c>
      <c r="V56" s="358"/>
      <c r="W56" s="358"/>
      <c r="X56" s="358"/>
      <c r="Y56" s="358"/>
      <c r="Z56" s="358"/>
      <c r="AA56" s="358"/>
      <c r="AB56" s="358"/>
      <c r="AC56" s="362"/>
      <c r="AL56" s="364" t="s">
        <v>921</v>
      </c>
      <c r="AM56" s="365" t="s">
        <v>923</v>
      </c>
      <c r="AN56" s="364">
        <v>-417949</v>
      </c>
      <c r="AO56" s="366">
        <v>-417949</v>
      </c>
      <c r="AP56" s="366">
        <v>0</v>
      </c>
      <c r="AQ56" s="367">
        <v>0</v>
      </c>
      <c r="AR56" s="364"/>
      <c r="AS56" s="366"/>
      <c r="AT56" s="368"/>
      <c r="AU56" s="364"/>
      <c r="AV56" s="366"/>
      <c r="AW56" s="368"/>
      <c r="AX56" s="369">
        <v>-710</v>
      </c>
      <c r="AY56" s="366">
        <v>-710</v>
      </c>
      <c r="AZ56" s="368">
        <v>0</v>
      </c>
      <c r="BA56" s="369">
        <v>-710</v>
      </c>
      <c r="BB56" s="366">
        <v>-710</v>
      </c>
      <c r="BC56" s="368">
        <v>0</v>
      </c>
      <c r="BD56" s="369">
        <v>-417268</v>
      </c>
      <c r="BE56" s="366">
        <v>-417268</v>
      </c>
      <c r="BF56" s="365">
        <v>0</v>
      </c>
      <c r="BG56" s="370">
        <v>0.99837061459651799</v>
      </c>
      <c r="BH56" s="327">
        <v>8.7561141626224505E-7</v>
      </c>
      <c r="BI56" s="371">
        <v>-681</v>
      </c>
      <c r="BJ56" s="372">
        <v>-681</v>
      </c>
      <c r="BK56" s="372">
        <v>0</v>
      </c>
      <c r="BL56" s="373">
        <v>1.62938540348223E-3</v>
      </c>
    </row>
    <row r="57" spans="1:64" ht="19.5" customHeight="1">
      <c r="A57" s="354" t="s">
        <v>924</v>
      </c>
      <c r="B57" s="406" t="s">
        <v>925</v>
      </c>
      <c r="C57" s="356">
        <v>-26677595</v>
      </c>
      <c r="D57" s="356">
        <v>0</v>
      </c>
      <c r="E57" s="356">
        <v>-26677595</v>
      </c>
      <c r="F57" s="357">
        <v>529320</v>
      </c>
      <c r="G57" s="357">
        <v>0</v>
      </c>
      <c r="H57" s="358">
        <v>529320</v>
      </c>
      <c r="I57" s="359"/>
      <c r="J57" s="359"/>
      <c r="K57" s="358"/>
      <c r="L57" s="409"/>
      <c r="M57" s="227">
        <v>1237611</v>
      </c>
      <c r="N57" s="409"/>
      <c r="O57" s="358">
        <v>1237611</v>
      </c>
      <c r="P57" s="358">
        <v>1237611</v>
      </c>
      <c r="Q57" s="357">
        <v>0</v>
      </c>
      <c r="R57" s="358">
        <v>1237611</v>
      </c>
      <c r="S57" s="227">
        <v>1766931</v>
      </c>
      <c r="T57" s="226"/>
      <c r="U57" s="225">
        <v>1766931</v>
      </c>
      <c r="V57" s="358"/>
      <c r="W57" s="358"/>
      <c r="X57" s="358"/>
      <c r="Y57" s="358"/>
      <c r="Z57" s="358"/>
      <c r="AA57" s="358"/>
      <c r="AB57" s="358"/>
      <c r="AC57" s="362"/>
      <c r="AL57" s="364" t="s">
        <v>924</v>
      </c>
      <c r="AM57" s="365" t="s">
        <v>923</v>
      </c>
      <c r="AN57" s="364">
        <v>-26678</v>
      </c>
      <c r="AO57" s="366">
        <v>0</v>
      </c>
      <c r="AP57" s="366">
        <v>-26678</v>
      </c>
      <c r="AQ57" s="367"/>
      <c r="AR57" s="364"/>
      <c r="AS57" s="366"/>
      <c r="AT57" s="368"/>
      <c r="AU57" s="364"/>
      <c r="AV57" s="366"/>
      <c r="AW57" s="368"/>
      <c r="AX57" s="369">
        <v>1238</v>
      </c>
      <c r="AY57" s="366">
        <v>0</v>
      </c>
      <c r="AZ57" s="368">
        <v>1238</v>
      </c>
      <c r="BA57" s="369">
        <v>1238</v>
      </c>
      <c r="BB57" s="366">
        <v>0</v>
      </c>
      <c r="BC57" s="368">
        <v>1238</v>
      </c>
      <c r="BD57" s="369">
        <v>1767</v>
      </c>
      <c r="BE57" s="366">
        <v>0</v>
      </c>
      <c r="BF57" s="365">
        <v>1767</v>
      </c>
      <c r="BG57" s="370">
        <v>-6.62343504010795E-2</v>
      </c>
      <c r="BH57" s="327">
        <v>6.62343504010795E-2</v>
      </c>
      <c r="BI57" s="371">
        <v>-28445</v>
      </c>
      <c r="BJ57" s="372">
        <v>0</v>
      </c>
      <c r="BK57" s="372">
        <v>-28445</v>
      </c>
      <c r="BL57" s="373">
        <v>1.0662343504010801</v>
      </c>
    </row>
    <row r="58" spans="1:64" ht="19.5" customHeight="1">
      <c r="A58" s="354" t="s">
        <v>455</v>
      </c>
      <c r="B58" s="406" t="s">
        <v>543</v>
      </c>
      <c r="C58" s="356">
        <v>-594273582</v>
      </c>
      <c r="D58" s="356">
        <v>-594273582</v>
      </c>
      <c r="E58" s="356">
        <v>0</v>
      </c>
      <c r="F58" s="357">
        <v>-583827460</v>
      </c>
      <c r="G58" s="357">
        <v>-583827460</v>
      </c>
      <c r="H58" s="358">
        <v>0</v>
      </c>
      <c r="I58" s="359"/>
      <c r="J58" s="359"/>
      <c r="K58" s="358"/>
      <c r="L58" s="407">
        <v>0.99670969556913602</v>
      </c>
      <c r="M58" s="358">
        <v>-8490781</v>
      </c>
      <c r="N58" s="361">
        <v>-8490781</v>
      </c>
      <c r="O58" s="358">
        <v>0</v>
      </c>
      <c r="P58" s="358">
        <v>-8490781</v>
      </c>
      <c r="Q58" s="357">
        <v>-8490781</v>
      </c>
      <c r="R58" s="358">
        <v>0</v>
      </c>
      <c r="S58" s="226">
        <v>-592318241</v>
      </c>
      <c r="T58" s="226">
        <v>-592318241</v>
      </c>
      <c r="U58" s="225">
        <v>0</v>
      </c>
      <c r="V58" s="358"/>
      <c r="W58" s="358"/>
      <c r="X58" s="358"/>
      <c r="Y58" s="358"/>
      <c r="Z58" s="358"/>
      <c r="AA58" s="358"/>
      <c r="AB58" s="358"/>
      <c r="AC58" s="362"/>
      <c r="AL58" s="364" t="s">
        <v>455</v>
      </c>
      <c r="AM58" s="365" t="s">
        <v>926</v>
      </c>
      <c r="AN58" s="364">
        <v>-594274</v>
      </c>
      <c r="AO58" s="366">
        <v>-594274</v>
      </c>
      <c r="AP58" s="366">
        <v>0</v>
      </c>
      <c r="AQ58" s="367"/>
      <c r="AR58" s="364"/>
      <c r="AS58" s="366"/>
      <c r="AT58" s="368"/>
      <c r="AU58" s="364"/>
      <c r="AV58" s="366"/>
      <c r="AW58" s="368"/>
      <c r="AX58" s="369">
        <v>-8491</v>
      </c>
      <c r="AY58" s="366">
        <v>-8491</v>
      </c>
      <c r="AZ58" s="368">
        <v>0</v>
      </c>
      <c r="BA58" s="369">
        <v>-8491</v>
      </c>
      <c r="BB58" s="366">
        <v>-8491</v>
      </c>
      <c r="BC58" s="368">
        <v>0</v>
      </c>
      <c r="BD58" s="369">
        <v>-592318</v>
      </c>
      <c r="BE58" s="366">
        <v>-592318</v>
      </c>
      <c r="BF58" s="365">
        <v>0</v>
      </c>
      <c r="BG58" s="370">
        <v>0.99670858896737902</v>
      </c>
      <c r="BH58" s="327">
        <v>1.1066017573391201E-6</v>
      </c>
      <c r="BI58" s="371">
        <v>-1956</v>
      </c>
      <c r="BJ58" s="372">
        <v>-1956</v>
      </c>
      <c r="BK58" s="372">
        <v>0</v>
      </c>
      <c r="BL58" s="373">
        <v>3.2914110326213199E-3</v>
      </c>
    </row>
    <row r="59" spans="1:64" ht="19.5" customHeight="1">
      <c r="A59" s="354" t="s">
        <v>457</v>
      </c>
      <c r="B59" s="378" t="s">
        <v>544</v>
      </c>
      <c r="C59" s="356">
        <v>-34587351</v>
      </c>
      <c r="D59" s="356">
        <v>0</v>
      </c>
      <c r="E59" s="356">
        <v>-34587351</v>
      </c>
      <c r="F59" s="357">
        <v>79390</v>
      </c>
      <c r="G59" s="357">
        <v>0</v>
      </c>
      <c r="H59" s="358">
        <v>79390</v>
      </c>
      <c r="I59" s="359"/>
      <c r="J59" s="359"/>
      <c r="K59" s="358"/>
      <c r="L59" s="409"/>
      <c r="M59" s="227">
        <v>2166785</v>
      </c>
      <c r="N59" s="409"/>
      <c r="O59" s="358">
        <v>2166785</v>
      </c>
      <c r="P59" s="358">
        <v>2166785</v>
      </c>
      <c r="Q59" s="357">
        <v>0</v>
      </c>
      <c r="R59" s="358">
        <v>2166785</v>
      </c>
      <c r="S59" s="227">
        <v>2246175</v>
      </c>
      <c r="T59" s="226"/>
      <c r="U59" s="225">
        <v>2246175</v>
      </c>
      <c r="V59" s="358"/>
      <c r="W59" s="358"/>
      <c r="X59" s="358"/>
      <c r="Y59" s="358"/>
      <c r="Z59" s="358"/>
      <c r="AA59" s="358"/>
      <c r="AB59" s="358"/>
      <c r="AC59" s="362"/>
      <c r="AL59" s="364" t="s">
        <v>457</v>
      </c>
      <c r="AM59" s="365" t="s">
        <v>926</v>
      </c>
      <c r="AN59" s="364">
        <v>-34587</v>
      </c>
      <c r="AO59" s="366">
        <v>0</v>
      </c>
      <c r="AP59" s="366">
        <v>-34587</v>
      </c>
      <c r="AQ59" s="367"/>
      <c r="AR59" s="364"/>
      <c r="AS59" s="366"/>
      <c r="AT59" s="368"/>
      <c r="AU59" s="364"/>
      <c r="AV59" s="366"/>
      <c r="AW59" s="368"/>
      <c r="AX59" s="369">
        <v>2167</v>
      </c>
      <c r="AY59" s="366">
        <v>0</v>
      </c>
      <c r="AZ59" s="368">
        <v>2167</v>
      </c>
      <c r="BA59" s="369">
        <v>2167</v>
      </c>
      <c r="BB59" s="366">
        <v>0</v>
      </c>
      <c r="BC59" s="368">
        <v>2167</v>
      </c>
      <c r="BD59" s="369">
        <v>2246</v>
      </c>
      <c r="BE59" s="366">
        <v>0</v>
      </c>
      <c r="BF59" s="365">
        <v>2246</v>
      </c>
      <c r="BG59" s="370">
        <v>-6.4937693352993903E-2</v>
      </c>
      <c r="BH59" s="327">
        <v>6.4937693352993903E-2</v>
      </c>
      <c r="BI59" s="371">
        <v>-36833</v>
      </c>
      <c r="BJ59" s="372">
        <v>0</v>
      </c>
      <c r="BK59" s="372">
        <v>-36833</v>
      </c>
      <c r="BL59" s="373">
        <v>1.0649376933529899</v>
      </c>
    </row>
    <row r="60" spans="1:64" ht="19.5" customHeight="1">
      <c r="A60" s="354" t="s">
        <v>927</v>
      </c>
      <c r="B60" s="378" t="s">
        <v>928</v>
      </c>
      <c r="C60" s="356">
        <v>0</v>
      </c>
      <c r="D60" s="356">
        <v>0</v>
      </c>
      <c r="E60" s="356">
        <v>0</v>
      </c>
      <c r="F60" s="357">
        <v>0</v>
      </c>
      <c r="G60" s="357">
        <v>58132478</v>
      </c>
      <c r="H60" s="358">
        <v>-58132478</v>
      </c>
      <c r="I60" s="359"/>
      <c r="J60" s="359"/>
      <c r="K60" s="358"/>
      <c r="L60" s="409"/>
      <c r="M60" s="226">
        <v>0</v>
      </c>
      <c r="N60" s="227">
        <v>0</v>
      </c>
      <c r="O60" s="358">
        <v>0</v>
      </c>
      <c r="P60" s="358">
        <v>0</v>
      </c>
      <c r="Q60" s="357">
        <v>0</v>
      </c>
      <c r="R60" s="358">
        <v>0</v>
      </c>
      <c r="S60" s="358">
        <v>0</v>
      </c>
      <c r="T60" s="358">
        <v>58132478</v>
      </c>
      <c r="U60" s="357">
        <v>-58132478</v>
      </c>
      <c r="V60" s="358"/>
      <c r="W60" s="358"/>
      <c r="X60" s="358"/>
      <c r="Y60" s="358"/>
      <c r="Z60" s="358"/>
      <c r="AA60" s="358"/>
      <c r="AB60" s="358"/>
      <c r="AC60" s="362"/>
      <c r="AL60" s="364" t="s">
        <v>187</v>
      </c>
      <c r="AM60" s="365" t="s">
        <v>187</v>
      </c>
      <c r="AN60" s="382" t="s">
        <v>866</v>
      </c>
      <c r="AO60" s="383" t="s">
        <v>866</v>
      </c>
      <c r="AP60" s="383" t="s">
        <v>866</v>
      </c>
      <c r="AQ60" s="367" t="s">
        <v>866</v>
      </c>
      <c r="AR60" s="382" t="s">
        <v>866</v>
      </c>
      <c r="AS60" s="383" t="s">
        <v>866</v>
      </c>
      <c r="AT60" s="384" t="s">
        <v>866</v>
      </c>
      <c r="AU60" s="382" t="s">
        <v>866</v>
      </c>
      <c r="AV60" s="383" t="s">
        <v>866</v>
      </c>
      <c r="AW60" s="384" t="s">
        <v>866</v>
      </c>
      <c r="AX60" s="385" t="s">
        <v>866</v>
      </c>
      <c r="AY60" s="383" t="s">
        <v>866</v>
      </c>
      <c r="AZ60" s="384" t="s">
        <v>866</v>
      </c>
      <c r="BA60" s="385" t="s">
        <v>866</v>
      </c>
      <c r="BB60" s="383" t="s">
        <v>866</v>
      </c>
      <c r="BC60" s="384" t="s">
        <v>866</v>
      </c>
      <c r="BD60" s="385" t="s">
        <v>866</v>
      </c>
      <c r="BE60" s="383" t="s">
        <v>866</v>
      </c>
      <c r="BF60" s="386" t="s">
        <v>866</v>
      </c>
      <c r="BG60" s="370"/>
      <c r="BH60" s="327"/>
      <c r="BI60" s="387" t="s">
        <v>866</v>
      </c>
      <c r="BJ60" s="388" t="s">
        <v>866</v>
      </c>
      <c r="BK60" s="388" t="s">
        <v>866</v>
      </c>
      <c r="BL60" s="373"/>
    </row>
    <row r="61" spans="1:64" ht="19.5" customHeight="1">
      <c r="A61" s="354" t="s">
        <v>929</v>
      </c>
      <c r="B61" s="410" t="s">
        <v>930</v>
      </c>
      <c r="C61" s="356">
        <v>0</v>
      </c>
      <c r="D61" s="356">
        <v>0</v>
      </c>
      <c r="E61" s="356">
        <v>0</v>
      </c>
      <c r="F61" s="357"/>
      <c r="G61" s="357"/>
      <c r="H61" s="358">
        <v>0</v>
      </c>
      <c r="I61" s="359"/>
      <c r="J61" s="359"/>
      <c r="K61" s="358"/>
      <c r="L61" s="409"/>
      <c r="M61" s="389">
        <v>-1524000000</v>
      </c>
      <c r="N61" s="227">
        <v>-1440180000</v>
      </c>
      <c r="O61" s="389">
        <v>-83820000</v>
      </c>
      <c r="P61" s="358">
        <v>-1524000000</v>
      </c>
      <c r="Q61" s="357">
        <v>-1440180000</v>
      </c>
      <c r="R61" s="358">
        <v>-83820000</v>
      </c>
      <c r="S61" s="358">
        <v>-1524000000</v>
      </c>
      <c r="T61" s="358">
        <v>-1440180000</v>
      </c>
      <c r="U61" s="357">
        <v>-83820000</v>
      </c>
      <c r="V61" s="358"/>
      <c r="W61" s="358"/>
      <c r="X61" s="358"/>
      <c r="Y61" s="358"/>
      <c r="Z61" s="358"/>
      <c r="AA61" s="358"/>
      <c r="AB61" s="358"/>
      <c r="AC61" s="362"/>
      <c r="AL61" s="364" t="s">
        <v>929</v>
      </c>
      <c r="AM61" s="365" t="s">
        <v>931</v>
      </c>
      <c r="AN61" s="364">
        <v>0</v>
      </c>
      <c r="AO61" s="366">
        <v>0</v>
      </c>
      <c r="AP61" s="366">
        <v>0</v>
      </c>
      <c r="AQ61" s="367"/>
      <c r="AR61" s="364"/>
      <c r="AS61" s="366"/>
      <c r="AT61" s="368"/>
      <c r="AU61" s="364"/>
      <c r="AV61" s="366"/>
      <c r="AW61" s="368"/>
      <c r="AX61" s="369">
        <v>-1524000</v>
      </c>
      <c r="AY61" s="366">
        <v>-1440180</v>
      </c>
      <c r="AZ61" s="368">
        <v>-83820</v>
      </c>
      <c r="BA61" s="369">
        <v>-1524000</v>
      </c>
      <c r="BB61" s="366">
        <v>-1440180</v>
      </c>
      <c r="BC61" s="368">
        <v>-83820</v>
      </c>
      <c r="BD61" s="369">
        <v>-1524000</v>
      </c>
      <c r="BE61" s="366">
        <v>-1440180</v>
      </c>
      <c r="BF61" s="365">
        <v>-83820</v>
      </c>
      <c r="BG61" s="370" t="e">
        <f>#DIV/0!</f>
        <v>#DIV/0!</v>
      </c>
      <c r="BH61" s="327"/>
      <c r="BI61" s="411"/>
      <c r="BJ61" s="412"/>
      <c r="BK61" s="412">
        <v>0</v>
      </c>
      <c r="BL61" s="413"/>
    </row>
    <row r="62" spans="1:64" ht="19.5" customHeight="1">
      <c r="A62" s="2728" t="s">
        <v>932</v>
      </c>
      <c r="B62" s="2728"/>
      <c r="C62" s="390">
        <v>70161427603.952393</v>
      </c>
      <c r="D62" s="390">
        <v>66321854093</v>
      </c>
      <c r="E62" s="390">
        <v>3839573510.9523802</v>
      </c>
      <c r="F62" s="390">
        <v>31064296239</v>
      </c>
      <c r="G62" s="390">
        <v>29392599130.4631</v>
      </c>
      <c r="H62" s="390">
        <v>1671697108.53686</v>
      </c>
      <c r="I62" s="390">
        <v>0</v>
      </c>
      <c r="J62" s="390">
        <v>0</v>
      </c>
      <c r="K62" s="390">
        <v>0</v>
      </c>
      <c r="L62" s="391"/>
      <c r="M62" s="390">
        <v>8749286934</v>
      </c>
      <c r="N62" s="390">
        <v>8243971860</v>
      </c>
      <c r="O62" s="390">
        <v>505315074</v>
      </c>
      <c r="P62" s="390">
        <v>8749286934</v>
      </c>
      <c r="Q62" s="390">
        <v>8243971860</v>
      </c>
      <c r="R62" s="390">
        <v>505315074</v>
      </c>
      <c r="S62" s="390">
        <v>39813583173</v>
      </c>
      <c r="T62" s="390">
        <v>37636570990.463097</v>
      </c>
      <c r="U62" s="390">
        <v>2177012182.53686</v>
      </c>
      <c r="V62" s="390">
        <v>0</v>
      </c>
      <c r="W62" s="390">
        <v>0</v>
      </c>
      <c r="X62" s="390">
        <v>0</v>
      </c>
      <c r="Y62" s="390">
        <v>58132478</v>
      </c>
      <c r="Z62" s="390">
        <v>0</v>
      </c>
      <c r="AA62" s="390">
        <v>0</v>
      </c>
      <c r="AB62" s="390">
        <v>58132478</v>
      </c>
      <c r="AC62" s="392"/>
      <c r="AG62" s="208" t="s">
        <v>630</v>
      </c>
      <c r="AI62" s="233"/>
      <c r="AJ62" s="233"/>
      <c r="AK62" s="233"/>
      <c r="AL62" s="414"/>
      <c r="AM62" s="415"/>
      <c r="AN62" s="414">
        <v>70161428</v>
      </c>
      <c r="AO62" s="416">
        <v>66321854</v>
      </c>
      <c r="AP62" s="416">
        <v>3839574</v>
      </c>
      <c r="AQ62" s="395">
        <v>5.4724855372099902E-2</v>
      </c>
      <c r="AR62" s="414">
        <v>0</v>
      </c>
      <c r="AS62" s="416">
        <v>0</v>
      </c>
      <c r="AT62" s="417">
        <v>0</v>
      </c>
      <c r="AU62" s="396">
        <v>0</v>
      </c>
      <c r="AV62" s="397">
        <v>0</v>
      </c>
      <c r="AW62" s="398">
        <v>0</v>
      </c>
      <c r="AX62" s="418">
        <v>8749288</v>
      </c>
      <c r="AY62" s="416">
        <v>8243971</v>
      </c>
      <c r="AZ62" s="417">
        <v>505317</v>
      </c>
      <c r="BA62" s="418">
        <v>8749288</v>
      </c>
      <c r="BB62" s="416">
        <v>8243971</v>
      </c>
      <c r="BC62" s="417">
        <v>505317</v>
      </c>
      <c r="BD62" s="418">
        <v>39813584</v>
      </c>
      <c r="BE62" s="416">
        <v>37636574</v>
      </c>
      <c r="BF62" s="415">
        <v>2177010</v>
      </c>
      <c r="BG62" s="417"/>
      <c r="BH62" s="419"/>
      <c r="BI62" s="414">
        <v>28823844</v>
      </c>
      <c r="BJ62" s="416">
        <v>27245100</v>
      </c>
      <c r="BK62" s="416">
        <v>1578744</v>
      </c>
      <c r="BL62" s="405">
        <v>5.47721532214787E-2</v>
      </c>
    </row>
    <row r="63" spans="1:64" ht="19.5" customHeight="1">
      <c r="A63" s="354" t="s">
        <v>353</v>
      </c>
      <c r="B63" s="406" t="s">
        <v>354</v>
      </c>
      <c r="C63" s="356">
        <v>2184327380</v>
      </c>
      <c r="D63" s="356">
        <v>2081205268</v>
      </c>
      <c r="E63" s="356">
        <v>103122112</v>
      </c>
      <c r="F63" s="357">
        <v>1459898140</v>
      </c>
      <c r="G63" s="357">
        <v>1390976337.5</v>
      </c>
      <c r="H63" s="358">
        <v>68921802.5</v>
      </c>
      <c r="I63" s="359"/>
      <c r="J63" s="359"/>
      <c r="K63" s="358"/>
      <c r="L63" s="360">
        <v>0.99999999975975495</v>
      </c>
      <c r="M63" s="358">
        <v>724429239</v>
      </c>
      <c r="N63" s="361">
        <v>690228930</v>
      </c>
      <c r="O63" s="358">
        <v>34200309</v>
      </c>
      <c r="P63" s="358">
        <v>724429239</v>
      </c>
      <c r="Q63" s="357">
        <v>690228930</v>
      </c>
      <c r="R63" s="358">
        <v>34200309</v>
      </c>
      <c r="S63" s="358">
        <v>2184327379</v>
      </c>
      <c r="T63" s="357">
        <v>2081205267.5</v>
      </c>
      <c r="U63" s="357">
        <v>103122111.5</v>
      </c>
      <c r="V63" s="357"/>
      <c r="W63" s="358"/>
      <c r="X63" s="358"/>
      <c r="Y63" s="357"/>
      <c r="Z63" s="357"/>
      <c r="AA63" s="358"/>
      <c r="AB63" s="357"/>
      <c r="AC63" s="362"/>
      <c r="AD63" s="97">
        <v>0</v>
      </c>
      <c r="AE63" s="97">
        <v>0</v>
      </c>
      <c r="AF63" s="97">
        <v>0</v>
      </c>
      <c r="AG63" s="208" t="s">
        <v>630</v>
      </c>
      <c r="AL63" s="364" t="s">
        <v>353</v>
      </c>
      <c r="AM63" s="365" t="s">
        <v>933</v>
      </c>
      <c r="AN63" s="364">
        <v>2184327</v>
      </c>
      <c r="AO63" s="366">
        <v>2081205</v>
      </c>
      <c r="AP63" s="366">
        <v>103122</v>
      </c>
      <c r="AQ63" s="367">
        <v>4.7209964442137098E-2</v>
      </c>
      <c r="AR63" s="364"/>
      <c r="AS63" s="366"/>
      <c r="AT63" s="368"/>
      <c r="AU63" s="364"/>
      <c r="AV63" s="366"/>
      <c r="AW63" s="368"/>
      <c r="AX63" s="369">
        <v>724429</v>
      </c>
      <c r="AY63" s="366">
        <v>690229</v>
      </c>
      <c r="AZ63" s="368">
        <v>34200</v>
      </c>
      <c r="BA63" s="369">
        <v>724429</v>
      </c>
      <c r="BB63" s="366">
        <v>690229</v>
      </c>
      <c r="BC63" s="368">
        <v>34200</v>
      </c>
      <c r="BD63" s="369">
        <v>2184327</v>
      </c>
      <c r="BE63" s="366">
        <v>2081205</v>
      </c>
      <c r="BF63" s="365">
        <v>103122</v>
      </c>
      <c r="BG63" s="370">
        <v>1</v>
      </c>
      <c r="BH63" s="327">
        <v>-2.4024504607922402E-10</v>
      </c>
      <c r="BI63" s="371">
        <v>0</v>
      </c>
      <c r="BJ63" s="372">
        <v>0</v>
      </c>
      <c r="BK63" s="372">
        <v>0</v>
      </c>
      <c r="BL63" s="373">
        <v>0</v>
      </c>
    </row>
    <row r="64" spans="1:64" ht="19.5" customHeight="1">
      <c r="A64" s="354" t="s">
        <v>357</v>
      </c>
      <c r="B64" s="406" t="s">
        <v>358</v>
      </c>
      <c r="C64" s="356">
        <v>1037773141</v>
      </c>
      <c r="D64" s="356">
        <v>979544905</v>
      </c>
      <c r="E64" s="356">
        <v>58228236</v>
      </c>
      <c r="F64" s="357">
        <v>183655335</v>
      </c>
      <c r="G64" s="357">
        <v>173350649</v>
      </c>
      <c r="H64" s="358">
        <v>10304686</v>
      </c>
      <c r="I64" s="359"/>
      <c r="J64" s="359"/>
      <c r="K64" s="358"/>
      <c r="L64" s="360">
        <v>0.47415740373842302</v>
      </c>
      <c r="M64" s="358">
        <v>308412483</v>
      </c>
      <c r="N64" s="361">
        <v>291107820</v>
      </c>
      <c r="O64" s="358">
        <v>17304663</v>
      </c>
      <c r="P64" s="358">
        <v>308412483</v>
      </c>
      <c r="Q64" s="357">
        <v>291107820</v>
      </c>
      <c r="R64" s="358">
        <v>17304663</v>
      </c>
      <c r="S64" s="358">
        <v>492067818</v>
      </c>
      <c r="T64" s="358">
        <v>464458469</v>
      </c>
      <c r="U64" s="358">
        <v>27609349</v>
      </c>
      <c r="V64" s="357"/>
      <c r="W64" s="358"/>
      <c r="X64" s="358"/>
      <c r="Y64" s="357"/>
      <c r="Z64" s="357"/>
      <c r="AA64" s="358"/>
      <c r="AB64" s="357"/>
      <c r="AC64" s="362"/>
      <c r="AD64" s="97">
        <v>0</v>
      </c>
      <c r="AE64" s="97">
        <v>0</v>
      </c>
      <c r="AF64" s="97">
        <v>0</v>
      </c>
      <c r="AG64" s="208" t="s">
        <v>630</v>
      </c>
      <c r="AL64" s="364" t="s">
        <v>357</v>
      </c>
      <c r="AM64" s="365" t="s">
        <v>934</v>
      </c>
      <c r="AN64" s="364">
        <v>1037773</v>
      </c>
      <c r="AO64" s="366">
        <v>979545</v>
      </c>
      <c r="AP64" s="366">
        <v>58228</v>
      </c>
      <c r="AQ64" s="367">
        <v>5.6108609493598298E-2</v>
      </c>
      <c r="AR64" s="364"/>
      <c r="AS64" s="366"/>
      <c r="AT64" s="368"/>
      <c r="AU64" s="364"/>
      <c r="AV64" s="366"/>
      <c r="AW64" s="368"/>
      <c r="AX64" s="369">
        <v>308412</v>
      </c>
      <c r="AY64" s="366">
        <v>291108</v>
      </c>
      <c r="AZ64" s="368">
        <v>17304</v>
      </c>
      <c r="BA64" s="369">
        <v>308412</v>
      </c>
      <c r="BB64" s="366">
        <v>291108</v>
      </c>
      <c r="BC64" s="368">
        <v>17304</v>
      </c>
      <c r="BD64" s="369">
        <v>492068</v>
      </c>
      <c r="BE64" s="366">
        <v>464458</v>
      </c>
      <c r="BF64" s="365">
        <v>27610</v>
      </c>
      <c r="BG64" s="370">
        <v>0.474157643338187</v>
      </c>
      <c r="BH64" s="327">
        <v>-2.3959976364063001E-7</v>
      </c>
      <c r="BI64" s="371">
        <v>545705</v>
      </c>
      <c r="BJ64" s="372">
        <v>515087</v>
      </c>
      <c r="BK64" s="372">
        <v>30618</v>
      </c>
      <c r="BL64" s="373">
        <v>0.525842356661813</v>
      </c>
    </row>
    <row r="65" spans="1:64" ht="19.5" customHeight="1">
      <c r="A65" s="354" t="s">
        <v>363</v>
      </c>
      <c r="B65" s="406" t="s">
        <v>364</v>
      </c>
      <c r="C65" s="356">
        <v>1200000000</v>
      </c>
      <c r="D65" s="356">
        <v>1134000000</v>
      </c>
      <c r="E65" s="356">
        <v>66000000</v>
      </c>
      <c r="F65" s="357">
        <v>12000000</v>
      </c>
      <c r="G65" s="357">
        <v>11340000</v>
      </c>
      <c r="H65" s="358">
        <v>660000</v>
      </c>
      <c r="I65" s="359"/>
      <c r="J65" s="359"/>
      <c r="K65" s="358"/>
      <c r="L65" s="360">
        <v>0.26</v>
      </c>
      <c r="M65" s="358">
        <v>300000000</v>
      </c>
      <c r="N65" s="361">
        <v>283500000</v>
      </c>
      <c r="O65" s="358">
        <v>16500000</v>
      </c>
      <c r="P65" s="358">
        <v>300000000</v>
      </c>
      <c r="Q65" s="357">
        <v>283500000</v>
      </c>
      <c r="R65" s="358">
        <v>16500000</v>
      </c>
      <c r="S65" s="358">
        <v>312000000</v>
      </c>
      <c r="T65" s="357">
        <v>294840000</v>
      </c>
      <c r="U65" s="357">
        <v>17160000</v>
      </c>
      <c r="V65" s="357"/>
      <c r="W65" s="358"/>
      <c r="X65" s="358"/>
      <c r="Y65" s="357"/>
      <c r="Z65" s="357"/>
      <c r="AA65" s="358"/>
      <c r="AB65" s="357"/>
      <c r="AC65" s="362"/>
      <c r="AD65" s="97">
        <v>0</v>
      </c>
      <c r="AE65" s="97">
        <v>0</v>
      </c>
      <c r="AF65" s="97">
        <v>0</v>
      </c>
      <c r="AG65" s="208" t="s">
        <v>630</v>
      </c>
      <c r="AL65" s="364" t="s">
        <v>363</v>
      </c>
      <c r="AM65" s="365" t="s">
        <v>935</v>
      </c>
      <c r="AN65" s="364">
        <v>1200000</v>
      </c>
      <c r="AO65" s="366">
        <v>1134000</v>
      </c>
      <c r="AP65" s="366">
        <v>66000</v>
      </c>
      <c r="AQ65" s="367">
        <v>5.5E-2</v>
      </c>
      <c r="AR65" s="364"/>
      <c r="AS65" s="366"/>
      <c r="AT65" s="368"/>
      <c r="AU65" s="364"/>
      <c r="AV65" s="366"/>
      <c r="AW65" s="368"/>
      <c r="AX65" s="369">
        <v>300000</v>
      </c>
      <c r="AY65" s="366">
        <v>283500</v>
      </c>
      <c r="AZ65" s="368">
        <v>16500</v>
      </c>
      <c r="BA65" s="369">
        <v>300000</v>
      </c>
      <c r="BB65" s="366">
        <v>283500</v>
      </c>
      <c r="BC65" s="368">
        <v>16500</v>
      </c>
      <c r="BD65" s="369">
        <v>312000</v>
      </c>
      <c r="BE65" s="366">
        <v>294840</v>
      </c>
      <c r="BF65" s="365">
        <v>17160</v>
      </c>
      <c r="BG65" s="370">
        <v>0.26</v>
      </c>
      <c r="BH65" s="327">
        <v>0</v>
      </c>
      <c r="BI65" s="371">
        <v>888000</v>
      </c>
      <c r="BJ65" s="372">
        <v>839160</v>
      </c>
      <c r="BK65" s="372">
        <v>48840</v>
      </c>
      <c r="BL65" s="373">
        <v>0.74</v>
      </c>
    </row>
    <row r="66" spans="1:64" ht="19.5" customHeight="1">
      <c r="A66" s="354" t="s">
        <v>365</v>
      </c>
      <c r="B66" s="406" t="s">
        <v>366</v>
      </c>
      <c r="C66" s="356">
        <v>663090987</v>
      </c>
      <c r="D66" s="356">
        <v>626808650</v>
      </c>
      <c r="E66" s="356">
        <v>36282337</v>
      </c>
      <c r="F66" s="357">
        <v>320342948</v>
      </c>
      <c r="G66" s="357">
        <v>302814749</v>
      </c>
      <c r="H66" s="358">
        <v>17528199</v>
      </c>
      <c r="I66" s="359"/>
      <c r="J66" s="359"/>
      <c r="K66" s="358"/>
      <c r="L66" s="360">
        <v>0.969236511014964</v>
      </c>
      <c r="M66" s="358">
        <v>322349047</v>
      </c>
      <c r="N66" s="361">
        <v>304711080</v>
      </c>
      <c r="O66" s="358">
        <v>17637967</v>
      </c>
      <c r="P66" s="358">
        <v>322349047</v>
      </c>
      <c r="Q66" s="357">
        <v>304711080</v>
      </c>
      <c r="R66" s="358">
        <v>17637967</v>
      </c>
      <c r="S66" s="358">
        <v>642691995</v>
      </c>
      <c r="T66" s="357">
        <v>607525829</v>
      </c>
      <c r="U66" s="357">
        <v>35166166</v>
      </c>
      <c r="V66" s="357"/>
      <c r="W66" s="358"/>
      <c r="X66" s="358"/>
      <c r="Y66" s="357"/>
      <c r="Z66" s="357"/>
      <c r="AA66" s="358"/>
      <c r="AB66" s="357"/>
      <c r="AC66" s="362"/>
      <c r="AD66" s="97">
        <v>0</v>
      </c>
      <c r="AE66" s="97">
        <v>0</v>
      </c>
      <c r="AF66" s="97">
        <v>0</v>
      </c>
      <c r="AG66" s="208" t="s">
        <v>630</v>
      </c>
      <c r="AL66" s="364" t="s">
        <v>365</v>
      </c>
      <c r="AM66" s="365" t="s">
        <v>936</v>
      </c>
      <c r="AN66" s="364">
        <v>663091</v>
      </c>
      <c r="AO66" s="366">
        <v>626809</v>
      </c>
      <c r="AP66" s="366">
        <v>36282</v>
      </c>
      <c r="AQ66" s="367">
        <v>5.4716471796480398E-2</v>
      </c>
      <c r="AR66" s="364"/>
      <c r="AS66" s="366"/>
      <c r="AT66" s="368"/>
      <c r="AU66" s="364"/>
      <c r="AV66" s="366"/>
      <c r="AW66" s="368"/>
      <c r="AX66" s="369">
        <v>322349</v>
      </c>
      <c r="AY66" s="366">
        <v>304711</v>
      </c>
      <c r="AZ66" s="368">
        <v>17638</v>
      </c>
      <c r="BA66" s="369">
        <v>322349</v>
      </c>
      <c r="BB66" s="366">
        <v>304711</v>
      </c>
      <c r="BC66" s="368">
        <v>17638</v>
      </c>
      <c r="BD66" s="369">
        <v>642692</v>
      </c>
      <c r="BE66" s="366">
        <v>607526</v>
      </c>
      <c r="BF66" s="365">
        <v>35166</v>
      </c>
      <c r="BG66" s="370">
        <v>0.96923649996757599</v>
      </c>
      <c r="BH66" s="327">
        <v>1.10473878933703E-8</v>
      </c>
      <c r="BI66" s="371">
        <v>20399</v>
      </c>
      <c r="BJ66" s="372">
        <v>19283</v>
      </c>
      <c r="BK66" s="372">
        <v>1116</v>
      </c>
      <c r="BL66" s="373">
        <v>3.07635000324239E-2</v>
      </c>
    </row>
    <row r="67" spans="1:64" ht="19.5" customHeight="1">
      <c r="A67" s="354" t="s">
        <v>367</v>
      </c>
      <c r="B67" s="406" t="s">
        <v>368</v>
      </c>
      <c r="C67" s="356">
        <v>535119402</v>
      </c>
      <c r="D67" s="356">
        <v>505057474</v>
      </c>
      <c r="E67" s="356">
        <v>30061928</v>
      </c>
      <c r="F67" s="357">
        <v>288918471</v>
      </c>
      <c r="G67" s="357">
        <v>272687614</v>
      </c>
      <c r="H67" s="358">
        <v>16230857</v>
      </c>
      <c r="I67" s="359"/>
      <c r="J67" s="359"/>
      <c r="K67" s="358"/>
      <c r="L67" s="360">
        <v>0.95580515456345905</v>
      </c>
      <c r="M67" s="358">
        <v>222551412</v>
      </c>
      <c r="N67" s="361">
        <v>210048923</v>
      </c>
      <c r="O67" s="358">
        <v>12502489</v>
      </c>
      <c r="P67" s="358">
        <v>222551412</v>
      </c>
      <c r="Q67" s="357">
        <v>210048923</v>
      </c>
      <c r="R67" s="358">
        <v>12502489</v>
      </c>
      <c r="S67" s="358">
        <v>511469883</v>
      </c>
      <c r="T67" s="357">
        <v>482736537</v>
      </c>
      <c r="U67" s="357">
        <v>28733346</v>
      </c>
      <c r="V67" s="357"/>
      <c r="W67" s="358"/>
      <c r="X67" s="358"/>
      <c r="Y67" s="357"/>
      <c r="Z67" s="357"/>
      <c r="AA67" s="358"/>
      <c r="AB67" s="357"/>
      <c r="AC67" s="362"/>
      <c r="AD67" s="97">
        <v>0</v>
      </c>
      <c r="AE67" s="97">
        <v>0</v>
      </c>
      <c r="AF67" s="97">
        <v>0</v>
      </c>
      <c r="AG67" s="208" t="s">
        <v>630</v>
      </c>
      <c r="AL67" s="364" t="s">
        <v>367</v>
      </c>
      <c r="AM67" s="365" t="s">
        <v>937</v>
      </c>
      <c r="AN67" s="364">
        <v>535119</v>
      </c>
      <c r="AO67" s="366">
        <v>505057</v>
      </c>
      <c r="AP67" s="366">
        <v>30062</v>
      </c>
      <c r="AQ67" s="367">
        <v>5.6178158503061897E-2</v>
      </c>
      <c r="AR67" s="364"/>
      <c r="AS67" s="366"/>
      <c r="AT67" s="368"/>
      <c r="AU67" s="364"/>
      <c r="AV67" s="366"/>
      <c r="AW67" s="368"/>
      <c r="AX67" s="369">
        <v>222551</v>
      </c>
      <c r="AY67" s="366">
        <v>210049</v>
      </c>
      <c r="AZ67" s="368">
        <v>12502</v>
      </c>
      <c r="BA67" s="369">
        <v>222551</v>
      </c>
      <c r="BB67" s="366">
        <v>210049</v>
      </c>
      <c r="BC67" s="368">
        <v>12502</v>
      </c>
      <c r="BD67" s="369">
        <v>511470</v>
      </c>
      <c r="BE67" s="366">
        <v>482737</v>
      </c>
      <c r="BF67" s="365">
        <v>28733</v>
      </c>
      <c r="BG67" s="370">
        <v>0.955806091729129</v>
      </c>
      <c r="BH67" s="327">
        <v>-9.3716567040047504E-7</v>
      </c>
      <c r="BI67" s="371">
        <v>23649</v>
      </c>
      <c r="BJ67" s="372">
        <v>22320</v>
      </c>
      <c r="BK67" s="372">
        <v>1329</v>
      </c>
      <c r="BL67" s="373">
        <v>4.4193908270870601E-2</v>
      </c>
    </row>
    <row r="68" spans="1:64" ht="19.5" customHeight="1">
      <c r="A68" s="354" t="s">
        <v>371</v>
      </c>
      <c r="B68" s="406" t="s">
        <v>372</v>
      </c>
      <c r="C68" s="356">
        <v>1809523810</v>
      </c>
      <c r="D68" s="356">
        <v>1710512130</v>
      </c>
      <c r="E68" s="356">
        <v>99011680</v>
      </c>
      <c r="F68" s="357">
        <v>224961641</v>
      </c>
      <c r="G68" s="357">
        <v>212652419</v>
      </c>
      <c r="H68" s="358">
        <v>12309222</v>
      </c>
      <c r="I68" s="359"/>
      <c r="J68" s="359"/>
      <c r="K68" s="358"/>
      <c r="L68" s="360">
        <v>0.59654459977433805</v>
      </c>
      <c r="M68" s="358">
        <v>854500016</v>
      </c>
      <c r="N68" s="361">
        <v>807744355</v>
      </c>
      <c r="O68" s="358">
        <v>46755661</v>
      </c>
      <c r="P68" s="358">
        <v>854500016</v>
      </c>
      <c r="Q68" s="357">
        <v>807744355</v>
      </c>
      <c r="R68" s="358">
        <v>46755661</v>
      </c>
      <c r="S68" s="358">
        <v>1079461657</v>
      </c>
      <c r="T68" s="357">
        <v>1020396774</v>
      </c>
      <c r="U68" s="357">
        <v>59064883</v>
      </c>
      <c r="V68" s="357"/>
      <c r="W68" s="358"/>
      <c r="X68" s="358"/>
      <c r="Y68" s="357"/>
      <c r="Z68" s="357"/>
      <c r="AA68" s="358"/>
      <c r="AB68" s="357"/>
      <c r="AC68" s="362"/>
      <c r="AD68" s="97">
        <v>0</v>
      </c>
      <c r="AE68" s="97">
        <v>0</v>
      </c>
      <c r="AF68" s="97">
        <v>0</v>
      </c>
      <c r="AG68" s="208" t="s">
        <v>630</v>
      </c>
      <c r="AL68" s="364" t="s">
        <v>371</v>
      </c>
      <c r="AM68" s="365" t="s">
        <v>938</v>
      </c>
      <c r="AN68" s="364">
        <v>1809524</v>
      </c>
      <c r="AO68" s="366">
        <v>1710512</v>
      </c>
      <c r="AP68" s="366">
        <v>99012</v>
      </c>
      <c r="AQ68" s="367">
        <v>5.4717152135036598E-2</v>
      </c>
      <c r="AR68" s="364"/>
      <c r="AS68" s="366"/>
      <c r="AT68" s="368"/>
      <c r="AU68" s="364"/>
      <c r="AV68" s="366"/>
      <c r="AW68" s="368"/>
      <c r="AX68" s="369">
        <v>854500</v>
      </c>
      <c r="AY68" s="366">
        <v>807744</v>
      </c>
      <c r="AZ68" s="368">
        <v>46756</v>
      </c>
      <c r="BA68" s="369">
        <v>854500</v>
      </c>
      <c r="BB68" s="366">
        <v>807744</v>
      </c>
      <c r="BC68" s="368">
        <v>46756</v>
      </c>
      <c r="BD68" s="369">
        <v>1079462</v>
      </c>
      <c r="BE68" s="366">
        <v>1020397</v>
      </c>
      <c r="BF68" s="365">
        <v>59065</v>
      </c>
      <c r="BG68" s="370">
        <v>0.59654472667950198</v>
      </c>
      <c r="BH68" s="327">
        <v>-1.2690516437707799E-7</v>
      </c>
      <c r="BI68" s="371">
        <v>730062</v>
      </c>
      <c r="BJ68" s="372">
        <v>690115</v>
      </c>
      <c r="BK68" s="372">
        <v>39947</v>
      </c>
      <c r="BL68" s="373">
        <v>0.40345527332049802</v>
      </c>
    </row>
    <row r="69" spans="1:64" ht="19.5" customHeight="1">
      <c r="A69" s="354" t="s">
        <v>939</v>
      </c>
      <c r="B69" s="406" t="s">
        <v>940</v>
      </c>
      <c r="C69" s="356">
        <v>0</v>
      </c>
      <c r="D69" s="356">
        <v>0</v>
      </c>
      <c r="E69" s="356">
        <v>0</v>
      </c>
      <c r="F69" s="357">
        <v>0</v>
      </c>
      <c r="G69" s="357">
        <v>0</v>
      </c>
      <c r="H69" s="358">
        <v>0</v>
      </c>
      <c r="I69" s="359"/>
      <c r="J69" s="359"/>
      <c r="K69" s="358"/>
      <c r="L69" s="381"/>
      <c r="M69" s="358"/>
      <c r="N69" s="361"/>
      <c r="O69" s="358">
        <v>0</v>
      </c>
      <c r="P69" s="358"/>
      <c r="Q69" s="357"/>
      <c r="R69" s="358"/>
      <c r="S69" s="358">
        <v>0</v>
      </c>
      <c r="T69" s="357">
        <v>0</v>
      </c>
      <c r="U69" s="357">
        <v>0</v>
      </c>
      <c r="V69" s="357"/>
      <c r="W69" s="358"/>
      <c r="X69" s="358"/>
      <c r="Y69" s="357"/>
      <c r="Z69" s="357"/>
      <c r="AA69" s="358"/>
      <c r="AB69" s="357"/>
      <c r="AC69" s="362"/>
      <c r="AL69" s="364" t="s">
        <v>939</v>
      </c>
      <c r="AM69" s="365" t="s">
        <v>941</v>
      </c>
      <c r="AN69" s="364">
        <v>0</v>
      </c>
      <c r="AO69" s="366">
        <v>0</v>
      </c>
      <c r="AP69" s="366">
        <v>0</v>
      </c>
      <c r="AQ69" s="367" t="e">
        <f>#DIV/0!</f>
        <v>#DIV/0!</v>
      </c>
      <c r="AR69" s="364"/>
      <c r="AS69" s="366"/>
      <c r="AT69" s="368"/>
      <c r="AU69" s="364"/>
      <c r="AV69" s="366"/>
      <c r="AW69" s="368"/>
      <c r="AX69" s="369"/>
      <c r="AY69" s="366"/>
      <c r="AZ69" s="368"/>
      <c r="BA69" s="369"/>
      <c r="BB69" s="366"/>
      <c r="BC69" s="368"/>
      <c r="BD69" s="369"/>
      <c r="BE69" s="366"/>
      <c r="BF69" s="365"/>
      <c r="BG69" s="370"/>
      <c r="BH69" s="327"/>
      <c r="BI69" s="371"/>
      <c r="BJ69" s="372"/>
      <c r="BK69" s="372"/>
      <c r="BL69" s="373"/>
    </row>
    <row r="70" spans="1:64" ht="19.5" customHeight="1">
      <c r="A70" s="2728" t="s">
        <v>942</v>
      </c>
      <c r="B70" s="2728"/>
      <c r="C70" s="390">
        <v>7429834720</v>
      </c>
      <c r="D70" s="390">
        <v>7037128427</v>
      </c>
      <c r="E70" s="390">
        <v>392706293</v>
      </c>
      <c r="F70" s="390">
        <v>2489776535</v>
      </c>
      <c r="G70" s="390">
        <v>2363821768.5</v>
      </c>
      <c r="H70" s="390">
        <v>125954766.5</v>
      </c>
      <c r="I70" s="404">
        <v>0</v>
      </c>
      <c r="J70" s="404">
        <v>0</v>
      </c>
      <c r="K70" s="404">
        <v>0</v>
      </c>
      <c r="L70" s="391"/>
      <c r="M70" s="390">
        <v>2732242197</v>
      </c>
      <c r="N70" s="390">
        <v>2587341108</v>
      </c>
      <c r="O70" s="390">
        <v>144901089</v>
      </c>
      <c r="P70" s="390">
        <v>2732242197</v>
      </c>
      <c r="Q70" s="390">
        <v>2587341108</v>
      </c>
      <c r="R70" s="390">
        <v>144901089</v>
      </c>
      <c r="S70" s="390">
        <v>5222018732</v>
      </c>
      <c r="T70" s="390">
        <v>4951162876.5</v>
      </c>
      <c r="U70" s="390">
        <v>270855855.5</v>
      </c>
      <c r="V70" s="390">
        <v>0</v>
      </c>
      <c r="W70" s="390">
        <v>0</v>
      </c>
      <c r="X70" s="390">
        <v>0</v>
      </c>
      <c r="Y70" s="390">
        <v>0</v>
      </c>
      <c r="Z70" s="390">
        <v>0</v>
      </c>
      <c r="AA70" s="390">
        <v>0</v>
      </c>
      <c r="AB70" s="390">
        <v>0</v>
      </c>
      <c r="AC70" s="392"/>
      <c r="AG70" s="208" t="s">
        <v>630</v>
      </c>
      <c r="AI70" s="233"/>
      <c r="AJ70" s="233"/>
      <c r="AK70" s="233"/>
      <c r="AL70" s="393"/>
      <c r="AM70" s="401" t="s">
        <v>943</v>
      </c>
      <c r="AN70" s="393">
        <v>7429834</v>
      </c>
      <c r="AO70" s="390">
        <v>7037128</v>
      </c>
      <c r="AP70" s="390">
        <v>392706</v>
      </c>
      <c r="AQ70" s="395">
        <v>5.2855285865067797E-2</v>
      </c>
      <c r="AR70" s="393">
        <v>0</v>
      </c>
      <c r="AS70" s="390">
        <v>0</v>
      </c>
      <c r="AT70" s="399">
        <v>0</v>
      </c>
      <c r="AU70" s="396">
        <v>0</v>
      </c>
      <c r="AV70" s="397">
        <v>0</v>
      </c>
      <c r="AW70" s="398">
        <v>0</v>
      </c>
      <c r="AX70" s="400">
        <v>2732241</v>
      </c>
      <c r="AY70" s="390">
        <v>2587341</v>
      </c>
      <c r="AZ70" s="399">
        <v>144900</v>
      </c>
      <c r="BA70" s="400">
        <v>2732241</v>
      </c>
      <c r="BB70" s="390">
        <v>2587341</v>
      </c>
      <c r="BC70" s="399">
        <v>144900</v>
      </c>
      <c r="BD70" s="400">
        <v>5222019</v>
      </c>
      <c r="BE70" s="390">
        <v>4951163</v>
      </c>
      <c r="BF70" s="401">
        <v>270856</v>
      </c>
      <c r="BG70" s="399"/>
      <c r="BH70" s="419"/>
      <c r="BI70" s="414">
        <v>2207815</v>
      </c>
      <c r="BJ70" s="416">
        <v>2085965</v>
      </c>
      <c r="BK70" s="416">
        <v>121850</v>
      </c>
      <c r="BL70" s="405">
        <v>5.51903125941259E-2</v>
      </c>
    </row>
    <row r="71" spans="1:64" ht="19.5" customHeight="1">
      <c r="A71" s="354" t="s">
        <v>783</v>
      </c>
      <c r="B71" s="410" t="s">
        <v>784</v>
      </c>
      <c r="C71" s="356">
        <v>444626571</v>
      </c>
      <c r="D71" s="356">
        <v>417948976</v>
      </c>
      <c r="E71" s="356">
        <v>26677595</v>
      </c>
      <c r="F71" s="357">
        <v>443147173</v>
      </c>
      <c r="G71" s="357">
        <v>416558342</v>
      </c>
      <c r="H71" s="358">
        <v>26588831</v>
      </c>
      <c r="I71" s="359"/>
      <c r="J71" s="359"/>
      <c r="K71" s="358"/>
      <c r="L71" s="360">
        <v>0.99837149020793403</v>
      </c>
      <c r="M71" s="358">
        <v>755319</v>
      </c>
      <c r="N71" s="361">
        <v>710000</v>
      </c>
      <c r="O71" s="358">
        <v>45319</v>
      </c>
      <c r="P71" s="358">
        <v>755319</v>
      </c>
      <c r="Q71" s="358">
        <v>710000</v>
      </c>
      <c r="R71" s="358">
        <v>45319</v>
      </c>
      <c r="S71" s="358">
        <v>443902492</v>
      </c>
      <c r="T71" s="358">
        <v>417268342</v>
      </c>
      <c r="U71" s="357">
        <v>26634150</v>
      </c>
      <c r="V71" s="358"/>
      <c r="W71" s="358"/>
      <c r="X71" s="358"/>
      <c r="Y71" s="358"/>
      <c r="Z71" s="358"/>
      <c r="AA71" s="358"/>
      <c r="AB71" s="358"/>
      <c r="AC71" s="362"/>
      <c r="AD71" s="97">
        <v>0</v>
      </c>
      <c r="AE71" s="97">
        <v>0</v>
      </c>
      <c r="AF71" s="97">
        <v>0</v>
      </c>
      <c r="AG71" s="208" t="s">
        <v>630</v>
      </c>
      <c r="AL71" s="364" t="s">
        <v>783</v>
      </c>
      <c r="AM71" s="365" t="s">
        <v>944</v>
      </c>
      <c r="AN71" s="364">
        <v>444627</v>
      </c>
      <c r="AO71" s="366">
        <v>417949</v>
      </c>
      <c r="AP71" s="366">
        <v>26678</v>
      </c>
      <c r="AQ71" s="367">
        <v>6.0000854648952898E-2</v>
      </c>
      <c r="AR71" s="364"/>
      <c r="AS71" s="366"/>
      <c r="AT71" s="368"/>
      <c r="AU71" s="364"/>
      <c r="AV71" s="366"/>
      <c r="AW71" s="368"/>
      <c r="AX71" s="369">
        <v>755</v>
      </c>
      <c r="AY71" s="366">
        <v>710</v>
      </c>
      <c r="AZ71" s="368">
        <v>45</v>
      </c>
      <c r="BA71" s="369">
        <v>755</v>
      </c>
      <c r="BB71" s="366">
        <v>710</v>
      </c>
      <c r="BC71" s="368">
        <v>45</v>
      </c>
      <c r="BD71" s="369">
        <v>443902</v>
      </c>
      <c r="BE71" s="366">
        <v>417268</v>
      </c>
      <c r="BF71" s="365">
        <v>26634</v>
      </c>
      <c r="BG71" s="370">
        <v>0.99836941976083304</v>
      </c>
      <c r="BH71" s="327">
        <v>2.0704471007659798E-6</v>
      </c>
      <c r="BI71" s="371">
        <v>725</v>
      </c>
      <c r="BJ71" s="372">
        <v>681</v>
      </c>
      <c r="BK71" s="372">
        <v>44</v>
      </c>
      <c r="BL71" s="373">
        <v>1.63058023916673E-3</v>
      </c>
    </row>
    <row r="72" spans="1:64" ht="19.5" customHeight="1">
      <c r="A72" s="354" t="s">
        <v>465</v>
      </c>
      <c r="B72" s="410" t="s">
        <v>466</v>
      </c>
      <c r="C72" s="356">
        <v>628860933</v>
      </c>
      <c r="D72" s="356">
        <v>594273582</v>
      </c>
      <c r="E72" s="356">
        <v>34587351</v>
      </c>
      <c r="F72" s="357">
        <v>617806836</v>
      </c>
      <c r="G72" s="357">
        <v>583827460</v>
      </c>
      <c r="H72" s="358">
        <v>33979376</v>
      </c>
      <c r="I72" s="359"/>
      <c r="J72" s="359"/>
      <c r="K72" s="358"/>
      <c r="L72" s="420">
        <v>0.99670969556913602</v>
      </c>
      <c r="M72" s="358">
        <v>8984953</v>
      </c>
      <c r="N72" s="361">
        <v>8490781</v>
      </c>
      <c r="O72" s="358">
        <v>494172</v>
      </c>
      <c r="P72" s="358">
        <v>8984953</v>
      </c>
      <c r="Q72" s="358">
        <v>8490781</v>
      </c>
      <c r="R72" s="358">
        <v>494172</v>
      </c>
      <c r="S72" s="358">
        <v>626791789</v>
      </c>
      <c r="T72" s="358">
        <v>592318241</v>
      </c>
      <c r="U72" s="357">
        <v>34473548</v>
      </c>
      <c r="V72" s="358"/>
      <c r="W72" s="358"/>
      <c r="X72" s="358"/>
      <c r="Y72" s="358"/>
      <c r="Z72" s="358"/>
      <c r="AA72" s="358"/>
      <c r="AB72" s="358"/>
      <c r="AC72" s="362"/>
      <c r="AD72" s="97">
        <v>0</v>
      </c>
      <c r="AE72" s="97">
        <v>0</v>
      </c>
      <c r="AF72" s="97">
        <v>0</v>
      </c>
      <c r="AG72" s="208" t="s">
        <v>630</v>
      </c>
      <c r="AL72" s="364" t="s">
        <v>465</v>
      </c>
      <c r="AM72" s="365" t="s">
        <v>945</v>
      </c>
      <c r="AN72" s="364">
        <v>628861</v>
      </c>
      <c r="AO72" s="366">
        <v>594274</v>
      </c>
      <c r="AP72" s="366">
        <v>34587</v>
      </c>
      <c r="AQ72" s="367">
        <v>5.4999435487333499E-2</v>
      </c>
      <c r="AR72" s="364"/>
      <c r="AS72" s="366"/>
      <c r="AT72" s="368"/>
      <c r="AU72" s="364"/>
      <c r="AV72" s="366"/>
      <c r="AW72" s="368"/>
      <c r="AX72" s="369">
        <v>8985</v>
      </c>
      <c r="AY72" s="366">
        <v>8491</v>
      </c>
      <c r="AZ72" s="368">
        <v>494</v>
      </c>
      <c r="BA72" s="369">
        <v>8985</v>
      </c>
      <c r="BB72" s="366">
        <v>8491</v>
      </c>
      <c r="BC72" s="368">
        <v>494</v>
      </c>
      <c r="BD72" s="369">
        <v>626792</v>
      </c>
      <c r="BE72" s="366">
        <v>592318</v>
      </c>
      <c r="BF72" s="365">
        <v>34474</v>
      </c>
      <c r="BG72" s="370">
        <v>0.99670992476874898</v>
      </c>
      <c r="BH72" s="327">
        <v>-2.2919961251144401E-7</v>
      </c>
      <c r="BI72" s="371">
        <v>2069</v>
      </c>
      <c r="BJ72" s="372">
        <v>1956</v>
      </c>
      <c r="BK72" s="372">
        <v>113</v>
      </c>
      <c r="BL72" s="373">
        <v>3.2900752312514702E-3</v>
      </c>
    </row>
    <row r="73" spans="1:64" ht="19.5" customHeight="1">
      <c r="A73" s="354" t="s">
        <v>524</v>
      </c>
      <c r="B73" s="410" t="s">
        <v>525</v>
      </c>
      <c r="C73" s="356">
        <v>1866954711</v>
      </c>
      <c r="D73" s="356">
        <v>1799598563</v>
      </c>
      <c r="E73" s="356">
        <v>67356148</v>
      </c>
      <c r="F73" s="357">
        <v>1866954711</v>
      </c>
      <c r="G73" s="357">
        <v>1799598563</v>
      </c>
      <c r="H73" s="358">
        <v>67356148</v>
      </c>
      <c r="I73" s="359"/>
      <c r="J73" s="359"/>
      <c r="K73" s="358"/>
      <c r="L73" s="360">
        <v>1</v>
      </c>
      <c r="M73" s="358">
        <v>0</v>
      </c>
      <c r="N73" s="361">
        <v>0</v>
      </c>
      <c r="O73" s="358">
        <v>0</v>
      </c>
      <c r="P73" s="358">
        <v>0</v>
      </c>
      <c r="Q73" s="358">
        <v>0</v>
      </c>
      <c r="R73" s="358">
        <v>0</v>
      </c>
      <c r="S73" s="358">
        <v>1866954711</v>
      </c>
      <c r="T73" s="358">
        <v>1799598563</v>
      </c>
      <c r="U73" s="357">
        <v>67356148</v>
      </c>
      <c r="V73" s="358"/>
      <c r="W73" s="358"/>
      <c r="X73" s="358"/>
      <c r="Y73" s="358"/>
      <c r="Z73" s="358"/>
      <c r="AA73" s="358"/>
      <c r="AB73" s="358"/>
      <c r="AC73" s="362"/>
      <c r="AD73" s="97">
        <v>0</v>
      </c>
      <c r="AE73" s="97">
        <v>0</v>
      </c>
      <c r="AF73" s="97">
        <v>0</v>
      </c>
      <c r="AG73" s="208" t="s">
        <v>630</v>
      </c>
      <c r="AL73" s="364" t="s">
        <v>524</v>
      </c>
      <c r="AM73" s="365" t="s">
        <v>946</v>
      </c>
      <c r="AN73" s="364">
        <v>1866955</v>
      </c>
      <c r="AO73" s="366">
        <v>1799599</v>
      </c>
      <c r="AP73" s="366">
        <v>67356</v>
      </c>
      <c r="AQ73" s="367">
        <v>3.6077998666277401E-2</v>
      </c>
      <c r="AR73" s="364"/>
      <c r="AS73" s="366"/>
      <c r="AT73" s="368"/>
      <c r="AU73" s="364"/>
      <c r="AV73" s="366"/>
      <c r="AW73" s="368"/>
      <c r="AX73" s="369">
        <v>0</v>
      </c>
      <c r="AY73" s="366">
        <v>0</v>
      </c>
      <c r="AZ73" s="368">
        <v>0</v>
      </c>
      <c r="BA73" s="369">
        <v>0</v>
      </c>
      <c r="BB73" s="366">
        <v>0</v>
      </c>
      <c r="BC73" s="368">
        <v>0</v>
      </c>
      <c r="BD73" s="369">
        <v>1866955</v>
      </c>
      <c r="BE73" s="366">
        <v>1799599</v>
      </c>
      <c r="BF73" s="365">
        <v>67356</v>
      </c>
      <c r="BG73" s="370">
        <v>1</v>
      </c>
      <c r="BH73" s="327">
        <v>0</v>
      </c>
      <c r="BI73" s="371">
        <v>0</v>
      </c>
      <c r="BJ73" s="372">
        <v>0</v>
      </c>
      <c r="BK73" s="372">
        <v>0</v>
      </c>
      <c r="BL73" s="373">
        <v>0</v>
      </c>
    </row>
    <row r="74" spans="1:64" ht="19.5" customHeight="1">
      <c r="A74" s="354" t="s">
        <v>947</v>
      </c>
      <c r="B74" s="410" t="s">
        <v>948</v>
      </c>
      <c r="C74" s="356">
        <v>79212113</v>
      </c>
      <c r="D74" s="356">
        <v>46804708</v>
      </c>
      <c r="E74" s="356">
        <v>32407405</v>
      </c>
      <c r="F74" s="357">
        <v>79212113</v>
      </c>
      <c r="G74" s="357">
        <v>46804708</v>
      </c>
      <c r="H74" s="358">
        <v>32407405</v>
      </c>
      <c r="I74" s="359"/>
      <c r="J74" s="359"/>
      <c r="K74" s="358"/>
      <c r="L74" s="360">
        <v>1</v>
      </c>
      <c r="M74" s="358">
        <v>0</v>
      </c>
      <c r="N74" s="361">
        <v>0</v>
      </c>
      <c r="O74" s="358">
        <v>0</v>
      </c>
      <c r="P74" s="358">
        <v>0</v>
      </c>
      <c r="Q74" s="358">
        <v>0</v>
      </c>
      <c r="R74" s="358">
        <v>0</v>
      </c>
      <c r="S74" s="358">
        <v>79212113</v>
      </c>
      <c r="T74" s="358">
        <v>46804708</v>
      </c>
      <c r="U74" s="357">
        <v>32407405</v>
      </c>
      <c r="V74" s="358"/>
      <c r="W74" s="358"/>
      <c r="X74" s="358"/>
      <c r="Y74" s="358"/>
      <c r="Z74" s="358"/>
      <c r="AA74" s="358"/>
      <c r="AB74" s="358"/>
      <c r="AC74" s="362"/>
      <c r="AD74" s="97">
        <v>0</v>
      </c>
      <c r="AE74" s="97">
        <v>0</v>
      </c>
      <c r="AF74" s="97">
        <v>0</v>
      </c>
      <c r="AG74" s="208" t="s">
        <v>630</v>
      </c>
      <c r="AL74" s="364" t="s">
        <v>947</v>
      </c>
      <c r="AM74" s="365" t="s">
        <v>949</v>
      </c>
      <c r="AN74" s="364">
        <v>79212</v>
      </c>
      <c r="AO74" s="366">
        <v>46805</v>
      </c>
      <c r="AP74" s="366">
        <v>32407</v>
      </c>
      <c r="AQ74" s="367">
        <v>0.40911730545876901</v>
      </c>
      <c r="AR74" s="364"/>
      <c r="AS74" s="366"/>
      <c r="AT74" s="368"/>
      <c r="AU74" s="364"/>
      <c r="AV74" s="366"/>
      <c r="AW74" s="368"/>
      <c r="AX74" s="369">
        <v>0</v>
      </c>
      <c r="AY74" s="366">
        <v>0</v>
      </c>
      <c r="AZ74" s="368">
        <v>0</v>
      </c>
      <c r="BA74" s="369">
        <v>0</v>
      </c>
      <c r="BB74" s="366">
        <v>0</v>
      </c>
      <c r="BC74" s="368">
        <v>0</v>
      </c>
      <c r="BD74" s="369">
        <v>79212</v>
      </c>
      <c r="BE74" s="366">
        <v>46805</v>
      </c>
      <c r="BF74" s="365">
        <v>32407</v>
      </c>
      <c r="BG74" s="370">
        <v>1</v>
      </c>
      <c r="BH74" s="327">
        <v>0</v>
      </c>
      <c r="BI74" s="371">
        <v>0</v>
      </c>
      <c r="BJ74" s="372">
        <v>0</v>
      </c>
      <c r="BK74" s="372">
        <v>0</v>
      </c>
      <c r="BL74" s="373">
        <v>0</v>
      </c>
    </row>
    <row r="75" spans="1:64" ht="19.5" customHeight="1">
      <c r="A75" s="354" t="s">
        <v>950</v>
      </c>
      <c r="B75" s="410" t="s">
        <v>951</v>
      </c>
      <c r="C75" s="356">
        <v>709877612</v>
      </c>
      <c r="D75" s="356">
        <v>667213968</v>
      </c>
      <c r="E75" s="356">
        <v>42663644</v>
      </c>
      <c r="F75" s="357">
        <v>704228075</v>
      </c>
      <c r="G75" s="357">
        <v>661903968</v>
      </c>
      <c r="H75" s="358">
        <v>42324107</v>
      </c>
      <c r="I75" s="359"/>
      <c r="J75" s="359"/>
      <c r="K75" s="358"/>
      <c r="L75" s="360">
        <v>1</v>
      </c>
      <c r="M75" s="358">
        <v>5649537</v>
      </c>
      <c r="N75" s="361">
        <v>5310000</v>
      </c>
      <c r="O75" s="358">
        <v>339537</v>
      </c>
      <c r="P75" s="358">
        <v>5649537</v>
      </c>
      <c r="Q75" s="358">
        <v>5310000</v>
      </c>
      <c r="R75" s="358">
        <v>339537</v>
      </c>
      <c r="S75" s="358">
        <v>709877612</v>
      </c>
      <c r="T75" s="358">
        <v>667213968</v>
      </c>
      <c r="U75" s="357">
        <v>42663644</v>
      </c>
      <c r="V75" s="358"/>
      <c r="W75" s="358"/>
      <c r="X75" s="358"/>
      <c r="Y75" s="358"/>
      <c r="Z75" s="358"/>
      <c r="AA75" s="358"/>
      <c r="AB75" s="358"/>
      <c r="AC75" s="362"/>
      <c r="AD75" s="97">
        <v>0</v>
      </c>
      <c r="AE75" s="97">
        <v>0</v>
      </c>
      <c r="AF75" s="97">
        <v>0</v>
      </c>
      <c r="AG75" s="208" t="s">
        <v>630</v>
      </c>
      <c r="AL75" s="364" t="s">
        <v>950</v>
      </c>
      <c r="AM75" s="365" t="s">
        <v>952</v>
      </c>
      <c r="AN75" s="364">
        <v>709878</v>
      </c>
      <c r="AO75" s="366">
        <v>667214</v>
      </c>
      <c r="AP75" s="366">
        <v>42664</v>
      </c>
      <c r="AQ75" s="367">
        <v>6.0100467967735299E-2</v>
      </c>
      <c r="AR75" s="364"/>
      <c r="AS75" s="366"/>
      <c r="AT75" s="368"/>
      <c r="AU75" s="364"/>
      <c r="AV75" s="366"/>
      <c r="AW75" s="368"/>
      <c r="AX75" s="369">
        <v>5650</v>
      </c>
      <c r="AY75" s="366">
        <v>5310</v>
      </c>
      <c r="AZ75" s="368">
        <v>340</v>
      </c>
      <c r="BA75" s="369">
        <v>5650</v>
      </c>
      <c r="BB75" s="366">
        <v>5310</v>
      </c>
      <c r="BC75" s="368">
        <v>340</v>
      </c>
      <c r="BD75" s="369">
        <v>709878</v>
      </c>
      <c r="BE75" s="366">
        <v>667214</v>
      </c>
      <c r="BF75" s="365">
        <v>42664</v>
      </c>
      <c r="BG75" s="370">
        <v>1</v>
      </c>
      <c r="BH75" s="327">
        <v>0</v>
      </c>
      <c r="BI75" s="371">
        <v>0</v>
      </c>
      <c r="BJ75" s="372">
        <v>0</v>
      </c>
      <c r="BK75" s="372">
        <v>0</v>
      </c>
      <c r="BL75" s="373">
        <v>0</v>
      </c>
    </row>
    <row r="76" spans="1:64" ht="19.5" customHeight="1">
      <c r="A76" s="354" t="s">
        <v>467</v>
      </c>
      <c r="B76" s="410" t="s">
        <v>468</v>
      </c>
      <c r="C76" s="356">
        <v>200000000</v>
      </c>
      <c r="D76" s="356">
        <v>188000000</v>
      </c>
      <c r="E76" s="356">
        <v>12000000</v>
      </c>
      <c r="F76" s="357">
        <v>198734778</v>
      </c>
      <c r="G76" s="357">
        <v>186810691</v>
      </c>
      <c r="H76" s="358">
        <v>11924087</v>
      </c>
      <c r="I76" s="359"/>
      <c r="J76" s="359"/>
      <c r="K76" s="358"/>
      <c r="L76" s="360">
        <v>0.99840409574468103</v>
      </c>
      <c r="M76" s="358">
        <v>946041</v>
      </c>
      <c r="N76" s="361">
        <v>889279</v>
      </c>
      <c r="O76" s="358">
        <v>56762</v>
      </c>
      <c r="P76" s="358">
        <v>946041</v>
      </c>
      <c r="Q76" s="358">
        <v>889279</v>
      </c>
      <c r="R76" s="358">
        <v>56762</v>
      </c>
      <c r="S76" s="358">
        <v>199680819</v>
      </c>
      <c r="T76" s="358">
        <v>187699970</v>
      </c>
      <c r="U76" s="357">
        <v>11980849</v>
      </c>
      <c r="V76" s="358"/>
      <c r="W76" s="358"/>
      <c r="X76" s="358"/>
      <c r="Y76" s="358"/>
      <c r="Z76" s="358"/>
      <c r="AA76" s="358"/>
      <c r="AB76" s="358"/>
      <c r="AC76" s="362"/>
      <c r="AD76" s="97">
        <v>0</v>
      </c>
      <c r="AE76" s="97">
        <v>0</v>
      </c>
      <c r="AF76" s="97">
        <v>0</v>
      </c>
      <c r="AG76" s="208" t="s">
        <v>630</v>
      </c>
      <c r="AL76" s="364" t="s">
        <v>467</v>
      </c>
      <c r="AM76" s="365" t="s">
        <v>953</v>
      </c>
      <c r="AN76" s="364">
        <v>200000</v>
      </c>
      <c r="AO76" s="366">
        <v>188000</v>
      </c>
      <c r="AP76" s="366">
        <v>12000</v>
      </c>
      <c r="AQ76" s="367">
        <v>0.06</v>
      </c>
      <c r="AR76" s="364"/>
      <c r="AS76" s="366"/>
      <c r="AT76" s="368"/>
      <c r="AU76" s="364"/>
      <c r="AV76" s="366"/>
      <c r="AW76" s="368"/>
      <c r="AX76" s="369">
        <v>946</v>
      </c>
      <c r="AY76" s="366">
        <v>889</v>
      </c>
      <c r="AZ76" s="368">
        <v>57</v>
      </c>
      <c r="BA76" s="369">
        <v>946</v>
      </c>
      <c r="BB76" s="366">
        <v>889</v>
      </c>
      <c r="BC76" s="368">
        <v>57</v>
      </c>
      <c r="BD76" s="369">
        <v>199681</v>
      </c>
      <c r="BE76" s="366">
        <v>187700</v>
      </c>
      <c r="BF76" s="365">
        <v>11981</v>
      </c>
      <c r="BG76" s="370">
        <v>0.99840499999999999</v>
      </c>
      <c r="BH76" s="327">
        <v>-9.0425531895643698E-7</v>
      </c>
      <c r="BI76" s="371">
        <v>319</v>
      </c>
      <c r="BJ76" s="372">
        <v>300</v>
      </c>
      <c r="BK76" s="372">
        <v>19</v>
      </c>
      <c r="BL76" s="373">
        <v>1.59500000000001E-3</v>
      </c>
    </row>
    <row r="77" spans="1:64" ht="19.5" customHeight="1">
      <c r="A77" s="354" t="s">
        <v>469</v>
      </c>
      <c r="B77" s="410" t="s">
        <v>954</v>
      </c>
      <c r="C77" s="356">
        <v>1427800000</v>
      </c>
      <c r="D77" s="356">
        <v>1342093000</v>
      </c>
      <c r="E77" s="356">
        <v>85707000</v>
      </c>
      <c r="F77" s="357">
        <v>465630323</v>
      </c>
      <c r="G77" s="357">
        <v>437679785</v>
      </c>
      <c r="H77" s="358">
        <v>27950538</v>
      </c>
      <c r="I77" s="359"/>
      <c r="J77" s="359"/>
      <c r="K77" s="358"/>
      <c r="L77" s="360">
        <v>0.97056497500545802</v>
      </c>
      <c r="M77" s="358">
        <v>920142348</v>
      </c>
      <c r="N77" s="361">
        <v>864908674</v>
      </c>
      <c r="O77" s="358">
        <v>55233674</v>
      </c>
      <c r="P77" s="358">
        <v>920142348</v>
      </c>
      <c r="Q77" s="358">
        <v>864908674</v>
      </c>
      <c r="R77" s="358">
        <v>55233674</v>
      </c>
      <c r="S77" s="358">
        <v>1385772671</v>
      </c>
      <c r="T77" s="358">
        <v>1302588459</v>
      </c>
      <c r="U77" s="357">
        <v>83184212</v>
      </c>
      <c r="V77" s="358"/>
      <c r="W77" s="358"/>
      <c r="X77" s="358"/>
      <c r="Y77" s="358"/>
      <c r="Z77" s="358"/>
      <c r="AA77" s="358"/>
      <c r="AB77" s="358"/>
      <c r="AC77" s="362"/>
      <c r="AD77" s="97">
        <v>0</v>
      </c>
      <c r="AE77" s="97">
        <v>0</v>
      </c>
      <c r="AF77" s="97">
        <v>0</v>
      </c>
      <c r="AG77" s="208" t="s">
        <v>630</v>
      </c>
      <c r="AL77" s="364" t="s">
        <v>469</v>
      </c>
      <c r="AM77" s="365" t="s">
        <v>955</v>
      </c>
      <c r="AN77" s="364">
        <v>1427800</v>
      </c>
      <c r="AO77" s="366">
        <v>1342093</v>
      </c>
      <c r="AP77" s="366">
        <v>85707</v>
      </c>
      <c r="AQ77" s="367">
        <v>6.0027314749964998E-2</v>
      </c>
      <c r="AR77" s="364"/>
      <c r="AS77" s="366"/>
      <c r="AT77" s="368"/>
      <c r="AU77" s="364"/>
      <c r="AV77" s="366"/>
      <c r="AW77" s="368"/>
      <c r="AX77" s="369">
        <v>920142</v>
      </c>
      <c r="AY77" s="366">
        <v>864909</v>
      </c>
      <c r="AZ77" s="368">
        <v>55233</v>
      </c>
      <c r="BA77" s="369">
        <v>920142</v>
      </c>
      <c r="BB77" s="366">
        <v>864909</v>
      </c>
      <c r="BC77" s="368">
        <v>55233</v>
      </c>
      <c r="BD77" s="369">
        <v>1385773</v>
      </c>
      <c r="BE77" s="366">
        <v>1302588</v>
      </c>
      <c r="BF77" s="365">
        <v>83185</v>
      </c>
      <c r="BG77" s="370">
        <v>0.97056520521081402</v>
      </c>
      <c r="BH77" s="327">
        <v>-2.3020535577789E-7</v>
      </c>
      <c r="BI77" s="371">
        <v>42027</v>
      </c>
      <c r="BJ77" s="372">
        <v>39505</v>
      </c>
      <c r="BK77" s="372">
        <v>2522</v>
      </c>
      <c r="BL77" s="373">
        <v>2.9434794789186199E-2</v>
      </c>
    </row>
    <row r="78" spans="1:64" ht="19.5" customHeight="1">
      <c r="A78" s="354" t="s">
        <v>956</v>
      </c>
      <c r="B78" s="410" t="s">
        <v>856</v>
      </c>
      <c r="C78" s="356">
        <v>800000000</v>
      </c>
      <c r="D78" s="356">
        <v>752000000</v>
      </c>
      <c r="E78" s="356">
        <v>48000000</v>
      </c>
      <c r="F78" s="357">
        <v>8000000</v>
      </c>
      <c r="G78" s="357">
        <v>7520000</v>
      </c>
      <c r="H78" s="358">
        <v>480000</v>
      </c>
      <c r="I78" s="359"/>
      <c r="J78" s="359"/>
      <c r="K78" s="358"/>
      <c r="L78" s="360">
        <v>0.21</v>
      </c>
      <c r="M78" s="358">
        <v>160000000</v>
      </c>
      <c r="N78" s="361">
        <v>150400000</v>
      </c>
      <c r="O78" s="358">
        <v>9600000</v>
      </c>
      <c r="P78" s="358">
        <v>160000000</v>
      </c>
      <c r="Q78" s="358">
        <v>150400000</v>
      </c>
      <c r="R78" s="358">
        <v>9600000</v>
      </c>
      <c r="S78" s="358">
        <v>168000000</v>
      </c>
      <c r="T78" s="358">
        <v>157920000</v>
      </c>
      <c r="U78" s="357">
        <v>10080000</v>
      </c>
      <c r="V78" s="358"/>
      <c r="W78" s="358"/>
      <c r="X78" s="358"/>
      <c r="Y78" s="358"/>
      <c r="Z78" s="358"/>
      <c r="AA78" s="358"/>
      <c r="AB78" s="358"/>
      <c r="AC78" s="362"/>
      <c r="AD78" s="97">
        <v>0</v>
      </c>
      <c r="AE78" s="97">
        <v>0</v>
      </c>
      <c r="AF78" s="97">
        <v>0</v>
      </c>
      <c r="AG78" s="208" t="s">
        <v>630</v>
      </c>
      <c r="AL78" s="364" t="s">
        <v>956</v>
      </c>
      <c r="AM78" s="365" t="s">
        <v>857</v>
      </c>
      <c r="AN78" s="364">
        <v>800000</v>
      </c>
      <c r="AO78" s="366">
        <v>752000</v>
      </c>
      <c r="AP78" s="366">
        <v>48000</v>
      </c>
      <c r="AQ78" s="367">
        <v>0.06</v>
      </c>
      <c r="AR78" s="364"/>
      <c r="AS78" s="366"/>
      <c r="AT78" s="368"/>
      <c r="AU78" s="364"/>
      <c r="AV78" s="366"/>
      <c r="AW78" s="368"/>
      <c r="AX78" s="369">
        <v>160000</v>
      </c>
      <c r="AY78" s="366">
        <v>150400</v>
      </c>
      <c r="AZ78" s="368">
        <v>9600</v>
      </c>
      <c r="BA78" s="369">
        <v>160000</v>
      </c>
      <c r="BB78" s="366">
        <v>150400</v>
      </c>
      <c r="BC78" s="368">
        <v>9600</v>
      </c>
      <c r="BD78" s="369">
        <v>168000</v>
      </c>
      <c r="BE78" s="366">
        <v>157920</v>
      </c>
      <c r="BF78" s="365">
        <v>10080</v>
      </c>
      <c r="BG78" s="370">
        <v>0.21</v>
      </c>
      <c r="BH78" s="327">
        <v>0</v>
      </c>
      <c r="BI78" s="371">
        <v>632000</v>
      </c>
      <c r="BJ78" s="372">
        <v>594080</v>
      </c>
      <c r="BK78" s="372">
        <v>37920</v>
      </c>
      <c r="BL78" s="373">
        <v>0.79</v>
      </c>
    </row>
    <row r="79" spans="1:64" ht="19.5" customHeight="1">
      <c r="A79" s="354" t="s">
        <v>957</v>
      </c>
      <c r="B79" s="410" t="s">
        <v>859</v>
      </c>
      <c r="C79" s="380">
        <v>1000000000</v>
      </c>
      <c r="D79" s="380">
        <v>940000000</v>
      </c>
      <c r="E79" s="356">
        <v>60000000</v>
      </c>
      <c r="F79" s="357">
        <v>0</v>
      </c>
      <c r="G79" s="357">
        <v>0</v>
      </c>
      <c r="H79" s="358">
        <v>0</v>
      </c>
      <c r="I79" s="359"/>
      <c r="J79" s="359"/>
      <c r="K79" s="358"/>
      <c r="L79" s="360">
        <v>8.0000000000000002E-3</v>
      </c>
      <c r="M79" s="358">
        <v>8000000</v>
      </c>
      <c r="N79" s="361">
        <v>7520000</v>
      </c>
      <c r="O79" s="358">
        <v>480000</v>
      </c>
      <c r="P79" s="358">
        <v>8000000</v>
      </c>
      <c r="Q79" s="358">
        <v>7520000</v>
      </c>
      <c r="R79" s="358">
        <v>480000</v>
      </c>
      <c r="S79" s="358">
        <v>8000000</v>
      </c>
      <c r="T79" s="358">
        <v>7520000</v>
      </c>
      <c r="U79" s="357">
        <v>480000</v>
      </c>
      <c r="V79" s="358"/>
      <c r="W79" s="358"/>
      <c r="X79" s="358"/>
      <c r="Y79" s="358"/>
      <c r="Z79" s="358"/>
      <c r="AA79" s="358"/>
      <c r="AB79" s="358"/>
      <c r="AC79" s="362"/>
      <c r="AD79" s="97">
        <v>0</v>
      </c>
      <c r="AE79" s="97">
        <v>0</v>
      </c>
      <c r="AF79" s="97">
        <v>0</v>
      </c>
      <c r="AG79" s="208" t="s">
        <v>630</v>
      </c>
      <c r="AL79" s="364" t="s">
        <v>957</v>
      </c>
      <c r="AM79" s="365" t="s">
        <v>860</v>
      </c>
      <c r="AN79" s="364">
        <v>1000000</v>
      </c>
      <c r="AO79" s="366">
        <v>940000</v>
      </c>
      <c r="AP79" s="366">
        <v>60000</v>
      </c>
      <c r="AQ79" s="367">
        <v>0.06</v>
      </c>
      <c r="AR79" s="364"/>
      <c r="AS79" s="366"/>
      <c r="AT79" s="368"/>
      <c r="AU79" s="364"/>
      <c r="AV79" s="366"/>
      <c r="AW79" s="368"/>
      <c r="AX79" s="369">
        <v>8000</v>
      </c>
      <c r="AY79" s="366">
        <v>7520</v>
      </c>
      <c r="AZ79" s="368">
        <v>480</v>
      </c>
      <c r="BA79" s="369">
        <v>8000</v>
      </c>
      <c r="BB79" s="366">
        <v>7520</v>
      </c>
      <c r="BC79" s="368">
        <v>480</v>
      </c>
      <c r="BD79" s="369">
        <v>8000</v>
      </c>
      <c r="BE79" s="366">
        <v>7520</v>
      </c>
      <c r="BF79" s="365">
        <v>480</v>
      </c>
      <c r="BG79" s="370">
        <v>8.0000000000000002E-3</v>
      </c>
      <c r="BH79" s="327">
        <v>0</v>
      </c>
      <c r="BI79" s="371">
        <v>992000</v>
      </c>
      <c r="BJ79" s="372">
        <v>932480</v>
      </c>
      <c r="BK79" s="372">
        <v>59520</v>
      </c>
      <c r="BL79" s="373">
        <v>0.99199999999999999</v>
      </c>
    </row>
    <row r="80" spans="1:64" ht="19.5" customHeight="1">
      <c r="A80" s="354" t="s">
        <v>958</v>
      </c>
      <c r="B80" s="410" t="s">
        <v>862</v>
      </c>
      <c r="C80" s="356">
        <v>0</v>
      </c>
      <c r="D80" s="356">
        <v>0</v>
      </c>
      <c r="E80" s="356">
        <v>0</v>
      </c>
      <c r="F80" s="357">
        <v>0</v>
      </c>
      <c r="G80" s="357">
        <v>0</v>
      </c>
      <c r="H80" s="358">
        <v>0</v>
      </c>
      <c r="I80" s="359"/>
      <c r="J80" s="359"/>
      <c r="K80" s="358"/>
      <c r="L80" s="360">
        <v>0</v>
      </c>
      <c r="M80" s="358">
        <v>0</v>
      </c>
      <c r="N80" s="361">
        <v>0</v>
      </c>
      <c r="O80" s="358">
        <v>0</v>
      </c>
      <c r="P80" s="358">
        <v>0</v>
      </c>
      <c r="Q80" s="358">
        <v>0</v>
      </c>
      <c r="R80" s="358">
        <v>0</v>
      </c>
      <c r="S80" s="358">
        <v>0</v>
      </c>
      <c r="T80" s="358">
        <v>0</v>
      </c>
      <c r="U80" s="357">
        <v>0</v>
      </c>
      <c r="V80" s="358"/>
      <c r="W80" s="358"/>
      <c r="X80" s="358"/>
      <c r="Y80" s="358"/>
      <c r="Z80" s="358"/>
      <c r="AA80" s="358"/>
      <c r="AB80" s="358"/>
      <c r="AC80" s="362"/>
      <c r="AD80" s="97">
        <v>0</v>
      </c>
      <c r="AE80" s="97" t="e">
        <f>#DIV/0!</f>
        <v>#DIV/0!</v>
      </c>
      <c r="AF80" s="97">
        <v>0</v>
      </c>
      <c r="AG80" s="208" t="s">
        <v>630</v>
      </c>
      <c r="AL80" s="364" t="s">
        <v>958</v>
      </c>
      <c r="AM80" s="365" t="s">
        <v>863</v>
      </c>
      <c r="AN80" s="364">
        <v>0</v>
      </c>
      <c r="AO80" s="366">
        <v>0</v>
      </c>
      <c r="AP80" s="366">
        <v>0</v>
      </c>
      <c r="AQ80" s="367" t="e">
        <f>#DIV/0!</f>
        <v>#DIV/0!</v>
      </c>
      <c r="AR80" s="364"/>
      <c r="AS80" s="366"/>
      <c r="AT80" s="368"/>
      <c r="AU80" s="364"/>
      <c r="AV80" s="366"/>
      <c r="AW80" s="368"/>
      <c r="AX80" s="369">
        <v>0</v>
      </c>
      <c r="AY80" s="366">
        <v>0</v>
      </c>
      <c r="AZ80" s="368">
        <v>0</v>
      </c>
      <c r="BA80" s="369">
        <v>0</v>
      </c>
      <c r="BB80" s="366">
        <v>0</v>
      </c>
      <c r="BC80" s="368">
        <v>0</v>
      </c>
      <c r="BD80" s="369">
        <v>0</v>
      </c>
      <c r="BE80" s="366">
        <v>0</v>
      </c>
      <c r="BF80" s="365">
        <v>0</v>
      </c>
      <c r="BG80" s="370" t="e">
        <f>#DIV/0!</f>
        <v>#DIV/0!</v>
      </c>
      <c r="BH80" s="327"/>
      <c r="BI80" s="371">
        <v>0</v>
      </c>
      <c r="BJ80" s="372">
        <v>0</v>
      </c>
      <c r="BK80" s="372">
        <v>0</v>
      </c>
      <c r="BL80" s="373" t="e">
        <f>#DIV/0!</f>
        <v>#DIV/0!</v>
      </c>
    </row>
    <row r="81" spans="1:94" ht="19.5" customHeight="1">
      <c r="A81" s="354" t="s">
        <v>959</v>
      </c>
      <c r="B81" s="410" t="s">
        <v>868</v>
      </c>
      <c r="C81" s="356">
        <v>0</v>
      </c>
      <c r="D81" s="356">
        <v>0</v>
      </c>
      <c r="E81" s="356">
        <v>0</v>
      </c>
      <c r="F81" s="357">
        <v>0</v>
      </c>
      <c r="G81" s="357">
        <v>0</v>
      </c>
      <c r="H81" s="358">
        <v>0</v>
      </c>
      <c r="I81" s="359"/>
      <c r="J81" s="359"/>
      <c r="K81" s="359"/>
      <c r="L81" s="360"/>
      <c r="M81" s="389"/>
      <c r="N81" s="361"/>
      <c r="O81" s="389">
        <v>0</v>
      </c>
      <c r="P81" s="358">
        <v>0</v>
      </c>
      <c r="Q81" s="358">
        <v>0</v>
      </c>
      <c r="R81" s="358">
        <v>0</v>
      </c>
      <c r="S81" s="358">
        <v>0</v>
      </c>
      <c r="T81" s="358">
        <v>0</v>
      </c>
      <c r="U81" s="357">
        <v>0</v>
      </c>
      <c r="V81" s="358"/>
      <c r="W81" s="358"/>
      <c r="X81" s="358"/>
      <c r="Y81" s="358"/>
      <c r="Z81" s="358"/>
      <c r="AA81" s="358"/>
      <c r="AB81" s="358"/>
      <c r="AC81" s="362"/>
      <c r="AL81" s="364" t="s">
        <v>959</v>
      </c>
      <c r="AM81" s="365" t="s">
        <v>960</v>
      </c>
      <c r="AN81" s="364">
        <v>0</v>
      </c>
      <c r="AO81" s="366">
        <v>0</v>
      </c>
      <c r="AP81" s="366">
        <v>0</v>
      </c>
      <c r="AQ81" s="367" t="e">
        <f>#DIV/0!</f>
        <v>#DIV/0!</v>
      </c>
      <c r="AR81" s="364"/>
      <c r="AS81" s="366"/>
      <c r="AT81" s="368"/>
      <c r="AU81" s="364"/>
      <c r="AV81" s="366"/>
      <c r="AW81" s="368"/>
      <c r="AX81" s="369">
        <v>0</v>
      </c>
      <c r="AY81" s="366">
        <v>0</v>
      </c>
      <c r="AZ81" s="368">
        <v>0</v>
      </c>
      <c r="BA81" s="369">
        <v>0</v>
      </c>
      <c r="BB81" s="366">
        <v>0</v>
      </c>
      <c r="BC81" s="368">
        <v>0</v>
      </c>
      <c r="BD81" s="369">
        <v>0</v>
      </c>
      <c r="BE81" s="366">
        <v>0</v>
      </c>
      <c r="BF81" s="365">
        <v>0</v>
      </c>
      <c r="BG81" s="370" t="e">
        <f>#DIV/0!</f>
        <v>#DIV/0!</v>
      </c>
      <c r="BI81" s="421"/>
      <c r="BJ81" s="422"/>
      <c r="BK81" s="422"/>
      <c r="BL81" s="423"/>
    </row>
    <row r="82" spans="1:94" ht="19.5" customHeight="1">
      <c r="A82" s="2728" t="s">
        <v>961</v>
      </c>
      <c r="B82" s="2728"/>
      <c r="C82" s="390">
        <v>7157331940</v>
      </c>
      <c r="D82" s="390">
        <v>6747932797</v>
      </c>
      <c r="E82" s="390">
        <v>409399143</v>
      </c>
      <c r="F82" s="390">
        <v>4383714009</v>
      </c>
      <c r="G82" s="390">
        <v>4140703517</v>
      </c>
      <c r="H82" s="390">
        <v>243010492</v>
      </c>
      <c r="I82" s="404">
        <v>0</v>
      </c>
      <c r="J82" s="404">
        <v>0</v>
      </c>
      <c r="K82" s="404">
        <v>0</v>
      </c>
      <c r="L82" s="391"/>
      <c r="M82" s="390">
        <v>1104478198</v>
      </c>
      <c r="N82" s="390">
        <v>1038228734</v>
      </c>
      <c r="O82" s="390">
        <v>66249464</v>
      </c>
      <c r="P82" s="390">
        <v>1104478198</v>
      </c>
      <c r="Q82" s="390">
        <v>1038228734</v>
      </c>
      <c r="R82" s="390">
        <v>66249464</v>
      </c>
      <c r="S82" s="390">
        <v>5488192207</v>
      </c>
      <c r="T82" s="390">
        <v>5178932251</v>
      </c>
      <c r="U82" s="390">
        <v>309259956</v>
      </c>
      <c r="V82" s="390">
        <v>0</v>
      </c>
      <c r="W82" s="390">
        <v>0</v>
      </c>
      <c r="X82" s="390">
        <v>0</v>
      </c>
      <c r="Y82" s="390">
        <v>0</v>
      </c>
      <c r="Z82" s="390">
        <v>0</v>
      </c>
      <c r="AA82" s="390">
        <v>0</v>
      </c>
      <c r="AB82" s="390">
        <v>0</v>
      </c>
      <c r="AC82" s="392"/>
      <c r="AI82" s="233"/>
      <c r="AJ82" s="233"/>
      <c r="AL82" s="393"/>
      <c r="AM82" s="401" t="s">
        <v>962</v>
      </c>
      <c r="AN82" s="393">
        <v>7157333</v>
      </c>
      <c r="AO82" s="390">
        <v>6747934</v>
      </c>
      <c r="AP82" s="390">
        <v>409399</v>
      </c>
      <c r="AQ82" s="395">
        <v>5.7199937462739298E-2</v>
      </c>
      <c r="AR82" s="393">
        <v>0</v>
      </c>
      <c r="AS82" s="390">
        <v>0</v>
      </c>
      <c r="AT82" s="399">
        <v>0</v>
      </c>
      <c r="AU82" s="396">
        <v>0</v>
      </c>
      <c r="AV82" s="397">
        <v>0</v>
      </c>
      <c r="AW82" s="398">
        <v>0</v>
      </c>
      <c r="AX82" s="400">
        <v>1104478</v>
      </c>
      <c r="AY82" s="390">
        <v>1038229</v>
      </c>
      <c r="AZ82" s="399">
        <v>66249</v>
      </c>
      <c r="BA82" s="400">
        <v>1104478</v>
      </c>
      <c r="BB82" s="390">
        <v>1038229</v>
      </c>
      <c r="BC82" s="399">
        <v>66249</v>
      </c>
      <c r="BD82" s="400">
        <v>5488193</v>
      </c>
      <c r="BE82" s="390">
        <v>5178932</v>
      </c>
      <c r="BF82" s="401">
        <v>309261</v>
      </c>
      <c r="BG82" s="399"/>
      <c r="BH82" s="402"/>
      <c r="BI82" s="414">
        <v>1669140</v>
      </c>
      <c r="BJ82" s="416">
        <v>1569002</v>
      </c>
      <c r="BK82" s="416">
        <v>100138</v>
      </c>
      <c r="BL82" s="405">
        <v>5.9993769246438303E-2</v>
      </c>
    </row>
    <row r="83" spans="1:94" ht="19.5" customHeight="1">
      <c r="A83" s="354" t="s">
        <v>963</v>
      </c>
      <c r="B83" s="410" t="s">
        <v>964</v>
      </c>
      <c r="C83" s="164"/>
      <c r="D83" s="164"/>
      <c r="E83" s="164"/>
      <c r="F83" s="357"/>
      <c r="G83" s="357"/>
      <c r="H83" s="358">
        <v>0</v>
      </c>
      <c r="I83" s="359"/>
      <c r="J83" s="359"/>
      <c r="K83" s="358"/>
      <c r="L83" s="360"/>
      <c r="M83" s="361">
        <v>154704</v>
      </c>
      <c r="N83" s="361">
        <v>6778240</v>
      </c>
      <c r="O83" s="361">
        <v>-6623536</v>
      </c>
      <c r="P83" s="358">
        <v>154704</v>
      </c>
      <c r="Q83" s="358">
        <v>6778240</v>
      </c>
      <c r="R83" s="358">
        <v>-6623536</v>
      </c>
      <c r="S83" s="356">
        <v>154704</v>
      </c>
      <c r="T83" s="356">
        <v>6778240</v>
      </c>
      <c r="U83" s="424">
        <v>-6623536</v>
      </c>
      <c r="V83" s="358"/>
      <c r="W83" s="358"/>
      <c r="X83" s="358"/>
      <c r="Y83" s="358"/>
      <c r="Z83" s="358"/>
      <c r="AA83" s="358"/>
      <c r="AB83" s="358"/>
      <c r="AC83" s="362"/>
      <c r="AL83" s="364" t="s">
        <v>963</v>
      </c>
      <c r="AM83" s="365" t="s">
        <v>965</v>
      </c>
      <c r="AN83" s="364"/>
      <c r="AO83" s="366"/>
      <c r="AP83" s="366"/>
      <c r="AQ83" s="367"/>
      <c r="AR83" s="364"/>
      <c r="AS83" s="366"/>
      <c r="AT83" s="368"/>
      <c r="AU83" s="364"/>
      <c r="AV83" s="366"/>
      <c r="AW83" s="368"/>
      <c r="AX83" s="369">
        <v>155</v>
      </c>
      <c r="AY83" s="366">
        <v>6778</v>
      </c>
      <c r="AZ83" s="368">
        <v>-6623</v>
      </c>
      <c r="BA83" s="369">
        <v>155</v>
      </c>
      <c r="BB83" s="366">
        <v>6778</v>
      </c>
      <c r="BC83" s="368">
        <v>-6623</v>
      </c>
      <c r="BD83" s="369">
        <v>155</v>
      </c>
      <c r="BE83" s="366">
        <v>6778</v>
      </c>
      <c r="BF83" s="365">
        <v>-6623</v>
      </c>
      <c r="BG83" s="370" t="e">
        <f>#DIV/0!</f>
        <v>#DIV/0!</v>
      </c>
      <c r="BI83" s="371"/>
      <c r="BJ83" s="372"/>
      <c r="BK83" s="372"/>
      <c r="BL83" s="425"/>
    </row>
    <row r="84" spans="1:94" ht="19.5" customHeight="1">
      <c r="A84" s="354"/>
      <c r="B84" s="354"/>
      <c r="C84" s="164"/>
      <c r="D84" s="164"/>
      <c r="E84" s="164"/>
      <c r="F84" s="358"/>
      <c r="G84" s="358"/>
      <c r="H84" s="358"/>
      <c r="I84" s="359"/>
      <c r="J84" s="359"/>
      <c r="K84" s="359"/>
      <c r="L84" s="360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362"/>
      <c r="AE84" s="426"/>
      <c r="AF84" s="426"/>
      <c r="AG84" s="427"/>
      <c r="AK84" s="426"/>
      <c r="AL84" s="364"/>
      <c r="AM84" s="365"/>
      <c r="AN84" s="364"/>
      <c r="AO84" s="366"/>
      <c r="AP84" s="366"/>
      <c r="AQ84" s="367"/>
      <c r="AR84" s="364"/>
      <c r="AS84" s="366"/>
      <c r="AT84" s="368"/>
      <c r="AU84" s="364"/>
      <c r="AV84" s="366"/>
      <c r="AW84" s="368"/>
      <c r="AX84" s="369"/>
      <c r="AY84" s="366"/>
      <c r="AZ84" s="368"/>
      <c r="BA84" s="369"/>
      <c r="BB84" s="366"/>
      <c r="BC84" s="368"/>
      <c r="BD84" s="369"/>
      <c r="BE84" s="366"/>
      <c r="BF84" s="365"/>
      <c r="BG84" s="368"/>
      <c r="BI84" s="371"/>
      <c r="BJ84" s="372"/>
      <c r="BK84" s="372"/>
      <c r="BL84" s="425"/>
    </row>
    <row r="85" spans="1:94" ht="19.5" customHeight="1">
      <c r="A85" s="354"/>
      <c r="B85" s="354"/>
      <c r="C85" s="164"/>
      <c r="D85" s="164"/>
      <c r="E85" s="164"/>
      <c r="F85" s="358"/>
      <c r="G85" s="358"/>
      <c r="H85" s="358"/>
      <c r="I85" s="359"/>
      <c r="J85" s="359"/>
      <c r="K85" s="428"/>
      <c r="L85" s="360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362"/>
      <c r="AE85" s="231"/>
      <c r="AF85" s="231"/>
      <c r="AG85" s="216"/>
      <c r="AK85" s="231"/>
      <c r="AL85" s="364"/>
      <c r="AM85" s="365"/>
      <c r="AN85" s="364"/>
      <c r="AO85" s="366"/>
      <c r="AP85" s="366"/>
      <c r="AQ85" s="367"/>
      <c r="AR85" s="364"/>
      <c r="AS85" s="366"/>
      <c r="AT85" s="368"/>
      <c r="AU85" s="364"/>
      <c r="AV85" s="366"/>
      <c r="AW85" s="368"/>
      <c r="AX85" s="369"/>
      <c r="AY85" s="366"/>
      <c r="AZ85" s="368"/>
      <c r="BA85" s="369"/>
      <c r="BB85" s="366"/>
      <c r="BC85" s="368"/>
      <c r="BD85" s="369"/>
      <c r="BE85" s="366"/>
      <c r="BF85" s="365"/>
      <c r="BG85" s="368"/>
      <c r="BI85" s="371"/>
      <c r="BJ85" s="372"/>
      <c r="BK85" s="372"/>
      <c r="BL85" s="425"/>
    </row>
    <row r="86" spans="1:94" s="337" customFormat="1" ht="19.5" customHeight="1">
      <c r="A86" s="2729" t="s">
        <v>767</v>
      </c>
      <c r="B86" s="2729"/>
      <c r="C86" s="429">
        <v>172824288078.052</v>
      </c>
      <c r="D86" s="429">
        <v>164325966966.978</v>
      </c>
      <c r="E86" s="429">
        <v>8498321111.0739803</v>
      </c>
      <c r="F86" s="429">
        <v>84677039314</v>
      </c>
      <c r="G86" s="429">
        <v>81081467698.5681</v>
      </c>
      <c r="H86" s="429">
        <v>3595571615.43186</v>
      </c>
      <c r="I86" s="429">
        <v>0</v>
      </c>
      <c r="J86" s="429">
        <v>0</v>
      </c>
      <c r="K86" s="429">
        <v>0</v>
      </c>
      <c r="L86" s="430">
        <v>0</v>
      </c>
      <c r="M86" s="429">
        <v>21626716700</v>
      </c>
      <c r="N86" s="429">
        <v>20430524863.125</v>
      </c>
      <c r="O86" s="429">
        <v>1196191836.875</v>
      </c>
      <c r="P86" s="429">
        <v>21626716700</v>
      </c>
      <c r="Q86" s="429">
        <v>20430524863.125</v>
      </c>
      <c r="R86" s="429">
        <v>1196191836.875</v>
      </c>
      <c r="S86" s="429">
        <v>106303756014</v>
      </c>
      <c r="T86" s="429">
        <v>101511992561.69299</v>
      </c>
      <c r="U86" s="429">
        <v>4791763452.30686</v>
      </c>
      <c r="V86" s="429">
        <v>0</v>
      </c>
      <c r="W86" s="429">
        <v>0</v>
      </c>
      <c r="X86" s="429">
        <v>-6488189</v>
      </c>
      <c r="Y86" s="429">
        <v>135355425</v>
      </c>
      <c r="Z86" s="429">
        <v>-20066870</v>
      </c>
      <c r="AA86" s="429">
        <v>-20066870</v>
      </c>
      <c r="AB86" s="429">
        <v>115288555</v>
      </c>
      <c r="AC86" s="392"/>
      <c r="AD86" s="233"/>
      <c r="AE86" s="233"/>
      <c r="AF86" s="233"/>
      <c r="AG86" s="340"/>
      <c r="AH86" s="340"/>
      <c r="AI86" s="233"/>
      <c r="AJ86" s="233"/>
      <c r="AK86" s="233"/>
      <c r="AL86" s="431"/>
      <c r="AM86" s="432"/>
      <c r="AN86" s="431">
        <v>172824290</v>
      </c>
      <c r="AO86" s="429">
        <v>164325967</v>
      </c>
      <c r="AP86" s="429">
        <v>8498323</v>
      </c>
      <c r="AQ86" s="433">
        <v>4.9173197818431699E-2</v>
      </c>
      <c r="AR86" s="431">
        <v>0</v>
      </c>
      <c r="AS86" s="429">
        <v>0</v>
      </c>
      <c r="AT86" s="434">
        <v>0</v>
      </c>
      <c r="AU86" s="431">
        <v>0</v>
      </c>
      <c r="AV86" s="429">
        <v>0</v>
      </c>
      <c r="AW86" s="434">
        <v>0</v>
      </c>
      <c r="AX86" s="435">
        <v>21626718</v>
      </c>
      <c r="AY86" s="429">
        <v>20430523</v>
      </c>
      <c r="AZ86" s="434">
        <v>1196195</v>
      </c>
      <c r="BA86" s="431">
        <v>21626718</v>
      </c>
      <c r="BB86" s="429">
        <v>20430523</v>
      </c>
      <c r="BC86" s="434">
        <v>1196195</v>
      </c>
      <c r="BD86" s="431">
        <v>106303759</v>
      </c>
      <c r="BE86" s="429">
        <v>101511995</v>
      </c>
      <c r="BF86" s="432">
        <v>4791764</v>
      </c>
      <c r="BG86" s="434"/>
      <c r="BI86" s="436">
        <v>64996684</v>
      </c>
      <c r="BJ86" s="437">
        <v>61380570</v>
      </c>
      <c r="BK86" s="437">
        <v>3616114</v>
      </c>
      <c r="BL86" s="438"/>
      <c r="BN86" s="326"/>
    </row>
    <row r="87" spans="1:94" s="439" customFormat="1" ht="19.5" customHeight="1">
      <c r="C87" s="440">
        <v>0</v>
      </c>
      <c r="D87" s="440">
        <v>0</v>
      </c>
      <c r="E87" s="440">
        <v>0</v>
      </c>
      <c r="F87" s="232">
        <v>0</v>
      </c>
      <c r="G87" s="232">
        <v>0</v>
      </c>
      <c r="H87" s="232">
        <v>0</v>
      </c>
      <c r="I87" s="441"/>
      <c r="J87" s="442"/>
      <c r="K87" s="442"/>
      <c r="L87" s="443"/>
      <c r="M87" s="442"/>
      <c r="N87" s="442">
        <v>0</v>
      </c>
      <c r="O87" s="444"/>
      <c r="P87" s="442"/>
      <c r="Q87" s="442"/>
      <c r="R87" s="442"/>
      <c r="S87" s="442"/>
      <c r="T87" s="442"/>
      <c r="U87" s="442"/>
      <c r="V87" s="442"/>
      <c r="W87" s="442"/>
      <c r="X87" s="442"/>
      <c r="Y87" s="445"/>
      <c r="Z87" s="446"/>
      <c r="AA87" s="446"/>
      <c r="AB87" s="446"/>
      <c r="AC87" s="445"/>
      <c r="AD87" s="193"/>
      <c r="AE87" s="193"/>
      <c r="AF87" s="193"/>
      <c r="AG87" s="447"/>
      <c r="AH87" s="447"/>
      <c r="AI87" s="193"/>
      <c r="AJ87" s="193"/>
      <c r="AK87" s="193"/>
      <c r="AM87" s="448"/>
      <c r="AN87" s="449">
        <v>-1.9219476282596599</v>
      </c>
      <c r="AO87" s="449">
        <v>-3.3021599054336603E-2</v>
      </c>
      <c r="AP87" s="449">
        <v>-1.88892601802945</v>
      </c>
      <c r="AQ87" s="443"/>
      <c r="AR87" s="449"/>
      <c r="AS87" s="193"/>
      <c r="AT87" s="450"/>
      <c r="AU87" s="451"/>
      <c r="AV87" s="451"/>
      <c r="AW87" s="451"/>
      <c r="AX87" s="451">
        <v>1.3000000007450601</v>
      </c>
      <c r="AY87" s="193">
        <v>-1.8631250001490101</v>
      </c>
      <c r="AZ87" s="193">
        <v>3.1631249999627502</v>
      </c>
      <c r="BA87" s="193">
        <v>1.3000000007450601</v>
      </c>
      <c r="BB87" s="193">
        <v>-1.8631250001490101</v>
      </c>
      <c r="BC87" s="193">
        <v>3.1631249999627502</v>
      </c>
      <c r="BD87" s="193">
        <v>2.9860000014305101</v>
      </c>
      <c r="BE87" s="193">
        <v>2.4383068531751602</v>
      </c>
      <c r="BF87" s="193">
        <v>0.5476931380108</v>
      </c>
      <c r="BG87" s="193"/>
      <c r="BI87" s="193">
        <v>1524002</v>
      </c>
      <c r="BJ87" s="193">
        <v>0</v>
      </c>
      <c r="BK87" s="193">
        <v>2</v>
      </c>
      <c r="BL87" s="193"/>
    </row>
    <row r="88" spans="1:94" ht="19.5" customHeight="1">
      <c r="C88" s="326"/>
      <c r="D88" s="326"/>
      <c r="E88" s="326"/>
      <c r="F88" s="452"/>
      <c r="G88" s="452"/>
      <c r="H88" s="452"/>
      <c r="I88" s="452"/>
      <c r="J88" s="452"/>
      <c r="K88" s="452"/>
      <c r="L88" s="453"/>
      <c r="M88" s="452"/>
      <c r="N88" s="452"/>
      <c r="O88" s="452"/>
      <c r="P88" s="452"/>
      <c r="Q88" s="452"/>
      <c r="R88" s="452"/>
      <c r="S88" s="392"/>
      <c r="T88" s="392"/>
      <c r="U88" s="392"/>
      <c r="V88" s="362"/>
      <c r="W88" s="362"/>
      <c r="X88" s="362"/>
      <c r="Y88" s="454"/>
      <c r="Z88" s="362"/>
      <c r="AA88" s="362"/>
      <c r="AB88" s="362"/>
      <c r="AC88" s="454"/>
      <c r="AJ88" s="326"/>
      <c r="AL88" s="326"/>
      <c r="AN88" s="392"/>
      <c r="AO88" s="392"/>
      <c r="AP88" s="392"/>
      <c r="AQ88" s="455"/>
      <c r="AR88" s="362"/>
      <c r="AS88" s="97"/>
      <c r="AT88" s="456"/>
      <c r="AU88" s="326"/>
      <c r="AV88" s="326"/>
      <c r="AW88" s="326"/>
      <c r="AX88" s="326"/>
      <c r="BD88" s="326"/>
    </row>
    <row r="89" spans="1:94" ht="19.5" customHeight="1">
      <c r="C89" s="326"/>
      <c r="D89" s="326"/>
      <c r="E89" s="326"/>
      <c r="F89" s="97"/>
      <c r="G89" s="97"/>
      <c r="H89" s="97"/>
      <c r="I89" s="454"/>
      <c r="J89" s="454"/>
      <c r="K89" s="454"/>
      <c r="M89" s="362"/>
      <c r="N89" s="362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454"/>
      <c r="Z89" s="362"/>
      <c r="AA89" s="362"/>
      <c r="AB89" s="362"/>
      <c r="AC89" s="454"/>
      <c r="AJ89" s="326"/>
      <c r="AL89" s="326"/>
      <c r="AN89" s="392"/>
      <c r="AO89" s="392"/>
      <c r="AP89" s="392"/>
      <c r="AQ89" s="455"/>
      <c r="AR89" s="362"/>
      <c r="AS89" s="97"/>
      <c r="AT89" s="456"/>
      <c r="AU89" s="326"/>
      <c r="AV89" s="326"/>
      <c r="AW89" s="326"/>
      <c r="AX89" s="326"/>
      <c r="BD89" s="326"/>
    </row>
    <row r="90" spans="1:94" s="97" customFormat="1" ht="19.5" customHeight="1">
      <c r="A90" s="326"/>
      <c r="B90" s="326"/>
      <c r="E90" s="283"/>
      <c r="F90" s="290"/>
      <c r="G90" s="290"/>
      <c r="H90" s="290"/>
      <c r="I90" s="327"/>
      <c r="J90" s="327"/>
      <c r="K90" s="327"/>
      <c r="L90" s="328"/>
      <c r="P90" s="208"/>
      <c r="Q90" s="208"/>
      <c r="R90" s="208"/>
      <c r="S90" s="290"/>
      <c r="T90" s="290"/>
      <c r="U90" s="290"/>
      <c r="Y90" s="326"/>
      <c r="AC90" s="326"/>
      <c r="AG90" s="208"/>
      <c r="AH90" s="208"/>
      <c r="AN90" s="326"/>
      <c r="AQ90" s="328"/>
      <c r="AR90" s="233"/>
      <c r="AS90" s="329"/>
      <c r="AT90" s="329"/>
      <c r="AU90" s="326"/>
      <c r="AV90" s="326"/>
      <c r="AW90" s="326"/>
      <c r="AX90" s="326"/>
      <c r="BH90" s="326"/>
      <c r="BM90" s="326"/>
      <c r="BN90" s="326"/>
    </row>
    <row r="91" spans="1:94" ht="23.25" customHeight="1">
      <c r="A91" s="457" t="s">
        <v>966</v>
      </c>
      <c r="C91" s="326"/>
      <c r="D91" s="326"/>
      <c r="E91" s="326"/>
      <c r="F91" s="458"/>
      <c r="G91" s="458"/>
      <c r="H91" s="326"/>
      <c r="I91" s="459"/>
      <c r="J91" s="459"/>
      <c r="K91" s="459"/>
      <c r="L91" s="326"/>
      <c r="M91" s="290"/>
      <c r="N91" s="290"/>
      <c r="O91" s="290"/>
      <c r="P91" s="290"/>
      <c r="Q91" s="290"/>
      <c r="R91" s="290"/>
      <c r="S91" s="460"/>
      <c r="T91" s="458"/>
      <c r="U91" s="458"/>
      <c r="V91" s="458"/>
      <c r="W91" s="458"/>
      <c r="X91" s="458"/>
      <c r="Y91" s="461"/>
      <c r="Z91" s="458"/>
      <c r="AA91" s="458"/>
      <c r="AB91" s="326"/>
      <c r="AC91" s="461"/>
      <c r="AJ91" s="326"/>
      <c r="AL91" s="462"/>
      <c r="AM91" s="283"/>
      <c r="AN91" s="326"/>
      <c r="AO91" s="326"/>
      <c r="AP91" s="326"/>
      <c r="AQ91" s="326"/>
      <c r="AR91" s="326"/>
      <c r="AS91" s="326"/>
      <c r="AT91" s="326"/>
      <c r="AU91" s="97"/>
      <c r="AV91" s="97"/>
      <c r="AW91" s="97"/>
      <c r="BD91" s="302"/>
      <c r="BE91" s="302"/>
      <c r="BF91" s="302"/>
      <c r="BH91" s="444"/>
      <c r="BI91" s="451"/>
      <c r="BJ91" s="451"/>
      <c r="BK91" s="451"/>
      <c r="BN91" s="97"/>
      <c r="BO91" s="97"/>
      <c r="BY91" s="97"/>
      <c r="BZ91" s="97"/>
      <c r="CA91" s="97"/>
      <c r="CB91" s="97"/>
    </row>
    <row r="92" spans="1:94" s="474" customFormat="1" ht="23.25" customHeight="1">
      <c r="A92" s="463" t="s">
        <v>967</v>
      </c>
      <c r="B92" s="464" t="s">
        <v>968</v>
      </c>
      <c r="C92" s="465">
        <v>2229878305</v>
      </c>
      <c r="D92" s="465">
        <v>2061541153</v>
      </c>
      <c r="E92" s="466">
        <v>168337152</v>
      </c>
      <c r="F92" s="357">
        <v>2122703746</v>
      </c>
      <c r="G92" s="357">
        <v>1962457376</v>
      </c>
      <c r="H92" s="358">
        <v>160246370</v>
      </c>
      <c r="I92" s="467"/>
      <c r="J92" s="467"/>
      <c r="K92" s="226"/>
      <c r="L92" s="468">
        <v>0.99697214872915996</v>
      </c>
      <c r="M92" s="226">
        <v>100422819</v>
      </c>
      <c r="N92" s="230">
        <v>92841737</v>
      </c>
      <c r="O92" s="226">
        <v>7581082</v>
      </c>
      <c r="P92" s="226">
        <v>100422819</v>
      </c>
      <c r="Q92" s="226">
        <v>92841737</v>
      </c>
      <c r="R92" s="226">
        <v>7581082</v>
      </c>
      <c r="S92" s="226">
        <v>2223126565</v>
      </c>
      <c r="T92" s="226">
        <v>2055299113</v>
      </c>
      <c r="U92" s="225">
        <v>167827452</v>
      </c>
      <c r="V92" s="226"/>
      <c r="W92" s="226"/>
      <c r="X92" s="226"/>
      <c r="Y92" s="226"/>
      <c r="Z92" s="226"/>
      <c r="AA92" s="226"/>
      <c r="AB92" s="226"/>
      <c r="AC92" s="290"/>
      <c r="AD92" s="97">
        <v>0</v>
      </c>
      <c r="AE92" s="97">
        <v>0</v>
      </c>
      <c r="AF92" s="97">
        <v>0</v>
      </c>
      <c r="AG92" s="208" t="s">
        <v>630</v>
      </c>
      <c r="AH92" s="208"/>
      <c r="AI92" s="208"/>
      <c r="AJ92" s="98"/>
      <c r="AK92" s="98"/>
      <c r="AL92" s="469" t="s">
        <v>967</v>
      </c>
      <c r="AM92" s="470" t="s">
        <v>968</v>
      </c>
      <c r="AN92" s="364">
        <v>2229878</v>
      </c>
      <c r="AO92" s="366">
        <v>2061541</v>
      </c>
      <c r="AP92" s="366">
        <v>168337</v>
      </c>
      <c r="AQ92" s="367">
        <v>7.5491573978486701E-2</v>
      </c>
      <c r="AR92" s="471"/>
      <c r="AS92" s="472"/>
      <c r="AT92" s="473"/>
      <c r="AU92" s="471"/>
      <c r="AV92" s="472"/>
      <c r="AW92" s="473"/>
      <c r="AX92" s="369">
        <v>100423</v>
      </c>
      <c r="AY92" s="366">
        <v>92842</v>
      </c>
      <c r="AZ92" s="368">
        <v>7581</v>
      </c>
      <c r="BA92" s="369">
        <v>100423</v>
      </c>
      <c r="BB92" s="366">
        <v>92842</v>
      </c>
      <c r="BC92" s="368">
        <v>7581</v>
      </c>
      <c r="BD92" s="369">
        <v>2223127</v>
      </c>
      <c r="BE92" s="366">
        <v>2055299</v>
      </c>
      <c r="BF92" s="365">
        <v>167828</v>
      </c>
      <c r="BG92" s="370">
        <v>0.99697248010877704</v>
      </c>
      <c r="BH92" s="327">
        <v>-3.31379617302119E-7</v>
      </c>
      <c r="BI92" s="371">
        <v>6751</v>
      </c>
      <c r="BJ92" s="372">
        <v>6242</v>
      </c>
      <c r="BK92" s="372">
        <v>509</v>
      </c>
      <c r="BL92" s="373">
        <v>3.0275198912227399E-3</v>
      </c>
      <c r="BN92" s="98"/>
      <c r="BO92" s="98"/>
      <c r="BP92" s="475"/>
      <c r="BQ92" s="476"/>
      <c r="BR92" s="477"/>
      <c r="BS92" s="475"/>
      <c r="BT92" s="476"/>
      <c r="BU92" s="477"/>
      <c r="BV92" s="475"/>
      <c r="BW92" s="476"/>
      <c r="BX92" s="477"/>
      <c r="BY92" s="98"/>
      <c r="BZ92" s="98"/>
      <c r="CA92" s="98"/>
      <c r="CB92" s="98"/>
    </row>
    <row r="93" spans="1:94" s="474" customFormat="1" ht="23.25" customHeight="1">
      <c r="A93" s="463" t="s">
        <v>969</v>
      </c>
      <c r="B93" s="464" t="s">
        <v>970</v>
      </c>
      <c r="C93" s="465">
        <v>3252514518</v>
      </c>
      <c r="D93" s="465">
        <v>3020306775</v>
      </c>
      <c r="E93" s="466">
        <v>232207743</v>
      </c>
      <c r="F93" s="357">
        <v>3008207350</v>
      </c>
      <c r="G93" s="357">
        <v>2793441501.7571402</v>
      </c>
      <c r="H93" s="358">
        <v>214765848.24285701</v>
      </c>
      <c r="I93" s="467"/>
      <c r="J93" s="467"/>
      <c r="K93" s="226"/>
      <c r="L93" s="468">
        <v>0.99714661129320004</v>
      </c>
      <c r="M93" s="226">
        <v>235026480</v>
      </c>
      <c r="N93" s="230">
        <v>218247164</v>
      </c>
      <c r="O93" s="226">
        <v>16779316</v>
      </c>
      <c r="P93" s="226">
        <v>235026480</v>
      </c>
      <c r="Q93" s="226">
        <v>218247164</v>
      </c>
      <c r="R93" s="226">
        <v>16779316</v>
      </c>
      <c r="S93" s="226">
        <v>3243233830</v>
      </c>
      <c r="T93" s="226">
        <v>3011688665.7571402</v>
      </c>
      <c r="U93" s="225">
        <v>231545164.24285701</v>
      </c>
      <c r="V93" s="226"/>
      <c r="W93" s="226"/>
      <c r="X93" s="226"/>
      <c r="Y93" s="226"/>
      <c r="Z93" s="226"/>
      <c r="AA93" s="226"/>
      <c r="AB93" s="226"/>
      <c r="AC93" s="290"/>
      <c r="AD93" s="97">
        <v>0</v>
      </c>
      <c r="AE93" s="97">
        <v>0</v>
      </c>
      <c r="AF93" s="97">
        <v>0</v>
      </c>
      <c r="AG93" s="208" t="s">
        <v>630</v>
      </c>
      <c r="AH93" s="208"/>
      <c r="AI93" s="208"/>
      <c r="AJ93" s="98"/>
      <c r="AK93" s="98"/>
      <c r="AL93" s="478" t="s">
        <v>969</v>
      </c>
      <c r="AM93" s="479" t="s">
        <v>970</v>
      </c>
      <c r="AN93" s="364">
        <v>3252515</v>
      </c>
      <c r="AO93" s="366">
        <v>3020307</v>
      </c>
      <c r="AP93" s="366">
        <v>232208</v>
      </c>
      <c r="AQ93" s="367">
        <v>7.1393367901454702E-2</v>
      </c>
      <c r="AR93" s="480"/>
      <c r="AS93" s="315"/>
      <c r="AT93" s="481"/>
      <c r="AU93" s="480"/>
      <c r="AV93" s="315"/>
      <c r="AW93" s="481"/>
      <c r="AX93" s="369">
        <v>235026</v>
      </c>
      <c r="AY93" s="366">
        <v>218247</v>
      </c>
      <c r="AZ93" s="368">
        <v>16779</v>
      </c>
      <c r="BA93" s="369">
        <v>235026</v>
      </c>
      <c r="BB93" s="366">
        <v>218247</v>
      </c>
      <c r="BC93" s="368">
        <v>16779</v>
      </c>
      <c r="BD93" s="369">
        <v>3243234</v>
      </c>
      <c r="BE93" s="366">
        <v>3011689</v>
      </c>
      <c r="BF93" s="365">
        <v>231545</v>
      </c>
      <c r="BG93" s="370">
        <v>0.99714651585004199</v>
      </c>
      <c r="BH93" s="327">
        <v>9.5443157821506501E-8</v>
      </c>
      <c r="BI93" s="371">
        <v>9281</v>
      </c>
      <c r="BJ93" s="372">
        <v>8618</v>
      </c>
      <c r="BK93" s="372">
        <v>663</v>
      </c>
      <c r="BL93" s="373">
        <v>2.85348414995779E-3</v>
      </c>
      <c r="BN93" s="98"/>
      <c r="BO93" s="98"/>
      <c r="BP93" s="482"/>
      <c r="BQ93" s="483"/>
      <c r="BR93" s="484"/>
      <c r="BS93" s="482"/>
      <c r="BT93" s="483"/>
      <c r="BU93" s="484"/>
      <c r="BV93" s="482"/>
      <c r="BW93" s="483"/>
      <c r="BX93" s="484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74" customFormat="1" ht="23.25" customHeight="1">
      <c r="A94" s="463"/>
      <c r="B94" s="463"/>
      <c r="C94" s="465"/>
      <c r="D94" s="465"/>
      <c r="E94" s="466"/>
      <c r="F94" s="465"/>
      <c r="G94" s="465"/>
      <c r="H94" s="465"/>
      <c r="I94" s="485"/>
      <c r="J94" s="485"/>
      <c r="K94" s="485"/>
      <c r="L94" s="486"/>
      <c r="M94" s="465"/>
      <c r="N94" s="465"/>
      <c r="O94" s="465"/>
      <c r="P94" s="465"/>
      <c r="Q94" s="465"/>
      <c r="R94" s="465"/>
      <c r="S94" s="465"/>
      <c r="T94" s="465"/>
      <c r="U94" s="465"/>
      <c r="V94" s="465"/>
      <c r="W94" s="465"/>
      <c r="X94" s="465"/>
      <c r="Y94" s="465"/>
      <c r="Z94" s="465"/>
      <c r="AA94" s="465"/>
      <c r="AB94" s="465"/>
      <c r="AD94" s="98"/>
      <c r="AE94" s="98"/>
      <c r="AF94" s="98"/>
      <c r="AG94" s="102"/>
      <c r="AH94" s="102"/>
      <c r="AI94" s="98"/>
      <c r="AJ94" s="98"/>
      <c r="AK94" s="98"/>
      <c r="AL94" s="487"/>
      <c r="AM94" s="488"/>
      <c r="AN94" s="489"/>
      <c r="AO94" s="490"/>
      <c r="AP94" s="490"/>
      <c r="AQ94" s="491"/>
      <c r="AR94" s="489"/>
      <c r="AS94" s="492"/>
      <c r="AT94" s="493"/>
      <c r="AU94" s="489"/>
      <c r="AV94" s="490"/>
      <c r="AW94" s="494"/>
      <c r="AX94" s="489"/>
      <c r="AY94" s="490"/>
      <c r="AZ94" s="494"/>
      <c r="BA94" s="489"/>
      <c r="BB94" s="490"/>
      <c r="BC94" s="494"/>
      <c r="BD94" s="489"/>
      <c r="BE94" s="490"/>
      <c r="BF94" s="490"/>
      <c r="BG94" s="495"/>
      <c r="BH94" s="496"/>
      <c r="BI94" s="489"/>
      <c r="BJ94" s="490"/>
      <c r="BK94" s="490"/>
      <c r="BL94" s="495"/>
      <c r="BN94" s="98"/>
      <c r="BO94" s="98"/>
      <c r="BP94" s="497"/>
      <c r="BQ94" s="498"/>
      <c r="BR94" s="499"/>
      <c r="BS94" s="497"/>
      <c r="BT94" s="498"/>
      <c r="BU94" s="499"/>
      <c r="BV94" s="497"/>
      <c r="BW94" s="498"/>
      <c r="BX94" s="499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500"/>
      <c r="B95" s="500"/>
      <c r="C95" s="501">
        <v>5482392823</v>
      </c>
      <c r="D95" s="501">
        <v>5081847928</v>
      </c>
      <c r="E95" s="501">
        <v>400544895</v>
      </c>
      <c r="F95" s="501">
        <v>5130911096</v>
      </c>
      <c r="G95" s="501">
        <v>4755898877.7571402</v>
      </c>
      <c r="H95" s="501">
        <v>375012218.24285698</v>
      </c>
      <c r="I95" s="501">
        <v>0</v>
      </c>
      <c r="J95" s="501">
        <v>0</v>
      </c>
      <c r="K95" s="501">
        <v>0</v>
      </c>
      <c r="L95" s="501"/>
      <c r="M95" s="501">
        <v>335449299</v>
      </c>
      <c r="N95" s="501">
        <v>311088901</v>
      </c>
      <c r="O95" s="501">
        <v>24360398</v>
      </c>
      <c r="P95" s="501">
        <v>335449299</v>
      </c>
      <c r="Q95" s="501">
        <v>311088901</v>
      </c>
      <c r="R95" s="501">
        <v>24360398</v>
      </c>
      <c r="S95" s="501">
        <v>5466360395</v>
      </c>
      <c r="T95" s="501">
        <v>5066987778.7571402</v>
      </c>
      <c r="U95" s="501">
        <v>399372616.24285698</v>
      </c>
      <c r="V95" s="501">
        <v>0</v>
      </c>
      <c r="W95" s="501">
        <v>0</v>
      </c>
      <c r="X95" s="501">
        <v>0</v>
      </c>
      <c r="Y95" s="501">
        <v>0</v>
      </c>
      <c r="Z95" s="501">
        <v>0</v>
      </c>
      <c r="AA95" s="501">
        <v>0</v>
      </c>
      <c r="AB95" s="501">
        <v>0</v>
      </c>
      <c r="AC95" s="474"/>
      <c r="AG95" s="102"/>
      <c r="AH95" s="102"/>
      <c r="AL95" s="502"/>
      <c r="AM95" s="503"/>
      <c r="AN95" s="504">
        <v>5482393</v>
      </c>
      <c r="AO95" s="505">
        <v>5081848</v>
      </c>
      <c r="AP95" s="506">
        <v>400545</v>
      </c>
      <c r="AQ95" s="507"/>
      <c r="AR95" s="508"/>
      <c r="AS95" s="505"/>
      <c r="AT95" s="507"/>
      <c r="AU95" s="508"/>
      <c r="AV95" s="505"/>
      <c r="AW95" s="507"/>
      <c r="AX95" s="508">
        <v>335449</v>
      </c>
      <c r="AY95" s="505">
        <v>311089</v>
      </c>
      <c r="AZ95" s="507">
        <v>24360</v>
      </c>
      <c r="BA95" s="508">
        <v>335449</v>
      </c>
      <c r="BB95" s="505">
        <v>311089</v>
      </c>
      <c r="BC95" s="507">
        <v>24360</v>
      </c>
      <c r="BD95" s="508">
        <v>5466361</v>
      </c>
      <c r="BE95" s="505">
        <v>5066988</v>
      </c>
      <c r="BF95" s="507">
        <v>399373</v>
      </c>
      <c r="BG95" s="509"/>
      <c r="BH95" s="496"/>
      <c r="BI95" s="508">
        <v>16032</v>
      </c>
      <c r="BJ95" s="505">
        <v>14860</v>
      </c>
      <c r="BK95" s="507">
        <v>1172</v>
      </c>
      <c r="BL95" s="507"/>
      <c r="BM95" s="474"/>
      <c r="BP95" s="508"/>
      <c r="BQ95" s="505"/>
      <c r="BR95" s="507"/>
      <c r="BS95" s="508"/>
      <c r="BT95" s="505"/>
      <c r="BU95" s="507"/>
      <c r="BV95" s="508"/>
      <c r="BW95" s="505"/>
      <c r="BX95" s="507"/>
      <c r="CC95" s="474"/>
      <c r="CD95" s="474"/>
      <c r="CE95" s="474"/>
      <c r="CF95" s="474"/>
      <c r="CJ95" s="474"/>
      <c r="CK95" s="474"/>
      <c r="CL95" s="474"/>
    </row>
    <row r="96" spans="1:94" s="97" customFormat="1" ht="20.25" customHeight="1">
      <c r="A96" s="326"/>
      <c r="C96" s="97">
        <v>0</v>
      </c>
      <c r="D96" s="97">
        <v>-61264946</v>
      </c>
      <c r="E96" s="97">
        <v>61264946</v>
      </c>
      <c r="F96" s="232">
        <v>0</v>
      </c>
      <c r="G96" s="232">
        <v>0</v>
      </c>
      <c r="H96" s="232">
        <v>0</v>
      </c>
      <c r="I96" s="327"/>
      <c r="J96" s="327"/>
      <c r="K96" s="327"/>
      <c r="L96" s="510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90"/>
      <c r="W96" s="290"/>
      <c r="X96" s="290"/>
      <c r="Y96" s="402"/>
      <c r="Z96" s="290"/>
      <c r="AA96" s="290"/>
      <c r="AB96" s="290"/>
      <c r="AC96" s="326"/>
      <c r="AG96" s="208"/>
      <c r="AH96" s="208"/>
      <c r="AN96" s="449">
        <v>-0.177000000141561</v>
      </c>
      <c r="AO96" s="449">
        <v>-7.1999999694526196E-2</v>
      </c>
      <c r="AP96" s="449">
        <v>-0.10499999998137401</v>
      </c>
      <c r="AQ96" s="328"/>
      <c r="AR96" s="233"/>
      <c r="AS96" s="329"/>
      <c r="AT96" s="329"/>
      <c r="AU96" s="326"/>
      <c r="AV96" s="326"/>
      <c r="AW96" s="326"/>
      <c r="AX96" s="326">
        <v>-0.29899999999906901</v>
      </c>
      <c r="AY96" s="97">
        <v>9.8999999987427201E-2</v>
      </c>
      <c r="AZ96" s="97">
        <v>-0.39800000000104802</v>
      </c>
      <c r="BA96" s="97">
        <v>-0.29899999999906901</v>
      </c>
      <c r="BB96" s="97">
        <v>9.8999999987427201E-2</v>
      </c>
      <c r="BC96" s="97">
        <v>-0.39800000000104802</v>
      </c>
      <c r="BD96" s="97">
        <v>0.60500000044703495</v>
      </c>
      <c r="BE96" s="97">
        <v>0.22124285716563499</v>
      </c>
      <c r="BF96" s="97">
        <v>0.38375714304857</v>
      </c>
      <c r="BH96" s="326"/>
      <c r="BI96" s="97">
        <v>0</v>
      </c>
      <c r="BJ96" s="97">
        <v>0</v>
      </c>
      <c r="BK96" s="97">
        <v>0</v>
      </c>
      <c r="BM96" s="326"/>
      <c r="BN96" s="326"/>
    </row>
    <row r="97" spans="1:15" s="451" customFormat="1" ht="19.5" customHeight="1">
      <c r="A97" s="511"/>
      <c r="O97" s="512"/>
    </row>
    <row r="98" spans="1:15" s="451" customFormat="1" ht="19.5" customHeight="1">
      <c r="A98" s="513"/>
      <c r="O98" s="512"/>
    </row>
    <row r="99" spans="1:15" s="451" customFormat="1" ht="19.5" customHeight="1">
      <c r="A99" s="511"/>
    </row>
    <row r="100" spans="1:15" s="451" customFormat="1" ht="19.5" customHeight="1">
      <c r="A100" s="513"/>
    </row>
    <row r="101" spans="1:15" s="451" customFormat="1" ht="19.5" customHeight="1">
      <c r="A101" s="513"/>
    </row>
    <row r="102" spans="1:15" s="451" customFormat="1" ht="19.5" customHeight="1">
      <c r="A102" s="513"/>
    </row>
    <row r="103" spans="1:15" s="451" customFormat="1" ht="19.5" customHeight="1">
      <c r="A103" s="514"/>
    </row>
    <row r="104" spans="1:15" s="451" customFormat="1" ht="19.5" customHeight="1">
      <c r="A104" s="514"/>
    </row>
    <row r="105" spans="1:15" s="451" customFormat="1" ht="19.5" customHeight="1">
      <c r="A105" s="514"/>
    </row>
    <row r="106" spans="1:15" s="451" customFormat="1" ht="19.5" customHeight="1">
      <c r="A106" s="514"/>
    </row>
    <row r="107" spans="1:15" s="451" customFormat="1" ht="19.5" customHeight="1">
      <c r="A107" s="515"/>
    </row>
    <row r="108" spans="1:15" s="451" customFormat="1" ht="19.5" customHeight="1">
      <c r="A108" s="515"/>
    </row>
    <row r="109" spans="1:15" s="451" customFormat="1" ht="19.5" customHeight="1">
      <c r="A109" s="513"/>
    </row>
    <row r="110" spans="1:15" s="451" customFormat="1" ht="19.5" customHeight="1">
      <c r="A110" s="516"/>
    </row>
    <row r="111" spans="1:15" s="451" customFormat="1" ht="19.5" customHeight="1">
      <c r="A111" s="513"/>
    </row>
    <row r="112" spans="1:15" s="451" customFormat="1" ht="19.5" customHeight="1">
      <c r="A112" s="513"/>
    </row>
    <row r="113" spans="1:1" s="451" customFormat="1" ht="19.5" customHeight="1">
      <c r="A113" s="513"/>
    </row>
    <row r="114" spans="1:1" s="451" customFormat="1" ht="19.5" customHeight="1">
      <c r="A114" s="513"/>
    </row>
    <row r="115" spans="1:1" s="451" customFormat="1" ht="19.5" customHeight="1">
      <c r="A115" s="511"/>
    </row>
    <row r="116" spans="1:1" s="451" customFormat="1" ht="19.5" customHeight="1">
      <c r="A116" s="511"/>
    </row>
    <row r="117" spans="1:1" s="451" customFormat="1" ht="19.5" customHeight="1"/>
    <row r="118" spans="1:1" s="451" customFormat="1" ht="19.5" customHeight="1"/>
    <row r="119" spans="1:1" s="326" customFormat="1" ht="19.5" customHeight="1"/>
    <row r="120" spans="1:1" s="326" customFormat="1" ht="19.5" customHeight="1"/>
    <row r="121" spans="1:1" s="326" customFormat="1" ht="19.5" customHeight="1"/>
    <row r="122" spans="1:1" s="326" customFormat="1" ht="19.5" customHeight="1"/>
    <row r="123" spans="1:1" s="326" customFormat="1" ht="19.5" customHeight="1"/>
    <row r="124" spans="1:1" s="326" customFormat="1" ht="19.5" customHeight="1"/>
    <row r="125" spans="1:1" s="326" customFormat="1" ht="19.5" customHeight="1"/>
    <row r="126" spans="1:1" s="326" customFormat="1" ht="19.5" customHeight="1"/>
    <row r="127" spans="1:1" s="326" customFormat="1" ht="19.5" customHeight="1"/>
    <row r="128" spans="1:1" s="326" customFormat="1" ht="19.5" customHeight="1"/>
    <row r="129" s="326" customFormat="1" ht="19.5" customHeight="1"/>
    <row r="130" s="326" customFormat="1" ht="19.5" customHeight="1"/>
    <row r="131" s="326" customFormat="1" ht="19.5" customHeight="1"/>
    <row r="132" s="326" customFormat="1" ht="19.5" customHeight="1"/>
    <row r="133" s="326" customFormat="1" ht="19.5" customHeight="1"/>
    <row r="134" s="326" customFormat="1" ht="19.5" customHeight="1"/>
    <row r="135" s="326" customFormat="1" ht="19.5" customHeight="1"/>
    <row r="136" s="326" customFormat="1" ht="19.5" customHeight="1"/>
    <row r="137" s="326" customFormat="1" ht="19.5" customHeight="1"/>
    <row r="138" s="326" customFormat="1" ht="19.5" customHeight="1"/>
    <row r="139" s="326" customFormat="1" ht="19.5" customHeight="1"/>
    <row r="140" s="326" customFormat="1" ht="19.5" customHeight="1"/>
    <row r="141" s="326" customFormat="1" ht="19.5" customHeight="1"/>
    <row r="142" s="326" customFormat="1" ht="19.5" customHeight="1"/>
    <row r="143" s="326" customFormat="1" ht="19.5" customHeight="1"/>
    <row r="144" s="326" customFormat="1" ht="19.5" customHeight="1"/>
    <row r="145" s="326" customFormat="1" ht="19.5" customHeight="1"/>
    <row r="146" s="326" customFormat="1" ht="19.5" customHeight="1"/>
    <row r="147" s="326" customFormat="1" ht="19.5" customHeight="1"/>
  </sheetData>
  <mergeCells count="30">
    <mergeCell ref="A24:B24"/>
    <mergeCell ref="A62:B62"/>
    <mergeCell ref="A70:B70"/>
    <mergeCell ref="A82:B82"/>
    <mergeCell ref="A86:B86"/>
    <mergeCell ref="AU2:AW2"/>
    <mergeCell ref="AX2:AZ2"/>
    <mergeCell ref="BA2:BC2"/>
    <mergeCell ref="BD2:BG2"/>
    <mergeCell ref="BI2:BL2"/>
    <mergeCell ref="AN2:AN3"/>
    <mergeCell ref="AO2:AO3"/>
    <mergeCell ref="AP2:AP3"/>
    <mergeCell ref="AQ2:AQ3"/>
    <mergeCell ref="AR2:AT2"/>
    <mergeCell ref="S2:U2"/>
    <mergeCell ref="V2:X2"/>
    <mergeCell ref="Y2:AB2"/>
    <mergeCell ref="AL2:AL3"/>
    <mergeCell ref="AM2:AM3"/>
    <mergeCell ref="F2:H2"/>
    <mergeCell ref="I2:K2"/>
    <mergeCell ref="L2:L3"/>
    <mergeCell ref="M2:O2"/>
    <mergeCell ref="P2:R2"/>
    <mergeCell ref="A2:A3"/>
    <mergeCell ref="B2:B3"/>
    <mergeCell ref="C2:C3"/>
    <mergeCell ref="D2:D3"/>
    <mergeCell ref="E2:E3"/>
  </mergeCells>
  <phoneticPr fontId="101" type="noConversion"/>
  <conditionalFormatting sqref="L2:L61">
    <cfRule type="cellIs" dxfId="35" priority="12" operator="equal">
      <formula>1</formula>
    </cfRule>
    <cfRule type="cellIs" dxfId="34" priority="13" operator="between">
      <formula>0.9</formula>
      <formula>1</formula>
    </cfRule>
  </conditionalFormatting>
  <conditionalFormatting sqref="L4:L86">
    <cfRule type="cellIs" dxfId="33" priority="11" operator="greaterThan">
      <formula>1</formula>
    </cfRule>
  </conditionalFormatting>
  <conditionalFormatting sqref="L63:L69">
    <cfRule type="cellIs" dxfId="32" priority="14" operator="equal">
      <formula>1</formula>
    </cfRule>
    <cfRule type="cellIs" dxfId="31" priority="15" operator="between">
      <formula>0.9</formula>
      <formula>1</formula>
    </cfRule>
  </conditionalFormatting>
  <conditionalFormatting sqref="L71:L85 L90">
    <cfRule type="cellIs" dxfId="30" priority="20" operator="equal">
      <formula>1</formula>
    </cfRule>
    <cfRule type="cellIs" dxfId="29" priority="21" operator="between">
      <formula>0.9</formula>
      <formula>1</formula>
    </cfRule>
  </conditionalFormatting>
  <conditionalFormatting sqref="L92:L94">
    <cfRule type="cellIs" dxfId="28" priority="8" operator="greaterThan">
      <formula>1</formula>
    </cfRule>
    <cfRule type="cellIs" dxfId="27" priority="9" operator="equal">
      <formula>1</formula>
    </cfRule>
    <cfRule type="cellIs" dxfId="26" priority="10" operator="between">
      <formula>0.9</formula>
      <formula>1</formula>
    </cfRule>
  </conditionalFormatting>
  <conditionalFormatting sqref="L97:L65486">
    <cfRule type="cellIs" dxfId="25" priority="18" operator="equal">
      <formula>1</formula>
    </cfRule>
    <cfRule type="cellIs" dxfId="24" priority="19" operator="between">
      <formula>0.9</formula>
      <formula>1</formula>
    </cfRule>
  </conditionalFormatting>
  <conditionalFormatting sqref="N57">
    <cfRule type="cellIs" dxfId="23" priority="5" operator="greaterThan">
      <formula>1</formula>
    </cfRule>
    <cfRule type="cellIs" dxfId="22" priority="6" operator="equal">
      <formula>1</formula>
    </cfRule>
    <cfRule type="cellIs" dxfId="21" priority="7" operator="between">
      <formula>0.9</formula>
      <formula>1</formula>
    </cfRule>
  </conditionalFormatting>
  <conditionalFormatting sqref="N59">
    <cfRule type="cellIs" dxfId="20" priority="2" operator="greaterThan">
      <formula>1</formula>
    </cfRule>
    <cfRule type="cellIs" dxfId="19" priority="3" operator="equal">
      <formula>1</formula>
    </cfRule>
    <cfRule type="cellIs" dxfId="18" priority="4" operator="between">
      <formula>0.9</formula>
      <formula>1</formula>
    </cfRule>
  </conditionalFormatting>
  <conditionalFormatting sqref="AT88:AT89">
    <cfRule type="cellIs" dxfId="17" priority="16" operator="equal">
      <formula>1</formula>
    </cfRule>
    <cfRule type="cellIs" dxfId="16" priority="17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7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DD7EE"/>
  </sheetPr>
  <dimension ref="A1:WXL147"/>
  <sheetViews>
    <sheetView zoomScaleNormal="100" workbookViewId="0">
      <pane xSplit="2" ySplit="3" topLeftCell="N4" activePane="bottomRight" state="frozen"/>
      <selection pane="topRight" activeCell="N1" sqref="N1"/>
      <selection pane="bottomLeft" activeCell="A4" sqref="A4"/>
      <selection pane="bottomRight" activeCell="S90" sqref="S90"/>
    </sheetView>
  </sheetViews>
  <sheetFormatPr defaultColWidth="9" defaultRowHeight="15.6"/>
  <cols>
    <col min="1" max="1" width="13" style="326" customWidth="1"/>
    <col min="2" max="2" width="31.44140625" style="326" customWidth="1"/>
    <col min="3" max="4" width="15.44140625" style="97" customWidth="1"/>
    <col min="5" max="5" width="15.21875" style="290" customWidth="1"/>
    <col min="6" max="6" width="17.6640625" style="208" customWidth="1"/>
    <col min="7" max="7" width="16.44140625" style="208" customWidth="1"/>
    <col min="8" max="8" width="15.21875" style="208" customWidth="1"/>
    <col min="9" max="11" width="10" style="327" hidden="1" customWidth="1"/>
    <col min="12" max="12" width="9.44140625" style="510" customWidth="1"/>
    <col min="13" max="15" width="15" style="208" customWidth="1"/>
    <col min="16" max="17" width="16.44140625" style="208" customWidth="1"/>
    <col min="18" max="18" width="15.88671875" style="208" customWidth="1"/>
    <col min="19" max="20" width="17.6640625" style="208" customWidth="1"/>
    <col min="21" max="21" width="15.88671875" style="208" customWidth="1"/>
    <col min="22" max="23" width="7.44140625" style="97" customWidth="1"/>
    <col min="24" max="24" width="11.44140625" style="97" customWidth="1"/>
    <col min="25" max="25" width="12.44140625" style="326" customWidth="1"/>
    <col min="26" max="28" width="12.44140625" style="97" customWidth="1"/>
    <col min="29" max="29" width="5.21875" style="326" customWidth="1"/>
    <col min="30" max="30" width="12.109375" style="97" customWidth="1"/>
    <col min="31" max="31" width="8.44140625" style="97" customWidth="1"/>
    <col min="32" max="32" width="15.21875" style="97" customWidth="1"/>
    <col min="33" max="33" width="12.44140625" style="208" customWidth="1"/>
    <col min="34" max="34" width="6" style="208" customWidth="1"/>
    <col min="35" max="35" width="4.21875" style="97" customWidth="1"/>
    <col min="36" max="36" width="12.109375" style="97" customWidth="1"/>
    <col min="37" max="37" width="5.109375" style="97" customWidth="1"/>
    <col min="38" max="38" width="13" style="97" customWidth="1"/>
    <col min="39" max="39" width="41.6640625" style="97" customWidth="1"/>
    <col min="40" max="40" width="15.21875" style="97" customWidth="1"/>
    <col min="41" max="41" width="15" style="97" customWidth="1"/>
    <col min="42" max="42" width="10.88671875" style="97" customWidth="1"/>
    <col min="43" max="43" width="8.88671875" style="328" customWidth="1"/>
    <col min="44" max="44" width="15.21875" style="329" customWidth="1"/>
    <col min="45" max="45" width="15" style="329" customWidth="1"/>
    <col min="46" max="46" width="10.88671875" style="329" customWidth="1"/>
    <col min="47" max="47" width="15.21875" style="329" customWidth="1"/>
    <col min="48" max="48" width="15" style="329" customWidth="1"/>
    <col min="49" max="49" width="8" style="329" customWidth="1"/>
    <col min="50" max="51" width="12.109375" style="97" customWidth="1"/>
    <col min="52" max="52" width="11.44140625" style="97" customWidth="1"/>
    <col min="53" max="54" width="12.109375" style="97" customWidth="1"/>
    <col min="55" max="55" width="11.44140625" style="97" customWidth="1"/>
    <col min="56" max="57" width="13.44140625" style="97" customWidth="1"/>
    <col min="58" max="58" width="11.44140625" style="97" customWidth="1"/>
    <col min="59" max="59" width="8.44140625" style="97" customWidth="1"/>
    <col min="60" max="60" width="8.44140625" style="326" customWidth="1"/>
    <col min="61" max="62" width="12.109375" style="97" customWidth="1"/>
    <col min="63" max="63" width="10.88671875" style="97" customWidth="1"/>
    <col min="64" max="64" width="8.44140625" style="97" customWidth="1"/>
    <col min="65" max="65" width="7.44140625" style="326" customWidth="1"/>
    <col min="66" max="66" width="23.44140625" style="326" customWidth="1"/>
    <col min="67" max="84" width="8.88671875" style="326" customWidth="1"/>
    <col min="85" max="233" width="9" style="326"/>
    <col min="234" max="234" width="20.44140625" style="326" customWidth="1"/>
    <col min="235" max="235" width="53" style="326" customWidth="1"/>
    <col min="236" max="236" width="30.6640625" style="326" customWidth="1"/>
    <col min="237" max="237" width="30.44140625" style="326" customWidth="1"/>
    <col min="238" max="238" width="28.21875" style="326" customWidth="1"/>
    <col min="239" max="240" width="30.6640625" style="326" customWidth="1"/>
    <col min="241" max="241" width="26.44140625" style="326" customWidth="1"/>
    <col min="242" max="243" width="30.6640625" style="326" customWidth="1"/>
    <col min="244" max="244" width="26.44140625" style="326" customWidth="1"/>
    <col min="245" max="245" width="17.6640625" style="326" customWidth="1"/>
    <col min="246" max="247" width="28.44140625" style="326" customWidth="1"/>
    <col min="248" max="248" width="24" style="326" customWidth="1"/>
    <col min="249" max="250" width="30.6640625" style="326" customWidth="1"/>
    <col min="251" max="251" width="26.44140625" style="326" customWidth="1"/>
    <col min="252" max="253" width="30.6640625" style="326" customWidth="1"/>
    <col min="254" max="254" width="28.44140625" style="326" customWidth="1"/>
    <col min="255" max="255" width="23.44140625" style="326" customWidth="1"/>
    <col min="256" max="257" width="21.6640625" style="326" customWidth="1"/>
    <col min="258" max="258" width="24.21875" style="326" customWidth="1"/>
    <col min="259" max="259" width="24.44140625" style="326" customWidth="1"/>
    <col min="260" max="260" width="22.6640625" style="326" customWidth="1"/>
    <col min="261" max="261" width="25" style="326" customWidth="1"/>
    <col min="262" max="262" width="8" style="326" customWidth="1"/>
    <col min="263" max="312" width="8.33203125" style="326" hidden="1" customWidth="1"/>
    <col min="313" max="313" width="23.44140625" style="326" customWidth="1"/>
    <col min="314" max="314" width="14.44140625" style="326" customWidth="1"/>
    <col min="315" max="489" width="9" style="326"/>
    <col min="490" max="490" width="20.44140625" style="326" customWidth="1"/>
    <col min="491" max="491" width="53" style="326" customWidth="1"/>
    <col min="492" max="492" width="30.6640625" style="326" customWidth="1"/>
    <col min="493" max="493" width="30.44140625" style="326" customWidth="1"/>
    <col min="494" max="494" width="28.21875" style="326" customWidth="1"/>
    <col min="495" max="496" width="30.6640625" style="326" customWidth="1"/>
    <col min="497" max="497" width="26.44140625" style="326" customWidth="1"/>
    <col min="498" max="499" width="30.6640625" style="326" customWidth="1"/>
    <col min="500" max="500" width="26.44140625" style="326" customWidth="1"/>
    <col min="501" max="501" width="17.6640625" style="326" customWidth="1"/>
    <col min="502" max="503" width="28.44140625" style="326" customWidth="1"/>
    <col min="504" max="504" width="24" style="326" customWidth="1"/>
    <col min="505" max="506" width="30.6640625" style="326" customWidth="1"/>
    <col min="507" max="507" width="26.44140625" style="326" customWidth="1"/>
    <col min="508" max="509" width="30.6640625" style="326" customWidth="1"/>
    <col min="510" max="510" width="28.44140625" style="326" customWidth="1"/>
    <col min="511" max="511" width="23.44140625" style="326" customWidth="1"/>
    <col min="512" max="513" width="21.6640625" style="326" customWidth="1"/>
    <col min="514" max="514" width="24.21875" style="326" customWidth="1"/>
    <col min="515" max="515" width="24.44140625" style="326" customWidth="1"/>
    <col min="516" max="516" width="22.6640625" style="326" customWidth="1"/>
    <col min="517" max="517" width="25" style="326" customWidth="1"/>
    <col min="518" max="518" width="8" style="326" customWidth="1"/>
    <col min="519" max="568" width="8.33203125" style="326" hidden="1" customWidth="1"/>
    <col min="569" max="569" width="23.44140625" style="326" customWidth="1"/>
    <col min="570" max="570" width="14.44140625" style="326" customWidth="1"/>
    <col min="571" max="745" width="9" style="326"/>
    <col min="746" max="746" width="20.44140625" style="326" customWidth="1"/>
    <col min="747" max="747" width="53" style="326" customWidth="1"/>
    <col min="748" max="748" width="30.6640625" style="326" customWidth="1"/>
    <col min="749" max="749" width="30.44140625" style="326" customWidth="1"/>
    <col min="750" max="750" width="28.21875" style="326" customWidth="1"/>
    <col min="751" max="752" width="30.6640625" style="326" customWidth="1"/>
    <col min="753" max="753" width="26.44140625" style="326" customWidth="1"/>
    <col min="754" max="755" width="30.6640625" style="326" customWidth="1"/>
    <col min="756" max="756" width="26.44140625" style="326" customWidth="1"/>
    <col min="757" max="757" width="17.6640625" style="326" customWidth="1"/>
    <col min="758" max="759" width="28.44140625" style="326" customWidth="1"/>
    <col min="760" max="760" width="24" style="326" customWidth="1"/>
    <col min="761" max="762" width="30.6640625" style="326" customWidth="1"/>
    <col min="763" max="763" width="26.44140625" style="326" customWidth="1"/>
    <col min="764" max="765" width="30.6640625" style="326" customWidth="1"/>
    <col min="766" max="766" width="28.44140625" style="326" customWidth="1"/>
    <col min="767" max="767" width="23.44140625" style="326" customWidth="1"/>
    <col min="768" max="769" width="21.6640625" style="326" customWidth="1"/>
    <col min="770" max="770" width="24.21875" style="326" customWidth="1"/>
    <col min="771" max="771" width="24.44140625" style="326" customWidth="1"/>
    <col min="772" max="772" width="22.6640625" style="326" customWidth="1"/>
    <col min="773" max="773" width="25" style="326" customWidth="1"/>
    <col min="774" max="774" width="8" style="326" customWidth="1"/>
    <col min="775" max="824" width="8.33203125" style="326" hidden="1" customWidth="1"/>
    <col min="825" max="825" width="23.44140625" style="326" customWidth="1"/>
    <col min="826" max="826" width="14.44140625" style="326" customWidth="1"/>
    <col min="827" max="1001" width="9" style="326"/>
    <col min="1002" max="1002" width="20.44140625" style="326" customWidth="1"/>
    <col min="1003" max="1003" width="53" style="326" customWidth="1"/>
    <col min="1004" max="1004" width="30.6640625" style="326" customWidth="1"/>
    <col min="1005" max="1005" width="30.44140625" style="326" customWidth="1"/>
    <col min="1006" max="1006" width="28.21875" style="326" customWidth="1"/>
    <col min="1007" max="1008" width="30.6640625" style="326" customWidth="1"/>
    <col min="1009" max="1009" width="26.44140625" style="326" customWidth="1"/>
    <col min="1010" max="1011" width="30.6640625" style="326" customWidth="1"/>
    <col min="1012" max="1012" width="26.44140625" style="326" customWidth="1"/>
    <col min="1013" max="1013" width="17.6640625" style="326" customWidth="1"/>
    <col min="1014" max="1015" width="28.44140625" style="326" customWidth="1"/>
    <col min="1016" max="1016" width="24" style="326" customWidth="1"/>
    <col min="1017" max="1018" width="30.6640625" style="326" customWidth="1"/>
    <col min="1019" max="1019" width="26.44140625" style="326" customWidth="1"/>
    <col min="1020" max="1021" width="30.6640625" style="326" customWidth="1"/>
    <col min="1022" max="1022" width="28.44140625" style="326" customWidth="1"/>
    <col min="1023" max="1023" width="23.44140625" style="326" customWidth="1"/>
    <col min="1024" max="1025" width="21.6640625" style="326" customWidth="1"/>
    <col min="1026" max="1026" width="24.21875" style="326" customWidth="1"/>
    <col min="1027" max="1027" width="24.44140625" style="326" customWidth="1"/>
    <col min="1028" max="1028" width="22.6640625" style="326" customWidth="1"/>
    <col min="1029" max="1029" width="25" style="326" customWidth="1"/>
    <col min="1030" max="1030" width="8" style="326" customWidth="1"/>
    <col min="1031" max="1080" width="8.33203125" style="326" hidden="1" customWidth="1"/>
    <col min="1081" max="1081" width="23.44140625" style="326" customWidth="1"/>
    <col min="1082" max="1082" width="14.44140625" style="326" customWidth="1"/>
    <col min="1083" max="1257" width="9" style="326"/>
    <col min="1258" max="1258" width="20.44140625" style="326" customWidth="1"/>
    <col min="1259" max="1259" width="53" style="326" customWidth="1"/>
    <col min="1260" max="1260" width="30.6640625" style="326" customWidth="1"/>
    <col min="1261" max="1261" width="30.44140625" style="326" customWidth="1"/>
    <col min="1262" max="1262" width="28.21875" style="326" customWidth="1"/>
    <col min="1263" max="1264" width="30.6640625" style="326" customWidth="1"/>
    <col min="1265" max="1265" width="26.44140625" style="326" customWidth="1"/>
    <col min="1266" max="1267" width="30.6640625" style="326" customWidth="1"/>
    <col min="1268" max="1268" width="26.44140625" style="326" customWidth="1"/>
    <col min="1269" max="1269" width="17.6640625" style="326" customWidth="1"/>
    <col min="1270" max="1271" width="28.44140625" style="326" customWidth="1"/>
    <col min="1272" max="1272" width="24" style="326" customWidth="1"/>
    <col min="1273" max="1274" width="30.6640625" style="326" customWidth="1"/>
    <col min="1275" max="1275" width="26.44140625" style="326" customWidth="1"/>
    <col min="1276" max="1277" width="30.6640625" style="326" customWidth="1"/>
    <col min="1278" max="1278" width="28.44140625" style="326" customWidth="1"/>
    <col min="1279" max="1279" width="23.44140625" style="326" customWidth="1"/>
    <col min="1280" max="1281" width="21.6640625" style="326" customWidth="1"/>
    <col min="1282" max="1282" width="24.21875" style="326" customWidth="1"/>
    <col min="1283" max="1283" width="24.44140625" style="326" customWidth="1"/>
    <col min="1284" max="1284" width="22.6640625" style="326" customWidth="1"/>
    <col min="1285" max="1285" width="25" style="326" customWidth="1"/>
    <col min="1286" max="1286" width="8" style="326" customWidth="1"/>
    <col min="1287" max="1336" width="8.33203125" style="326" hidden="1" customWidth="1"/>
    <col min="1337" max="1337" width="23.44140625" style="326" customWidth="1"/>
    <col min="1338" max="1338" width="14.44140625" style="326" customWidth="1"/>
    <col min="1339" max="1513" width="9" style="326"/>
    <col min="1514" max="1514" width="20.44140625" style="326" customWidth="1"/>
    <col min="1515" max="1515" width="53" style="326" customWidth="1"/>
    <col min="1516" max="1516" width="30.6640625" style="326" customWidth="1"/>
    <col min="1517" max="1517" width="30.44140625" style="326" customWidth="1"/>
    <col min="1518" max="1518" width="28.21875" style="326" customWidth="1"/>
    <col min="1519" max="1520" width="30.6640625" style="326" customWidth="1"/>
    <col min="1521" max="1521" width="26.44140625" style="326" customWidth="1"/>
    <col min="1522" max="1523" width="30.6640625" style="326" customWidth="1"/>
    <col min="1524" max="1524" width="26.44140625" style="326" customWidth="1"/>
    <col min="1525" max="1525" width="17.6640625" style="326" customWidth="1"/>
    <col min="1526" max="1527" width="28.44140625" style="326" customWidth="1"/>
    <col min="1528" max="1528" width="24" style="326" customWidth="1"/>
    <col min="1529" max="1530" width="30.6640625" style="326" customWidth="1"/>
    <col min="1531" max="1531" width="26.44140625" style="326" customWidth="1"/>
    <col min="1532" max="1533" width="30.6640625" style="326" customWidth="1"/>
    <col min="1534" max="1534" width="28.44140625" style="326" customWidth="1"/>
    <col min="1535" max="1535" width="23.44140625" style="326" customWidth="1"/>
    <col min="1536" max="1537" width="21.6640625" style="326" customWidth="1"/>
    <col min="1538" max="1538" width="24.21875" style="326" customWidth="1"/>
    <col min="1539" max="1539" width="24.44140625" style="326" customWidth="1"/>
    <col min="1540" max="1540" width="22.6640625" style="326" customWidth="1"/>
    <col min="1541" max="1541" width="25" style="326" customWidth="1"/>
    <col min="1542" max="1542" width="8" style="326" customWidth="1"/>
    <col min="1543" max="1592" width="8.33203125" style="326" hidden="1" customWidth="1"/>
    <col min="1593" max="1593" width="23.44140625" style="326" customWidth="1"/>
    <col min="1594" max="1594" width="14.44140625" style="326" customWidth="1"/>
    <col min="1595" max="1769" width="9" style="326"/>
    <col min="1770" max="1770" width="20.44140625" style="326" customWidth="1"/>
    <col min="1771" max="1771" width="53" style="326" customWidth="1"/>
    <col min="1772" max="1772" width="30.6640625" style="326" customWidth="1"/>
    <col min="1773" max="1773" width="30.44140625" style="326" customWidth="1"/>
    <col min="1774" max="1774" width="28.21875" style="326" customWidth="1"/>
    <col min="1775" max="1776" width="30.6640625" style="326" customWidth="1"/>
    <col min="1777" max="1777" width="26.44140625" style="326" customWidth="1"/>
    <col min="1778" max="1779" width="30.6640625" style="326" customWidth="1"/>
    <col min="1780" max="1780" width="26.44140625" style="326" customWidth="1"/>
    <col min="1781" max="1781" width="17.6640625" style="326" customWidth="1"/>
    <col min="1782" max="1783" width="28.44140625" style="326" customWidth="1"/>
    <col min="1784" max="1784" width="24" style="326" customWidth="1"/>
    <col min="1785" max="1786" width="30.6640625" style="326" customWidth="1"/>
    <col min="1787" max="1787" width="26.44140625" style="326" customWidth="1"/>
    <col min="1788" max="1789" width="30.6640625" style="326" customWidth="1"/>
    <col min="1790" max="1790" width="28.44140625" style="326" customWidth="1"/>
    <col min="1791" max="1791" width="23.44140625" style="326" customWidth="1"/>
    <col min="1792" max="1793" width="21.6640625" style="326" customWidth="1"/>
    <col min="1794" max="1794" width="24.21875" style="326" customWidth="1"/>
    <col min="1795" max="1795" width="24.44140625" style="326" customWidth="1"/>
    <col min="1796" max="1796" width="22.6640625" style="326" customWidth="1"/>
    <col min="1797" max="1797" width="25" style="326" customWidth="1"/>
    <col min="1798" max="1798" width="8" style="326" customWidth="1"/>
    <col min="1799" max="1848" width="8.33203125" style="326" hidden="1" customWidth="1"/>
    <col min="1849" max="1849" width="23.44140625" style="326" customWidth="1"/>
    <col min="1850" max="1850" width="14.44140625" style="326" customWidth="1"/>
    <col min="1851" max="2025" width="9" style="326"/>
    <col min="2026" max="2026" width="20.44140625" style="326" customWidth="1"/>
    <col min="2027" max="2027" width="53" style="326" customWidth="1"/>
    <col min="2028" max="2028" width="30.6640625" style="326" customWidth="1"/>
    <col min="2029" max="2029" width="30.44140625" style="326" customWidth="1"/>
    <col min="2030" max="2030" width="28.21875" style="326" customWidth="1"/>
    <col min="2031" max="2032" width="30.6640625" style="326" customWidth="1"/>
    <col min="2033" max="2033" width="26.44140625" style="326" customWidth="1"/>
    <col min="2034" max="2035" width="30.6640625" style="326" customWidth="1"/>
    <col min="2036" max="2036" width="26.44140625" style="326" customWidth="1"/>
    <col min="2037" max="2037" width="17.6640625" style="326" customWidth="1"/>
    <col min="2038" max="2039" width="28.44140625" style="326" customWidth="1"/>
    <col min="2040" max="2040" width="24" style="326" customWidth="1"/>
    <col min="2041" max="2042" width="30.6640625" style="326" customWidth="1"/>
    <col min="2043" max="2043" width="26.44140625" style="326" customWidth="1"/>
    <col min="2044" max="2045" width="30.6640625" style="326" customWidth="1"/>
    <col min="2046" max="2046" width="28.44140625" style="326" customWidth="1"/>
    <col min="2047" max="2047" width="23.44140625" style="326" customWidth="1"/>
    <col min="2048" max="2049" width="21.6640625" style="326" customWidth="1"/>
    <col min="2050" max="2050" width="24.21875" style="326" customWidth="1"/>
    <col min="2051" max="2051" width="24.44140625" style="326" customWidth="1"/>
    <col min="2052" max="2052" width="22.6640625" style="326" customWidth="1"/>
    <col min="2053" max="2053" width="25" style="326" customWidth="1"/>
    <col min="2054" max="2054" width="8" style="326" customWidth="1"/>
    <col min="2055" max="2104" width="8.33203125" style="326" hidden="1" customWidth="1"/>
    <col min="2105" max="2105" width="23.44140625" style="326" customWidth="1"/>
    <col min="2106" max="2106" width="14.44140625" style="326" customWidth="1"/>
    <col min="2107" max="2281" width="9" style="326"/>
    <col min="2282" max="2282" width="20.44140625" style="326" customWidth="1"/>
    <col min="2283" max="2283" width="53" style="326" customWidth="1"/>
    <col min="2284" max="2284" width="30.6640625" style="326" customWidth="1"/>
    <col min="2285" max="2285" width="30.44140625" style="326" customWidth="1"/>
    <col min="2286" max="2286" width="28.21875" style="326" customWidth="1"/>
    <col min="2287" max="2288" width="30.6640625" style="326" customWidth="1"/>
    <col min="2289" max="2289" width="26.44140625" style="326" customWidth="1"/>
    <col min="2290" max="2291" width="30.6640625" style="326" customWidth="1"/>
    <col min="2292" max="2292" width="26.44140625" style="326" customWidth="1"/>
    <col min="2293" max="2293" width="17.6640625" style="326" customWidth="1"/>
    <col min="2294" max="2295" width="28.44140625" style="326" customWidth="1"/>
    <col min="2296" max="2296" width="24" style="326" customWidth="1"/>
    <col min="2297" max="2298" width="30.6640625" style="326" customWidth="1"/>
    <col min="2299" max="2299" width="26.44140625" style="326" customWidth="1"/>
    <col min="2300" max="2301" width="30.6640625" style="326" customWidth="1"/>
    <col min="2302" max="2302" width="28.44140625" style="326" customWidth="1"/>
    <col min="2303" max="2303" width="23.44140625" style="326" customWidth="1"/>
    <col min="2304" max="2305" width="21.6640625" style="326" customWidth="1"/>
    <col min="2306" max="2306" width="24.21875" style="326" customWidth="1"/>
    <col min="2307" max="2307" width="24.44140625" style="326" customWidth="1"/>
    <col min="2308" max="2308" width="22.6640625" style="326" customWidth="1"/>
    <col min="2309" max="2309" width="25" style="326" customWidth="1"/>
    <col min="2310" max="2310" width="8" style="326" customWidth="1"/>
    <col min="2311" max="2360" width="8.33203125" style="326" hidden="1" customWidth="1"/>
    <col min="2361" max="2361" width="23.44140625" style="326" customWidth="1"/>
    <col min="2362" max="2362" width="14.44140625" style="326" customWidth="1"/>
    <col min="2363" max="2537" width="9" style="326"/>
    <col min="2538" max="2538" width="20.44140625" style="326" customWidth="1"/>
    <col min="2539" max="2539" width="53" style="326" customWidth="1"/>
    <col min="2540" max="2540" width="30.6640625" style="326" customWidth="1"/>
    <col min="2541" max="2541" width="30.44140625" style="326" customWidth="1"/>
    <col min="2542" max="2542" width="28.21875" style="326" customWidth="1"/>
    <col min="2543" max="2544" width="30.6640625" style="326" customWidth="1"/>
    <col min="2545" max="2545" width="26.44140625" style="326" customWidth="1"/>
    <col min="2546" max="2547" width="30.6640625" style="326" customWidth="1"/>
    <col min="2548" max="2548" width="26.44140625" style="326" customWidth="1"/>
    <col min="2549" max="2549" width="17.6640625" style="326" customWidth="1"/>
    <col min="2550" max="2551" width="28.44140625" style="326" customWidth="1"/>
    <col min="2552" max="2552" width="24" style="326" customWidth="1"/>
    <col min="2553" max="2554" width="30.6640625" style="326" customWidth="1"/>
    <col min="2555" max="2555" width="26.44140625" style="326" customWidth="1"/>
    <col min="2556" max="2557" width="30.6640625" style="326" customWidth="1"/>
    <col min="2558" max="2558" width="28.44140625" style="326" customWidth="1"/>
    <col min="2559" max="2559" width="23.44140625" style="326" customWidth="1"/>
    <col min="2560" max="2561" width="21.6640625" style="326" customWidth="1"/>
    <col min="2562" max="2562" width="24.21875" style="326" customWidth="1"/>
    <col min="2563" max="2563" width="24.44140625" style="326" customWidth="1"/>
    <col min="2564" max="2564" width="22.6640625" style="326" customWidth="1"/>
    <col min="2565" max="2565" width="25" style="326" customWidth="1"/>
    <col min="2566" max="2566" width="8" style="326" customWidth="1"/>
    <col min="2567" max="2616" width="8.33203125" style="326" hidden="1" customWidth="1"/>
    <col min="2617" max="2617" width="23.44140625" style="326" customWidth="1"/>
    <col min="2618" max="2618" width="14.44140625" style="326" customWidth="1"/>
    <col min="2619" max="2793" width="9" style="326"/>
    <col min="2794" max="2794" width="20.44140625" style="326" customWidth="1"/>
    <col min="2795" max="2795" width="53" style="326" customWidth="1"/>
    <col min="2796" max="2796" width="30.6640625" style="326" customWidth="1"/>
    <col min="2797" max="2797" width="30.44140625" style="326" customWidth="1"/>
    <col min="2798" max="2798" width="28.21875" style="326" customWidth="1"/>
    <col min="2799" max="2800" width="30.6640625" style="326" customWidth="1"/>
    <col min="2801" max="2801" width="26.44140625" style="326" customWidth="1"/>
    <col min="2802" max="2803" width="30.6640625" style="326" customWidth="1"/>
    <col min="2804" max="2804" width="26.44140625" style="326" customWidth="1"/>
    <col min="2805" max="2805" width="17.6640625" style="326" customWidth="1"/>
    <col min="2806" max="2807" width="28.44140625" style="326" customWidth="1"/>
    <col min="2808" max="2808" width="24" style="326" customWidth="1"/>
    <col min="2809" max="2810" width="30.6640625" style="326" customWidth="1"/>
    <col min="2811" max="2811" width="26.44140625" style="326" customWidth="1"/>
    <col min="2812" max="2813" width="30.6640625" style="326" customWidth="1"/>
    <col min="2814" max="2814" width="28.44140625" style="326" customWidth="1"/>
    <col min="2815" max="2815" width="23.44140625" style="326" customWidth="1"/>
    <col min="2816" max="2817" width="21.6640625" style="326" customWidth="1"/>
    <col min="2818" max="2818" width="24.21875" style="326" customWidth="1"/>
    <col min="2819" max="2819" width="24.44140625" style="326" customWidth="1"/>
    <col min="2820" max="2820" width="22.6640625" style="326" customWidth="1"/>
    <col min="2821" max="2821" width="25" style="326" customWidth="1"/>
    <col min="2822" max="2822" width="8" style="326" customWidth="1"/>
    <col min="2823" max="2872" width="8.33203125" style="326" hidden="1" customWidth="1"/>
    <col min="2873" max="2873" width="23.44140625" style="326" customWidth="1"/>
    <col min="2874" max="2874" width="14.44140625" style="326" customWidth="1"/>
    <col min="2875" max="3049" width="9" style="326"/>
    <col min="3050" max="3050" width="20.44140625" style="326" customWidth="1"/>
    <col min="3051" max="3051" width="53" style="326" customWidth="1"/>
    <col min="3052" max="3052" width="30.6640625" style="326" customWidth="1"/>
    <col min="3053" max="3053" width="30.44140625" style="326" customWidth="1"/>
    <col min="3054" max="3054" width="28.21875" style="326" customWidth="1"/>
    <col min="3055" max="3056" width="30.6640625" style="326" customWidth="1"/>
    <col min="3057" max="3057" width="26.44140625" style="326" customWidth="1"/>
    <col min="3058" max="3059" width="30.6640625" style="326" customWidth="1"/>
    <col min="3060" max="3060" width="26.44140625" style="326" customWidth="1"/>
    <col min="3061" max="3061" width="17.6640625" style="326" customWidth="1"/>
    <col min="3062" max="3063" width="28.44140625" style="326" customWidth="1"/>
    <col min="3064" max="3064" width="24" style="326" customWidth="1"/>
    <col min="3065" max="3066" width="30.6640625" style="326" customWidth="1"/>
    <col min="3067" max="3067" width="26.44140625" style="326" customWidth="1"/>
    <col min="3068" max="3069" width="30.6640625" style="326" customWidth="1"/>
    <col min="3070" max="3070" width="28.44140625" style="326" customWidth="1"/>
    <col min="3071" max="3071" width="23.44140625" style="326" customWidth="1"/>
    <col min="3072" max="3073" width="21.6640625" style="326" customWidth="1"/>
    <col min="3074" max="3074" width="24.21875" style="326" customWidth="1"/>
    <col min="3075" max="3075" width="24.44140625" style="326" customWidth="1"/>
    <col min="3076" max="3076" width="22.6640625" style="326" customWidth="1"/>
    <col min="3077" max="3077" width="25" style="326" customWidth="1"/>
    <col min="3078" max="3078" width="8" style="326" customWidth="1"/>
    <col min="3079" max="3128" width="8.33203125" style="326" hidden="1" customWidth="1"/>
    <col min="3129" max="3129" width="23.44140625" style="326" customWidth="1"/>
    <col min="3130" max="3130" width="14.44140625" style="326" customWidth="1"/>
    <col min="3131" max="3305" width="9" style="326"/>
    <col min="3306" max="3306" width="20.44140625" style="326" customWidth="1"/>
    <col min="3307" max="3307" width="53" style="326" customWidth="1"/>
    <col min="3308" max="3308" width="30.6640625" style="326" customWidth="1"/>
    <col min="3309" max="3309" width="30.44140625" style="326" customWidth="1"/>
    <col min="3310" max="3310" width="28.21875" style="326" customWidth="1"/>
    <col min="3311" max="3312" width="30.6640625" style="326" customWidth="1"/>
    <col min="3313" max="3313" width="26.44140625" style="326" customWidth="1"/>
    <col min="3314" max="3315" width="30.6640625" style="326" customWidth="1"/>
    <col min="3316" max="3316" width="26.44140625" style="326" customWidth="1"/>
    <col min="3317" max="3317" width="17.6640625" style="326" customWidth="1"/>
    <col min="3318" max="3319" width="28.44140625" style="326" customWidth="1"/>
    <col min="3320" max="3320" width="24" style="326" customWidth="1"/>
    <col min="3321" max="3322" width="30.6640625" style="326" customWidth="1"/>
    <col min="3323" max="3323" width="26.44140625" style="326" customWidth="1"/>
    <col min="3324" max="3325" width="30.6640625" style="326" customWidth="1"/>
    <col min="3326" max="3326" width="28.44140625" style="326" customWidth="1"/>
    <col min="3327" max="3327" width="23.44140625" style="326" customWidth="1"/>
    <col min="3328" max="3329" width="21.6640625" style="326" customWidth="1"/>
    <col min="3330" max="3330" width="24.21875" style="326" customWidth="1"/>
    <col min="3331" max="3331" width="24.44140625" style="326" customWidth="1"/>
    <col min="3332" max="3332" width="22.6640625" style="326" customWidth="1"/>
    <col min="3333" max="3333" width="25" style="326" customWidth="1"/>
    <col min="3334" max="3334" width="8" style="326" customWidth="1"/>
    <col min="3335" max="3384" width="8.33203125" style="326" hidden="1" customWidth="1"/>
    <col min="3385" max="3385" width="23.44140625" style="326" customWidth="1"/>
    <col min="3386" max="3386" width="14.44140625" style="326" customWidth="1"/>
    <col min="3387" max="3561" width="9" style="326"/>
    <col min="3562" max="3562" width="20.44140625" style="326" customWidth="1"/>
    <col min="3563" max="3563" width="53" style="326" customWidth="1"/>
    <col min="3564" max="3564" width="30.6640625" style="326" customWidth="1"/>
    <col min="3565" max="3565" width="30.44140625" style="326" customWidth="1"/>
    <col min="3566" max="3566" width="28.21875" style="326" customWidth="1"/>
    <col min="3567" max="3568" width="30.6640625" style="326" customWidth="1"/>
    <col min="3569" max="3569" width="26.44140625" style="326" customWidth="1"/>
    <col min="3570" max="3571" width="30.6640625" style="326" customWidth="1"/>
    <col min="3572" max="3572" width="26.44140625" style="326" customWidth="1"/>
    <col min="3573" max="3573" width="17.6640625" style="326" customWidth="1"/>
    <col min="3574" max="3575" width="28.44140625" style="326" customWidth="1"/>
    <col min="3576" max="3576" width="24" style="326" customWidth="1"/>
    <col min="3577" max="3578" width="30.6640625" style="326" customWidth="1"/>
    <col min="3579" max="3579" width="26.44140625" style="326" customWidth="1"/>
    <col min="3580" max="3581" width="30.6640625" style="326" customWidth="1"/>
    <col min="3582" max="3582" width="28.44140625" style="326" customWidth="1"/>
    <col min="3583" max="3583" width="23.44140625" style="326" customWidth="1"/>
    <col min="3584" max="3585" width="21.6640625" style="326" customWidth="1"/>
    <col min="3586" max="3586" width="24.21875" style="326" customWidth="1"/>
    <col min="3587" max="3587" width="24.44140625" style="326" customWidth="1"/>
    <col min="3588" max="3588" width="22.6640625" style="326" customWidth="1"/>
    <col min="3589" max="3589" width="25" style="326" customWidth="1"/>
    <col min="3590" max="3590" width="8" style="326" customWidth="1"/>
    <col min="3591" max="3640" width="8.33203125" style="326" hidden="1" customWidth="1"/>
    <col min="3641" max="3641" width="23.44140625" style="326" customWidth="1"/>
    <col min="3642" max="3642" width="14.44140625" style="326" customWidth="1"/>
    <col min="3643" max="3817" width="9" style="326"/>
    <col min="3818" max="3818" width="20.44140625" style="326" customWidth="1"/>
    <col min="3819" max="3819" width="53" style="326" customWidth="1"/>
    <col min="3820" max="3820" width="30.6640625" style="326" customWidth="1"/>
    <col min="3821" max="3821" width="30.44140625" style="326" customWidth="1"/>
    <col min="3822" max="3822" width="28.21875" style="326" customWidth="1"/>
    <col min="3823" max="3824" width="30.6640625" style="326" customWidth="1"/>
    <col min="3825" max="3825" width="26.44140625" style="326" customWidth="1"/>
    <col min="3826" max="3827" width="30.6640625" style="326" customWidth="1"/>
    <col min="3828" max="3828" width="26.44140625" style="326" customWidth="1"/>
    <col min="3829" max="3829" width="17.6640625" style="326" customWidth="1"/>
    <col min="3830" max="3831" width="28.44140625" style="326" customWidth="1"/>
    <col min="3832" max="3832" width="24" style="326" customWidth="1"/>
    <col min="3833" max="3834" width="30.6640625" style="326" customWidth="1"/>
    <col min="3835" max="3835" width="26.44140625" style="326" customWidth="1"/>
    <col min="3836" max="3837" width="30.6640625" style="326" customWidth="1"/>
    <col min="3838" max="3838" width="28.44140625" style="326" customWidth="1"/>
    <col min="3839" max="3839" width="23.44140625" style="326" customWidth="1"/>
    <col min="3840" max="3841" width="21.6640625" style="326" customWidth="1"/>
    <col min="3842" max="3842" width="24.21875" style="326" customWidth="1"/>
    <col min="3843" max="3843" width="24.44140625" style="326" customWidth="1"/>
    <col min="3844" max="3844" width="22.6640625" style="326" customWidth="1"/>
    <col min="3845" max="3845" width="25" style="326" customWidth="1"/>
    <col min="3846" max="3846" width="8" style="326" customWidth="1"/>
    <col min="3847" max="3896" width="8.33203125" style="326" hidden="1" customWidth="1"/>
    <col min="3897" max="3897" width="23.44140625" style="326" customWidth="1"/>
    <col min="3898" max="3898" width="14.44140625" style="326" customWidth="1"/>
    <col min="3899" max="4073" width="9" style="326"/>
    <col min="4074" max="4074" width="20.44140625" style="326" customWidth="1"/>
    <col min="4075" max="4075" width="53" style="326" customWidth="1"/>
    <col min="4076" max="4076" width="30.6640625" style="326" customWidth="1"/>
    <col min="4077" max="4077" width="30.44140625" style="326" customWidth="1"/>
    <col min="4078" max="4078" width="28.21875" style="326" customWidth="1"/>
    <col min="4079" max="4080" width="30.6640625" style="326" customWidth="1"/>
    <col min="4081" max="4081" width="26.44140625" style="326" customWidth="1"/>
    <col min="4082" max="4083" width="30.6640625" style="326" customWidth="1"/>
    <col min="4084" max="4084" width="26.44140625" style="326" customWidth="1"/>
    <col min="4085" max="4085" width="17.6640625" style="326" customWidth="1"/>
    <col min="4086" max="4087" width="28.44140625" style="326" customWidth="1"/>
    <col min="4088" max="4088" width="24" style="326" customWidth="1"/>
    <col min="4089" max="4090" width="30.6640625" style="326" customWidth="1"/>
    <col min="4091" max="4091" width="26.44140625" style="326" customWidth="1"/>
    <col min="4092" max="4093" width="30.6640625" style="326" customWidth="1"/>
    <col min="4094" max="4094" width="28.44140625" style="326" customWidth="1"/>
    <col min="4095" max="4095" width="23.44140625" style="326" customWidth="1"/>
    <col min="4096" max="4097" width="21.6640625" style="326" customWidth="1"/>
    <col min="4098" max="4098" width="24.21875" style="326" customWidth="1"/>
    <col min="4099" max="4099" width="24.44140625" style="326" customWidth="1"/>
    <col min="4100" max="4100" width="22.6640625" style="326" customWidth="1"/>
    <col min="4101" max="4101" width="25" style="326" customWidth="1"/>
    <col min="4102" max="4102" width="8" style="326" customWidth="1"/>
    <col min="4103" max="4152" width="8.33203125" style="326" hidden="1" customWidth="1"/>
    <col min="4153" max="4153" width="23.44140625" style="326" customWidth="1"/>
    <col min="4154" max="4154" width="14.44140625" style="326" customWidth="1"/>
    <col min="4155" max="4329" width="9" style="326"/>
    <col min="4330" max="4330" width="20.44140625" style="326" customWidth="1"/>
    <col min="4331" max="4331" width="53" style="326" customWidth="1"/>
    <col min="4332" max="4332" width="30.6640625" style="326" customWidth="1"/>
    <col min="4333" max="4333" width="30.44140625" style="326" customWidth="1"/>
    <col min="4334" max="4334" width="28.21875" style="326" customWidth="1"/>
    <col min="4335" max="4336" width="30.6640625" style="326" customWidth="1"/>
    <col min="4337" max="4337" width="26.44140625" style="326" customWidth="1"/>
    <col min="4338" max="4339" width="30.6640625" style="326" customWidth="1"/>
    <col min="4340" max="4340" width="26.44140625" style="326" customWidth="1"/>
    <col min="4341" max="4341" width="17.6640625" style="326" customWidth="1"/>
    <col min="4342" max="4343" width="28.44140625" style="326" customWidth="1"/>
    <col min="4344" max="4344" width="24" style="326" customWidth="1"/>
    <col min="4345" max="4346" width="30.6640625" style="326" customWidth="1"/>
    <col min="4347" max="4347" width="26.44140625" style="326" customWidth="1"/>
    <col min="4348" max="4349" width="30.6640625" style="326" customWidth="1"/>
    <col min="4350" max="4350" width="28.44140625" style="326" customWidth="1"/>
    <col min="4351" max="4351" width="23.44140625" style="326" customWidth="1"/>
    <col min="4352" max="4353" width="21.6640625" style="326" customWidth="1"/>
    <col min="4354" max="4354" width="24.21875" style="326" customWidth="1"/>
    <col min="4355" max="4355" width="24.44140625" style="326" customWidth="1"/>
    <col min="4356" max="4356" width="22.6640625" style="326" customWidth="1"/>
    <col min="4357" max="4357" width="25" style="326" customWidth="1"/>
    <col min="4358" max="4358" width="8" style="326" customWidth="1"/>
    <col min="4359" max="4408" width="8.33203125" style="326" hidden="1" customWidth="1"/>
    <col min="4409" max="4409" width="23.44140625" style="326" customWidth="1"/>
    <col min="4410" max="4410" width="14.44140625" style="326" customWidth="1"/>
    <col min="4411" max="4585" width="9" style="326"/>
    <col min="4586" max="4586" width="20.44140625" style="326" customWidth="1"/>
    <col min="4587" max="4587" width="53" style="326" customWidth="1"/>
    <col min="4588" max="4588" width="30.6640625" style="326" customWidth="1"/>
    <col min="4589" max="4589" width="30.44140625" style="326" customWidth="1"/>
    <col min="4590" max="4590" width="28.21875" style="326" customWidth="1"/>
    <col min="4591" max="4592" width="30.6640625" style="326" customWidth="1"/>
    <col min="4593" max="4593" width="26.44140625" style="326" customWidth="1"/>
    <col min="4594" max="4595" width="30.6640625" style="326" customWidth="1"/>
    <col min="4596" max="4596" width="26.44140625" style="326" customWidth="1"/>
    <col min="4597" max="4597" width="17.6640625" style="326" customWidth="1"/>
    <col min="4598" max="4599" width="28.44140625" style="326" customWidth="1"/>
    <col min="4600" max="4600" width="24" style="326" customWidth="1"/>
    <col min="4601" max="4602" width="30.6640625" style="326" customWidth="1"/>
    <col min="4603" max="4603" width="26.44140625" style="326" customWidth="1"/>
    <col min="4604" max="4605" width="30.6640625" style="326" customWidth="1"/>
    <col min="4606" max="4606" width="28.44140625" style="326" customWidth="1"/>
    <col min="4607" max="4607" width="23.44140625" style="326" customWidth="1"/>
    <col min="4608" max="4609" width="21.6640625" style="326" customWidth="1"/>
    <col min="4610" max="4610" width="24.21875" style="326" customWidth="1"/>
    <col min="4611" max="4611" width="24.44140625" style="326" customWidth="1"/>
    <col min="4612" max="4612" width="22.6640625" style="326" customWidth="1"/>
    <col min="4613" max="4613" width="25" style="326" customWidth="1"/>
    <col min="4614" max="4614" width="8" style="326" customWidth="1"/>
    <col min="4615" max="4664" width="8.33203125" style="326" hidden="1" customWidth="1"/>
    <col min="4665" max="4665" width="23.44140625" style="326" customWidth="1"/>
    <col min="4666" max="4666" width="14.44140625" style="326" customWidth="1"/>
    <col min="4667" max="4841" width="9" style="326"/>
    <col min="4842" max="4842" width="20.44140625" style="326" customWidth="1"/>
    <col min="4843" max="4843" width="53" style="326" customWidth="1"/>
    <col min="4844" max="4844" width="30.6640625" style="326" customWidth="1"/>
    <col min="4845" max="4845" width="30.44140625" style="326" customWidth="1"/>
    <col min="4846" max="4846" width="28.21875" style="326" customWidth="1"/>
    <col min="4847" max="4848" width="30.6640625" style="326" customWidth="1"/>
    <col min="4849" max="4849" width="26.44140625" style="326" customWidth="1"/>
    <col min="4850" max="4851" width="30.6640625" style="326" customWidth="1"/>
    <col min="4852" max="4852" width="26.44140625" style="326" customWidth="1"/>
    <col min="4853" max="4853" width="17.6640625" style="326" customWidth="1"/>
    <col min="4854" max="4855" width="28.44140625" style="326" customWidth="1"/>
    <col min="4856" max="4856" width="24" style="326" customWidth="1"/>
    <col min="4857" max="4858" width="30.6640625" style="326" customWidth="1"/>
    <col min="4859" max="4859" width="26.44140625" style="326" customWidth="1"/>
    <col min="4860" max="4861" width="30.6640625" style="326" customWidth="1"/>
    <col min="4862" max="4862" width="28.44140625" style="326" customWidth="1"/>
    <col min="4863" max="4863" width="23.44140625" style="326" customWidth="1"/>
    <col min="4864" max="4865" width="21.6640625" style="326" customWidth="1"/>
    <col min="4866" max="4866" width="24.21875" style="326" customWidth="1"/>
    <col min="4867" max="4867" width="24.44140625" style="326" customWidth="1"/>
    <col min="4868" max="4868" width="22.6640625" style="326" customWidth="1"/>
    <col min="4869" max="4869" width="25" style="326" customWidth="1"/>
    <col min="4870" max="4870" width="8" style="326" customWidth="1"/>
    <col min="4871" max="4920" width="8.33203125" style="326" hidden="1" customWidth="1"/>
    <col min="4921" max="4921" width="23.44140625" style="326" customWidth="1"/>
    <col min="4922" max="4922" width="14.44140625" style="326" customWidth="1"/>
    <col min="4923" max="5097" width="9" style="326"/>
    <col min="5098" max="5098" width="20.44140625" style="326" customWidth="1"/>
    <col min="5099" max="5099" width="53" style="326" customWidth="1"/>
    <col min="5100" max="5100" width="30.6640625" style="326" customWidth="1"/>
    <col min="5101" max="5101" width="30.44140625" style="326" customWidth="1"/>
    <col min="5102" max="5102" width="28.21875" style="326" customWidth="1"/>
    <col min="5103" max="5104" width="30.6640625" style="326" customWidth="1"/>
    <col min="5105" max="5105" width="26.44140625" style="326" customWidth="1"/>
    <col min="5106" max="5107" width="30.6640625" style="326" customWidth="1"/>
    <col min="5108" max="5108" width="26.44140625" style="326" customWidth="1"/>
    <col min="5109" max="5109" width="17.6640625" style="326" customWidth="1"/>
    <col min="5110" max="5111" width="28.44140625" style="326" customWidth="1"/>
    <col min="5112" max="5112" width="24" style="326" customWidth="1"/>
    <col min="5113" max="5114" width="30.6640625" style="326" customWidth="1"/>
    <col min="5115" max="5115" width="26.44140625" style="326" customWidth="1"/>
    <col min="5116" max="5117" width="30.6640625" style="326" customWidth="1"/>
    <col min="5118" max="5118" width="28.44140625" style="326" customWidth="1"/>
    <col min="5119" max="5119" width="23.44140625" style="326" customWidth="1"/>
    <col min="5120" max="5121" width="21.6640625" style="326" customWidth="1"/>
    <col min="5122" max="5122" width="24.21875" style="326" customWidth="1"/>
    <col min="5123" max="5123" width="24.44140625" style="326" customWidth="1"/>
    <col min="5124" max="5124" width="22.6640625" style="326" customWidth="1"/>
    <col min="5125" max="5125" width="25" style="326" customWidth="1"/>
    <col min="5126" max="5126" width="8" style="326" customWidth="1"/>
    <col min="5127" max="5176" width="8.33203125" style="326" hidden="1" customWidth="1"/>
    <col min="5177" max="5177" width="23.44140625" style="326" customWidth="1"/>
    <col min="5178" max="5178" width="14.44140625" style="326" customWidth="1"/>
    <col min="5179" max="5353" width="9" style="326"/>
    <col min="5354" max="5354" width="20.44140625" style="326" customWidth="1"/>
    <col min="5355" max="5355" width="53" style="326" customWidth="1"/>
    <col min="5356" max="5356" width="30.6640625" style="326" customWidth="1"/>
    <col min="5357" max="5357" width="30.44140625" style="326" customWidth="1"/>
    <col min="5358" max="5358" width="28.21875" style="326" customWidth="1"/>
    <col min="5359" max="5360" width="30.6640625" style="326" customWidth="1"/>
    <col min="5361" max="5361" width="26.44140625" style="326" customWidth="1"/>
    <col min="5362" max="5363" width="30.6640625" style="326" customWidth="1"/>
    <col min="5364" max="5364" width="26.44140625" style="326" customWidth="1"/>
    <col min="5365" max="5365" width="17.6640625" style="326" customWidth="1"/>
    <col min="5366" max="5367" width="28.44140625" style="326" customWidth="1"/>
    <col min="5368" max="5368" width="24" style="326" customWidth="1"/>
    <col min="5369" max="5370" width="30.6640625" style="326" customWidth="1"/>
    <col min="5371" max="5371" width="26.44140625" style="326" customWidth="1"/>
    <col min="5372" max="5373" width="30.6640625" style="326" customWidth="1"/>
    <col min="5374" max="5374" width="28.44140625" style="326" customWidth="1"/>
    <col min="5375" max="5375" width="23.44140625" style="326" customWidth="1"/>
    <col min="5376" max="5377" width="21.6640625" style="326" customWidth="1"/>
    <col min="5378" max="5378" width="24.21875" style="326" customWidth="1"/>
    <col min="5379" max="5379" width="24.44140625" style="326" customWidth="1"/>
    <col min="5380" max="5380" width="22.6640625" style="326" customWidth="1"/>
    <col min="5381" max="5381" width="25" style="326" customWidth="1"/>
    <col min="5382" max="5382" width="8" style="326" customWidth="1"/>
    <col min="5383" max="5432" width="8.33203125" style="326" hidden="1" customWidth="1"/>
    <col min="5433" max="5433" width="23.44140625" style="326" customWidth="1"/>
    <col min="5434" max="5434" width="14.44140625" style="326" customWidth="1"/>
    <col min="5435" max="5609" width="9" style="326"/>
    <col min="5610" max="5610" width="20.44140625" style="326" customWidth="1"/>
    <col min="5611" max="5611" width="53" style="326" customWidth="1"/>
    <col min="5612" max="5612" width="30.6640625" style="326" customWidth="1"/>
    <col min="5613" max="5613" width="30.44140625" style="326" customWidth="1"/>
    <col min="5614" max="5614" width="28.21875" style="326" customWidth="1"/>
    <col min="5615" max="5616" width="30.6640625" style="326" customWidth="1"/>
    <col min="5617" max="5617" width="26.44140625" style="326" customWidth="1"/>
    <col min="5618" max="5619" width="30.6640625" style="326" customWidth="1"/>
    <col min="5620" max="5620" width="26.44140625" style="326" customWidth="1"/>
    <col min="5621" max="5621" width="17.6640625" style="326" customWidth="1"/>
    <col min="5622" max="5623" width="28.44140625" style="326" customWidth="1"/>
    <col min="5624" max="5624" width="24" style="326" customWidth="1"/>
    <col min="5625" max="5626" width="30.6640625" style="326" customWidth="1"/>
    <col min="5627" max="5627" width="26.44140625" style="326" customWidth="1"/>
    <col min="5628" max="5629" width="30.6640625" style="326" customWidth="1"/>
    <col min="5630" max="5630" width="28.44140625" style="326" customWidth="1"/>
    <col min="5631" max="5631" width="23.44140625" style="326" customWidth="1"/>
    <col min="5632" max="5633" width="21.6640625" style="326" customWidth="1"/>
    <col min="5634" max="5634" width="24.21875" style="326" customWidth="1"/>
    <col min="5635" max="5635" width="24.44140625" style="326" customWidth="1"/>
    <col min="5636" max="5636" width="22.6640625" style="326" customWidth="1"/>
    <col min="5637" max="5637" width="25" style="326" customWidth="1"/>
    <col min="5638" max="5638" width="8" style="326" customWidth="1"/>
    <col min="5639" max="5688" width="8.33203125" style="326" hidden="1" customWidth="1"/>
    <col min="5689" max="5689" width="23.44140625" style="326" customWidth="1"/>
    <col min="5690" max="5690" width="14.44140625" style="326" customWidth="1"/>
    <col min="5691" max="5865" width="9" style="326"/>
    <col min="5866" max="5866" width="20.44140625" style="326" customWidth="1"/>
    <col min="5867" max="5867" width="53" style="326" customWidth="1"/>
    <col min="5868" max="5868" width="30.6640625" style="326" customWidth="1"/>
    <col min="5869" max="5869" width="30.44140625" style="326" customWidth="1"/>
    <col min="5870" max="5870" width="28.21875" style="326" customWidth="1"/>
    <col min="5871" max="5872" width="30.6640625" style="326" customWidth="1"/>
    <col min="5873" max="5873" width="26.44140625" style="326" customWidth="1"/>
    <col min="5874" max="5875" width="30.6640625" style="326" customWidth="1"/>
    <col min="5876" max="5876" width="26.44140625" style="326" customWidth="1"/>
    <col min="5877" max="5877" width="17.6640625" style="326" customWidth="1"/>
    <col min="5878" max="5879" width="28.44140625" style="326" customWidth="1"/>
    <col min="5880" max="5880" width="24" style="326" customWidth="1"/>
    <col min="5881" max="5882" width="30.6640625" style="326" customWidth="1"/>
    <col min="5883" max="5883" width="26.44140625" style="326" customWidth="1"/>
    <col min="5884" max="5885" width="30.6640625" style="326" customWidth="1"/>
    <col min="5886" max="5886" width="28.44140625" style="326" customWidth="1"/>
    <col min="5887" max="5887" width="23.44140625" style="326" customWidth="1"/>
    <col min="5888" max="5889" width="21.6640625" style="326" customWidth="1"/>
    <col min="5890" max="5890" width="24.21875" style="326" customWidth="1"/>
    <col min="5891" max="5891" width="24.44140625" style="326" customWidth="1"/>
    <col min="5892" max="5892" width="22.6640625" style="326" customWidth="1"/>
    <col min="5893" max="5893" width="25" style="326" customWidth="1"/>
    <col min="5894" max="5894" width="8" style="326" customWidth="1"/>
    <col min="5895" max="5944" width="8.33203125" style="326" hidden="1" customWidth="1"/>
    <col min="5945" max="5945" width="23.44140625" style="326" customWidth="1"/>
    <col min="5946" max="5946" width="14.44140625" style="326" customWidth="1"/>
    <col min="5947" max="6121" width="9" style="326"/>
    <col min="6122" max="6122" width="20.44140625" style="326" customWidth="1"/>
    <col min="6123" max="6123" width="53" style="326" customWidth="1"/>
    <col min="6124" max="6124" width="30.6640625" style="326" customWidth="1"/>
    <col min="6125" max="6125" width="30.44140625" style="326" customWidth="1"/>
    <col min="6126" max="6126" width="28.21875" style="326" customWidth="1"/>
    <col min="6127" max="6128" width="30.6640625" style="326" customWidth="1"/>
    <col min="6129" max="6129" width="26.44140625" style="326" customWidth="1"/>
    <col min="6130" max="6131" width="30.6640625" style="326" customWidth="1"/>
    <col min="6132" max="6132" width="26.44140625" style="326" customWidth="1"/>
    <col min="6133" max="6133" width="17.6640625" style="326" customWidth="1"/>
    <col min="6134" max="6135" width="28.44140625" style="326" customWidth="1"/>
    <col min="6136" max="6136" width="24" style="326" customWidth="1"/>
    <col min="6137" max="6138" width="30.6640625" style="326" customWidth="1"/>
    <col min="6139" max="6139" width="26.44140625" style="326" customWidth="1"/>
    <col min="6140" max="6141" width="30.6640625" style="326" customWidth="1"/>
    <col min="6142" max="6142" width="28.44140625" style="326" customWidth="1"/>
    <col min="6143" max="6143" width="23.44140625" style="326" customWidth="1"/>
    <col min="6144" max="6145" width="21.6640625" style="326" customWidth="1"/>
    <col min="6146" max="6146" width="24.21875" style="326" customWidth="1"/>
    <col min="6147" max="6147" width="24.44140625" style="326" customWidth="1"/>
    <col min="6148" max="6148" width="22.6640625" style="326" customWidth="1"/>
    <col min="6149" max="6149" width="25" style="326" customWidth="1"/>
    <col min="6150" max="6150" width="8" style="326" customWidth="1"/>
    <col min="6151" max="6200" width="8.33203125" style="326" hidden="1" customWidth="1"/>
    <col min="6201" max="6201" width="23.44140625" style="326" customWidth="1"/>
    <col min="6202" max="6202" width="14.44140625" style="326" customWidth="1"/>
    <col min="6203" max="6377" width="9" style="326"/>
    <col min="6378" max="6378" width="20.44140625" style="326" customWidth="1"/>
    <col min="6379" max="6379" width="53" style="326" customWidth="1"/>
    <col min="6380" max="6380" width="30.6640625" style="326" customWidth="1"/>
    <col min="6381" max="6381" width="30.44140625" style="326" customWidth="1"/>
    <col min="6382" max="6382" width="28.21875" style="326" customWidth="1"/>
    <col min="6383" max="6384" width="30.6640625" style="326" customWidth="1"/>
    <col min="6385" max="6385" width="26.44140625" style="326" customWidth="1"/>
    <col min="6386" max="6387" width="30.6640625" style="326" customWidth="1"/>
    <col min="6388" max="6388" width="26.44140625" style="326" customWidth="1"/>
    <col min="6389" max="6389" width="17.6640625" style="326" customWidth="1"/>
    <col min="6390" max="6391" width="28.44140625" style="326" customWidth="1"/>
    <col min="6392" max="6392" width="24" style="326" customWidth="1"/>
    <col min="6393" max="6394" width="30.6640625" style="326" customWidth="1"/>
    <col min="6395" max="6395" width="26.44140625" style="326" customWidth="1"/>
    <col min="6396" max="6397" width="30.6640625" style="326" customWidth="1"/>
    <col min="6398" max="6398" width="28.44140625" style="326" customWidth="1"/>
    <col min="6399" max="6399" width="23.44140625" style="326" customWidth="1"/>
    <col min="6400" max="6401" width="21.6640625" style="326" customWidth="1"/>
    <col min="6402" max="6402" width="24.21875" style="326" customWidth="1"/>
    <col min="6403" max="6403" width="24.44140625" style="326" customWidth="1"/>
    <col min="6404" max="6404" width="22.6640625" style="326" customWidth="1"/>
    <col min="6405" max="6405" width="25" style="326" customWidth="1"/>
    <col min="6406" max="6406" width="8" style="326" customWidth="1"/>
    <col min="6407" max="6456" width="8.33203125" style="326" hidden="1" customWidth="1"/>
    <col min="6457" max="6457" width="23.44140625" style="326" customWidth="1"/>
    <col min="6458" max="6458" width="14.44140625" style="326" customWidth="1"/>
    <col min="6459" max="6633" width="9" style="326"/>
    <col min="6634" max="6634" width="20.44140625" style="326" customWidth="1"/>
    <col min="6635" max="6635" width="53" style="326" customWidth="1"/>
    <col min="6636" max="6636" width="30.6640625" style="326" customWidth="1"/>
    <col min="6637" max="6637" width="30.44140625" style="326" customWidth="1"/>
    <col min="6638" max="6638" width="28.21875" style="326" customWidth="1"/>
    <col min="6639" max="6640" width="30.6640625" style="326" customWidth="1"/>
    <col min="6641" max="6641" width="26.44140625" style="326" customWidth="1"/>
    <col min="6642" max="6643" width="30.6640625" style="326" customWidth="1"/>
    <col min="6644" max="6644" width="26.44140625" style="326" customWidth="1"/>
    <col min="6645" max="6645" width="17.6640625" style="326" customWidth="1"/>
    <col min="6646" max="6647" width="28.44140625" style="326" customWidth="1"/>
    <col min="6648" max="6648" width="24" style="326" customWidth="1"/>
    <col min="6649" max="6650" width="30.6640625" style="326" customWidth="1"/>
    <col min="6651" max="6651" width="26.44140625" style="326" customWidth="1"/>
    <col min="6652" max="6653" width="30.6640625" style="326" customWidth="1"/>
    <col min="6654" max="6654" width="28.44140625" style="326" customWidth="1"/>
    <col min="6655" max="6655" width="23.44140625" style="326" customWidth="1"/>
    <col min="6656" max="6657" width="21.6640625" style="326" customWidth="1"/>
    <col min="6658" max="6658" width="24.21875" style="326" customWidth="1"/>
    <col min="6659" max="6659" width="24.44140625" style="326" customWidth="1"/>
    <col min="6660" max="6660" width="22.6640625" style="326" customWidth="1"/>
    <col min="6661" max="6661" width="25" style="326" customWidth="1"/>
    <col min="6662" max="6662" width="8" style="326" customWidth="1"/>
    <col min="6663" max="6712" width="8.33203125" style="326" hidden="1" customWidth="1"/>
    <col min="6713" max="6713" width="23.44140625" style="326" customWidth="1"/>
    <col min="6714" max="6714" width="14.44140625" style="326" customWidth="1"/>
    <col min="6715" max="6889" width="9" style="326"/>
    <col min="6890" max="6890" width="20.44140625" style="326" customWidth="1"/>
    <col min="6891" max="6891" width="53" style="326" customWidth="1"/>
    <col min="6892" max="6892" width="30.6640625" style="326" customWidth="1"/>
    <col min="6893" max="6893" width="30.44140625" style="326" customWidth="1"/>
    <col min="6894" max="6894" width="28.21875" style="326" customWidth="1"/>
    <col min="6895" max="6896" width="30.6640625" style="326" customWidth="1"/>
    <col min="6897" max="6897" width="26.44140625" style="326" customWidth="1"/>
    <col min="6898" max="6899" width="30.6640625" style="326" customWidth="1"/>
    <col min="6900" max="6900" width="26.44140625" style="326" customWidth="1"/>
    <col min="6901" max="6901" width="17.6640625" style="326" customWidth="1"/>
    <col min="6902" max="6903" width="28.44140625" style="326" customWidth="1"/>
    <col min="6904" max="6904" width="24" style="326" customWidth="1"/>
    <col min="6905" max="6906" width="30.6640625" style="326" customWidth="1"/>
    <col min="6907" max="6907" width="26.44140625" style="326" customWidth="1"/>
    <col min="6908" max="6909" width="30.6640625" style="326" customWidth="1"/>
    <col min="6910" max="6910" width="28.44140625" style="326" customWidth="1"/>
    <col min="6911" max="6911" width="23.44140625" style="326" customWidth="1"/>
    <col min="6912" max="6913" width="21.6640625" style="326" customWidth="1"/>
    <col min="6914" max="6914" width="24.21875" style="326" customWidth="1"/>
    <col min="6915" max="6915" width="24.44140625" style="326" customWidth="1"/>
    <col min="6916" max="6916" width="22.6640625" style="326" customWidth="1"/>
    <col min="6917" max="6917" width="25" style="326" customWidth="1"/>
    <col min="6918" max="6918" width="8" style="326" customWidth="1"/>
    <col min="6919" max="6968" width="8.33203125" style="326" hidden="1" customWidth="1"/>
    <col min="6969" max="6969" width="23.44140625" style="326" customWidth="1"/>
    <col min="6970" max="6970" width="14.44140625" style="326" customWidth="1"/>
    <col min="6971" max="7145" width="9" style="326"/>
    <col min="7146" max="7146" width="20.44140625" style="326" customWidth="1"/>
    <col min="7147" max="7147" width="53" style="326" customWidth="1"/>
    <col min="7148" max="7148" width="30.6640625" style="326" customWidth="1"/>
    <col min="7149" max="7149" width="30.44140625" style="326" customWidth="1"/>
    <col min="7150" max="7150" width="28.21875" style="326" customWidth="1"/>
    <col min="7151" max="7152" width="30.6640625" style="326" customWidth="1"/>
    <col min="7153" max="7153" width="26.44140625" style="326" customWidth="1"/>
    <col min="7154" max="7155" width="30.6640625" style="326" customWidth="1"/>
    <col min="7156" max="7156" width="26.44140625" style="326" customWidth="1"/>
    <col min="7157" max="7157" width="17.6640625" style="326" customWidth="1"/>
    <col min="7158" max="7159" width="28.44140625" style="326" customWidth="1"/>
    <col min="7160" max="7160" width="24" style="326" customWidth="1"/>
    <col min="7161" max="7162" width="30.6640625" style="326" customWidth="1"/>
    <col min="7163" max="7163" width="26.44140625" style="326" customWidth="1"/>
    <col min="7164" max="7165" width="30.6640625" style="326" customWidth="1"/>
    <col min="7166" max="7166" width="28.44140625" style="326" customWidth="1"/>
    <col min="7167" max="7167" width="23.44140625" style="326" customWidth="1"/>
    <col min="7168" max="7169" width="21.6640625" style="326" customWidth="1"/>
    <col min="7170" max="7170" width="24.21875" style="326" customWidth="1"/>
    <col min="7171" max="7171" width="24.44140625" style="326" customWidth="1"/>
    <col min="7172" max="7172" width="22.6640625" style="326" customWidth="1"/>
    <col min="7173" max="7173" width="25" style="326" customWidth="1"/>
    <col min="7174" max="7174" width="8" style="326" customWidth="1"/>
    <col min="7175" max="7224" width="8.33203125" style="326" hidden="1" customWidth="1"/>
    <col min="7225" max="7225" width="23.44140625" style="326" customWidth="1"/>
    <col min="7226" max="7226" width="14.44140625" style="326" customWidth="1"/>
    <col min="7227" max="7401" width="9" style="326"/>
    <col min="7402" max="7402" width="20.44140625" style="326" customWidth="1"/>
    <col min="7403" max="7403" width="53" style="326" customWidth="1"/>
    <col min="7404" max="7404" width="30.6640625" style="326" customWidth="1"/>
    <col min="7405" max="7405" width="30.44140625" style="326" customWidth="1"/>
    <col min="7406" max="7406" width="28.21875" style="326" customWidth="1"/>
    <col min="7407" max="7408" width="30.6640625" style="326" customWidth="1"/>
    <col min="7409" max="7409" width="26.44140625" style="326" customWidth="1"/>
    <col min="7410" max="7411" width="30.6640625" style="326" customWidth="1"/>
    <col min="7412" max="7412" width="26.44140625" style="326" customWidth="1"/>
    <col min="7413" max="7413" width="17.6640625" style="326" customWidth="1"/>
    <col min="7414" max="7415" width="28.44140625" style="326" customWidth="1"/>
    <col min="7416" max="7416" width="24" style="326" customWidth="1"/>
    <col min="7417" max="7418" width="30.6640625" style="326" customWidth="1"/>
    <col min="7419" max="7419" width="26.44140625" style="326" customWidth="1"/>
    <col min="7420" max="7421" width="30.6640625" style="326" customWidth="1"/>
    <col min="7422" max="7422" width="28.44140625" style="326" customWidth="1"/>
    <col min="7423" max="7423" width="23.44140625" style="326" customWidth="1"/>
    <col min="7424" max="7425" width="21.6640625" style="326" customWidth="1"/>
    <col min="7426" max="7426" width="24.21875" style="326" customWidth="1"/>
    <col min="7427" max="7427" width="24.44140625" style="326" customWidth="1"/>
    <col min="7428" max="7428" width="22.6640625" style="326" customWidth="1"/>
    <col min="7429" max="7429" width="25" style="326" customWidth="1"/>
    <col min="7430" max="7430" width="8" style="326" customWidth="1"/>
    <col min="7431" max="7480" width="8.33203125" style="326" hidden="1" customWidth="1"/>
    <col min="7481" max="7481" width="23.44140625" style="326" customWidth="1"/>
    <col min="7482" max="7482" width="14.44140625" style="326" customWidth="1"/>
    <col min="7483" max="7657" width="9" style="326"/>
    <col min="7658" max="7658" width="20.44140625" style="326" customWidth="1"/>
    <col min="7659" max="7659" width="53" style="326" customWidth="1"/>
    <col min="7660" max="7660" width="30.6640625" style="326" customWidth="1"/>
    <col min="7661" max="7661" width="30.44140625" style="326" customWidth="1"/>
    <col min="7662" max="7662" width="28.21875" style="326" customWidth="1"/>
    <col min="7663" max="7664" width="30.6640625" style="326" customWidth="1"/>
    <col min="7665" max="7665" width="26.44140625" style="326" customWidth="1"/>
    <col min="7666" max="7667" width="30.6640625" style="326" customWidth="1"/>
    <col min="7668" max="7668" width="26.44140625" style="326" customWidth="1"/>
    <col min="7669" max="7669" width="17.6640625" style="326" customWidth="1"/>
    <col min="7670" max="7671" width="28.44140625" style="326" customWidth="1"/>
    <col min="7672" max="7672" width="24" style="326" customWidth="1"/>
    <col min="7673" max="7674" width="30.6640625" style="326" customWidth="1"/>
    <col min="7675" max="7675" width="26.44140625" style="326" customWidth="1"/>
    <col min="7676" max="7677" width="30.6640625" style="326" customWidth="1"/>
    <col min="7678" max="7678" width="28.44140625" style="326" customWidth="1"/>
    <col min="7679" max="7679" width="23.44140625" style="326" customWidth="1"/>
    <col min="7680" max="7681" width="21.6640625" style="326" customWidth="1"/>
    <col min="7682" max="7682" width="24.21875" style="326" customWidth="1"/>
    <col min="7683" max="7683" width="24.44140625" style="326" customWidth="1"/>
    <col min="7684" max="7684" width="22.6640625" style="326" customWidth="1"/>
    <col min="7685" max="7685" width="25" style="326" customWidth="1"/>
    <col min="7686" max="7686" width="8" style="326" customWidth="1"/>
    <col min="7687" max="7736" width="8.33203125" style="326" hidden="1" customWidth="1"/>
    <col min="7737" max="7737" width="23.44140625" style="326" customWidth="1"/>
    <col min="7738" max="7738" width="14.44140625" style="326" customWidth="1"/>
    <col min="7739" max="7913" width="9" style="326"/>
    <col min="7914" max="7914" width="20.44140625" style="326" customWidth="1"/>
    <col min="7915" max="7915" width="53" style="326" customWidth="1"/>
    <col min="7916" max="7916" width="30.6640625" style="326" customWidth="1"/>
    <col min="7917" max="7917" width="30.44140625" style="326" customWidth="1"/>
    <col min="7918" max="7918" width="28.21875" style="326" customWidth="1"/>
    <col min="7919" max="7920" width="30.6640625" style="326" customWidth="1"/>
    <col min="7921" max="7921" width="26.44140625" style="326" customWidth="1"/>
    <col min="7922" max="7923" width="30.6640625" style="326" customWidth="1"/>
    <col min="7924" max="7924" width="26.44140625" style="326" customWidth="1"/>
    <col min="7925" max="7925" width="17.6640625" style="326" customWidth="1"/>
    <col min="7926" max="7927" width="28.44140625" style="326" customWidth="1"/>
    <col min="7928" max="7928" width="24" style="326" customWidth="1"/>
    <col min="7929" max="7930" width="30.6640625" style="326" customWidth="1"/>
    <col min="7931" max="7931" width="26.44140625" style="326" customWidth="1"/>
    <col min="7932" max="7933" width="30.6640625" style="326" customWidth="1"/>
    <col min="7934" max="7934" width="28.44140625" style="326" customWidth="1"/>
    <col min="7935" max="7935" width="23.44140625" style="326" customWidth="1"/>
    <col min="7936" max="7937" width="21.6640625" style="326" customWidth="1"/>
    <col min="7938" max="7938" width="24.21875" style="326" customWidth="1"/>
    <col min="7939" max="7939" width="24.44140625" style="326" customWidth="1"/>
    <col min="7940" max="7940" width="22.6640625" style="326" customWidth="1"/>
    <col min="7941" max="7941" width="25" style="326" customWidth="1"/>
    <col min="7942" max="7942" width="8" style="326" customWidth="1"/>
    <col min="7943" max="7992" width="8.33203125" style="326" hidden="1" customWidth="1"/>
    <col min="7993" max="7993" width="23.44140625" style="326" customWidth="1"/>
    <col min="7994" max="7994" width="14.44140625" style="326" customWidth="1"/>
    <col min="7995" max="8169" width="9" style="326"/>
    <col min="8170" max="8170" width="20.44140625" style="326" customWidth="1"/>
    <col min="8171" max="8171" width="53" style="326" customWidth="1"/>
    <col min="8172" max="8172" width="30.6640625" style="326" customWidth="1"/>
    <col min="8173" max="8173" width="30.44140625" style="326" customWidth="1"/>
    <col min="8174" max="8174" width="28.21875" style="326" customWidth="1"/>
    <col min="8175" max="8176" width="30.6640625" style="326" customWidth="1"/>
    <col min="8177" max="8177" width="26.44140625" style="326" customWidth="1"/>
    <col min="8178" max="8179" width="30.6640625" style="326" customWidth="1"/>
    <col min="8180" max="8180" width="26.44140625" style="326" customWidth="1"/>
    <col min="8181" max="8181" width="17.6640625" style="326" customWidth="1"/>
    <col min="8182" max="8183" width="28.44140625" style="326" customWidth="1"/>
    <col min="8184" max="8184" width="24" style="326" customWidth="1"/>
    <col min="8185" max="8186" width="30.6640625" style="326" customWidth="1"/>
    <col min="8187" max="8187" width="26.44140625" style="326" customWidth="1"/>
    <col min="8188" max="8189" width="30.6640625" style="326" customWidth="1"/>
    <col min="8190" max="8190" width="28.44140625" style="326" customWidth="1"/>
    <col min="8191" max="8191" width="23.44140625" style="326" customWidth="1"/>
    <col min="8192" max="8193" width="21.6640625" style="326" customWidth="1"/>
    <col min="8194" max="8194" width="24.21875" style="326" customWidth="1"/>
    <col min="8195" max="8195" width="24.44140625" style="326" customWidth="1"/>
    <col min="8196" max="8196" width="22.6640625" style="326" customWidth="1"/>
    <col min="8197" max="8197" width="25" style="326" customWidth="1"/>
    <col min="8198" max="8198" width="8" style="326" customWidth="1"/>
    <col min="8199" max="8248" width="8.33203125" style="326" hidden="1" customWidth="1"/>
    <col min="8249" max="8249" width="23.44140625" style="326" customWidth="1"/>
    <col min="8250" max="8250" width="14.44140625" style="326" customWidth="1"/>
    <col min="8251" max="8425" width="9" style="326"/>
    <col min="8426" max="8426" width="20.44140625" style="326" customWidth="1"/>
    <col min="8427" max="8427" width="53" style="326" customWidth="1"/>
    <col min="8428" max="8428" width="30.6640625" style="326" customWidth="1"/>
    <col min="8429" max="8429" width="30.44140625" style="326" customWidth="1"/>
    <col min="8430" max="8430" width="28.21875" style="326" customWidth="1"/>
    <col min="8431" max="8432" width="30.6640625" style="326" customWidth="1"/>
    <col min="8433" max="8433" width="26.44140625" style="326" customWidth="1"/>
    <col min="8434" max="8435" width="30.6640625" style="326" customWidth="1"/>
    <col min="8436" max="8436" width="26.44140625" style="326" customWidth="1"/>
    <col min="8437" max="8437" width="17.6640625" style="326" customWidth="1"/>
    <col min="8438" max="8439" width="28.44140625" style="326" customWidth="1"/>
    <col min="8440" max="8440" width="24" style="326" customWidth="1"/>
    <col min="8441" max="8442" width="30.6640625" style="326" customWidth="1"/>
    <col min="8443" max="8443" width="26.44140625" style="326" customWidth="1"/>
    <col min="8444" max="8445" width="30.6640625" style="326" customWidth="1"/>
    <col min="8446" max="8446" width="28.44140625" style="326" customWidth="1"/>
    <col min="8447" max="8447" width="23.44140625" style="326" customWidth="1"/>
    <col min="8448" max="8449" width="21.6640625" style="326" customWidth="1"/>
    <col min="8450" max="8450" width="24.21875" style="326" customWidth="1"/>
    <col min="8451" max="8451" width="24.44140625" style="326" customWidth="1"/>
    <col min="8452" max="8452" width="22.6640625" style="326" customWidth="1"/>
    <col min="8453" max="8453" width="25" style="326" customWidth="1"/>
    <col min="8454" max="8454" width="8" style="326" customWidth="1"/>
    <col min="8455" max="8504" width="8.33203125" style="326" hidden="1" customWidth="1"/>
    <col min="8505" max="8505" width="23.44140625" style="326" customWidth="1"/>
    <col min="8506" max="8506" width="14.44140625" style="326" customWidth="1"/>
    <col min="8507" max="8681" width="9" style="326"/>
    <col min="8682" max="8682" width="20.44140625" style="326" customWidth="1"/>
    <col min="8683" max="8683" width="53" style="326" customWidth="1"/>
    <col min="8684" max="8684" width="30.6640625" style="326" customWidth="1"/>
    <col min="8685" max="8685" width="30.44140625" style="326" customWidth="1"/>
    <col min="8686" max="8686" width="28.21875" style="326" customWidth="1"/>
    <col min="8687" max="8688" width="30.6640625" style="326" customWidth="1"/>
    <col min="8689" max="8689" width="26.44140625" style="326" customWidth="1"/>
    <col min="8690" max="8691" width="30.6640625" style="326" customWidth="1"/>
    <col min="8692" max="8692" width="26.44140625" style="326" customWidth="1"/>
    <col min="8693" max="8693" width="17.6640625" style="326" customWidth="1"/>
    <col min="8694" max="8695" width="28.44140625" style="326" customWidth="1"/>
    <col min="8696" max="8696" width="24" style="326" customWidth="1"/>
    <col min="8697" max="8698" width="30.6640625" style="326" customWidth="1"/>
    <col min="8699" max="8699" width="26.44140625" style="326" customWidth="1"/>
    <col min="8700" max="8701" width="30.6640625" style="326" customWidth="1"/>
    <col min="8702" max="8702" width="28.44140625" style="326" customWidth="1"/>
    <col min="8703" max="8703" width="23.44140625" style="326" customWidth="1"/>
    <col min="8704" max="8705" width="21.6640625" style="326" customWidth="1"/>
    <col min="8706" max="8706" width="24.21875" style="326" customWidth="1"/>
    <col min="8707" max="8707" width="24.44140625" style="326" customWidth="1"/>
    <col min="8708" max="8708" width="22.6640625" style="326" customWidth="1"/>
    <col min="8709" max="8709" width="25" style="326" customWidth="1"/>
    <col min="8710" max="8710" width="8" style="326" customWidth="1"/>
    <col min="8711" max="8760" width="8.33203125" style="326" hidden="1" customWidth="1"/>
    <col min="8761" max="8761" width="23.44140625" style="326" customWidth="1"/>
    <col min="8762" max="8762" width="14.44140625" style="326" customWidth="1"/>
    <col min="8763" max="8937" width="9" style="326"/>
    <col min="8938" max="8938" width="20.44140625" style="326" customWidth="1"/>
    <col min="8939" max="8939" width="53" style="326" customWidth="1"/>
    <col min="8940" max="8940" width="30.6640625" style="326" customWidth="1"/>
    <col min="8941" max="8941" width="30.44140625" style="326" customWidth="1"/>
    <col min="8942" max="8942" width="28.21875" style="326" customWidth="1"/>
    <col min="8943" max="8944" width="30.6640625" style="326" customWidth="1"/>
    <col min="8945" max="8945" width="26.44140625" style="326" customWidth="1"/>
    <col min="8946" max="8947" width="30.6640625" style="326" customWidth="1"/>
    <col min="8948" max="8948" width="26.44140625" style="326" customWidth="1"/>
    <col min="8949" max="8949" width="17.6640625" style="326" customWidth="1"/>
    <col min="8950" max="8951" width="28.44140625" style="326" customWidth="1"/>
    <col min="8952" max="8952" width="24" style="326" customWidth="1"/>
    <col min="8953" max="8954" width="30.6640625" style="326" customWidth="1"/>
    <col min="8955" max="8955" width="26.44140625" style="326" customWidth="1"/>
    <col min="8956" max="8957" width="30.6640625" style="326" customWidth="1"/>
    <col min="8958" max="8958" width="28.44140625" style="326" customWidth="1"/>
    <col min="8959" max="8959" width="23.44140625" style="326" customWidth="1"/>
    <col min="8960" max="8961" width="21.6640625" style="326" customWidth="1"/>
    <col min="8962" max="8962" width="24.21875" style="326" customWidth="1"/>
    <col min="8963" max="8963" width="24.44140625" style="326" customWidth="1"/>
    <col min="8964" max="8964" width="22.6640625" style="326" customWidth="1"/>
    <col min="8965" max="8965" width="25" style="326" customWidth="1"/>
    <col min="8966" max="8966" width="8" style="326" customWidth="1"/>
    <col min="8967" max="9016" width="8.33203125" style="326" hidden="1" customWidth="1"/>
    <col min="9017" max="9017" width="23.44140625" style="326" customWidth="1"/>
    <col min="9018" max="9018" width="14.44140625" style="326" customWidth="1"/>
    <col min="9019" max="9193" width="9" style="326"/>
    <col min="9194" max="9194" width="20.44140625" style="326" customWidth="1"/>
    <col min="9195" max="9195" width="53" style="326" customWidth="1"/>
    <col min="9196" max="9196" width="30.6640625" style="326" customWidth="1"/>
    <col min="9197" max="9197" width="30.44140625" style="326" customWidth="1"/>
    <col min="9198" max="9198" width="28.21875" style="326" customWidth="1"/>
    <col min="9199" max="9200" width="30.6640625" style="326" customWidth="1"/>
    <col min="9201" max="9201" width="26.44140625" style="326" customWidth="1"/>
    <col min="9202" max="9203" width="30.6640625" style="326" customWidth="1"/>
    <col min="9204" max="9204" width="26.44140625" style="326" customWidth="1"/>
    <col min="9205" max="9205" width="17.6640625" style="326" customWidth="1"/>
    <col min="9206" max="9207" width="28.44140625" style="326" customWidth="1"/>
    <col min="9208" max="9208" width="24" style="326" customWidth="1"/>
    <col min="9209" max="9210" width="30.6640625" style="326" customWidth="1"/>
    <col min="9211" max="9211" width="26.44140625" style="326" customWidth="1"/>
    <col min="9212" max="9213" width="30.6640625" style="326" customWidth="1"/>
    <col min="9214" max="9214" width="28.44140625" style="326" customWidth="1"/>
    <col min="9215" max="9215" width="23.44140625" style="326" customWidth="1"/>
    <col min="9216" max="9217" width="21.6640625" style="326" customWidth="1"/>
    <col min="9218" max="9218" width="24.21875" style="326" customWidth="1"/>
    <col min="9219" max="9219" width="24.44140625" style="326" customWidth="1"/>
    <col min="9220" max="9220" width="22.6640625" style="326" customWidth="1"/>
    <col min="9221" max="9221" width="25" style="326" customWidth="1"/>
    <col min="9222" max="9222" width="8" style="326" customWidth="1"/>
    <col min="9223" max="9272" width="8.33203125" style="326" hidden="1" customWidth="1"/>
    <col min="9273" max="9273" width="23.44140625" style="326" customWidth="1"/>
    <col min="9274" max="9274" width="14.44140625" style="326" customWidth="1"/>
    <col min="9275" max="9449" width="9" style="326"/>
    <col min="9450" max="9450" width="20.44140625" style="326" customWidth="1"/>
    <col min="9451" max="9451" width="53" style="326" customWidth="1"/>
    <col min="9452" max="9452" width="30.6640625" style="326" customWidth="1"/>
    <col min="9453" max="9453" width="30.44140625" style="326" customWidth="1"/>
    <col min="9454" max="9454" width="28.21875" style="326" customWidth="1"/>
    <col min="9455" max="9456" width="30.6640625" style="326" customWidth="1"/>
    <col min="9457" max="9457" width="26.44140625" style="326" customWidth="1"/>
    <col min="9458" max="9459" width="30.6640625" style="326" customWidth="1"/>
    <col min="9460" max="9460" width="26.44140625" style="326" customWidth="1"/>
    <col min="9461" max="9461" width="17.6640625" style="326" customWidth="1"/>
    <col min="9462" max="9463" width="28.44140625" style="326" customWidth="1"/>
    <col min="9464" max="9464" width="24" style="326" customWidth="1"/>
    <col min="9465" max="9466" width="30.6640625" style="326" customWidth="1"/>
    <col min="9467" max="9467" width="26.44140625" style="326" customWidth="1"/>
    <col min="9468" max="9469" width="30.6640625" style="326" customWidth="1"/>
    <col min="9470" max="9470" width="28.44140625" style="326" customWidth="1"/>
    <col min="9471" max="9471" width="23.44140625" style="326" customWidth="1"/>
    <col min="9472" max="9473" width="21.6640625" style="326" customWidth="1"/>
    <col min="9474" max="9474" width="24.21875" style="326" customWidth="1"/>
    <col min="9475" max="9475" width="24.44140625" style="326" customWidth="1"/>
    <col min="9476" max="9476" width="22.6640625" style="326" customWidth="1"/>
    <col min="9477" max="9477" width="25" style="326" customWidth="1"/>
    <col min="9478" max="9478" width="8" style="326" customWidth="1"/>
    <col min="9479" max="9528" width="8.33203125" style="326" hidden="1" customWidth="1"/>
    <col min="9529" max="9529" width="23.44140625" style="326" customWidth="1"/>
    <col min="9530" max="9530" width="14.44140625" style="326" customWidth="1"/>
    <col min="9531" max="9705" width="9" style="326"/>
    <col min="9706" max="9706" width="20.44140625" style="326" customWidth="1"/>
    <col min="9707" max="9707" width="53" style="326" customWidth="1"/>
    <col min="9708" max="9708" width="30.6640625" style="326" customWidth="1"/>
    <col min="9709" max="9709" width="30.44140625" style="326" customWidth="1"/>
    <col min="9710" max="9710" width="28.21875" style="326" customWidth="1"/>
    <col min="9711" max="9712" width="30.6640625" style="326" customWidth="1"/>
    <col min="9713" max="9713" width="26.44140625" style="326" customWidth="1"/>
    <col min="9714" max="9715" width="30.6640625" style="326" customWidth="1"/>
    <col min="9716" max="9716" width="26.44140625" style="326" customWidth="1"/>
    <col min="9717" max="9717" width="17.6640625" style="326" customWidth="1"/>
    <col min="9718" max="9719" width="28.44140625" style="326" customWidth="1"/>
    <col min="9720" max="9720" width="24" style="326" customWidth="1"/>
    <col min="9721" max="9722" width="30.6640625" style="326" customWidth="1"/>
    <col min="9723" max="9723" width="26.44140625" style="326" customWidth="1"/>
    <col min="9724" max="9725" width="30.6640625" style="326" customWidth="1"/>
    <col min="9726" max="9726" width="28.44140625" style="326" customWidth="1"/>
    <col min="9727" max="9727" width="23.44140625" style="326" customWidth="1"/>
    <col min="9728" max="9729" width="21.6640625" style="326" customWidth="1"/>
    <col min="9730" max="9730" width="24.21875" style="326" customWidth="1"/>
    <col min="9731" max="9731" width="24.44140625" style="326" customWidth="1"/>
    <col min="9732" max="9732" width="22.6640625" style="326" customWidth="1"/>
    <col min="9733" max="9733" width="25" style="326" customWidth="1"/>
    <col min="9734" max="9734" width="8" style="326" customWidth="1"/>
    <col min="9735" max="9784" width="8.33203125" style="326" hidden="1" customWidth="1"/>
    <col min="9785" max="9785" width="23.44140625" style="326" customWidth="1"/>
    <col min="9786" max="9786" width="14.44140625" style="326" customWidth="1"/>
    <col min="9787" max="9961" width="9" style="326"/>
    <col min="9962" max="9962" width="20.44140625" style="326" customWidth="1"/>
    <col min="9963" max="9963" width="53" style="326" customWidth="1"/>
    <col min="9964" max="9964" width="30.6640625" style="326" customWidth="1"/>
    <col min="9965" max="9965" width="30.44140625" style="326" customWidth="1"/>
    <col min="9966" max="9966" width="28.21875" style="326" customWidth="1"/>
    <col min="9967" max="9968" width="30.6640625" style="326" customWidth="1"/>
    <col min="9969" max="9969" width="26.44140625" style="326" customWidth="1"/>
    <col min="9970" max="9971" width="30.6640625" style="326" customWidth="1"/>
    <col min="9972" max="9972" width="26.44140625" style="326" customWidth="1"/>
    <col min="9973" max="9973" width="17.6640625" style="326" customWidth="1"/>
    <col min="9974" max="9975" width="28.44140625" style="326" customWidth="1"/>
    <col min="9976" max="9976" width="24" style="326" customWidth="1"/>
    <col min="9977" max="9978" width="30.6640625" style="326" customWidth="1"/>
    <col min="9979" max="9979" width="26.44140625" style="326" customWidth="1"/>
    <col min="9980" max="9981" width="30.6640625" style="326" customWidth="1"/>
    <col min="9982" max="9982" width="28.44140625" style="326" customWidth="1"/>
    <col min="9983" max="9983" width="23.44140625" style="326" customWidth="1"/>
    <col min="9984" max="9985" width="21.6640625" style="326" customWidth="1"/>
    <col min="9986" max="9986" width="24.21875" style="326" customWidth="1"/>
    <col min="9987" max="9987" width="24.44140625" style="326" customWidth="1"/>
    <col min="9988" max="9988" width="22.6640625" style="326" customWidth="1"/>
    <col min="9989" max="9989" width="25" style="326" customWidth="1"/>
    <col min="9990" max="9990" width="8" style="326" customWidth="1"/>
    <col min="9991" max="10040" width="8.33203125" style="326" hidden="1" customWidth="1"/>
    <col min="10041" max="10041" width="23.44140625" style="326" customWidth="1"/>
    <col min="10042" max="10042" width="14.44140625" style="326" customWidth="1"/>
    <col min="10043" max="10217" width="9" style="326"/>
    <col min="10218" max="10218" width="20.44140625" style="326" customWidth="1"/>
    <col min="10219" max="10219" width="53" style="326" customWidth="1"/>
    <col min="10220" max="10220" width="30.6640625" style="326" customWidth="1"/>
    <col min="10221" max="10221" width="30.44140625" style="326" customWidth="1"/>
    <col min="10222" max="10222" width="28.21875" style="326" customWidth="1"/>
    <col min="10223" max="10224" width="30.6640625" style="326" customWidth="1"/>
    <col min="10225" max="10225" width="26.44140625" style="326" customWidth="1"/>
    <col min="10226" max="10227" width="30.6640625" style="326" customWidth="1"/>
    <col min="10228" max="10228" width="26.44140625" style="326" customWidth="1"/>
    <col min="10229" max="10229" width="17.6640625" style="326" customWidth="1"/>
    <col min="10230" max="10231" width="28.44140625" style="326" customWidth="1"/>
    <col min="10232" max="10232" width="24" style="326" customWidth="1"/>
    <col min="10233" max="10234" width="30.6640625" style="326" customWidth="1"/>
    <col min="10235" max="10235" width="26.44140625" style="326" customWidth="1"/>
    <col min="10236" max="10237" width="30.6640625" style="326" customWidth="1"/>
    <col min="10238" max="10238" width="28.44140625" style="326" customWidth="1"/>
    <col min="10239" max="10239" width="23.44140625" style="326" customWidth="1"/>
    <col min="10240" max="10241" width="21.6640625" style="326" customWidth="1"/>
    <col min="10242" max="10242" width="24.21875" style="326" customWidth="1"/>
    <col min="10243" max="10243" width="24.44140625" style="326" customWidth="1"/>
    <col min="10244" max="10244" width="22.6640625" style="326" customWidth="1"/>
    <col min="10245" max="10245" width="25" style="326" customWidth="1"/>
    <col min="10246" max="10246" width="8" style="326" customWidth="1"/>
    <col min="10247" max="10296" width="8.33203125" style="326" hidden="1" customWidth="1"/>
    <col min="10297" max="10297" width="23.44140625" style="326" customWidth="1"/>
    <col min="10298" max="10298" width="14.44140625" style="326" customWidth="1"/>
    <col min="10299" max="10473" width="9" style="326"/>
    <col min="10474" max="10474" width="20.44140625" style="326" customWidth="1"/>
    <col min="10475" max="10475" width="53" style="326" customWidth="1"/>
    <col min="10476" max="10476" width="30.6640625" style="326" customWidth="1"/>
    <col min="10477" max="10477" width="30.44140625" style="326" customWidth="1"/>
    <col min="10478" max="10478" width="28.21875" style="326" customWidth="1"/>
    <col min="10479" max="10480" width="30.6640625" style="326" customWidth="1"/>
    <col min="10481" max="10481" width="26.44140625" style="326" customWidth="1"/>
    <col min="10482" max="10483" width="30.6640625" style="326" customWidth="1"/>
    <col min="10484" max="10484" width="26.44140625" style="326" customWidth="1"/>
    <col min="10485" max="10485" width="17.6640625" style="326" customWidth="1"/>
    <col min="10486" max="10487" width="28.44140625" style="326" customWidth="1"/>
    <col min="10488" max="10488" width="24" style="326" customWidth="1"/>
    <col min="10489" max="10490" width="30.6640625" style="326" customWidth="1"/>
    <col min="10491" max="10491" width="26.44140625" style="326" customWidth="1"/>
    <col min="10492" max="10493" width="30.6640625" style="326" customWidth="1"/>
    <col min="10494" max="10494" width="28.44140625" style="326" customWidth="1"/>
    <col min="10495" max="10495" width="23.44140625" style="326" customWidth="1"/>
    <col min="10496" max="10497" width="21.6640625" style="326" customWidth="1"/>
    <col min="10498" max="10498" width="24.21875" style="326" customWidth="1"/>
    <col min="10499" max="10499" width="24.44140625" style="326" customWidth="1"/>
    <col min="10500" max="10500" width="22.6640625" style="326" customWidth="1"/>
    <col min="10501" max="10501" width="25" style="326" customWidth="1"/>
    <col min="10502" max="10502" width="8" style="326" customWidth="1"/>
    <col min="10503" max="10552" width="8.33203125" style="326" hidden="1" customWidth="1"/>
    <col min="10553" max="10553" width="23.44140625" style="326" customWidth="1"/>
    <col min="10554" max="10554" width="14.44140625" style="326" customWidth="1"/>
    <col min="10555" max="10729" width="9" style="326"/>
    <col min="10730" max="10730" width="20.44140625" style="326" customWidth="1"/>
    <col min="10731" max="10731" width="53" style="326" customWidth="1"/>
    <col min="10732" max="10732" width="30.6640625" style="326" customWidth="1"/>
    <col min="10733" max="10733" width="30.44140625" style="326" customWidth="1"/>
    <col min="10734" max="10734" width="28.21875" style="326" customWidth="1"/>
    <col min="10735" max="10736" width="30.6640625" style="326" customWidth="1"/>
    <col min="10737" max="10737" width="26.44140625" style="326" customWidth="1"/>
    <col min="10738" max="10739" width="30.6640625" style="326" customWidth="1"/>
    <col min="10740" max="10740" width="26.44140625" style="326" customWidth="1"/>
    <col min="10741" max="10741" width="17.6640625" style="326" customWidth="1"/>
    <col min="10742" max="10743" width="28.44140625" style="326" customWidth="1"/>
    <col min="10744" max="10744" width="24" style="326" customWidth="1"/>
    <col min="10745" max="10746" width="30.6640625" style="326" customWidth="1"/>
    <col min="10747" max="10747" width="26.44140625" style="326" customWidth="1"/>
    <col min="10748" max="10749" width="30.6640625" style="326" customWidth="1"/>
    <col min="10750" max="10750" width="28.44140625" style="326" customWidth="1"/>
    <col min="10751" max="10751" width="23.44140625" style="326" customWidth="1"/>
    <col min="10752" max="10753" width="21.6640625" style="326" customWidth="1"/>
    <col min="10754" max="10754" width="24.21875" style="326" customWidth="1"/>
    <col min="10755" max="10755" width="24.44140625" style="326" customWidth="1"/>
    <col min="10756" max="10756" width="22.6640625" style="326" customWidth="1"/>
    <col min="10757" max="10757" width="25" style="326" customWidth="1"/>
    <col min="10758" max="10758" width="8" style="326" customWidth="1"/>
    <col min="10759" max="10808" width="8.33203125" style="326" hidden="1" customWidth="1"/>
    <col min="10809" max="10809" width="23.44140625" style="326" customWidth="1"/>
    <col min="10810" max="10810" width="14.44140625" style="326" customWidth="1"/>
    <col min="10811" max="10985" width="9" style="326"/>
    <col min="10986" max="10986" width="20.44140625" style="326" customWidth="1"/>
    <col min="10987" max="10987" width="53" style="326" customWidth="1"/>
    <col min="10988" max="10988" width="30.6640625" style="326" customWidth="1"/>
    <col min="10989" max="10989" width="30.44140625" style="326" customWidth="1"/>
    <col min="10990" max="10990" width="28.21875" style="326" customWidth="1"/>
    <col min="10991" max="10992" width="30.6640625" style="326" customWidth="1"/>
    <col min="10993" max="10993" width="26.44140625" style="326" customWidth="1"/>
    <col min="10994" max="10995" width="30.6640625" style="326" customWidth="1"/>
    <col min="10996" max="10996" width="26.44140625" style="326" customWidth="1"/>
    <col min="10997" max="10997" width="17.6640625" style="326" customWidth="1"/>
    <col min="10998" max="10999" width="28.44140625" style="326" customWidth="1"/>
    <col min="11000" max="11000" width="24" style="326" customWidth="1"/>
    <col min="11001" max="11002" width="30.6640625" style="326" customWidth="1"/>
    <col min="11003" max="11003" width="26.44140625" style="326" customWidth="1"/>
    <col min="11004" max="11005" width="30.6640625" style="326" customWidth="1"/>
    <col min="11006" max="11006" width="28.44140625" style="326" customWidth="1"/>
    <col min="11007" max="11007" width="23.44140625" style="326" customWidth="1"/>
    <col min="11008" max="11009" width="21.6640625" style="326" customWidth="1"/>
    <col min="11010" max="11010" width="24.21875" style="326" customWidth="1"/>
    <col min="11011" max="11011" width="24.44140625" style="326" customWidth="1"/>
    <col min="11012" max="11012" width="22.6640625" style="326" customWidth="1"/>
    <col min="11013" max="11013" width="25" style="326" customWidth="1"/>
    <col min="11014" max="11014" width="8" style="326" customWidth="1"/>
    <col min="11015" max="11064" width="8.33203125" style="326" hidden="1" customWidth="1"/>
    <col min="11065" max="11065" width="23.44140625" style="326" customWidth="1"/>
    <col min="11066" max="11066" width="14.44140625" style="326" customWidth="1"/>
    <col min="11067" max="11241" width="9" style="326"/>
    <col min="11242" max="11242" width="20.44140625" style="326" customWidth="1"/>
    <col min="11243" max="11243" width="53" style="326" customWidth="1"/>
    <col min="11244" max="11244" width="30.6640625" style="326" customWidth="1"/>
    <col min="11245" max="11245" width="30.44140625" style="326" customWidth="1"/>
    <col min="11246" max="11246" width="28.21875" style="326" customWidth="1"/>
    <col min="11247" max="11248" width="30.6640625" style="326" customWidth="1"/>
    <col min="11249" max="11249" width="26.44140625" style="326" customWidth="1"/>
    <col min="11250" max="11251" width="30.6640625" style="326" customWidth="1"/>
    <col min="11252" max="11252" width="26.44140625" style="326" customWidth="1"/>
    <col min="11253" max="11253" width="17.6640625" style="326" customWidth="1"/>
    <col min="11254" max="11255" width="28.44140625" style="326" customWidth="1"/>
    <col min="11256" max="11256" width="24" style="326" customWidth="1"/>
    <col min="11257" max="11258" width="30.6640625" style="326" customWidth="1"/>
    <col min="11259" max="11259" width="26.44140625" style="326" customWidth="1"/>
    <col min="11260" max="11261" width="30.6640625" style="326" customWidth="1"/>
    <col min="11262" max="11262" width="28.44140625" style="326" customWidth="1"/>
    <col min="11263" max="11263" width="23.44140625" style="326" customWidth="1"/>
    <col min="11264" max="11265" width="21.6640625" style="326" customWidth="1"/>
    <col min="11266" max="11266" width="24.21875" style="326" customWidth="1"/>
    <col min="11267" max="11267" width="24.44140625" style="326" customWidth="1"/>
    <col min="11268" max="11268" width="22.6640625" style="326" customWidth="1"/>
    <col min="11269" max="11269" width="25" style="326" customWidth="1"/>
    <col min="11270" max="11270" width="8" style="326" customWidth="1"/>
    <col min="11271" max="11320" width="8.33203125" style="326" hidden="1" customWidth="1"/>
    <col min="11321" max="11321" width="23.44140625" style="326" customWidth="1"/>
    <col min="11322" max="11322" width="14.44140625" style="326" customWidth="1"/>
    <col min="11323" max="11497" width="9" style="326"/>
    <col min="11498" max="11498" width="20.44140625" style="326" customWidth="1"/>
    <col min="11499" max="11499" width="53" style="326" customWidth="1"/>
    <col min="11500" max="11500" width="30.6640625" style="326" customWidth="1"/>
    <col min="11501" max="11501" width="30.44140625" style="326" customWidth="1"/>
    <col min="11502" max="11502" width="28.21875" style="326" customWidth="1"/>
    <col min="11503" max="11504" width="30.6640625" style="326" customWidth="1"/>
    <col min="11505" max="11505" width="26.44140625" style="326" customWidth="1"/>
    <col min="11506" max="11507" width="30.6640625" style="326" customWidth="1"/>
    <col min="11508" max="11508" width="26.44140625" style="326" customWidth="1"/>
    <col min="11509" max="11509" width="17.6640625" style="326" customWidth="1"/>
    <col min="11510" max="11511" width="28.44140625" style="326" customWidth="1"/>
    <col min="11512" max="11512" width="24" style="326" customWidth="1"/>
    <col min="11513" max="11514" width="30.6640625" style="326" customWidth="1"/>
    <col min="11515" max="11515" width="26.44140625" style="326" customWidth="1"/>
    <col min="11516" max="11517" width="30.6640625" style="326" customWidth="1"/>
    <col min="11518" max="11518" width="28.44140625" style="326" customWidth="1"/>
    <col min="11519" max="11519" width="23.44140625" style="326" customWidth="1"/>
    <col min="11520" max="11521" width="21.6640625" style="326" customWidth="1"/>
    <col min="11522" max="11522" width="24.21875" style="326" customWidth="1"/>
    <col min="11523" max="11523" width="24.44140625" style="326" customWidth="1"/>
    <col min="11524" max="11524" width="22.6640625" style="326" customWidth="1"/>
    <col min="11525" max="11525" width="25" style="326" customWidth="1"/>
    <col min="11526" max="11526" width="8" style="326" customWidth="1"/>
    <col min="11527" max="11576" width="8.33203125" style="326" hidden="1" customWidth="1"/>
    <col min="11577" max="11577" width="23.44140625" style="326" customWidth="1"/>
    <col min="11578" max="11578" width="14.44140625" style="326" customWidth="1"/>
    <col min="11579" max="11753" width="9" style="326"/>
    <col min="11754" max="11754" width="20.44140625" style="326" customWidth="1"/>
    <col min="11755" max="11755" width="53" style="326" customWidth="1"/>
    <col min="11756" max="11756" width="30.6640625" style="326" customWidth="1"/>
    <col min="11757" max="11757" width="30.44140625" style="326" customWidth="1"/>
    <col min="11758" max="11758" width="28.21875" style="326" customWidth="1"/>
    <col min="11759" max="11760" width="30.6640625" style="326" customWidth="1"/>
    <col min="11761" max="11761" width="26.44140625" style="326" customWidth="1"/>
    <col min="11762" max="11763" width="30.6640625" style="326" customWidth="1"/>
    <col min="11764" max="11764" width="26.44140625" style="326" customWidth="1"/>
    <col min="11765" max="11765" width="17.6640625" style="326" customWidth="1"/>
    <col min="11766" max="11767" width="28.44140625" style="326" customWidth="1"/>
    <col min="11768" max="11768" width="24" style="326" customWidth="1"/>
    <col min="11769" max="11770" width="30.6640625" style="326" customWidth="1"/>
    <col min="11771" max="11771" width="26.44140625" style="326" customWidth="1"/>
    <col min="11772" max="11773" width="30.6640625" style="326" customWidth="1"/>
    <col min="11774" max="11774" width="28.44140625" style="326" customWidth="1"/>
    <col min="11775" max="11775" width="23.44140625" style="326" customWidth="1"/>
    <col min="11776" max="11777" width="21.6640625" style="326" customWidth="1"/>
    <col min="11778" max="11778" width="24.21875" style="326" customWidth="1"/>
    <col min="11779" max="11779" width="24.44140625" style="326" customWidth="1"/>
    <col min="11780" max="11780" width="22.6640625" style="326" customWidth="1"/>
    <col min="11781" max="11781" width="25" style="326" customWidth="1"/>
    <col min="11782" max="11782" width="8" style="326" customWidth="1"/>
    <col min="11783" max="11832" width="8.33203125" style="326" hidden="1" customWidth="1"/>
    <col min="11833" max="11833" width="23.44140625" style="326" customWidth="1"/>
    <col min="11834" max="11834" width="14.44140625" style="326" customWidth="1"/>
    <col min="11835" max="12009" width="9" style="326"/>
    <col min="12010" max="12010" width="20.44140625" style="326" customWidth="1"/>
    <col min="12011" max="12011" width="53" style="326" customWidth="1"/>
    <col min="12012" max="12012" width="30.6640625" style="326" customWidth="1"/>
    <col min="12013" max="12013" width="30.44140625" style="326" customWidth="1"/>
    <col min="12014" max="12014" width="28.21875" style="326" customWidth="1"/>
    <col min="12015" max="12016" width="30.6640625" style="326" customWidth="1"/>
    <col min="12017" max="12017" width="26.44140625" style="326" customWidth="1"/>
    <col min="12018" max="12019" width="30.6640625" style="326" customWidth="1"/>
    <col min="12020" max="12020" width="26.44140625" style="326" customWidth="1"/>
    <col min="12021" max="12021" width="17.6640625" style="326" customWidth="1"/>
    <col min="12022" max="12023" width="28.44140625" style="326" customWidth="1"/>
    <col min="12024" max="12024" width="24" style="326" customWidth="1"/>
    <col min="12025" max="12026" width="30.6640625" style="326" customWidth="1"/>
    <col min="12027" max="12027" width="26.44140625" style="326" customWidth="1"/>
    <col min="12028" max="12029" width="30.6640625" style="326" customWidth="1"/>
    <col min="12030" max="12030" width="28.44140625" style="326" customWidth="1"/>
    <col min="12031" max="12031" width="23.44140625" style="326" customWidth="1"/>
    <col min="12032" max="12033" width="21.6640625" style="326" customWidth="1"/>
    <col min="12034" max="12034" width="24.21875" style="326" customWidth="1"/>
    <col min="12035" max="12035" width="24.44140625" style="326" customWidth="1"/>
    <col min="12036" max="12036" width="22.6640625" style="326" customWidth="1"/>
    <col min="12037" max="12037" width="25" style="326" customWidth="1"/>
    <col min="12038" max="12038" width="8" style="326" customWidth="1"/>
    <col min="12039" max="12088" width="8.33203125" style="326" hidden="1" customWidth="1"/>
    <col min="12089" max="12089" width="23.44140625" style="326" customWidth="1"/>
    <col min="12090" max="12090" width="14.44140625" style="326" customWidth="1"/>
    <col min="12091" max="12265" width="9" style="326"/>
    <col min="12266" max="12266" width="20.44140625" style="326" customWidth="1"/>
    <col min="12267" max="12267" width="53" style="326" customWidth="1"/>
    <col min="12268" max="12268" width="30.6640625" style="326" customWidth="1"/>
    <col min="12269" max="12269" width="30.44140625" style="326" customWidth="1"/>
    <col min="12270" max="12270" width="28.21875" style="326" customWidth="1"/>
    <col min="12271" max="12272" width="30.6640625" style="326" customWidth="1"/>
    <col min="12273" max="12273" width="26.44140625" style="326" customWidth="1"/>
    <col min="12274" max="12275" width="30.6640625" style="326" customWidth="1"/>
    <col min="12276" max="12276" width="26.44140625" style="326" customWidth="1"/>
    <col min="12277" max="12277" width="17.6640625" style="326" customWidth="1"/>
    <col min="12278" max="12279" width="28.44140625" style="326" customWidth="1"/>
    <col min="12280" max="12280" width="24" style="326" customWidth="1"/>
    <col min="12281" max="12282" width="30.6640625" style="326" customWidth="1"/>
    <col min="12283" max="12283" width="26.44140625" style="326" customWidth="1"/>
    <col min="12284" max="12285" width="30.6640625" style="326" customWidth="1"/>
    <col min="12286" max="12286" width="28.44140625" style="326" customWidth="1"/>
    <col min="12287" max="12287" width="23.44140625" style="326" customWidth="1"/>
    <col min="12288" max="12289" width="21.6640625" style="326" customWidth="1"/>
    <col min="12290" max="12290" width="24.21875" style="326" customWidth="1"/>
    <col min="12291" max="12291" width="24.44140625" style="326" customWidth="1"/>
    <col min="12292" max="12292" width="22.6640625" style="326" customWidth="1"/>
    <col min="12293" max="12293" width="25" style="326" customWidth="1"/>
    <col min="12294" max="12294" width="8" style="326" customWidth="1"/>
    <col min="12295" max="12344" width="8.33203125" style="326" hidden="1" customWidth="1"/>
    <col min="12345" max="12345" width="23.44140625" style="326" customWidth="1"/>
    <col min="12346" max="12346" width="14.44140625" style="326" customWidth="1"/>
    <col min="12347" max="12521" width="9" style="326"/>
    <col min="12522" max="12522" width="20.44140625" style="326" customWidth="1"/>
    <col min="12523" max="12523" width="53" style="326" customWidth="1"/>
    <col min="12524" max="12524" width="30.6640625" style="326" customWidth="1"/>
    <col min="12525" max="12525" width="30.44140625" style="326" customWidth="1"/>
    <col min="12526" max="12526" width="28.21875" style="326" customWidth="1"/>
    <col min="12527" max="12528" width="30.6640625" style="326" customWidth="1"/>
    <col min="12529" max="12529" width="26.44140625" style="326" customWidth="1"/>
    <col min="12530" max="12531" width="30.6640625" style="326" customWidth="1"/>
    <col min="12532" max="12532" width="26.44140625" style="326" customWidth="1"/>
    <col min="12533" max="12533" width="17.6640625" style="326" customWidth="1"/>
    <col min="12534" max="12535" width="28.44140625" style="326" customWidth="1"/>
    <col min="12536" max="12536" width="24" style="326" customWidth="1"/>
    <col min="12537" max="12538" width="30.6640625" style="326" customWidth="1"/>
    <col min="12539" max="12539" width="26.44140625" style="326" customWidth="1"/>
    <col min="12540" max="12541" width="30.6640625" style="326" customWidth="1"/>
    <col min="12542" max="12542" width="28.44140625" style="326" customWidth="1"/>
    <col min="12543" max="12543" width="23.44140625" style="326" customWidth="1"/>
    <col min="12544" max="12545" width="21.6640625" style="326" customWidth="1"/>
    <col min="12546" max="12546" width="24.21875" style="326" customWidth="1"/>
    <col min="12547" max="12547" width="24.44140625" style="326" customWidth="1"/>
    <col min="12548" max="12548" width="22.6640625" style="326" customWidth="1"/>
    <col min="12549" max="12549" width="25" style="326" customWidth="1"/>
    <col min="12550" max="12550" width="8" style="326" customWidth="1"/>
    <col min="12551" max="12600" width="8.33203125" style="326" hidden="1" customWidth="1"/>
    <col min="12601" max="12601" width="23.44140625" style="326" customWidth="1"/>
    <col min="12602" max="12602" width="14.44140625" style="326" customWidth="1"/>
    <col min="12603" max="12777" width="9" style="326"/>
    <col min="12778" max="12778" width="20.44140625" style="326" customWidth="1"/>
    <col min="12779" max="12779" width="53" style="326" customWidth="1"/>
    <col min="12780" max="12780" width="30.6640625" style="326" customWidth="1"/>
    <col min="12781" max="12781" width="30.44140625" style="326" customWidth="1"/>
    <col min="12782" max="12782" width="28.21875" style="326" customWidth="1"/>
    <col min="12783" max="12784" width="30.6640625" style="326" customWidth="1"/>
    <col min="12785" max="12785" width="26.44140625" style="326" customWidth="1"/>
    <col min="12786" max="12787" width="30.6640625" style="326" customWidth="1"/>
    <col min="12788" max="12788" width="26.44140625" style="326" customWidth="1"/>
    <col min="12789" max="12789" width="17.6640625" style="326" customWidth="1"/>
    <col min="12790" max="12791" width="28.44140625" style="326" customWidth="1"/>
    <col min="12792" max="12792" width="24" style="326" customWidth="1"/>
    <col min="12793" max="12794" width="30.6640625" style="326" customWidth="1"/>
    <col min="12795" max="12795" width="26.44140625" style="326" customWidth="1"/>
    <col min="12796" max="12797" width="30.6640625" style="326" customWidth="1"/>
    <col min="12798" max="12798" width="28.44140625" style="326" customWidth="1"/>
    <col min="12799" max="12799" width="23.44140625" style="326" customWidth="1"/>
    <col min="12800" max="12801" width="21.6640625" style="326" customWidth="1"/>
    <col min="12802" max="12802" width="24.21875" style="326" customWidth="1"/>
    <col min="12803" max="12803" width="24.44140625" style="326" customWidth="1"/>
    <col min="12804" max="12804" width="22.6640625" style="326" customWidth="1"/>
    <col min="12805" max="12805" width="25" style="326" customWidth="1"/>
    <col min="12806" max="12806" width="8" style="326" customWidth="1"/>
    <col min="12807" max="12856" width="8.33203125" style="326" hidden="1" customWidth="1"/>
    <col min="12857" max="12857" width="23.44140625" style="326" customWidth="1"/>
    <col min="12858" max="12858" width="14.44140625" style="326" customWidth="1"/>
    <col min="12859" max="13033" width="9" style="326"/>
    <col min="13034" max="13034" width="20.44140625" style="326" customWidth="1"/>
    <col min="13035" max="13035" width="53" style="326" customWidth="1"/>
    <col min="13036" max="13036" width="30.6640625" style="326" customWidth="1"/>
    <col min="13037" max="13037" width="30.44140625" style="326" customWidth="1"/>
    <col min="13038" max="13038" width="28.21875" style="326" customWidth="1"/>
    <col min="13039" max="13040" width="30.6640625" style="326" customWidth="1"/>
    <col min="13041" max="13041" width="26.44140625" style="326" customWidth="1"/>
    <col min="13042" max="13043" width="30.6640625" style="326" customWidth="1"/>
    <col min="13044" max="13044" width="26.44140625" style="326" customWidth="1"/>
    <col min="13045" max="13045" width="17.6640625" style="326" customWidth="1"/>
    <col min="13046" max="13047" width="28.44140625" style="326" customWidth="1"/>
    <col min="13048" max="13048" width="24" style="326" customWidth="1"/>
    <col min="13049" max="13050" width="30.6640625" style="326" customWidth="1"/>
    <col min="13051" max="13051" width="26.44140625" style="326" customWidth="1"/>
    <col min="13052" max="13053" width="30.6640625" style="326" customWidth="1"/>
    <col min="13054" max="13054" width="28.44140625" style="326" customWidth="1"/>
    <col min="13055" max="13055" width="23.44140625" style="326" customWidth="1"/>
    <col min="13056" max="13057" width="21.6640625" style="326" customWidth="1"/>
    <col min="13058" max="13058" width="24.21875" style="326" customWidth="1"/>
    <col min="13059" max="13059" width="24.44140625" style="326" customWidth="1"/>
    <col min="13060" max="13060" width="22.6640625" style="326" customWidth="1"/>
    <col min="13061" max="13061" width="25" style="326" customWidth="1"/>
    <col min="13062" max="13062" width="8" style="326" customWidth="1"/>
    <col min="13063" max="13112" width="8.33203125" style="326" hidden="1" customWidth="1"/>
    <col min="13113" max="13113" width="23.44140625" style="326" customWidth="1"/>
    <col min="13114" max="13114" width="14.44140625" style="326" customWidth="1"/>
    <col min="13115" max="13289" width="9" style="326"/>
    <col min="13290" max="13290" width="20.44140625" style="326" customWidth="1"/>
    <col min="13291" max="13291" width="53" style="326" customWidth="1"/>
    <col min="13292" max="13292" width="30.6640625" style="326" customWidth="1"/>
    <col min="13293" max="13293" width="30.44140625" style="326" customWidth="1"/>
    <col min="13294" max="13294" width="28.21875" style="326" customWidth="1"/>
    <col min="13295" max="13296" width="30.6640625" style="326" customWidth="1"/>
    <col min="13297" max="13297" width="26.44140625" style="326" customWidth="1"/>
    <col min="13298" max="13299" width="30.6640625" style="326" customWidth="1"/>
    <col min="13300" max="13300" width="26.44140625" style="326" customWidth="1"/>
    <col min="13301" max="13301" width="17.6640625" style="326" customWidth="1"/>
    <col min="13302" max="13303" width="28.44140625" style="326" customWidth="1"/>
    <col min="13304" max="13304" width="24" style="326" customWidth="1"/>
    <col min="13305" max="13306" width="30.6640625" style="326" customWidth="1"/>
    <col min="13307" max="13307" width="26.44140625" style="326" customWidth="1"/>
    <col min="13308" max="13309" width="30.6640625" style="326" customWidth="1"/>
    <col min="13310" max="13310" width="28.44140625" style="326" customWidth="1"/>
    <col min="13311" max="13311" width="23.44140625" style="326" customWidth="1"/>
    <col min="13312" max="13313" width="21.6640625" style="326" customWidth="1"/>
    <col min="13314" max="13314" width="24.21875" style="326" customWidth="1"/>
    <col min="13315" max="13315" width="24.44140625" style="326" customWidth="1"/>
    <col min="13316" max="13316" width="22.6640625" style="326" customWidth="1"/>
    <col min="13317" max="13317" width="25" style="326" customWidth="1"/>
    <col min="13318" max="13318" width="8" style="326" customWidth="1"/>
    <col min="13319" max="13368" width="8.33203125" style="326" hidden="1" customWidth="1"/>
    <col min="13369" max="13369" width="23.44140625" style="326" customWidth="1"/>
    <col min="13370" max="13370" width="14.44140625" style="326" customWidth="1"/>
    <col min="13371" max="13545" width="9" style="326"/>
    <col min="13546" max="13546" width="20.44140625" style="326" customWidth="1"/>
    <col min="13547" max="13547" width="53" style="326" customWidth="1"/>
    <col min="13548" max="13548" width="30.6640625" style="326" customWidth="1"/>
    <col min="13549" max="13549" width="30.44140625" style="326" customWidth="1"/>
    <col min="13550" max="13550" width="28.21875" style="326" customWidth="1"/>
    <col min="13551" max="13552" width="30.6640625" style="326" customWidth="1"/>
    <col min="13553" max="13553" width="26.44140625" style="326" customWidth="1"/>
    <col min="13554" max="13555" width="30.6640625" style="326" customWidth="1"/>
    <col min="13556" max="13556" width="26.44140625" style="326" customWidth="1"/>
    <col min="13557" max="13557" width="17.6640625" style="326" customWidth="1"/>
    <col min="13558" max="13559" width="28.44140625" style="326" customWidth="1"/>
    <col min="13560" max="13560" width="24" style="326" customWidth="1"/>
    <col min="13561" max="13562" width="30.6640625" style="326" customWidth="1"/>
    <col min="13563" max="13563" width="26.44140625" style="326" customWidth="1"/>
    <col min="13564" max="13565" width="30.6640625" style="326" customWidth="1"/>
    <col min="13566" max="13566" width="28.44140625" style="326" customWidth="1"/>
    <col min="13567" max="13567" width="23.44140625" style="326" customWidth="1"/>
    <col min="13568" max="13569" width="21.6640625" style="326" customWidth="1"/>
    <col min="13570" max="13570" width="24.21875" style="326" customWidth="1"/>
    <col min="13571" max="13571" width="24.44140625" style="326" customWidth="1"/>
    <col min="13572" max="13572" width="22.6640625" style="326" customWidth="1"/>
    <col min="13573" max="13573" width="25" style="326" customWidth="1"/>
    <col min="13574" max="13574" width="8" style="326" customWidth="1"/>
    <col min="13575" max="13624" width="8.33203125" style="326" hidden="1" customWidth="1"/>
    <col min="13625" max="13625" width="23.44140625" style="326" customWidth="1"/>
    <col min="13626" max="13626" width="14.44140625" style="326" customWidth="1"/>
    <col min="13627" max="13801" width="9" style="326"/>
    <col min="13802" max="13802" width="20.44140625" style="326" customWidth="1"/>
    <col min="13803" max="13803" width="53" style="326" customWidth="1"/>
    <col min="13804" max="13804" width="30.6640625" style="326" customWidth="1"/>
    <col min="13805" max="13805" width="30.44140625" style="326" customWidth="1"/>
    <col min="13806" max="13806" width="28.21875" style="326" customWidth="1"/>
    <col min="13807" max="13808" width="30.6640625" style="326" customWidth="1"/>
    <col min="13809" max="13809" width="26.44140625" style="326" customWidth="1"/>
    <col min="13810" max="13811" width="30.6640625" style="326" customWidth="1"/>
    <col min="13812" max="13812" width="26.44140625" style="326" customWidth="1"/>
    <col min="13813" max="13813" width="17.6640625" style="326" customWidth="1"/>
    <col min="13814" max="13815" width="28.44140625" style="326" customWidth="1"/>
    <col min="13816" max="13816" width="24" style="326" customWidth="1"/>
    <col min="13817" max="13818" width="30.6640625" style="326" customWidth="1"/>
    <col min="13819" max="13819" width="26.44140625" style="326" customWidth="1"/>
    <col min="13820" max="13821" width="30.6640625" style="326" customWidth="1"/>
    <col min="13822" max="13822" width="28.44140625" style="326" customWidth="1"/>
    <col min="13823" max="13823" width="23.44140625" style="326" customWidth="1"/>
    <col min="13824" max="13825" width="21.6640625" style="326" customWidth="1"/>
    <col min="13826" max="13826" width="24.21875" style="326" customWidth="1"/>
    <col min="13827" max="13827" width="24.44140625" style="326" customWidth="1"/>
    <col min="13828" max="13828" width="22.6640625" style="326" customWidth="1"/>
    <col min="13829" max="13829" width="25" style="326" customWidth="1"/>
    <col min="13830" max="13830" width="8" style="326" customWidth="1"/>
    <col min="13831" max="13880" width="8.33203125" style="326" hidden="1" customWidth="1"/>
    <col min="13881" max="13881" width="23.44140625" style="326" customWidth="1"/>
    <col min="13882" max="13882" width="14.44140625" style="326" customWidth="1"/>
    <col min="13883" max="14057" width="9" style="326"/>
    <col min="14058" max="14058" width="20.44140625" style="326" customWidth="1"/>
    <col min="14059" max="14059" width="53" style="326" customWidth="1"/>
    <col min="14060" max="14060" width="30.6640625" style="326" customWidth="1"/>
    <col min="14061" max="14061" width="30.44140625" style="326" customWidth="1"/>
    <col min="14062" max="14062" width="28.21875" style="326" customWidth="1"/>
    <col min="14063" max="14064" width="30.6640625" style="326" customWidth="1"/>
    <col min="14065" max="14065" width="26.44140625" style="326" customWidth="1"/>
    <col min="14066" max="14067" width="30.6640625" style="326" customWidth="1"/>
    <col min="14068" max="14068" width="26.44140625" style="326" customWidth="1"/>
    <col min="14069" max="14069" width="17.6640625" style="326" customWidth="1"/>
    <col min="14070" max="14071" width="28.44140625" style="326" customWidth="1"/>
    <col min="14072" max="14072" width="24" style="326" customWidth="1"/>
    <col min="14073" max="14074" width="30.6640625" style="326" customWidth="1"/>
    <col min="14075" max="14075" width="26.44140625" style="326" customWidth="1"/>
    <col min="14076" max="14077" width="30.6640625" style="326" customWidth="1"/>
    <col min="14078" max="14078" width="28.44140625" style="326" customWidth="1"/>
    <col min="14079" max="14079" width="23.44140625" style="326" customWidth="1"/>
    <col min="14080" max="14081" width="21.6640625" style="326" customWidth="1"/>
    <col min="14082" max="14082" width="24.21875" style="326" customWidth="1"/>
    <col min="14083" max="14083" width="24.44140625" style="326" customWidth="1"/>
    <col min="14084" max="14084" width="22.6640625" style="326" customWidth="1"/>
    <col min="14085" max="14085" width="25" style="326" customWidth="1"/>
    <col min="14086" max="14086" width="8" style="326" customWidth="1"/>
    <col min="14087" max="14136" width="8.33203125" style="326" hidden="1" customWidth="1"/>
    <col min="14137" max="14137" width="23.44140625" style="326" customWidth="1"/>
    <col min="14138" max="14138" width="14.44140625" style="326" customWidth="1"/>
    <col min="14139" max="14313" width="9" style="326"/>
    <col min="14314" max="14314" width="20.44140625" style="326" customWidth="1"/>
    <col min="14315" max="14315" width="53" style="326" customWidth="1"/>
    <col min="14316" max="14316" width="30.6640625" style="326" customWidth="1"/>
    <col min="14317" max="14317" width="30.44140625" style="326" customWidth="1"/>
    <col min="14318" max="14318" width="28.21875" style="326" customWidth="1"/>
    <col min="14319" max="14320" width="30.6640625" style="326" customWidth="1"/>
    <col min="14321" max="14321" width="26.44140625" style="326" customWidth="1"/>
    <col min="14322" max="14323" width="30.6640625" style="326" customWidth="1"/>
    <col min="14324" max="14324" width="26.44140625" style="326" customWidth="1"/>
    <col min="14325" max="14325" width="17.6640625" style="326" customWidth="1"/>
    <col min="14326" max="14327" width="28.44140625" style="326" customWidth="1"/>
    <col min="14328" max="14328" width="24" style="326" customWidth="1"/>
    <col min="14329" max="14330" width="30.6640625" style="326" customWidth="1"/>
    <col min="14331" max="14331" width="26.44140625" style="326" customWidth="1"/>
    <col min="14332" max="14333" width="30.6640625" style="326" customWidth="1"/>
    <col min="14334" max="14334" width="28.44140625" style="326" customWidth="1"/>
    <col min="14335" max="14335" width="23.44140625" style="326" customWidth="1"/>
    <col min="14336" max="14337" width="21.6640625" style="326" customWidth="1"/>
    <col min="14338" max="14338" width="24.21875" style="326" customWidth="1"/>
    <col min="14339" max="14339" width="24.44140625" style="326" customWidth="1"/>
    <col min="14340" max="14340" width="22.6640625" style="326" customWidth="1"/>
    <col min="14341" max="14341" width="25" style="326" customWidth="1"/>
    <col min="14342" max="14342" width="8" style="326" customWidth="1"/>
    <col min="14343" max="14392" width="8.33203125" style="326" hidden="1" customWidth="1"/>
    <col min="14393" max="14393" width="23.44140625" style="326" customWidth="1"/>
    <col min="14394" max="14394" width="14.44140625" style="326" customWidth="1"/>
    <col min="14395" max="14569" width="9" style="326"/>
    <col min="14570" max="14570" width="20.44140625" style="326" customWidth="1"/>
    <col min="14571" max="14571" width="53" style="326" customWidth="1"/>
    <col min="14572" max="14572" width="30.6640625" style="326" customWidth="1"/>
    <col min="14573" max="14573" width="30.44140625" style="326" customWidth="1"/>
    <col min="14574" max="14574" width="28.21875" style="326" customWidth="1"/>
    <col min="14575" max="14576" width="30.6640625" style="326" customWidth="1"/>
    <col min="14577" max="14577" width="26.44140625" style="326" customWidth="1"/>
    <col min="14578" max="14579" width="30.6640625" style="326" customWidth="1"/>
    <col min="14580" max="14580" width="26.44140625" style="326" customWidth="1"/>
    <col min="14581" max="14581" width="17.6640625" style="326" customWidth="1"/>
    <col min="14582" max="14583" width="28.44140625" style="326" customWidth="1"/>
    <col min="14584" max="14584" width="24" style="326" customWidth="1"/>
    <col min="14585" max="14586" width="30.6640625" style="326" customWidth="1"/>
    <col min="14587" max="14587" width="26.44140625" style="326" customWidth="1"/>
    <col min="14588" max="14589" width="30.6640625" style="326" customWidth="1"/>
    <col min="14590" max="14590" width="28.44140625" style="326" customWidth="1"/>
    <col min="14591" max="14591" width="23.44140625" style="326" customWidth="1"/>
    <col min="14592" max="14593" width="21.6640625" style="326" customWidth="1"/>
    <col min="14594" max="14594" width="24.21875" style="326" customWidth="1"/>
    <col min="14595" max="14595" width="24.44140625" style="326" customWidth="1"/>
    <col min="14596" max="14596" width="22.6640625" style="326" customWidth="1"/>
    <col min="14597" max="14597" width="25" style="326" customWidth="1"/>
    <col min="14598" max="14598" width="8" style="326" customWidth="1"/>
    <col min="14599" max="14648" width="8.33203125" style="326" hidden="1" customWidth="1"/>
    <col min="14649" max="14649" width="23.44140625" style="326" customWidth="1"/>
    <col min="14650" max="14650" width="14.44140625" style="326" customWidth="1"/>
    <col min="14651" max="14825" width="9" style="326"/>
    <col min="14826" max="14826" width="20.44140625" style="326" customWidth="1"/>
    <col min="14827" max="14827" width="53" style="326" customWidth="1"/>
    <col min="14828" max="14828" width="30.6640625" style="326" customWidth="1"/>
    <col min="14829" max="14829" width="30.44140625" style="326" customWidth="1"/>
    <col min="14830" max="14830" width="28.21875" style="326" customWidth="1"/>
    <col min="14831" max="14832" width="30.6640625" style="326" customWidth="1"/>
    <col min="14833" max="14833" width="26.44140625" style="326" customWidth="1"/>
    <col min="14834" max="14835" width="30.6640625" style="326" customWidth="1"/>
    <col min="14836" max="14836" width="26.44140625" style="326" customWidth="1"/>
    <col min="14837" max="14837" width="17.6640625" style="326" customWidth="1"/>
    <col min="14838" max="14839" width="28.44140625" style="326" customWidth="1"/>
    <col min="14840" max="14840" width="24" style="326" customWidth="1"/>
    <col min="14841" max="14842" width="30.6640625" style="326" customWidth="1"/>
    <col min="14843" max="14843" width="26.44140625" style="326" customWidth="1"/>
    <col min="14844" max="14845" width="30.6640625" style="326" customWidth="1"/>
    <col min="14846" max="14846" width="28.44140625" style="326" customWidth="1"/>
    <col min="14847" max="14847" width="23.44140625" style="326" customWidth="1"/>
    <col min="14848" max="14849" width="21.6640625" style="326" customWidth="1"/>
    <col min="14850" max="14850" width="24.21875" style="326" customWidth="1"/>
    <col min="14851" max="14851" width="24.44140625" style="326" customWidth="1"/>
    <col min="14852" max="14852" width="22.6640625" style="326" customWidth="1"/>
    <col min="14853" max="14853" width="25" style="326" customWidth="1"/>
    <col min="14854" max="14854" width="8" style="326" customWidth="1"/>
    <col min="14855" max="14904" width="8.33203125" style="326" hidden="1" customWidth="1"/>
    <col min="14905" max="14905" width="23.44140625" style="326" customWidth="1"/>
    <col min="14906" max="14906" width="14.44140625" style="326" customWidth="1"/>
    <col min="14907" max="15081" width="9" style="326"/>
    <col min="15082" max="15082" width="20.44140625" style="326" customWidth="1"/>
    <col min="15083" max="15083" width="53" style="326" customWidth="1"/>
    <col min="15084" max="15084" width="30.6640625" style="326" customWidth="1"/>
    <col min="15085" max="15085" width="30.44140625" style="326" customWidth="1"/>
    <col min="15086" max="15086" width="28.21875" style="326" customWidth="1"/>
    <col min="15087" max="15088" width="30.6640625" style="326" customWidth="1"/>
    <col min="15089" max="15089" width="26.44140625" style="326" customWidth="1"/>
    <col min="15090" max="15091" width="30.6640625" style="326" customWidth="1"/>
    <col min="15092" max="15092" width="26.44140625" style="326" customWidth="1"/>
    <col min="15093" max="15093" width="17.6640625" style="326" customWidth="1"/>
    <col min="15094" max="15095" width="28.44140625" style="326" customWidth="1"/>
    <col min="15096" max="15096" width="24" style="326" customWidth="1"/>
    <col min="15097" max="15098" width="30.6640625" style="326" customWidth="1"/>
    <col min="15099" max="15099" width="26.44140625" style="326" customWidth="1"/>
    <col min="15100" max="15101" width="30.6640625" style="326" customWidth="1"/>
    <col min="15102" max="15102" width="28.44140625" style="326" customWidth="1"/>
    <col min="15103" max="15103" width="23.44140625" style="326" customWidth="1"/>
    <col min="15104" max="15105" width="21.6640625" style="326" customWidth="1"/>
    <col min="15106" max="15106" width="24.21875" style="326" customWidth="1"/>
    <col min="15107" max="15107" width="24.44140625" style="326" customWidth="1"/>
    <col min="15108" max="15108" width="22.6640625" style="326" customWidth="1"/>
    <col min="15109" max="15109" width="25" style="326" customWidth="1"/>
    <col min="15110" max="15110" width="8" style="326" customWidth="1"/>
    <col min="15111" max="15160" width="8.33203125" style="326" hidden="1" customWidth="1"/>
    <col min="15161" max="15161" width="23.44140625" style="326" customWidth="1"/>
    <col min="15162" max="15162" width="14.44140625" style="326" customWidth="1"/>
    <col min="15163" max="15337" width="9" style="326"/>
    <col min="15338" max="15338" width="20.44140625" style="326" customWidth="1"/>
    <col min="15339" max="15339" width="53" style="326" customWidth="1"/>
    <col min="15340" max="15340" width="30.6640625" style="326" customWidth="1"/>
    <col min="15341" max="15341" width="30.44140625" style="326" customWidth="1"/>
    <col min="15342" max="15342" width="28.21875" style="326" customWidth="1"/>
    <col min="15343" max="15344" width="30.6640625" style="326" customWidth="1"/>
    <col min="15345" max="15345" width="26.44140625" style="326" customWidth="1"/>
    <col min="15346" max="15347" width="30.6640625" style="326" customWidth="1"/>
    <col min="15348" max="15348" width="26.44140625" style="326" customWidth="1"/>
    <col min="15349" max="15349" width="17.6640625" style="326" customWidth="1"/>
    <col min="15350" max="15351" width="28.44140625" style="326" customWidth="1"/>
    <col min="15352" max="15352" width="24" style="326" customWidth="1"/>
    <col min="15353" max="15354" width="30.6640625" style="326" customWidth="1"/>
    <col min="15355" max="15355" width="26.44140625" style="326" customWidth="1"/>
    <col min="15356" max="15357" width="30.6640625" style="326" customWidth="1"/>
    <col min="15358" max="15358" width="28.44140625" style="326" customWidth="1"/>
    <col min="15359" max="15359" width="23.44140625" style="326" customWidth="1"/>
    <col min="15360" max="15361" width="21.6640625" style="326" customWidth="1"/>
    <col min="15362" max="15362" width="24.21875" style="326" customWidth="1"/>
    <col min="15363" max="15363" width="24.44140625" style="326" customWidth="1"/>
    <col min="15364" max="15364" width="22.6640625" style="326" customWidth="1"/>
    <col min="15365" max="15365" width="25" style="326" customWidth="1"/>
    <col min="15366" max="15366" width="8" style="326" customWidth="1"/>
    <col min="15367" max="15416" width="8.33203125" style="326" hidden="1" customWidth="1"/>
    <col min="15417" max="15417" width="23.44140625" style="326" customWidth="1"/>
    <col min="15418" max="15418" width="14.44140625" style="326" customWidth="1"/>
    <col min="15419" max="15593" width="9" style="326"/>
    <col min="15594" max="15594" width="20.44140625" style="326" customWidth="1"/>
    <col min="15595" max="15595" width="53" style="326" customWidth="1"/>
    <col min="15596" max="15596" width="30.6640625" style="326" customWidth="1"/>
    <col min="15597" max="15597" width="30.44140625" style="326" customWidth="1"/>
    <col min="15598" max="15598" width="28.21875" style="326" customWidth="1"/>
    <col min="15599" max="15600" width="30.6640625" style="326" customWidth="1"/>
    <col min="15601" max="15601" width="26.44140625" style="326" customWidth="1"/>
    <col min="15602" max="15603" width="30.6640625" style="326" customWidth="1"/>
    <col min="15604" max="15604" width="26.44140625" style="326" customWidth="1"/>
    <col min="15605" max="15605" width="17.6640625" style="326" customWidth="1"/>
    <col min="15606" max="15607" width="28.44140625" style="326" customWidth="1"/>
    <col min="15608" max="15608" width="24" style="326" customWidth="1"/>
    <col min="15609" max="15610" width="30.6640625" style="326" customWidth="1"/>
    <col min="15611" max="15611" width="26.44140625" style="326" customWidth="1"/>
    <col min="15612" max="15613" width="30.6640625" style="326" customWidth="1"/>
    <col min="15614" max="15614" width="28.44140625" style="326" customWidth="1"/>
    <col min="15615" max="15615" width="23.44140625" style="326" customWidth="1"/>
    <col min="15616" max="15617" width="21.6640625" style="326" customWidth="1"/>
    <col min="15618" max="15618" width="24.21875" style="326" customWidth="1"/>
    <col min="15619" max="15619" width="24.44140625" style="326" customWidth="1"/>
    <col min="15620" max="15620" width="22.6640625" style="326" customWidth="1"/>
    <col min="15621" max="15621" width="25" style="326" customWidth="1"/>
    <col min="15622" max="15622" width="8" style="326" customWidth="1"/>
    <col min="15623" max="15672" width="8.33203125" style="326" hidden="1" customWidth="1"/>
    <col min="15673" max="15673" width="23.44140625" style="326" customWidth="1"/>
    <col min="15674" max="15674" width="14.44140625" style="326" customWidth="1"/>
    <col min="15675" max="15849" width="9" style="326"/>
    <col min="15850" max="15850" width="20.44140625" style="326" customWidth="1"/>
    <col min="15851" max="15851" width="53" style="326" customWidth="1"/>
    <col min="15852" max="15852" width="30.6640625" style="326" customWidth="1"/>
    <col min="15853" max="15853" width="30.44140625" style="326" customWidth="1"/>
    <col min="15854" max="15854" width="28.21875" style="326" customWidth="1"/>
    <col min="15855" max="15856" width="30.6640625" style="326" customWidth="1"/>
    <col min="15857" max="15857" width="26.44140625" style="326" customWidth="1"/>
    <col min="15858" max="15859" width="30.6640625" style="326" customWidth="1"/>
    <col min="15860" max="15860" width="26.44140625" style="326" customWidth="1"/>
    <col min="15861" max="15861" width="17.6640625" style="326" customWidth="1"/>
    <col min="15862" max="15863" width="28.44140625" style="326" customWidth="1"/>
    <col min="15864" max="15864" width="24" style="326" customWidth="1"/>
    <col min="15865" max="15866" width="30.6640625" style="326" customWidth="1"/>
    <col min="15867" max="15867" width="26.44140625" style="326" customWidth="1"/>
    <col min="15868" max="15869" width="30.6640625" style="326" customWidth="1"/>
    <col min="15870" max="15870" width="28.44140625" style="326" customWidth="1"/>
    <col min="15871" max="15871" width="23.44140625" style="326" customWidth="1"/>
    <col min="15872" max="15873" width="21.6640625" style="326" customWidth="1"/>
    <col min="15874" max="15874" width="24.21875" style="326" customWidth="1"/>
    <col min="15875" max="15875" width="24.44140625" style="326" customWidth="1"/>
    <col min="15876" max="15876" width="22.6640625" style="326" customWidth="1"/>
    <col min="15877" max="15877" width="25" style="326" customWidth="1"/>
    <col min="15878" max="15878" width="8" style="326" customWidth="1"/>
    <col min="15879" max="15928" width="8.33203125" style="326" hidden="1" customWidth="1"/>
    <col min="15929" max="15929" width="23.44140625" style="326" customWidth="1"/>
    <col min="15930" max="15930" width="14.44140625" style="326" customWidth="1"/>
    <col min="15931" max="16105" width="9" style="326"/>
    <col min="16106" max="16106" width="20.44140625" style="326" customWidth="1"/>
    <col min="16107" max="16107" width="53" style="326" customWidth="1"/>
    <col min="16108" max="16108" width="30.6640625" style="326" customWidth="1"/>
    <col min="16109" max="16109" width="30.44140625" style="326" customWidth="1"/>
    <col min="16110" max="16110" width="28.21875" style="326" customWidth="1"/>
    <col min="16111" max="16112" width="30.6640625" style="326" customWidth="1"/>
    <col min="16113" max="16113" width="26.44140625" style="326" customWidth="1"/>
    <col min="16114" max="16115" width="30.6640625" style="326" customWidth="1"/>
    <col min="16116" max="16116" width="26.44140625" style="326" customWidth="1"/>
    <col min="16117" max="16117" width="17.6640625" style="326" customWidth="1"/>
    <col min="16118" max="16119" width="28.44140625" style="326" customWidth="1"/>
    <col min="16120" max="16120" width="24" style="326" customWidth="1"/>
    <col min="16121" max="16122" width="30.6640625" style="326" customWidth="1"/>
    <col min="16123" max="16123" width="26.44140625" style="326" customWidth="1"/>
    <col min="16124" max="16125" width="30.6640625" style="326" customWidth="1"/>
    <col min="16126" max="16126" width="28.44140625" style="326" customWidth="1"/>
    <col min="16127" max="16127" width="23.44140625" style="326" customWidth="1"/>
    <col min="16128" max="16129" width="21.6640625" style="326" customWidth="1"/>
    <col min="16130" max="16130" width="24.21875" style="326" customWidth="1"/>
    <col min="16131" max="16131" width="24.44140625" style="326" customWidth="1"/>
    <col min="16132" max="16132" width="22.6640625" style="326" customWidth="1"/>
    <col min="16133" max="16133" width="25" style="326" customWidth="1"/>
    <col min="16134" max="16134" width="8" style="326" customWidth="1"/>
    <col min="16135" max="16184" width="8.33203125" style="326" hidden="1" customWidth="1"/>
    <col min="16185" max="16185" width="23.44140625" style="326" customWidth="1"/>
    <col min="16186" max="16186" width="14.44140625" style="326" customWidth="1"/>
    <col min="16187" max="16384" width="9" style="326"/>
  </cols>
  <sheetData>
    <row r="1" spans="1:65" ht="19.5" customHeight="1">
      <c r="A1" s="330" t="s">
        <v>971</v>
      </c>
      <c r="B1" s="331" t="s">
        <v>21</v>
      </c>
      <c r="E1" s="517">
        <v>0</v>
      </c>
      <c r="F1" s="216">
        <v>6</v>
      </c>
      <c r="G1" s="216">
        <v>7</v>
      </c>
      <c r="H1" s="333" t="s">
        <v>787</v>
      </c>
      <c r="I1" s="216">
        <v>9</v>
      </c>
      <c r="J1" s="216">
        <v>10</v>
      </c>
      <c r="K1" s="216">
        <v>11</v>
      </c>
      <c r="L1" s="216">
        <v>12</v>
      </c>
      <c r="M1" s="216">
        <v>13</v>
      </c>
      <c r="N1" s="216">
        <v>14</v>
      </c>
      <c r="O1" s="216">
        <v>15</v>
      </c>
      <c r="P1" s="216">
        <v>16</v>
      </c>
      <c r="Q1" s="216">
        <v>17</v>
      </c>
      <c r="R1" s="216">
        <v>18</v>
      </c>
      <c r="S1" s="216">
        <v>19</v>
      </c>
      <c r="T1" s="216">
        <v>20</v>
      </c>
      <c r="U1" s="216">
        <v>21</v>
      </c>
      <c r="V1" s="216">
        <v>22</v>
      </c>
      <c r="W1" s="216">
        <v>23</v>
      </c>
      <c r="X1" s="216">
        <v>24</v>
      </c>
      <c r="Y1" s="216">
        <v>25</v>
      </c>
      <c r="Z1" s="216">
        <v>26</v>
      </c>
      <c r="AA1" s="216">
        <v>27</v>
      </c>
      <c r="AB1" s="216">
        <v>28</v>
      </c>
      <c r="AL1" s="233" t="s">
        <v>971</v>
      </c>
      <c r="AM1" s="233" t="s">
        <v>21</v>
      </c>
      <c r="AN1" s="208">
        <v>3</v>
      </c>
      <c r="AO1" s="208">
        <v>4</v>
      </c>
      <c r="AP1" s="208">
        <v>5</v>
      </c>
      <c r="AQ1" s="208">
        <v>6</v>
      </c>
      <c r="AR1" s="208">
        <v>7</v>
      </c>
      <c r="AS1" s="208">
        <v>8</v>
      </c>
      <c r="AT1" s="208">
        <v>9</v>
      </c>
      <c r="AU1" s="208">
        <v>10</v>
      </c>
      <c r="AV1" s="208">
        <v>11</v>
      </c>
      <c r="AW1" s="208">
        <v>12</v>
      </c>
      <c r="AX1" s="208">
        <v>13</v>
      </c>
      <c r="AY1" s="208">
        <v>14</v>
      </c>
      <c r="AZ1" s="208">
        <v>15</v>
      </c>
      <c r="BA1" s="208">
        <v>16</v>
      </c>
      <c r="BB1" s="208">
        <v>17</v>
      </c>
      <c r="BC1" s="208">
        <v>18</v>
      </c>
      <c r="BD1" s="208">
        <v>19</v>
      </c>
      <c r="BE1" s="208">
        <v>20</v>
      </c>
      <c r="BF1" s="208">
        <v>21</v>
      </c>
      <c r="BG1" s="334">
        <v>22</v>
      </c>
      <c r="BH1" s="97"/>
      <c r="BI1" s="335">
        <v>24</v>
      </c>
      <c r="BJ1" s="335">
        <v>25</v>
      </c>
      <c r="BK1" s="335">
        <v>26</v>
      </c>
      <c r="BL1" s="335">
        <v>27</v>
      </c>
    </row>
    <row r="2" spans="1:65" s="337" customFormat="1" ht="19.5" customHeight="1">
      <c r="A2" s="2713" t="s">
        <v>292</v>
      </c>
      <c r="B2" s="2714" t="s">
        <v>293</v>
      </c>
      <c r="C2" s="2715" t="s">
        <v>788</v>
      </c>
      <c r="D2" s="2715" t="s">
        <v>789</v>
      </c>
      <c r="E2" s="2715" t="s">
        <v>790</v>
      </c>
      <c r="F2" s="2716" t="s">
        <v>972</v>
      </c>
      <c r="G2" s="2716"/>
      <c r="H2" s="2716"/>
      <c r="I2" s="2714" t="s">
        <v>792</v>
      </c>
      <c r="J2" s="2714"/>
      <c r="K2" s="2714"/>
      <c r="L2" s="2730" t="s">
        <v>793</v>
      </c>
      <c r="M2" s="2718" t="s">
        <v>971</v>
      </c>
      <c r="N2" s="2718"/>
      <c r="O2" s="2718"/>
      <c r="P2" s="2719" t="s">
        <v>795</v>
      </c>
      <c r="Q2" s="2719"/>
      <c r="R2" s="2719"/>
      <c r="S2" s="2719" t="s">
        <v>973</v>
      </c>
      <c r="T2" s="2719"/>
      <c r="U2" s="2719"/>
      <c r="V2" s="2716" t="s">
        <v>797</v>
      </c>
      <c r="W2" s="2716"/>
      <c r="X2" s="2716"/>
      <c r="Y2" s="2719" t="s">
        <v>798</v>
      </c>
      <c r="Z2" s="2719"/>
      <c r="AA2" s="2719"/>
      <c r="AB2" s="2719"/>
      <c r="AC2" s="340"/>
      <c r="AD2" s="336" t="s">
        <v>799</v>
      </c>
      <c r="AE2" s="233"/>
      <c r="AF2" s="233"/>
      <c r="AG2" s="340"/>
      <c r="AH2" s="340"/>
      <c r="AI2" s="233"/>
      <c r="AJ2" s="233"/>
      <c r="AK2" s="233"/>
      <c r="AL2" s="2720" t="s">
        <v>800</v>
      </c>
      <c r="AM2" s="2721" t="s">
        <v>801</v>
      </c>
      <c r="AN2" s="2720" t="s">
        <v>802</v>
      </c>
      <c r="AO2" s="2722" t="s">
        <v>803</v>
      </c>
      <c r="AP2" s="2722" t="s">
        <v>804</v>
      </c>
      <c r="AQ2" s="2723" t="s">
        <v>805</v>
      </c>
      <c r="AR2" s="2724" t="s">
        <v>806</v>
      </c>
      <c r="AS2" s="2724"/>
      <c r="AT2" s="2724"/>
      <c r="AU2" s="2724" t="s">
        <v>807</v>
      </c>
      <c r="AV2" s="2724"/>
      <c r="AW2" s="2724"/>
      <c r="AX2" s="2725" t="s">
        <v>974</v>
      </c>
      <c r="AY2" s="2725"/>
      <c r="AZ2" s="2725"/>
      <c r="BA2" s="2725" t="s">
        <v>809</v>
      </c>
      <c r="BB2" s="2725"/>
      <c r="BC2" s="2725"/>
      <c r="BD2" s="2726" t="s">
        <v>810</v>
      </c>
      <c r="BE2" s="2726"/>
      <c r="BF2" s="2726"/>
      <c r="BG2" s="2726"/>
      <c r="BI2" s="2727" t="s">
        <v>975</v>
      </c>
      <c r="BJ2" s="2727"/>
      <c r="BK2" s="2727"/>
      <c r="BL2" s="2727"/>
    </row>
    <row r="3" spans="1:65" s="337" customFormat="1" ht="19.5" customHeight="1">
      <c r="A3" s="2713"/>
      <c r="B3" s="2714"/>
      <c r="C3" s="2715"/>
      <c r="D3" s="2715"/>
      <c r="E3" s="2715"/>
      <c r="F3" s="1" t="s">
        <v>738</v>
      </c>
      <c r="G3" s="1" t="s">
        <v>736</v>
      </c>
      <c r="H3" s="1" t="s">
        <v>812</v>
      </c>
      <c r="I3" s="2" t="s">
        <v>738</v>
      </c>
      <c r="J3" s="2" t="s">
        <v>736</v>
      </c>
      <c r="K3" s="2" t="s">
        <v>812</v>
      </c>
      <c r="L3" s="2730"/>
      <c r="M3" s="1" t="s">
        <v>738</v>
      </c>
      <c r="N3" s="1" t="s">
        <v>736</v>
      </c>
      <c r="O3" s="1" t="s">
        <v>812</v>
      </c>
      <c r="P3" s="1" t="s">
        <v>738</v>
      </c>
      <c r="Q3" s="1" t="s">
        <v>736</v>
      </c>
      <c r="R3" s="1" t="s">
        <v>812</v>
      </c>
      <c r="S3" s="1" t="s">
        <v>738</v>
      </c>
      <c r="T3" s="1" t="s">
        <v>736</v>
      </c>
      <c r="U3" s="1" t="s">
        <v>812</v>
      </c>
      <c r="V3" s="1" t="s">
        <v>813</v>
      </c>
      <c r="W3" s="1" t="s">
        <v>795</v>
      </c>
      <c r="X3" s="1" t="s">
        <v>571</v>
      </c>
      <c r="Y3" s="1" t="s">
        <v>814</v>
      </c>
      <c r="Z3" s="338" t="s">
        <v>976</v>
      </c>
      <c r="AA3" s="1" t="s">
        <v>795</v>
      </c>
      <c r="AB3" s="1" t="s">
        <v>571</v>
      </c>
      <c r="AC3" s="340"/>
      <c r="AD3" s="339" t="s">
        <v>816</v>
      </c>
      <c r="AE3" s="339" t="s">
        <v>817</v>
      </c>
      <c r="AF3" s="339" t="s">
        <v>818</v>
      </c>
      <c r="AG3" s="340" t="s">
        <v>819</v>
      </c>
      <c r="AH3" s="339" t="s">
        <v>820</v>
      </c>
      <c r="AI3" s="233"/>
      <c r="AJ3" s="233"/>
      <c r="AK3" s="233"/>
      <c r="AL3" s="2720"/>
      <c r="AM3" s="2721"/>
      <c r="AN3" s="2720"/>
      <c r="AO3" s="2722"/>
      <c r="AP3" s="2722"/>
      <c r="AQ3" s="2723"/>
      <c r="AR3" s="341" t="s">
        <v>802</v>
      </c>
      <c r="AS3" s="342" t="s">
        <v>803</v>
      </c>
      <c r="AT3" s="343" t="s">
        <v>804</v>
      </c>
      <c r="AU3" s="341" t="s">
        <v>802</v>
      </c>
      <c r="AV3" s="342" t="s">
        <v>803</v>
      </c>
      <c r="AW3" s="343" t="s">
        <v>804</v>
      </c>
      <c r="AX3" s="344" t="s">
        <v>821</v>
      </c>
      <c r="AY3" s="345" t="s">
        <v>822</v>
      </c>
      <c r="AZ3" s="346" t="s">
        <v>823</v>
      </c>
      <c r="BA3" s="344" t="s">
        <v>821</v>
      </c>
      <c r="BB3" s="345" t="s">
        <v>822</v>
      </c>
      <c r="BC3" s="346" t="s">
        <v>823</v>
      </c>
      <c r="BD3" s="347" t="s">
        <v>821</v>
      </c>
      <c r="BE3" s="348" t="s">
        <v>822</v>
      </c>
      <c r="BF3" s="349" t="s">
        <v>823</v>
      </c>
      <c r="BG3" s="346" t="s">
        <v>824</v>
      </c>
      <c r="BH3" s="350"/>
      <c r="BI3" s="351" t="s">
        <v>825</v>
      </c>
      <c r="BJ3" s="352" t="s">
        <v>826</v>
      </c>
      <c r="BK3" s="352" t="s">
        <v>804</v>
      </c>
      <c r="BL3" s="353" t="s">
        <v>824</v>
      </c>
    </row>
    <row r="4" spans="1:65" ht="19.5" customHeight="1">
      <c r="A4" s="354" t="s">
        <v>772</v>
      </c>
      <c r="B4" s="355" t="s">
        <v>773</v>
      </c>
      <c r="C4" s="356">
        <v>8843135926</v>
      </c>
      <c r="D4" s="356">
        <v>8221453625.8739996</v>
      </c>
      <c r="E4" s="356">
        <v>621682300.12600005</v>
      </c>
      <c r="F4" s="357">
        <v>8700528208</v>
      </c>
      <c r="G4" s="357">
        <v>8088871389</v>
      </c>
      <c r="H4" s="358">
        <v>611656819</v>
      </c>
      <c r="I4" s="359"/>
      <c r="J4" s="359"/>
      <c r="K4" s="358"/>
      <c r="L4" s="518">
        <v>0.98971886265854703</v>
      </c>
      <c r="M4" s="358">
        <v>51690223</v>
      </c>
      <c r="N4" s="361">
        <v>48056343</v>
      </c>
      <c r="O4" s="358">
        <v>3633880</v>
      </c>
      <c r="P4" s="358">
        <v>51690223</v>
      </c>
      <c r="Q4" s="358">
        <v>48056343</v>
      </c>
      <c r="R4" s="358">
        <v>3633880</v>
      </c>
      <c r="S4" s="358">
        <v>8752218431</v>
      </c>
      <c r="T4" s="357">
        <v>8136927732</v>
      </c>
      <c r="U4" s="357">
        <v>615290699</v>
      </c>
      <c r="V4" s="358"/>
      <c r="W4" s="357"/>
      <c r="X4" s="357">
        <v>-6488189</v>
      </c>
      <c r="Y4" s="357"/>
      <c r="Z4" s="357"/>
      <c r="AA4" s="358"/>
      <c r="AB4" s="358"/>
      <c r="AC4" s="362"/>
      <c r="AD4" s="97">
        <v>0</v>
      </c>
      <c r="AE4" s="97">
        <v>0</v>
      </c>
      <c r="AF4" s="97">
        <v>0</v>
      </c>
      <c r="AG4" s="208" t="s">
        <v>630</v>
      </c>
      <c r="AI4" s="97" t="s">
        <v>827</v>
      </c>
      <c r="AJ4" s="363" t="s">
        <v>828</v>
      </c>
      <c r="AL4" s="364" t="s">
        <v>772</v>
      </c>
      <c r="AM4" s="365" t="s">
        <v>829</v>
      </c>
      <c r="AN4" s="364">
        <v>8843136</v>
      </c>
      <c r="AO4" s="366">
        <v>8221454</v>
      </c>
      <c r="AP4" s="366">
        <v>621682</v>
      </c>
      <c r="AQ4" s="367">
        <v>7.0301078712348197E-2</v>
      </c>
      <c r="AR4" s="364"/>
      <c r="AS4" s="366"/>
      <c r="AT4" s="368"/>
      <c r="AU4" s="364"/>
      <c r="AV4" s="366"/>
      <c r="AW4" s="368"/>
      <c r="AX4" s="369">
        <v>51690</v>
      </c>
      <c r="AY4" s="366">
        <v>48056</v>
      </c>
      <c r="AZ4" s="368">
        <v>3634</v>
      </c>
      <c r="BA4" s="369">
        <v>51690</v>
      </c>
      <c r="BB4" s="366">
        <v>48056</v>
      </c>
      <c r="BC4" s="368">
        <v>3634</v>
      </c>
      <c r="BD4" s="369">
        <v>8752218</v>
      </c>
      <c r="BE4" s="366">
        <v>8136928</v>
      </c>
      <c r="BF4" s="365">
        <v>615290</v>
      </c>
      <c r="BG4" s="370">
        <v>0.98971880563637205</v>
      </c>
      <c r="BH4" s="327">
        <v>5.7022175536935997E-8</v>
      </c>
      <c r="BI4" s="371">
        <v>90918</v>
      </c>
      <c r="BJ4" s="372">
        <v>84526</v>
      </c>
      <c r="BK4" s="372">
        <v>6392</v>
      </c>
      <c r="BL4" s="373">
        <v>1.0281194363628499E-2</v>
      </c>
      <c r="BM4" s="327"/>
    </row>
    <row r="5" spans="1:65" ht="19.5" customHeight="1">
      <c r="A5" s="354" t="s">
        <v>307</v>
      </c>
      <c r="B5" s="374" t="s">
        <v>830</v>
      </c>
      <c r="C5" s="356">
        <v>1380500564</v>
      </c>
      <c r="D5" s="356">
        <v>1715109012</v>
      </c>
      <c r="E5" s="356">
        <v>-334608448</v>
      </c>
      <c r="F5" s="357">
        <v>1144690626</v>
      </c>
      <c r="G5" s="357">
        <v>1422142997</v>
      </c>
      <c r="H5" s="358">
        <v>-277452371</v>
      </c>
      <c r="I5" s="359"/>
      <c r="J5" s="359"/>
      <c r="K5" s="358"/>
      <c r="L5" s="518">
        <v>0.91039619060668797</v>
      </c>
      <c r="M5" s="358">
        <v>112111829</v>
      </c>
      <c r="N5" s="361">
        <v>139285714</v>
      </c>
      <c r="O5" s="358">
        <v>-27173885</v>
      </c>
      <c r="P5" s="358">
        <v>112111829</v>
      </c>
      <c r="Q5" s="358">
        <v>139285714</v>
      </c>
      <c r="R5" s="358">
        <v>-27173885</v>
      </c>
      <c r="S5" s="358">
        <v>1256802455</v>
      </c>
      <c r="T5" s="357">
        <v>1561428711</v>
      </c>
      <c r="U5" s="357">
        <v>-304626256</v>
      </c>
      <c r="V5" s="358"/>
      <c r="W5" s="358"/>
      <c r="X5" s="358"/>
      <c r="Y5" s="358">
        <v>57156077</v>
      </c>
      <c r="Z5" s="358">
        <v>-27173885</v>
      </c>
      <c r="AA5" s="358">
        <v>-27173885</v>
      </c>
      <c r="AB5" s="519">
        <v>29982192</v>
      </c>
      <c r="AC5" s="362"/>
      <c r="AD5" s="97">
        <v>0</v>
      </c>
      <c r="AE5" s="97">
        <v>0</v>
      </c>
      <c r="AF5" s="97">
        <v>0</v>
      </c>
      <c r="AG5" s="208" t="s">
        <v>630</v>
      </c>
      <c r="AH5" s="208">
        <v>0</v>
      </c>
      <c r="AI5" s="97" t="s">
        <v>827</v>
      </c>
      <c r="AJ5" s="363" t="s">
        <v>831</v>
      </c>
      <c r="AL5" s="364" t="s">
        <v>307</v>
      </c>
      <c r="AM5" s="365" t="s">
        <v>832</v>
      </c>
      <c r="AN5" s="364">
        <v>1380501</v>
      </c>
      <c r="AO5" s="366">
        <v>1715109</v>
      </c>
      <c r="AP5" s="366">
        <v>-334608</v>
      </c>
      <c r="AQ5" s="367">
        <v>-0.24238157016909101</v>
      </c>
      <c r="AR5" s="364"/>
      <c r="AS5" s="366"/>
      <c r="AT5" s="368"/>
      <c r="AU5" s="364"/>
      <c r="AV5" s="366"/>
      <c r="AW5" s="368"/>
      <c r="AX5" s="369">
        <v>112112</v>
      </c>
      <c r="AY5" s="366">
        <v>112112</v>
      </c>
      <c r="AZ5" s="368">
        <v>0</v>
      </c>
      <c r="BA5" s="369">
        <v>112112</v>
      </c>
      <c r="BB5" s="366">
        <v>112112</v>
      </c>
      <c r="BC5" s="368">
        <v>0</v>
      </c>
      <c r="BD5" s="369">
        <v>1256802</v>
      </c>
      <c r="BE5" s="366">
        <v>1591411</v>
      </c>
      <c r="BF5" s="365">
        <v>-334609</v>
      </c>
      <c r="BG5" s="370">
        <v>0.91039557378082303</v>
      </c>
      <c r="BH5" s="327">
        <v>6.1682586494082901E-7</v>
      </c>
      <c r="BI5" s="371">
        <v>123699</v>
      </c>
      <c r="BJ5" s="372">
        <v>123697</v>
      </c>
      <c r="BK5" s="372">
        <v>2</v>
      </c>
      <c r="BL5" s="373">
        <v>8.9604426219176997E-2</v>
      </c>
    </row>
    <row r="6" spans="1:65" ht="19.5" customHeight="1">
      <c r="A6" s="354" t="s">
        <v>833</v>
      </c>
      <c r="B6" s="376" t="s">
        <v>834</v>
      </c>
      <c r="C6" s="356">
        <v>5433483058</v>
      </c>
      <c r="D6" s="356">
        <v>5390063047</v>
      </c>
      <c r="E6" s="356">
        <v>43420011</v>
      </c>
      <c r="F6" s="357">
        <v>5392624950</v>
      </c>
      <c r="G6" s="357">
        <v>5349531444</v>
      </c>
      <c r="H6" s="358">
        <v>43093506</v>
      </c>
      <c r="I6" s="359"/>
      <c r="J6" s="359"/>
      <c r="K6" s="358"/>
      <c r="L6" s="518">
        <v>0.99503130060511902</v>
      </c>
      <c r="M6" s="358">
        <v>13860764</v>
      </c>
      <c r="N6" s="361">
        <v>13750000</v>
      </c>
      <c r="O6" s="358">
        <v>110764</v>
      </c>
      <c r="P6" s="358">
        <v>13860764</v>
      </c>
      <c r="Q6" s="358">
        <v>13750000</v>
      </c>
      <c r="R6" s="358">
        <v>110764</v>
      </c>
      <c r="S6" s="358">
        <v>5406485714</v>
      </c>
      <c r="T6" s="357">
        <v>5363281444</v>
      </c>
      <c r="U6" s="357">
        <v>43204270</v>
      </c>
      <c r="V6" s="358"/>
      <c r="W6" s="357"/>
      <c r="X6" s="357"/>
      <c r="Y6" s="358"/>
      <c r="Z6" s="358"/>
      <c r="AA6" s="358"/>
      <c r="AB6" s="358"/>
      <c r="AC6" s="362"/>
      <c r="AD6" s="97">
        <v>0</v>
      </c>
      <c r="AE6" s="97">
        <v>0</v>
      </c>
      <c r="AF6" s="97">
        <v>0</v>
      </c>
      <c r="AG6" s="208" t="s">
        <v>630</v>
      </c>
      <c r="AI6" s="97" t="s">
        <v>827</v>
      </c>
      <c r="AJ6" s="363" t="s">
        <v>828</v>
      </c>
      <c r="AL6" s="364" t="s">
        <v>833</v>
      </c>
      <c r="AM6" s="365" t="s">
        <v>835</v>
      </c>
      <c r="AN6" s="364">
        <v>5433483</v>
      </c>
      <c r="AO6" s="366">
        <v>5390063</v>
      </c>
      <c r="AP6" s="366">
        <v>43420</v>
      </c>
      <c r="AQ6" s="367">
        <v>7.9911909175017191E-3</v>
      </c>
      <c r="AR6" s="364"/>
      <c r="AS6" s="366"/>
      <c r="AT6" s="368"/>
      <c r="AU6" s="364"/>
      <c r="AV6" s="366"/>
      <c r="AW6" s="368"/>
      <c r="AX6" s="369">
        <v>13861</v>
      </c>
      <c r="AY6" s="366">
        <v>13750</v>
      </c>
      <c r="AZ6" s="368">
        <v>111</v>
      </c>
      <c r="BA6" s="369">
        <v>13861</v>
      </c>
      <c r="BB6" s="366">
        <v>13750</v>
      </c>
      <c r="BC6" s="368">
        <v>111</v>
      </c>
      <c r="BD6" s="369">
        <v>5406486</v>
      </c>
      <c r="BE6" s="366">
        <v>5363281</v>
      </c>
      <c r="BF6" s="365">
        <v>43205</v>
      </c>
      <c r="BG6" s="370">
        <v>0.99503136385997704</v>
      </c>
      <c r="BH6" s="327">
        <v>-6.3254858129191405E-8</v>
      </c>
      <c r="BI6" s="371">
        <v>26997</v>
      </c>
      <c r="BJ6" s="372">
        <v>26782</v>
      </c>
      <c r="BK6" s="372">
        <v>215</v>
      </c>
      <c r="BL6" s="373">
        <v>4.9686361400228503E-3</v>
      </c>
    </row>
    <row r="7" spans="1:65" ht="19.5" customHeight="1">
      <c r="A7" s="354" t="s">
        <v>774</v>
      </c>
      <c r="B7" s="376" t="s">
        <v>775</v>
      </c>
      <c r="C7" s="356">
        <v>9178049082</v>
      </c>
      <c r="D7" s="356">
        <v>9011378958</v>
      </c>
      <c r="E7" s="377">
        <v>166670124</v>
      </c>
      <c r="F7" s="357">
        <v>8985740245</v>
      </c>
      <c r="G7" s="357">
        <v>8822562381</v>
      </c>
      <c r="H7" s="358">
        <v>163177864</v>
      </c>
      <c r="I7" s="359"/>
      <c r="J7" s="359"/>
      <c r="K7" s="358"/>
      <c r="L7" s="518">
        <v>0.98453490052415604</v>
      </c>
      <c r="M7" s="358">
        <v>50369395</v>
      </c>
      <c r="N7" s="361">
        <v>49454705</v>
      </c>
      <c r="O7" s="358">
        <v>914690</v>
      </c>
      <c r="P7" s="358">
        <v>50369395</v>
      </c>
      <c r="Q7" s="358">
        <v>49454705</v>
      </c>
      <c r="R7" s="358">
        <v>914690</v>
      </c>
      <c r="S7" s="358">
        <v>9036109640</v>
      </c>
      <c r="T7" s="357">
        <v>8872017086</v>
      </c>
      <c r="U7" s="357">
        <v>164092554</v>
      </c>
      <c r="V7" s="358"/>
      <c r="W7" s="357"/>
      <c r="X7" s="357"/>
      <c r="Y7" s="358"/>
      <c r="Z7" s="358"/>
      <c r="AA7" s="358"/>
      <c r="AB7" s="358"/>
      <c r="AC7" s="362"/>
      <c r="AD7" s="97">
        <v>0</v>
      </c>
      <c r="AE7" s="97">
        <v>0</v>
      </c>
      <c r="AF7" s="97">
        <v>0</v>
      </c>
      <c r="AG7" s="208" t="s">
        <v>630</v>
      </c>
      <c r="AH7" s="208">
        <v>2577570</v>
      </c>
      <c r="AI7" s="97" t="s">
        <v>827</v>
      </c>
      <c r="AJ7" s="363" t="s">
        <v>828</v>
      </c>
      <c r="AL7" s="364" t="s">
        <v>774</v>
      </c>
      <c r="AM7" s="365" t="s">
        <v>836</v>
      </c>
      <c r="AN7" s="364">
        <v>9178049</v>
      </c>
      <c r="AO7" s="366">
        <v>9011379</v>
      </c>
      <c r="AP7" s="366">
        <v>166670</v>
      </c>
      <c r="AQ7" s="367">
        <v>1.8159632837000499E-2</v>
      </c>
      <c r="AR7" s="364"/>
      <c r="AS7" s="366"/>
      <c r="AT7" s="368"/>
      <c r="AU7" s="364"/>
      <c r="AV7" s="366"/>
      <c r="AW7" s="368"/>
      <c r="AX7" s="369">
        <v>50369</v>
      </c>
      <c r="AY7" s="366">
        <v>49455</v>
      </c>
      <c r="AZ7" s="368">
        <v>914</v>
      </c>
      <c r="BA7" s="369">
        <v>50369</v>
      </c>
      <c r="BB7" s="366">
        <v>49455</v>
      </c>
      <c r="BC7" s="368">
        <v>914</v>
      </c>
      <c r="BD7" s="369">
        <v>9036110</v>
      </c>
      <c r="BE7" s="366">
        <v>8872017</v>
      </c>
      <c r="BF7" s="365">
        <v>164093</v>
      </c>
      <c r="BG7" s="370">
        <v>0.98453494854952295</v>
      </c>
      <c r="BH7" s="327">
        <v>-4.8025366794490798E-8</v>
      </c>
      <c r="BI7" s="371">
        <v>141940</v>
      </c>
      <c r="BJ7" s="372">
        <v>139363</v>
      </c>
      <c r="BK7" s="372">
        <v>2577</v>
      </c>
      <c r="BL7" s="373">
        <v>1.5465051450477199E-2</v>
      </c>
    </row>
    <row r="8" spans="1:65" ht="19.5" customHeight="1">
      <c r="A8" s="354" t="s">
        <v>309</v>
      </c>
      <c r="B8" s="376" t="s">
        <v>310</v>
      </c>
      <c r="C8" s="356">
        <v>5183677439</v>
      </c>
      <c r="D8" s="356">
        <v>5096957439</v>
      </c>
      <c r="E8" s="377">
        <v>86720000</v>
      </c>
      <c r="F8" s="357">
        <v>4334363161</v>
      </c>
      <c r="G8" s="357">
        <v>4261851710</v>
      </c>
      <c r="H8" s="358">
        <v>72511451</v>
      </c>
      <c r="I8" s="359"/>
      <c r="J8" s="359"/>
      <c r="K8" s="358"/>
      <c r="L8" s="518">
        <v>0.89662675521509305</v>
      </c>
      <c r="M8" s="358">
        <v>313460721</v>
      </c>
      <c r="N8" s="361">
        <v>308216700</v>
      </c>
      <c r="O8" s="358">
        <v>5244021</v>
      </c>
      <c r="P8" s="358">
        <v>313460721</v>
      </c>
      <c r="Q8" s="358">
        <v>308216700</v>
      </c>
      <c r="R8" s="358">
        <v>5244021</v>
      </c>
      <c r="S8" s="358">
        <v>4647823882</v>
      </c>
      <c r="T8" s="357">
        <v>4570068410</v>
      </c>
      <c r="U8" s="357">
        <v>77755472</v>
      </c>
      <c r="V8" s="358"/>
      <c r="W8" s="357"/>
      <c r="X8" s="357"/>
      <c r="Y8" s="358"/>
      <c r="Z8" s="358"/>
      <c r="AA8" s="358"/>
      <c r="AB8" s="358"/>
      <c r="AC8" s="362"/>
      <c r="AD8" s="97">
        <v>0</v>
      </c>
      <c r="AE8" s="97">
        <v>0</v>
      </c>
      <c r="AF8" s="97">
        <v>0</v>
      </c>
      <c r="AG8" s="208" t="s">
        <v>630</v>
      </c>
      <c r="AI8" s="97" t="s">
        <v>827</v>
      </c>
      <c r="AJ8" s="363" t="s">
        <v>828</v>
      </c>
      <c r="AL8" s="364" t="s">
        <v>309</v>
      </c>
      <c r="AM8" s="365" t="s">
        <v>837</v>
      </c>
      <c r="AN8" s="364">
        <v>5183677</v>
      </c>
      <c r="AO8" s="366">
        <v>5096957</v>
      </c>
      <c r="AP8" s="366">
        <v>86720</v>
      </c>
      <c r="AQ8" s="367">
        <v>1.67294374244383E-2</v>
      </c>
      <c r="AR8" s="364"/>
      <c r="AS8" s="366"/>
      <c r="AT8" s="368"/>
      <c r="AU8" s="364"/>
      <c r="AV8" s="366"/>
      <c r="AW8" s="368"/>
      <c r="AX8" s="369">
        <v>313461</v>
      </c>
      <c r="AY8" s="366">
        <v>308217</v>
      </c>
      <c r="AZ8" s="368">
        <v>5244</v>
      </c>
      <c r="BA8" s="369">
        <v>313461</v>
      </c>
      <c r="BB8" s="366">
        <v>308217</v>
      </c>
      <c r="BC8" s="368">
        <v>5244</v>
      </c>
      <c r="BD8" s="369">
        <v>4647824</v>
      </c>
      <c r="BE8" s="366">
        <v>4570068</v>
      </c>
      <c r="BF8" s="365">
        <v>77756</v>
      </c>
      <c r="BG8" s="370">
        <v>0.89662685387226104</v>
      </c>
      <c r="BH8" s="327">
        <v>-9.8657167879601104E-8</v>
      </c>
      <c r="BI8" s="371">
        <v>535853</v>
      </c>
      <c r="BJ8" s="372">
        <v>526889</v>
      </c>
      <c r="BK8" s="372">
        <v>8964</v>
      </c>
      <c r="BL8" s="373">
        <v>0.103373146127739</v>
      </c>
    </row>
    <row r="9" spans="1:65" ht="19.5" customHeight="1">
      <c r="A9" s="354" t="s">
        <v>311</v>
      </c>
      <c r="B9" s="354" t="s">
        <v>312</v>
      </c>
      <c r="C9" s="356">
        <v>2958065333.0999999</v>
      </c>
      <c r="D9" s="356">
        <v>2835766246.1044002</v>
      </c>
      <c r="E9" s="377">
        <v>122299086.9956</v>
      </c>
      <c r="F9" s="357">
        <v>2449714509</v>
      </c>
      <c r="G9" s="357">
        <v>2348432822</v>
      </c>
      <c r="H9" s="358">
        <v>101281687</v>
      </c>
      <c r="I9" s="359"/>
      <c r="J9" s="359"/>
      <c r="K9" s="358"/>
      <c r="L9" s="518">
        <v>0.94059302125630895</v>
      </c>
      <c r="M9" s="358">
        <v>332621100</v>
      </c>
      <c r="N9" s="361">
        <v>318869119</v>
      </c>
      <c r="O9" s="358">
        <v>13751981</v>
      </c>
      <c r="P9" s="358">
        <v>332621100</v>
      </c>
      <c r="Q9" s="358">
        <v>318869119</v>
      </c>
      <c r="R9" s="358">
        <v>13751981</v>
      </c>
      <c r="S9" s="358">
        <v>2782335609</v>
      </c>
      <c r="T9" s="357">
        <v>2667301941</v>
      </c>
      <c r="U9" s="357">
        <v>115033668</v>
      </c>
      <c r="V9" s="358"/>
      <c r="W9" s="357"/>
      <c r="X9" s="357"/>
      <c r="Y9" s="358"/>
      <c r="Z9" s="358"/>
      <c r="AA9" s="358"/>
      <c r="AB9" s="358"/>
      <c r="AC9" s="362"/>
      <c r="AD9" s="97">
        <v>0</v>
      </c>
      <c r="AE9" s="97">
        <v>0</v>
      </c>
      <c r="AF9" s="97">
        <v>0</v>
      </c>
      <c r="AG9" s="208" t="s">
        <v>630</v>
      </c>
      <c r="AH9" s="208">
        <v>7265418.9956002198</v>
      </c>
      <c r="AI9" s="97" t="s">
        <v>838</v>
      </c>
      <c r="AJ9" s="363" t="s">
        <v>839</v>
      </c>
      <c r="AL9" s="364" t="s">
        <v>311</v>
      </c>
      <c r="AM9" s="365" t="s">
        <v>840</v>
      </c>
      <c r="AN9" s="364">
        <v>2958065</v>
      </c>
      <c r="AO9" s="366">
        <v>2835766</v>
      </c>
      <c r="AP9" s="366">
        <v>122299</v>
      </c>
      <c r="AQ9" s="367">
        <v>4.1344257141070297E-2</v>
      </c>
      <c r="AR9" s="364"/>
      <c r="AS9" s="366"/>
      <c r="AT9" s="368"/>
      <c r="AU9" s="364"/>
      <c r="AV9" s="366"/>
      <c r="AW9" s="368"/>
      <c r="AX9" s="369">
        <v>332621</v>
      </c>
      <c r="AY9" s="366">
        <v>318869</v>
      </c>
      <c r="AZ9" s="368">
        <v>13752</v>
      </c>
      <c r="BA9" s="369">
        <v>332621</v>
      </c>
      <c r="BB9" s="366">
        <v>318869</v>
      </c>
      <c r="BC9" s="368">
        <v>13752</v>
      </c>
      <c r="BD9" s="369">
        <v>2782336</v>
      </c>
      <c r="BE9" s="366">
        <v>2667302</v>
      </c>
      <c r="BF9" s="365">
        <v>115034</v>
      </c>
      <c r="BG9" s="370">
        <v>0.94059325944494099</v>
      </c>
      <c r="BH9" s="327">
        <v>-2.3818863226221499E-7</v>
      </c>
      <c r="BI9" s="371">
        <v>175727</v>
      </c>
      <c r="BJ9" s="372">
        <v>168463</v>
      </c>
      <c r="BK9" s="372">
        <v>7264</v>
      </c>
      <c r="BL9" s="373">
        <v>5.9406740555058797E-2</v>
      </c>
    </row>
    <row r="10" spans="1:65" ht="19.5" customHeight="1">
      <c r="A10" s="354" t="s">
        <v>313</v>
      </c>
      <c r="B10" s="376" t="s">
        <v>314</v>
      </c>
      <c r="C10" s="356">
        <v>3288230929</v>
      </c>
      <c r="D10" s="356">
        <v>3091061313</v>
      </c>
      <c r="E10" s="377">
        <v>197169616</v>
      </c>
      <c r="F10" s="357">
        <v>2645395377</v>
      </c>
      <c r="G10" s="357">
        <v>2486771606</v>
      </c>
      <c r="H10" s="358">
        <v>158623771</v>
      </c>
      <c r="I10" s="359"/>
      <c r="J10" s="359"/>
      <c r="K10" s="358"/>
      <c r="L10" s="518">
        <v>0.94211879258184095</v>
      </c>
      <c r="M10" s="358">
        <v>452508776</v>
      </c>
      <c r="N10" s="361">
        <v>425375346</v>
      </c>
      <c r="O10" s="358">
        <v>27133430</v>
      </c>
      <c r="P10" s="358">
        <v>452508776</v>
      </c>
      <c r="Q10" s="358">
        <v>425375346</v>
      </c>
      <c r="R10" s="358">
        <v>27133430</v>
      </c>
      <c r="S10" s="358">
        <v>3097904153</v>
      </c>
      <c r="T10" s="357">
        <v>2912146952</v>
      </c>
      <c r="U10" s="357">
        <v>185757201</v>
      </c>
      <c r="V10" s="358"/>
      <c r="W10" s="357"/>
      <c r="X10" s="357"/>
      <c r="Y10" s="358"/>
      <c r="Z10" s="358"/>
      <c r="AA10" s="358"/>
      <c r="AB10" s="358"/>
      <c r="AC10" s="362"/>
      <c r="AD10" s="97">
        <v>0</v>
      </c>
      <c r="AE10" s="97">
        <v>0</v>
      </c>
      <c r="AF10" s="97">
        <v>0</v>
      </c>
      <c r="AG10" s="208" t="s">
        <v>630</v>
      </c>
      <c r="AI10" s="97" t="s">
        <v>827</v>
      </c>
      <c r="AJ10" s="363" t="s">
        <v>828</v>
      </c>
      <c r="AL10" s="364" t="s">
        <v>313</v>
      </c>
      <c r="AM10" s="365" t="s">
        <v>841</v>
      </c>
      <c r="AN10" s="364">
        <v>3288231</v>
      </c>
      <c r="AO10" s="366">
        <v>3091061</v>
      </c>
      <c r="AP10" s="366">
        <v>197170</v>
      </c>
      <c r="AQ10" s="367">
        <v>5.99623323300583E-2</v>
      </c>
      <c r="AR10" s="364"/>
      <c r="AS10" s="366"/>
      <c r="AT10" s="368"/>
      <c r="AU10" s="364"/>
      <c r="AV10" s="366"/>
      <c r="AW10" s="368"/>
      <c r="AX10" s="369">
        <v>452509</v>
      </c>
      <c r="AY10" s="366">
        <v>425375</v>
      </c>
      <c r="AZ10" s="368">
        <v>27134</v>
      </c>
      <c r="BA10" s="369">
        <v>452509</v>
      </c>
      <c r="BB10" s="366">
        <v>425375</v>
      </c>
      <c r="BC10" s="368">
        <v>27134</v>
      </c>
      <c r="BD10" s="369">
        <v>3097904</v>
      </c>
      <c r="BE10" s="366">
        <v>2912147</v>
      </c>
      <c r="BF10" s="365">
        <v>185757</v>
      </c>
      <c r="BG10" s="370">
        <v>0.94211872584377399</v>
      </c>
      <c r="BH10" s="327">
        <v>6.6738066628602195E-8</v>
      </c>
      <c r="BI10" s="371">
        <v>190327</v>
      </c>
      <c r="BJ10" s="372">
        <v>178914</v>
      </c>
      <c r="BK10" s="372">
        <v>11413</v>
      </c>
      <c r="BL10" s="373">
        <v>5.7881274156225702E-2</v>
      </c>
    </row>
    <row r="11" spans="1:65" ht="19.5" customHeight="1">
      <c r="A11" s="354" t="s">
        <v>315</v>
      </c>
      <c r="B11" s="376" t="s">
        <v>316</v>
      </c>
      <c r="C11" s="356">
        <v>5519137604</v>
      </c>
      <c r="D11" s="356">
        <v>5270244571</v>
      </c>
      <c r="E11" s="377">
        <v>248893033</v>
      </c>
      <c r="F11" s="357">
        <v>3494581007</v>
      </c>
      <c r="G11" s="357">
        <v>3336988113</v>
      </c>
      <c r="H11" s="358">
        <v>157592894</v>
      </c>
      <c r="I11" s="359"/>
      <c r="J11" s="359"/>
      <c r="K11" s="358"/>
      <c r="L11" s="518">
        <v>0.79400417392887601</v>
      </c>
      <c r="M11" s="358">
        <v>887637287</v>
      </c>
      <c r="N11" s="361">
        <v>847608074</v>
      </c>
      <c r="O11" s="358">
        <v>40029213</v>
      </c>
      <c r="P11" s="358">
        <v>887637287</v>
      </c>
      <c r="Q11" s="358">
        <v>847608074</v>
      </c>
      <c r="R11" s="358">
        <v>40029213</v>
      </c>
      <c r="S11" s="358">
        <v>4382218294</v>
      </c>
      <c r="T11" s="357">
        <v>4184596187</v>
      </c>
      <c r="U11" s="357">
        <v>197622107</v>
      </c>
      <c r="V11" s="358"/>
      <c r="W11" s="357"/>
      <c r="X11" s="357"/>
      <c r="Y11" s="358"/>
      <c r="Z11" s="358"/>
      <c r="AA11" s="358"/>
      <c r="AB11" s="358"/>
      <c r="AC11" s="362"/>
      <c r="AD11" s="97">
        <v>0</v>
      </c>
      <c r="AE11" s="97">
        <v>0</v>
      </c>
      <c r="AF11" s="97">
        <v>0</v>
      </c>
      <c r="AG11" s="208" t="s">
        <v>630</v>
      </c>
      <c r="AI11" s="97" t="s">
        <v>842</v>
      </c>
      <c r="AJ11" s="363" t="s">
        <v>828</v>
      </c>
      <c r="AL11" s="364" t="s">
        <v>315</v>
      </c>
      <c r="AM11" s="365" t="s">
        <v>843</v>
      </c>
      <c r="AN11" s="364">
        <v>5519138</v>
      </c>
      <c r="AO11" s="366">
        <v>5270245</v>
      </c>
      <c r="AP11" s="366">
        <v>248893</v>
      </c>
      <c r="AQ11" s="367">
        <v>4.5096353814671801E-2</v>
      </c>
      <c r="AR11" s="364"/>
      <c r="AS11" s="366"/>
      <c r="AT11" s="368"/>
      <c r="AU11" s="364"/>
      <c r="AV11" s="366"/>
      <c r="AW11" s="368"/>
      <c r="AX11" s="369">
        <v>887637</v>
      </c>
      <c r="AY11" s="366">
        <v>847608</v>
      </c>
      <c r="AZ11" s="368">
        <v>40029</v>
      </c>
      <c r="BA11" s="369">
        <v>887637</v>
      </c>
      <c r="BB11" s="366">
        <v>847608</v>
      </c>
      <c r="BC11" s="368">
        <v>40029</v>
      </c>
      <c r="BD11" s="369">
        <v>4382218</v>
      </c>
      <c r="BE11" s="366">
        <v>4184596</v>
      </c>
      <c r="BF11" s="365">
        <v>197622</v>
      </c>
      <c r="BG11" s="370">
        <v>0.79400406367805998</v>
      </c>
      <c r="BH11" s="327">
        <v>1.1025081614324301E-7</v>
      </c>
      <c r="BI11" s="371">
        <v>1136920</v>
      </c>
      <c r="BJ11" s="372">
        <v>1085649</v>
      </c>
      <c r="BK11" s="372">
        <v>51271</v>
      </c>
      <c r="BL11" s="373">
        <v>0.20599593632193999</v>
      </c>
    </row>
    <row r="12" spans="1:65" ht="19.5" customHeight="1">
      <c r="A12" s="354" t="s">
        <v>317</v>
      </c>
      <c r="B12" s="376" t="s">
        <v>318</v>
      </c>
      <c r="C12" s="356">
        <v>4395613594</v>
      </c>
      <c r="D12" s="356">
        <v>4131406239</v>
      </c>
      <c r="E12" s="377">
        <v>264207355</v>
      </c>
      <c r="F12" s="357">
        <v>3455090169</v>
      </c>
      <c r="G12" s="357">
        <v>3247414900</v>
      </c>
      <c r="H12" s="358">
        <v>207675269</v>
      </c>
      <c r="I12" s="359"/>
      <c r="J12" s="359"/>
      <c r="K12" s="358"/>
      <c r="L12" s="518">
        <v>0.92518195013550197</v>
      </c>
      <c r="M12" s="358">
        <v>611652188</v>
      </c>
      <c r="N12" s="361">
        <v>574887581</v>
      </c>
      <c r="O12" s="358">
        <v>36764607</v>
      </c>
      <c r="P12" s="358">
        <v>611652188</v>
      </c>
      <c r="Q12" s="358">
        <v>574887581</v>
      </c>
      <c r="R12" s="358">
        <v>36764607</v>
      </c>
      <c r="S12" s="358">
        <v>4066742357</v>
      </c>
      <c r="T12" s="357">
        <v>3822302481</v>
      </c>
      <c r="U12" s="357">
        <v>244439876</v>
      </c>
      <c r="V12" s="358"/>
      <c r="W12" s="357"/>
      <c r="X12" s="357"/>
      <c r="Y12" s="358"/>
      <c r="Z12" s="358"/>
      <c r="AA12" s="358"/>
      <c r="AB12" s="358"/>
      <c r="AC12" s="362"/>
      <c r="AD12" s="97">
        <v>0</v>
      </c>
      <c r="AE12" s="97">
        <v>0</v>
      </c>
      <c r="AF12" s="97">
        <v>0</v>
      </c>
      <c r="AG12" s="208" t="s">
        <v>630</v>
      </c>
      <c r="AI12" s="97" t="s">
        <v>844</v>
      </c>
      <c r="AJ12" s="363" t="s">
        <v>828</v>
      </c>
      <c r="AL12" s="364" t="s">
        <v>317</v>
      </c>
      <c r="AM12" s="365" t="s">
        <v>845</v>
      </c>
      <c r="AN12" s="364">
        <v>4395614</v>
      </c>
      <c r="AO12" s="366">
        <v>4131406</v>
      </c>
      <c r="AP12" s="366">
        <v>264208</v>
      </c>
      <c r="AQ12" s="367">
        <v>6.0107188665792802E-2</v>
      </c>
      <c r="AR12" s="364"/>
      <c r="AS12" s="366"/>
      <c r="AT12" s="368"/>
      <c r="AU12" s="364"/>
      <c r="AV12" s="366"/>
      <c r="AW12" s="368"/>
      <c r="AX12" s="369">
        <v>611652</v>
      </c>
      <c r="AY12" s="366">
        <v>574888</v>
      </c>
      <c r="AZ12" s="368">
        <v>36764</v>
      </c>
      <c r="BA12" s="369">
        <v>611652</v>
      </c>
      <c r="BB12" s="366">
        <v>574888</v>
      </c>
      <c r="BC12" s="368">
        <v>36764</v>
      </c>
      <c r="BD12" s="369">
        <v>4066742</v>
      </c>
      <c r="BE12" s="366">
        <v>3822302</v>
      </c>
      <c r="BF12" s="365">
        <v>244440</v>
      </c>
      <c r="BG12" s="370">
        <v>0.925181783477803</v>
      </c>
      <c r="BH12" s="327">
        <v>1.6665769886348201E-7</v>
      </c>
      <c r="BI12" s="371">
        <v>328872</v>
      </c>
      <c r="BJ12" s="372">
        <v>309104</v>
      </c>
      <c r="BK12" s="372">
        <v>19768</v>
      </c>
      <c r="BL12" s="373">
        <v>7.4818216522196904E-2</v>
      </c>
    </row>
    <row r="13" spans="1:65" ht="19.5" customHeight="1">
      <c r="A13" s="354" t="s">
        <v>319</v>
      </c>
      <c r="B13" s="376" t="s">
        <v>320</v>
      </c>
      <c r="C13" s="356">
        <v>3047786876</v>
      </c>
      <c r="D13" s="356">
        <v>2880158145</v>
      </c>
      <c r="E13" s="377">
        <v>167628731</v>
      </c>
      <c r="F13" s="357">
        <v>2123586671</v>
      </c>
      <c r="G13" s="357">
        <v>2006789089</v>
      </c>
      <c r="H13" s="358">
        <v>116797582</v>
      </c>
      <c r="I13" s="359"/>
      <c r="J13" s="359"/>
      <c r="K13" s="358"/>
      <c r="L13" s="518">
        <v>0.83324925097125202</v>
      </c>
      <c r="M13" s="358">
        <v>415979461</v>
      </c>
      <c r="N13" s="361">
        <v>393100528</v>
      </c>
      <c r="O13" s="358">
        <v>22878933</v>
      </c>
      <c r="P13" s="358">
        <v>415979461</v>
      </c>
      <c r="Q13" s="358">
        <v>393100528</v>
      </c>
      <c r="R13" s="358">
        <v>22878933</v>
      </c>
      <c r="S13" s="358">
        <v>2539566132</v>
      </c>
      <c r="T13" s="357">
        <v>2399889617</v>
      </c>
      <c r="U13" s="357">
        <v>139676515</v>
      </c>
      <c r="V13" s="358"/>
      <c r="W13" s="357"/>
      <c r="X13" s="357"/>
      <c r="Y13" s="358"/>
      <c r="Z13" s="358"/>
      <c r="AA13" s="358"/>
      <c r="AB13" s="358"/>
      <c r="AC13" s="362"/>
      <c r="AD13" s="97">
        <v>0</v>
      </c>
      <c r="AE13" s="97">
        <v>0</v>
      </c>
      <c r="AF13" s="97">
        <v>0</v>
      </c>
      <c r="AG13" s="208" t="s">
        <v>630</v>
      </c>
      <c r="AI13" s="97" t="s">
        <v>838</v>
      </c>
      <c r="AJ13" s="363" t="s">
        <v>839</v>
      </c>
      <c r="AL13" s="364" t="s">
        <v>319</v>
      </c>
      <c r="AM13" s="365" t="s">
        <v>846</v>
      </c>
      <c r="AN13" s="364">
        <v>3047787</v>
      </c>
      <c r="AO13" s="366">
        <v>2880158</v>
      </c>
      <c r="AP13" s="366">
        <v>167629</v>
      </c>
      <c r="AQ13" s="367">
        <v>5.5000234596446498E-2</v>
      </c>
      <c r="AR13" s="364"/>
      <c r="AS13" s="366"/>
      <c r="AT13" s="368"/>
      <c r="AU13" s="364"/>
      <c r="AV13" s="366"/>
      <c r="AW13" s="368"/>
      <c r="AX13" s="369">
        <v>415979</v>
      </c>
      <c r="AY13" s="366">
        <v>393101</v>
      </c>
      <c r="AZ13" s="368">
        <v>22878</v>
      </c>
      <c r="BA13" s="369">
        <v>415979</v>
      </c>
      <c r="BB13" s="366">
        <v>393101</v>
      </c>
      <c r="BC13" s="368">
        <v>22878</v>
      </c>
      <c r="BD13" s="369">
        <v>2539566</v>
      </c>
      <c r="BE13" s="366">
        <v>2399890</v>
      </c>
      <c r="BF13" s="365">
        <v>139676</v>
      </c>
      <c r="BG13" s="370">
        <v>0.83324917390880704</v>
      </c>
      <c r="BH13" s="327">
        <v>7.7062445424935801E-8</v>
      </c>
      <c r="BI13" s="371">
        <v>508221</v>
      </c>
      <c r="BJ13" s="372">
        <v>480268</v>
      </c>
      <c r="BK13" s="372">
        <v>27953</v>
      </c>
      <c r="BL13" s="373">
        <v>0.16675082609119299</v>
      </c>
    </row>
    <row r="14" spans="1:65" ht="19.5" customHeight="1">
      <c r="A14" s="354" t="s">
        <v>321</v>
      </c>
      <c r="B14" s="378" t="s">
        <v>322</v>
      </c>
      <c r="C14" s="356">
        <v>12266508647</v>
      </c>
      <c r="D14" s="356">
        <v>11592012508</v>
      </c>
      <c r="E14" s="377">
        <v>674496139</v>
      </c>
      <c r="F14" s="357">
        <v>8564267623</v>
      </c>
      <c r="G14" s="357">
        <v>8093345895.7568598</v>
      </c>
      <c r="H14" s="358">
        <v>470921727.24313903</v>
      </c>
      <c r="I14" s="359"/>
      <c r="J14" s="359"/>
      <c r="K14" s="358"/>
      <c r="L14" s="518">
        <v>0.79280538400164902</v>
      </c>
      <c r="M14" s="358">
        <v>1160686475</v>
      </c>
      <c r="N14" s="361">
        <v>1096864032</v>
      </c>
      <c r="O14" s="358">
        <v>63822443</v>
      </c>
      <c r="P14" s="358">
        <v>1160686475</v>
      </c>
      <c r="Q14" s="358">
        <v>1096864032</v>
      </c>
      <c r="R14" s="358">
        <v>63822443</v>
      </c>
      <c r="S14" s="358">
        <v>9724954098</v>
      </c>
      <c r="T14" s="357">
        <v>9190209927.7568607</v>
      </c>
      <c r="U14" s="357">
        <v>534744170.24313903</v>
      </c>
      <c r="V14" s="357"/>
      <c r="W14" s="358"/>
      <c r="X14" s="358"/>
      <c r="Y14" s="357"/>
      <c r="Z14" s="358"/>
      <c r="AA14" s="358"/>
      <c r="AB14" s="358"/>
      <c r="AC14" s="362"/>
      <c r="AD14" s="97">
        <v>0</v>
      </c>
      <c r="AE14" s="97">
        <v>0</v>
      </c>
      <c r="AF14" s="97">
        <v>0</v>
      </c>
      <c r="AG14" s="208" t="s">
        <v>630</v>
      </c>
      <c r="AL14" s="364" t="s">
        <v>321</v>
      </c>
      <c r="AM14" s="365" t="s">
        <v>847</v>
      </c>
      <c r="AN14" s="364">
        <v>12266509</v>
      </c>
      <c r="AO14" s="366">
        <v>11592013</v>
      </c>
      <c r="AP14" s="366">
        <v>674496</v>
      </c>
      <c r="AQ14" s="367">
        <v>5.4986793716125797E-2</v>
      </c>
      <c r="AR14" s="364"/>
      <c r="AS14" s="366"/>
      <c r="AT14" s="368"/>
      <c r="AU14" s="364"/>
      <c r="AV14" s="366"/>
      <c r="AW14" s="368"/>
      <c r="AX14" s="369">
        <v>1160686</v>
      </c>
      <c r="AY14" s="366">
        <v>1096864</v>
      </c>
      <c r="AZ14" s="368">
        <v>63822</v>
      </c>
      <c r="BA14" s="369">
        <v>1160686</v>
      </c>
      <c r="BB14" s="366">
        <v>1096864</v>
      </c>
      <c r="BC14" s="368">
        <v>63822</v>
      </c>
      <c r="BD14" s="369">
        <v>9724954</v>
      </c>
      <c r="BE14" s="366">
        <v>9190210</v>
      </c>
      <c r="BF14" s="365">
        <v>534744</v>
      </c>
      <c r="BG14" s="370">
        <v>0.792805353177501</v>
      </c>
      <c r="BH14" s="327">
        <v>3.0824147567720699E-8</v>
      </c>
      <c r="BI14" s="371">
        <v>2541555</v>
      </c>
      <c r="BJ14" s="372">
        <v>2401803</v>
      </c>
      <c r="BK14" s="372">
        <v>139752</v>
      </c>
      <c r="BL14" s="373">
        <v>0.207194646822499</v>
      </c>
    </row>
    <row r="15" spans="1:65" ht="19.5" customHeight="1">
      <c r="A15" s="354" t="s">
        <v>323</v>
      </c>
      <c r="B15" s="378" t="s">
        <v>324</v>
      </c>
      <c r="C15" s="356">
        <v>5978342857</v>
      </c>
      <c r="D15" s="356">
        <v>5619642286</v>
      </c>
      <c r="E15" s="377">
        <v>358700571</v>
      </c>
      <c r="F15" s="357">
        <v>3068175143</v>
      </c>
      <c r="G15" s="357">
        <v>2884084634.9731302</v>
      </c>
      <c r="H15" s="358">
        <v>184090508.02686599</v>
      </c>
      <c r="I15" s="359"/>
      <c r="J15" s="359"/>
      <c r="K15" s="358"/>
      <c r="L15" s="518">
        <v>0.69071542340436998</v>
      </c>
      <c r="M15" s="358">
        <v>1061158475</v>
      </c>
      <c r="N15" s="361">
        <v>997488965.98246002</v>
      </c>
      <c r="O15" s="358">
        <v>63669509.017540202</v>
      </c>
      <c r="P15" s="358">
        <v>1061158475</v>
      </c>
      <c r="Q15" s="358">
        <v>997488965.98246002</v>
      </c>
      <c r="R15" s="358">
        <v>63669509.017540202</v>
      </c>
      <c r="S15" s="358">
        <v>4129333618</v>
      </c>
      <c r="T15" s="357">
        <v>3881573600.9555898</v>
      </c>
      <c r="U15" s="357">
        <v>247760017.04440701</v>
      </c>
      <c r="V15" s="357"/>
      <c r="W15" s="358"/>
      <c r="X15" s="358"/>
      <c r="Y15" s="357"/>
      <c r="Z15" s="358"/>
      <c r="AA15" s="358"/>
      <c r="AB15" s="358"/>
      <c r="AC15" s="362"/>
      <c r="AD15" s="97">
        <v>0</v>
      </c>
      <c r="AE15" s="97">
        <v>0</v>
      </c>
      <c r="AF15" s="97">
        <v>0</v>
      </c>
      <c r="AG15" s="208" t="s">
        <v>630</v>
      </c>
      <c r="AL15" s="364" t="s">
        <v>323</v>
      </c>
      <c r="AM15" s="365" t="s">
        <v>848</v>
      </c>
      <c r="AN15" s="364">
        <v>5978343</v>
      </c>
      <c r="AO15" s="366">
        <v>5619642</v>
      </c>
      <c r="AP15" s="366">
        <v>358701</v>
      </c>
      <c r="AQ15" s="367">
        <v>6.0000070253580298E-2</v>
      </c>
      <c r="AR15" s="364"/>
      <c r="AS15" s="366"/>
      <c r="AT15" s="368"/>
      <c r="AU15" s="364"/>
      <c r="AV15" s="366"/>
      <c r="AW15" s="368"/>
      <c r="AX15" s="369">
        <v>1061158</v>
      </c>
      <c r="AY15" s="366">
        <v>997489</v>
      </c>
      <c r="AZ15" s="368">
        <v>63669</v>
      </c>
      <c r="BA15" s="369">
        <v>1061158</v>
      </c>
      <c r="BB15" s="366">
        <v>997489</v>
      </c>
      <c r="BC15" s="368">
        <v>63669</v>
      </c>
      <c r="BD15" s="369">
        <v>4129334</v>
      </c>
      <c r="BE15" s="366">
        <v>3881574</v>
      </c>
      <c r="BF15" s="365">
        <v>247760</v>
      </c>
      <c r="BG15" s="370">
        <v>0.69071547082527696</v>
      </c>
      <c r="BH15" s="327">
        <v>-4.7420907201001201E-8</v>
      </c>
      <c r="BI15" s="371">
        <v>1849009</v>
      </c>
      <c r="BJ15" s="372">
        <v>1738068</v>
      </c>
      <c r="BK15" s="372">
        <v>110941</v>
      </c>
      <c r="BL15" s="373">
        <v>0.30928452917472299</v>
      </c>
    </row>
    <row r="16" spans="1:65" ht="19.5" customHeight="1">
      <c r="A16" s="354" t="s">
        <v>849</v>
      </c>
      <c r="B16" s="378" t="s">
        <v>850</v>
      </c>
      <c r="C16" s="356">
        <v>57904762</v>
      </c>
      <c r="D16" s="356">
        <v>53272381</v>
      </c>
      <c r="E16" s="377">
        <v>4632381</v>
      </c>
      <c r="F16" s="357">
        <v>57904758</v>
      </c>
      <c r="G16" s="357">
        <v>53272377</v>
      </c>
      <c r="H16" s="358">
        <v>4632381.0000000102</v>
      </c>
      <c r="I16" s="359"/>
      <c r="J16" s="359"/>
      <c r="K16" s="358"/>
      <c r="L16" s="518">
        <v>0.99999992491418799</v>
      </c>
      <c r="M16" s="358">
        <v>0</v>
      </c>
      <c r="N16" s="361">
        <v>0</v>
      </c>
      <c r="O16" s="358">
        <v>0</v>
      </c>
      <c r="P16" s="358">
        <v>0</v>
      </c>
      <c r="Q16" s="358">
        <v>0</v>
      </c>
      <c r="R16" s="358">
        <v>0</v>
      </c>
      <c r="S16" s="358">
        <v>57904758</v>
      </c>
      <c r="T16" s="357">
        <v>53272377</v>
      </c>
      <c r="U16" s="357">
        <v>4632381.0000000102</v>
      </c>
      <c r="V16" s="357"/>
      <c r="W16" s="358"/>
      <c r="X16" s="358"/>
      <c r="Y16" s="357"/>
      <c r="Z16" s="358"/>
      <c r="AA16" s="358"/>
      <c r="AB16" s="358"/>
      <c r="AC16" s="362"/>
      <c r="AD16" s="97">
        <v>0</v>
      </c>
      <c r="AE16" s="97">
        <v>0</v>
      </c>
      <c r="AF16" s="97">
        <v>0</v>
      </c>
      <c r="AG16" s="208" t="s">
        <v>630</v>
      </c>
      <c r="AL16" s="364" t="s">
        <v>849</v>
      </c>
      <c r="AM16" s="365" t="s">
        <v>851</v>
      </c>
      <c r="AN16" s="364">
        <v>57905</v>
      </c>
      <c r="AO16" s="366">
        <v>53272</v>
      </c>
      <c r="AP16" s="366">
        <v>4633</v>
      </c>
      <c r="AQ16" s="367">
        <v>8.0010361799499205E-2</v>
      </c>
      <c r="AR16" s="364"/>
      <c r="AS16" s="366"/>
      <c r="AT16" s="368"/>
      <c r="AU16" s="364"/>
      <c r="AV16" s="366"/>
      <c r="AW16" s="368"/>
      <c r="AX16" s="369">
        <v>0</v>
      </c>
      <c r="AY16" s="366">
        <v>0</v>
      </c>
      <c r="AZ16" s="368">
        <v>0</v>
      </c>
      <c r="BA16" s="369">
        <v>0</v>
      </c>
      <c r="BB16" s="366">
        <v>0</v>
      </c>
      <c r="BC16" s="368">
        <v>0</v>
      </c>
      <c r="BD16" s="369">
        <v>57905</v>
      </c>
      <c r="BE16" s="366">
        <v>53272</v>
      </c>
      <c r="BF16" s="365">
        <v>4633</v>
      </c>
      <c r="BG16" s="370">
        <v>1</v>
      </c>
      <c r="BH16" s="327">
        <v>-7.5085812012432003E-8</v>
      </c>
      <c r="BI16" s="371">
        <v>0</v>
      </c>
      <c r="BJ16" s="372">
        <v>0</v>
      </c>
      <c r="BK16" s="372">
        <v>0</v>
      </c>
      <c r="BL16" s="373">
        <v>0</v>
      </c>
    </row>
    <row r="17" spans="1:64" ht="19.5" customHeight="1">
      <c r="A17" s="354" t="s">
        <v>852</v>
      </c>
      <c r="B17" s="379" t="s">
        <v>853</v>
      </c>
      <c r="C17" s="356">
        <v>22400000</v>
      </c>
      <c r="D17" s="356">
        <v>19018736</v>
      </c>
      <c r="E17" s="377">
        <v>3381264</v>
      </c>
      <c r="F17" s="357">
        <v>22400000</v>
      </c>
      <c r="G17" s="357">
        <v>19018736</v>
      </c>
      <c r="H17" s="358">
        <v>3381264</v>
      </c>
      <c r="I17" s="359"/>
      <c r="J17" s="359"/>
      <c r="K17" s="358"/>
      <c r="L17" s="518">
        <v>1</v>
      </c>
      <c r="M17" s="358">
        <v>0</v>
      </c>
      <c r="N17" s="361">
        <v>0</v>
      </c>
      <c r="O17" s="358">
        <v>0</v>
      </c>
      <c r="P17" s="358">
        <v>0</v>
      </c>
      <c r="Q17" s="358">
        <v>0</v>
      </c>
      <c r="R17" s="358">
        <v>0</v>
      </c>
      <c r="S17" s="358">
        <v>22400000</v>
      </c>
      <c r="T17" s="357">
        <v>19018736</v>
      </c>
      <c r="U17" s="357">
        <v>3381264</v>
      </c>
      <c r="V17" s="357"/>
      <c r="W17" s="358"/>
      <c r="X17" s="358"/>
      <c r="Y17" s="357"/>
      <c r="Z17" s="358"/>
      <c r="AA17" s="358"/>
      <c r="AB17" s="358"/>
      <c r="AC17" s="362"/>
      <c r="AD17" s="97">
        <v>0</v>
      </c>
      <c r="AE17" s="97">
        <v>0</v>
      </c>
      <c r="AF17" s="97">
        <v>0</v>
      </c>
      <c r="AL17" s="364" t="s">
        <v>852</v>
      </c>
      <c r="AM17" s="365" t="s">
        <v>853</v>
      </c>
      <c r="AN17" s="364">
        <v>22400</v>
      </c>
      <c r="AO17" s="366">
        <v>19019</v>
      </c>
      <c r="AP17" s="366">
        <v>3381</v>
      </c>
      <c r="AQ17" s="367">
        <v>0.1509375</v>
      </c>
      <c r="AR17" s="364"/>
      <c r="AS17" s="366"/>
      <c r="AT17" s="368"/>
      <c r="AU17" s="364"/>
      <c r="AV17" s="366"/>
      <c r="AW17" s="368"/>
      <c r="AX17" s="369">
        <v>0</v>
      </c>
      <c r="AY17" s="366">
        <v>0</v>
      </c>
      <c r="AZ17" s="368">
        <v>0</v>
      </c>
      <c r="BA17" s="369">
        <v>0</v>
      </c>
      <c r="BB17" s="366">
        <v>0</v>
      </c>
      <c r="BC17" s="368">
        <v>0</v>
      </c>
      <c r="BD17" s="369">
        <v>22400</v>
      </c>
      <c r="BE17" s="366">
        <v>19019</v>
      </c>
      <c r="BF17" s="365">
        <v>3381</v>
      </c>
      <c r="BG17" s="370">
        <v>1</v>
      </c>
      <c r="BH17" s="327">
        <v>0</v>
      </c>
      <c r="BI17" s="371">
        <v>0</v>
      </c>
      <c r="BJ17" s="372">
        <v>0</v>
      </c>
      <c r="BK17" s="372">
        <v>0</v>
      </c>
      <c r="BL17" s="373">
        <v>0</v>
      </c>
    </row>
    <row r="18" spans="1:64" ht="19.5" customHeight="1">
      <c r="A18" s="354" t="s">
        <v>325</v>
      </c>
      <c r="B18" s="379" t="s">
        <v>854</v>
      </c>
      <c r="C18" s="356">
        <v>522857143</v>
      </c>
      <c r="D18" s="356">
        <v>491507143</v>
      </c>
      <c r="E18" s="377">
        <v>31350000</v>
      </c>
      <c r="F18" s="357">
        <v>340744751</v>
      </c>
      <c r="G18" s="357">
        <v>320314031</v>
      </c>
      <c r="H18" s="358">
        <v>20430720</v>
      </c>
      <c r="I18" s="359"/>
      <c r="J18" s="359"/>
      <c r="K18" s="358"/>
      <c r="L18" s="518">
        <v>0.99970496257874297</v>
      </c>
      <c r="M18" s="358">
        <v>181958130</v>
      </c>
      <c r="N18" s="361">
        <v>171048099</v>
      </c>
      <c r="O18" s="358">
        <v>10910031</v>
      </c>
      <c r="P18" s="358">
        <v>181958130</v>
      </c>
      <c r="Q18" s="358">
        <v>171048099</v>
      </c>
      <c r="R18" s="358">
        <v>10910031</v>
      </c>
      <c r="S18" s="358">
        <v>522702881</v>
      </c>
      <c r="T18" s="357">
        <v>491362130</v>
      </c>
      <c r="U18" s="357">
        <v>31340751</v>
      </c>
      <c r="V18" s="357"/>
      <c r="W18" s="358"/>
      <c r="X18" s="358"/>
      <c r="Y18" s="357"/>
      <c r="Z18" s="358"/>
      <c r="AA18" s="358"/>
      <c r="AB18" s="358"/>
      <c r="AC18" s="362"/>
      <c r="AD18" s="97">
        <v>0</v>
      </c>
      <c r="AE18" s="97">
        <v>0</v>
      </c>
      <c r="AF18" s="97">
        <v>0</v>
      </c>
      <c r="AL18" s="364" t="s">
        <v>325</v>
      </c>
      <c r="AM18" s="365" t="s">
        <v>326</v>
      </c>
      <c r="AN18" s="364">
        <v>522857</v>
      </c>
      <c r="AO18" s="366">
        <v>491507</v>
      </c>
      <c r="AP18" s="366">
        <v>31350</v>
      </c>
      <c r="AQ18" s="367">
        <v>5.9959032775691999E-2</v>
      </c>
      <c r="AR18" s="364"/>
      <c r="AS18" s="366"/>
      <c r="AT18" s="368"/>
      <c r="AU18" s="364"/>
      <c r="AV18" s="366"/>
      <c r="AW18" s="368"/>
      <c r="AX18" s="369">
        <v>181958</v>
      </c>
      <c r="AY18" s="366">
        <v>171048</v>
      </c>
      <c r="AZ18" s="368">
        <v>10910</v>
      </c>
      <c r="BA18" s="369">
        <v>181958</v>
      </c>
      <c r="BB18" s="366">
        <v>171048</v>
      </c>
      <c r="BC18" s="368">
        <v>10910</v>
      </c>
      <c r="BD18" s="369">
        <v>522703</v>
      </c>
      <c r="BE18" s="366">
        <v>491362</v>
      </c>
      <c r="BF18" s="365">
        <v>31341</v>
      </c>
      <c r="BG18" s="370">
        <v>0.99970546440039998</v>
      </c>
      <c r="BH18" s="327">
        <v>-5.0182165711731799E-7</v>
      </c>
      <c r="BI18" s="371">
        <v>154</v>
      </c>
      <c r="BJ18" s="372">
        <v>145</v>
      </c>
      <c r="BK18" s="372">
        <v>9</v>
      </c>
      <c r="BL18" s="373">
        <v>2.9453559959990999E-4</v>
      </c>
    </row>
    <row r="19" spans="1:64" ht="19.5" customHeight="1">
      <c r="A19" s="354" t="s">
        <v>855</v>
      </c>
      <c r="B19" s="378" t="s">
        <v>856</v>
      </c>
      <c r="C19" s="356">
        <v>10000000000</v>
      </c>
      <c r="D19" s="356">
        <v>9400000000</v>
      </c>
      <c r="E19" s="164">
        <v>600000000</v>
      </c>
      <c r="F19" s="357">
        <v>750000000</v>
      </c>
      <c r="G19" s="357">
        <v>705000000</v>
      </c>
      <c r="H19" s="358">
        <v>45000000</v>
      </c>
      <c r="I19" s="359"/>
      <c r="J19" s="359"/>
      <c r="K19" s="358"/>
      <c r="L19" s="518">
        <v>0.375</v>
      </c>
      <c r="M19" s="358">
        <v>3000000000</v>
      </c>
      <c r="N19" s="361">
        <v>2820000000</v>
      </c>
      <c r="O19" s="358">
        <v>180000000</v>
      </c>
      <c r="P19" s="358">
        <v>3000000000</v>
      </c>
      <c r="Q19" s="358">
        <v>2820000000</v>
      </c>
      <c r="R19" s="358">
        <v>180000000</v>
      </c>
      <c r="S19" s="358">
        <v>3750000000</v>
      </c>
      <c r="T19" s="357">
        <v>3525000000</v>
      </c>
      <c r="U19" s="357">
        <v>225000000</v>
      </c>
      <c r="V19" s="357"/>
      <c r="W19" s="358"/>
      <c r="X19" s="358"/>
      <c r="Y19" s="357"/>
      <c r="Z19" s="358"/>
      <c r="AA19" s="358"/>
      <c r="AB19" s="358"/>
      <c r="AC19" s="362"/>
      <c r="AD19" s="97">
        <v>0</v>
      </c>
      <c r="AE19" s="97">
        <v>0</v>
      </c>
      <c r="AF19" s="97">
        <v>0</v>
      </c>
      <c r="AL19" s="364" t="s">
        <v>855</v>
      </c>
      <c r="AM19" s="365" t="s">
        <v>857</v>
      </c>
      <c r="AN19" s="364">
        <v>10000000</v>
      </c>
      <c r="AO19" s="366">
        <v>9400000</v>
      </c>
      <c r="AP19" s="366">
        <v>600000</v>
      </c>
      <c r="AQ19" s="367">
        <v>0.06</v>
      </c>
      <c r="AR19" s="364"/>
      <c r="AS19" s="366"/>
      <c r="AT19" s="368"/>
      <c r="AU19" s="364"/>
      <c r="AV19" s="366"/>
      <c r="AW19" s="368"/>
      <c r="AX19" s="369">
        <v>3000000</v>
      </c>
      <c r="AY19" s="366">
        <v>2820000</v>
      </c>
      <c r="AZ19" s="368">
        <v>180000</v>
      </c>
      <c r="BA19" s="369">
        <v>3000000</v>
      </c>
      <c r="BB19" s="366">
        <v>2820000</v>
      </c>
      <c r="BC19" s="368">
        <v>180000</v>
      </c>
      <c r="BD19" s="369">
        <v>3750000</v>
      </c>
      <c r="BE19" s="366">
        <v>3525000</v>
      </c>
      <c r="BF19" s="365">
        <v>225000</v>
      </c>
      <c r="BG19" s="370">
        <v>0.375</v>
      </c>
      <c r="BH19" s="327">
        <v>0</v>
      </c>
      <c r="BI19" s="371">
        <v>6250000</v>
      </c>
      <c r="BJ19" s="372">
        <v>5875000</v>
      </c>
      <c r="BK19" s="372">
        <v>375000</v>
      </c>
      <c r="BL19" s="373">
        <v>0.625</v>
      </c>
    </row>
    <row r="20" spans="1:64" ht="19.5" customHeight="1">
      <c r="A20" s="354" t="s">
        <v>858</v>
      </c>
      <c r="B20" s="378" t="s">
        <v>859</v>
      </c>
      <c r="C20" s="380">
        <v>10000000000</v>
      </c>
      <c r="D20" s="380">
        <v>9400000000</v>
      </c>
      <c r="E20" s="164">
        <v>600000000</v>
      </c>
      <c r="F20" s="357">
        <v>250000000</v>
      </c>
      <c r="G20" s="357">
        <v>235000000</v>
      </c>
      <c r="H20" s="358">
        <v>15000000</v>
      </c>
      <c r="I20" s="359"/>
      <c r="J20" s="359"/>
      <c r="K20" s="358"/>
      <c r="L20" s="518">
        <v>7.4999999999999997E-2</v>
      </c>
      <c r="M20" s="358">
        <v>500000000</v>
      </c>
      <c r="N20" s="361">
        <v>470000000</v>
      </c>
      <c r="O20" s="358">
        <v>30000000</v>
      </c>
      <c r="P20" s="358">
        <v>500000000</v>
      </c>
      <c r="Q20" s="358">
        <v>470000000</v>
      </c>
      <c r="R20" s="358">
        <v>30000000</v>
      </c>
      <c r="S20" s="358">
        <v>750000000</v>
      </c>
      <c r="T20" s="357">
        <v>705000000</v>
      </c>
      <c r="U20" s="357">
        <v>45000000</v>
      </c>
      <c r="V20" s="357"/>
      <c r="W20" s="358"/>
      <c r="X20" s="358"/>
      <c r="Y20" s="357"/>
      <c r="Z20" s="358"/>
      <c r="AA20" s="358"/>
      <c r="AB20" s="358"/>
      <c r="AC20" s="362"/>
      <c r="AD20" s="97">
        <v>0</v>
      </c>
      <c r="AE20" s="97">
        <v>0</v>
      </c>
      <c r="AF20" s="97">
        <v>0</v>
      </c>
      <c r="AL20" s="364" t="s">
        <v>858</v>
      </c>
      <c r="AM20" s="365" t="s">
        <v>860</v>
      </c>
      <c r="AN20" s="364">
        <v>10000000</v>
      </c>
      <c r="AO20" s="366">
        <v>9400000</v>
      </c>
      <c r="AP20" s="366">
        <v>600000</v>
      </c>
      <c r="AQ20" s="367">
        <v>0.06</v>
      </c>
      <c r="AR20" s="364"/>
      <c r="AS20" s="366"/>
      <c r="AT20" s="368">
        <v>0</v>
      </c>
      <c r="AU20" s="364"/>
      <c r="AV20" s="366"/>
      <c r="AW20" s="368"/>
      <c r="AX20" s="369">
        <v>500000</v>
      </c>
      <c r="AY20" s="366">
        <v>470000</v>
      </c>
      <c r="AZ20" s="368">
        <v>30000</v>
      </c>
      <c r="BA20" s="369">
        <v>500000</v>
      </c>
      <c r="BB20" s="366">
        <v>470000</v>
      </c>
      <c r="BC20" s="368">
        <v>30000</v>
      </c>
      <c r="BD20" s="369">
        <v>750000</v>
      </c>
      <c r="BE20" s="366">
        <v>705000</v>
      </c>
      <c r="BF20" s="365">
        <v>45000</v>
      </c>
      <c r="BG20" s="370">
        <v>7.4999999999999997E-2</v>
      </c>
      <c r="BH20" s="327">
        <v>0</v>
      </c>
      <c r="BI20" s="371">
        <v>9250000</v>
      </c>
      <c r="BJ20" s="372">
        <v>8695000</v>
      </c>
      <c r="BK20" s="372">
        <v>555000</v>
      </c>
      <c r="BL20" s="373">
        <v>0.92500000000000004</v>
      </c>
    </row>
    <row r="21" spans="1:64" ht="19.5" customHeight="1">
      <c r="A21" s="354" t="s">
        <v>861</v>
      </c>
      <c r="B21" s="378" t="s">
        <v>862</v>
      </c>
      <c r="C21" s="380">
        <v>10000000000</v>
      </c>
      <c r="D21" s="380">
        <v>9400000000</v>
      </c>
      <c r="E21" s="164">
        <v>600000000</v>
      </c>
      <c r="F21" s="357">
        <v>0</v>
      </c>
      <c r="G21" s="357">
        <v>0</v>
      </c>
      <c r="H21" s="358">
        <v>0</v>
      </c>
      <c r="I21" s="359"/>
      <c r="J21" s="359"/>
      <c r="K21" s="358"/>
      <c r="L21" s="518">
        <v>2.5000000000000001E-2</v>
      </c>
      <c r="M21" s="358">
        <v>250000000</v>
      </c>
      <c r="N21" s="361">
        <v>235000000</v>
      </c>
      <c r="O21" s="358">
        <v>15000000</v>
      </c>
      <c r="P21" s="358">
        <v>250000000</v>
      </c>
      <c r="Q21" s="358">
        <v>235000000</v>
      </c>
      <c r="R21" s="358">
        <v>15000000</v>
      </c>
      <c r="S21" s="358">
        <v>250000000</v>
      </c>
      <c r="T21" s="357">
        <v>235000000</v>
      </c>
      <c r="U21" s="357">
        <v>15000000</v>
      </c>
      <c r="V21" s="357"/>
      <c r="W21" s="358"/>
      <c r="X21" s="358"/>
      <c r="Y21" s="357"/>
      <c r="Z21" s="358"/>
      <c r="AA21" s="358"/>
      <c r="AB21" s="358"/>
      <c r="AC21" s="362"/>
      <c r="AD21" s="97">
        <v>0</v>
      </c>
      <c r="AE21" s="97">
        <v>0</v>
      </c>
      <c r="AF21" s="97">
        <v>0</v>
      </c>
      <c r="AL21" s="364" t="s">
        <v>861</v>
      </c>
      <c r="AM21" s="365" t="s">
        <v>863</v>
      </c>
      <c r="AN21" s="364">
        <v>10000000</v>
      </c>
      <c r="AO21" s="366">
        <v>9400000</v>
      </c>
      <c r="AP21" s="366">
        <v>600000</v>
      </c>
      <c r="AQ21" s="367">
        <v>0.06</v>
      </c>
      <c r="AR21" s="364"/>
      <c r="AS21" s="366"/>
      <c r="AT21" s="368"/>
      <c r="AU21" s="364"/>
      <c r="AV21" s="366"/>
      <c r="AW21" s="368"/>
      <c r="AX21" s="369">
        <v>250000</v>
      </c>
      <c r="AY21" s="366">
        <v>235000</v>
      </c>
      <c r="AZ21" s="368">
        <v>15000</v>
      </c>
      <c r="BA21" s="369">
        <v>250000</v>
      </c>
      <c r="BB21" s="366">
        <v>235000</v>
      </c>
      <c r="BC21" s="368">
        <v>15000</v>
      </c>
      <c r="BD21" s="369">
        <v>250000</v>
      </c>
      <c r="BE21" s="366">
        <v>235000</v>
      </c>
      <c r="BF21" s="365">
        <v>15000</v>
      </c>
      <c r="BG21" s="370">
        <v>2.5000000000000001E-2</v>
      </c>
      <c r="BH21" s="327">
        <v>0</v>
      </c>
      <c r="BI21" s="371">
        <v>9750000</v>
      </c>
      <c r="BJ21" s="372">
        <v>9165000</v>
      </c>
      <c r="BK21" s="372">
        <v>585000</v>
      </c>
      <c r="BL21" s="373">
        <v>0.97499999999999998</v>
      </c>
    </row>
    <row r="22" spans="1:64" ht="19.5" customHeight="1">
      <c r="A22" s="354" t="s">
        <v>864</v>
      </c>
      <c r="B22" s="378" t="s">
        <v>865</v>
      </c>
      <c r="C22" s="356">
        <v>0</v>
      </c>
      <c r="D22" s="356">
        <v>0</v>
      </c>
      <c r="E22" s="377">
        <v>0</v>
      </c>
      <c r="F22" s="357">
        <v>0</v>
      </c>
      <c r="G22" s="357">
        <v>57156078</v>
      </c>
      <c r="H22" s="358">
        <v>-57156078</v>
      </c>
      <c r="I22" s="359"/>
      <c r="J22" s="359"/>
      <c r="K22" s="358"/>
      <c r="L22" s="518"/>
      <c r="M22" s="358"/>
      <c r="N22" s="227">
        <v>-27173885</v>
      </c>
      <c r="O22" s="358">
        <v>27173885</v>
      </c>
      <c r="P22" s="358">
        <v>0</v>
      </c>
      <c r="Q22" s="358">
        <v>-27173885</v>
      </c>
      <c r="R22" s="358">
        <v>27173885</v>
      </c>
      <c r="S22" s="358">
        <v>0</v>
      </c>
      <c r="T22" s="357">
        <v>29982193</v>
      </c>
      <c r="U22" s="357">
        <v>-29982193</v>
      </c>
      <c r="V22" s="357"/>
      <c r="W22" s="358"/>
      <c r="X22" s="358"/>
      <c r="Y22" s="357"/>
      <c r="Z22" s="358"/>
      <c r="AA22" s="358"/>
      <c r="AB22" s="358"/>
      <c r="AC22" s="362"/>
      <c r="AL22" s="364" t="s">
        <v>187</v>
      </c>
      <c r="AM22" s="365" t="s">
        <v>187</v>
      </c>
      <c r="AN22" s="382" t="s">
        <v>866</v>
      </c>
      <c r="AO22" s="383" t="s">
        <v>866</v>
      </c>
      <c r="AP22" s="383" t="s">
        <v>866</v>
      </c>
      <c r="AQ22" s="367" t="s">
        <v>866</v>
      </c>
      <c r="AR22" s="382" t="s">
        <v>866</v>
      </c>
      <c r="AS22" s="383" t="s">
        <v>866</v>
      </c>
      <c r="AT22" s="384" t="s">
        <v>866</v>
      </c>
      <c r="AU22" s="382" t="s">
        <v>866</v>
      </c>
      <c r="AV22" s="383" t="s">
        <v>866</v>
      </c>
      <c r="AW22" s="384" t="s">
        <v>866</v>
      </c>
      <c r="AX22" s="385" t="s">
        <v>866</v>
      </c>
      <c r="AY22" s="383" t="s">
        <v>866</v>
      </c>
      <c r="AZ22" s="384" t="s">
        <v>866</v>
      </c>
      <c r="BA22" s="385" t="s">
        <v>866</v>
      </c>
      <c r="BB22" s="383" t="s">
        <v>866</v>
      </c>
      <c r="BC22" s="384" t="s">
        <v>866</v>
      </c>
      <c r="BD22" s="385" t="s">
        <v>866</v>
      </c>
      <c r="BE22" s="383" t="s">
        <v>866</v>
      </c>
      <c r="BF22" s="386" t="s">
        <v>866</v>
      </c>
      <c r="BG22" s="370"/>
      <c r="BH22" s="327">
        <v>0</v>
      </c>
      <c r="BI22" s="387" t="s">
        <v>866</v>
      </c>
      <c r="BJ22" s="388" t="s">
        <v>866</v>
      </c>
      <c r="BK22" s="388" t="s">
        <v>866</v>
      </c>
      <c r="BL22" s="373"/>
    </row>
    <row r="23" spans="1:64" ht="19.5" customHeight="1">
      <c r="A23" s="354" t="s">
        <v>867</v>
      </c>
      <c r="B23" s="378" t="s">
        <v>868</v>
      </c>
      <c r="C23" s="356">
        <v>0</v>
      </c>
      <c r="D23" s="356">
        <v>0</v>
      </c>
      <c r="E23" s="377">
        <v>0</v>
      </c>
      <c r="F23" s="357">
        <v>0</v>
      </c>
      <c r="G23" s="357">
        <v>0</v>
      </c>
      <c r="H23" s="358">
        <v>0</v>
      </c>
      <c r="I23" s="359"/>
      <c r="J23" s="359"/>
      <c r="K23" s="358"/>
      <c r="L23" s="518"/>
      <c r="M23" s="358"/>
      <c r="N23" s="389"/>
      <c r="O23" s="358"/>
      <c r="P23" s="358"/>
      <c r="Q23" s="358"/>
      <c r="R23" s="358"/>
      <c r="S23" s="358"/>
      <c r="T23" s="357"/>
      <c r="U23" s="357"/>
      <c r="V23" s="357"/>
      <c r="W23" s="358"/>
      <c r="X23" s="358"/>
      <c r="Y23" s="357"/>
      <c r="Z23" s="358"/>
      <c r="AA23" s="358"/>
      <c r="AB23" s="358"/>
      <c r="AC23" s="362"/>
      <c r="AL23" s="364" t="s">
        <v>867</v>
      </c>
      <c r="AM23" s="365" t="s">
        <v>869</v>
      </c>
      <c r="AN23" s="364">
        <v>0</v>
      </c>
      <c r="AO23" s="366">
        <v>0</v>
      </c>
      <c r="AP23" s="366">
        <v>0</v>
      </c>
      <c r="AQ23" s="367" t="e">
        <f>#DIV/0!</f>
        <v>#DIV/0!</v>
      </c>
      <c r="AR23" s="364"/>
      <c r="AS23" s="366"/>
      <c r="AT23" s="368"/>
      <c r="AU23" s="364"/>
      <c r="AV23" s="366"/>
      <c r="AW23" s="368"/>
      <c r="AX23" s="369">
        <v>0</v>
      </c>
      <c r="AY23" s="366">
        <v>0</v>
      </c>
      <c r="AZ23" s="368">
        <v>0</v>
      </c>
      <c r="BA23" s="369">
        <v>0</v>
      </c>
      <c r="BB23" s="366">
        <v>0</v>
      </c>
      <c r="BC23" s="368">
        <v>0</v>
      </c>
      <c r="BD23" s="369">
        <v>0</v>
      </c>
      <c r="BE23" s="366">
        <v>0</v>
      </c>
      <c r="BF23" s="365">
        <v>0</v>
      </c>
      <c r="BG23" s="370" t="e">
        <f>#DIV/0!</f>
        <v>#DIV/0!</v>
      </c>
      <c r="BH23" s="327" t="e">
        <f>#DIV/0!</f>
        <v>#DIV/0!</v>
      </c>
      <c r="BI23" s="371">
        <v>0</v>
      </c>
      <c r="BJ23" s="372">
        <v>0</v>
      </c>
      <c r="BK23" s="372">
        <v>0</v>
      </c>
      <c r="BL23" s="373" t="e">
        <f>#DIV/0!</f>
        <v>#DIV/0!</v>
      </c>
    </row>
    <row r="24" spans="1:64" ht="19.5" customHeight="1">
      <c r="A24" s="2728" t="s">
        <v>870</v>
      </c>
      <c r="B24" s="2728"/>
      <c r="C24" s="390">
        <v>98075693814.100006</v>
      </c>
      <c r="D24" s="390">
        <v>93619051649.978394</v>
      </c>
      <c r="E24" s="390">
        <v>4456642164.1216002</v>
      </c>
      <c r="F24" s="390">
        <v>55779807198</v>
      </c>
      <c r="G24" s="390">
        <v>53738548203.730003</v>
      </c>
      <c r="H24" s="390">
        <v>2041258994.27001</v>
      </c>
      <c r="I24" s="390">
        <v>0</v>
      </c>
      <c r="J24" s="390">
        <v>0</v>
      </c>
      <c r="K24" s="390">
        <v>0</v>
      </c>
      <c r="L24" s="520"/>
      <c r="M24" s="390">
        <v>9395694824</v>
      </c>
      <c r="N24" s="390">
        <v>8881831321.98246</v>
      </c>
      <c r="O24" s="390">
        <v>513863502.01753998</v>
      </c>
      <c r="P24" s="390">
        <v>9395694824</v>
      </c>
      <c r="Q24" s="390">
        <v>8881831321.98246</v>
      </c>
      <c r="R24" s="390">
        <v>513863502.01753998</v>
      </c>
      <c r="S24" s="390">
        <v>65175502022</v>
      </c>
      <c r="T24" s="390">
        <v>62620379525.712502</v>
      </c>
      <c r="U24" s="390">
        <v>2555122496.28755</v>
      </c>
      <c r="V24" s="390">
        <v>0</v>
      </c>
      <c r="W24" s="390">
        <v>0</v>
      </c>
      <c r="X24" s="390">
        <v>-6488189</v>
      </c>
      <c r="Y24" s="390">
        <v>57156077</v>
      </c>
      <c r="Z24" s="390">
        <v>-27173885</v>
      </c>
      <c r="AA24" s="390">
        <v>-27173885</v>
      </c>
      <c r="AB24" s="390">
        <v>29982192</v>
      </c>
      <c r="AC24" s="392"/>
      <c r="AG24" s="208" t="s">
        <v>630</v>
      </c>
      <c r="AI24" s="233"/>
      <c r="AJ24" s="233"/>
      <c r="AL24" s="393"/>
      <c r="AM24" s="394" t="s">
        <v>871</v>
      </c>
      <c r="AN24" s="393">
        <v>98075695</v>
      </c>
      <c r="AO24" s="390">
        <v>93619051</v>
      </c>
      <c r="AP24" s="390">
        <v>4456644</v>
      </c>
      <c r="AQ24" s="395">
        <v>4.54408607555623E-2</v>
      </c>
      <c r="AR24" s="396">
        <v>0</v>
      </c>
      <c r="AS24" s="397">
        <v>0</v>
      </c>
      <c r="AT24" s="398">
        <v>0</v>
      </c>
      <c r="AU24" s="396">
        <v>0</v>
      </c>
      <c r="AV24" s="397">
        <v>0</v>
      </c>
      <c r="AW24" s="398">
        <v>0</v>
      </c>
      <c r="AX24" s="396">
        <v>9395693</v>
      </c>
      <c r="AY24" s="390">
        <v>8881832</v>
      </c>
      <c r="AZ24" s="399">
        <v>513861</v>
      </c>
      <c r="BA24" s="400">
        <v>9395693</v>
      </c>
      <c r="BB24" s="390">
        <v>8881832</v>
      </c>
      <c r="BC24" s="399">
        <v>513861</v>
      </c>
      <c r="BD24" s="400">
        <v>65175502</v>
      </c>
      <c r="BE24" s="390">
        <v>62620379</v>
      </c>
      <c r="BF24" s="401">
        <v>2555123</v>
      </c>
      <c r="BG24" s="399"/>
      <c r="BH24" s="402"/>
      <c r="BI24" s="403">
        <v>32900192</v>
      </c>
      <c r="BJ24" s="404">
        <v>30998671</v>
      </c>
      <c r="BK24" s="404">
        <v>1901521</v>
      </c>
      <c r="BL24" s="405">
        <v>5.7796653587918301E-2</v>
      </c>
    </row>
    <row r="25" spans="1:64" ht="19.5" customHeight="1">
      <c r="A25" s="354" t="s">
        <v>872</v>
      </c>
      <c r="B25" s="406" t="s">
        <v>873</v>
      </c>
      <c r="C25" s="356">
        <v>666666667</v>
      </c>
      <c r="D25" s="356">
        <v>691666667</v>
      </c>
      <c r="E25" s="356">
        <v>-25000000</v>
      </c>
      <c r="F25" s="357">
        <v>49800587</v>
      </c>
      <c r="G25" s="357">
        <v>51668109</v>
      </c>
      <c r="H25" s="358">
        <v>-1867522</v>
      </c>
      <c r="I25" s="359"/>
      <c r="J25" s="359"/>
      <c r="K25" s="358"/>
      <c r="L25" s="518">
        <v>7.4700880445927306E-2</v>
      </c>
      <c r="M25" s="358">
        <v>0</v>
      </c>
      <c r="N25" s="361">
        <v>0</v>
      </c>
      <c r="O25" s="358">
        <v>0</v>
      </c>
      <c r="P25" s="358">
        <v>0</v>
      </c>
      <c r="Q25" s="357">
        <v>0</v>
      </c>
      <c r="R25" s="358">
        <v>0</v>
      </c>
      <c r="S25" s="358">
        <v>49800587</v>
      </c>
      <c r="T25" s="357">
        <v>51668109</v>
      </c>
      <c r="U25" s="357">
        <v>-1867522</v>
      </c>
      <c r="V25" s="357"/>
      <c r="W25" s="358"/>
      <c r="X25" s="358"/>
      <c r="Y25" s="358">
        <v>23132478</v>
      </c>
      <c r="Z25" s="358">
        <v>0</v>
      </c>
      <c r="AA25" s="358">
        <v>0</v>
      </c>
      <c r="AB25" s="358">
        <v>23132478</v>
      </c>
      <c r="AC25" s="362"/>
      <c r="AD25" s="97">
        <v>0</v>
      </c>
      <c r="AE25" s="97">
        <v>0</v>
      </c>
      <c r="AF25" s="97">
        <v>0</v>
      </c>
      <c r="AG25" s="208" t="s">
        <v>630</v>
      </c>
      <c r="AH25" s="208">
        <v>0</v>
      </c>
      <c r="AL25" s="364" t="s">
        <v>872</v>
      </c>
      <c r="AM25" s="365" t="s">
        <v>874</v>
      </c>
      <c r="AN25" s="364">
        <v>666667</v>
      </c>
      <c r="AO25" s="366">
        <v>691667</v>
      </c>
      <c r="AP25" s="366">
        <v>-25000</v>
      </c>
      <c r="AQ25" s="367">
        <v>-3.7499981250009397E-2</v>
      </c>
      <c r="AR25" s="364"/>
      <c r="AS25" s="366"/>
      <c r="AT25" s="368"/>
      <c r="AU25" s="364"/>
      <c r="AV25" s="366"/>
      <c r="AW25" s="368"/>
      <c r="AX25" s="369">
        <v>0</v>
      </c>
      <c r="AY25" s="366">
        <v>0</v>
      </c>
      <c r="AZ25" s="368">
        <v>0</v>
      </c>
      <c r="BA25" s="369">
        <v>0</v>
      </c>
      <c r="BB25" s="366">
        <v>0</v>
      </c>
      <c r="BC25" s="368">
        <v>0</v>
      </c>
      <c r="BD25" s="369">
        <v>49801</v>
      </c>
      <c r="BE25" s="366">
        <v>74801</v>
      </c>
      <c r="BF25" s="365">
        <v>-25000</v>
      </c>
      <c r="BG25" s="370">
        <v>7.4701462649268704E-2</v>
      </c>
      <c r="BH25" s="327">
        <v>-5.82203341370491E-7</v>
      </c>
      <c r="BI25" s="371">
        <v>616866</v>
      </c>
      <c r="BJ25" s="372">
        <v>616866</v>
      </c>
      <c r="BK25" s="372">
        <v>0</v>
      </c>
      <c r="BL25" s="373">
        <v>0.92529853735073098</v>
      </c>
    </row>
    <row r="26" spans="1:64" ht="19.5" customHeight="1">
      <c r="A26" s="354" t="s">
        <v>765</v>
      </c>
      <c r="B26" s="406" t="s">
        <v>766</v>
      </c>
      <c r="C26" s="356">
        <v>775187400</v>
      </c>
      <c r="D26" s="356">
        <v>725993090</v>
      </c>
      <c r="E26" s="356">
        <v>49194310</v>
      </c>
      <c r="F26" s="357">
        <v>775187400</v>
      </c>
      <c r="G26" s="357">
        <v>725993090</v>
      </c>
      <c r="H26" s="358">
        <v>49194310</v>
      </c>
      <c r="I26" s="359"/>
      <c r="J26" s="359"/>
      <c r="K26" s="358"/>
      <c r="L26" s="518">
        <v>1</v>
      </c>
      <c r="M26" s="358">
        <v>0</v>
      </c>
      <c r="N26" s="361">
        <v>0</v>
      </c>
      <c r="O26" s="358">
        <v>0</v>
      </c>
      <c r="P26" s="358">
        <v>0</v>
      </c>
      <c r="Q26" s="357">
        <v>0</v>
      </c>
      <c r="R26" s="358">
        <v>0</v>
      </c>
      <c r="S26" s="358">
        <v>775187400</v>
      </c>
      <c r="T26" s="357">
        <v>725993090</v>
      </c>
      <c r="U26" s="357">
        <v>49194310</v>
      </c>
      <c r="V26" s="357"/>
      <c r="W26" s="358"/>
      <c r="X26" s="358"/>
      <c r="Y26" s="357"/>
      <c r="Z26" s="358"/>
      <c r="AA26" s="358"/>
      <c r="AB26" s="357"/>
      <c r="AC26" s="362"/>
      <c r="AD26" s="97">
        <v>0</v>
      </c>
      <c r="AE26" s="97">
        <v>0</v>
      </c>
      <c r="AF26" s="97">
        <v>0</v>
      </c>
      <c r="AG26" s="208" t="s">
        <v>630</v>
      </c>
      <c r="AL26" s="364" t="s">
        <v>765</v>
      </c>
      <c r="AM26" s="365" t="s">
        <v>875</v>
      </c>
      <c r="AN26" s="364">
        <v>775187</v>
      </c>
      <c r="AO26" s="366">
        <v>725993</v>
      </c>
      <c r="AP26" s="366">
        <v>49194</v>
      </c>
      <c r="AQ26" s="367">
        <v>6.3460816551361196E-2</v>
      </c>
      <c r="AR26" s="364"/>
      <c r="AS26" s="366"/>
      <c r="AT26" s="368"/>
      <c r="AU26" s="364"/>
      <c r="AV26" s="366"/>
      <c r="AW26" s="368"/>
      <c r="AX26" s="369">
        <v>0</v>
      </c>
      <c r="AY26" s="366">
        <v>0</v>
      </c>
      <c r="AZ26" s="368">
        <v>0</v>
      </c>
      <c r="BA26" s="369">
        <v>0</v>
      </c>
      <c r="BB26" s="366">
        <v>0</v>
      </c>
      <c r="BC26" s="368">
        <v>0</v>
      </c>
      <c r="BD26" s="369">
        <v>775187</v>
      </c>
      <c r="BE26" s="366">
        <v>725993</v>
      </c>
      <c r="BF26" s="365">
        <v>49194</v>
      </c>
      <c r="BG26" s="370">
        <v>1</v>
      </c>
      <c r="BH26" s="327">
        <v>0</v>
      </c>
      <c r="BI26" s="371">
        <v>0</v>
      </c>
      <c r="BJ26" s="372">
        <v>0</v>
      </c>
      <c r="BK26" s="372">
        <v>0</v>
      </c>
      <c r="BL26" s="373">
        <v>0</v>
      </c>
    </row>
    <row r="27" spans="1:64" ht="19.5" customHeight="1">
      <c r="A27" s="354" t="s">
        <v>776</v>
      </c>
      <c r="B27" s="406" t="s">
        <v>777</v>
      </c>
      <c r="C27" s="356">
        <v>345402250</v>
      </c>
      <c r="D27" s="356">
        <v>335995079</v>
      </c>
      <c r="E27" s="356">
        <v>9407171</v>
      </c>
      <c r="F27" s="357">
        <v>345402250</v>
      </c>
      <c r="G27" s="357">
        <v>335995079</v>
      </c>
      <c r="H27" s="358">
        <v>9407171</v>
      </c>
      <c r="I27" s="359"/>
      <c r="J27" s="359"/>
      <c r="K27" s="358"/>
      <c r="L27" s="518">
        <v>1</v>
      </c>
      <c r="M27" s="358">
        <v>0</v>
      </c>
      <c r="N27" s="361">
        <v>0</v>
      </c>
      <c r="O27" s="358">
        <v>0</v>
      </c>
      <c r="P27" s="358">
        <v>0</v>
      </c>
      <c r="Q27" s="357">
        <v>0</v>
      </c>
      <c r="R27" s="358">
        <v>0</v>
      </c>
      <c r="S27" s="358">
        <v>345402250</v>
      </c>
      <c r="T27" s="357">
        <v>335995079</v>
      </c>
      <c r="U27" s="357">
        <v>9407171</v>
      </c>
      <c r="V27" s="357"/>
      <c r="W27" s="358"/>
      <c r="X27" s="358"/>
      <c r="Y27" s="357"/>
      <c r="Z27" s="358"/>
      <c r="AA27" s="358"/>
      <c r="AB27" s="357"/>
      <c r="AC27" s="362"/>
      <c r="AD27" s="97">
        <v>0</v>
      </c>
      <c r="AE27" s="97">
        <v>0</v>
      </c>
      <c r="AF27" s="97">
        <v>0</v>
      </c>
      <c r="AG27" s="208" t="s">
        <v>630</v>
      </c>
      <c r="AL27" s="364" t="s">
        <v>776</v>
      </c>
      <c r="AM27" s="365" t="s">
        <v>876</v>
      </c>
      <c r="AN27" s="364">
        <v>345402</v>
      </c>
      <c r="AO27" s="366">
        <v>335995</v>
      </c>
      <c r="AP27" s="366">
        <v>9407</v>
      </c>
      <c r="AQ27" s="367">
        <v>2.7234932050190799E-2</v>
      </c>
      <c r="AR27" s="364"/>
      <c r="AS27" s="366"/>
      <c r="AT27" s="368"/>
      <c r="AU27" s="364"/>
      <c r="AV27" s="366"/>
      <c r="AW27" s="368"/>
      <c r="AX27" s="369">
        <v>0</v>
      </c>
      <c r="AY27" s="366">
        <v>0</v>
      </c>
      <c r="AZ27" s="368">
        <v>0</v>
      </c>
      <c r="BA27" s="369">
        <v>0</v>
      </c>
      <c r="BB27" s="366">
        <v>0</v>
      </c>
      <c r="BC27" s="368">
        <v>0</v>
      </c>
      <c r="BD27" s="369">
        <v>345402</v>
      </c>
      <c r="BE27" s="366">
        <v>335995</v>
      </c>
      <c r="BF27" s="365">
        <v>9407</v>
      </c>
      <c r="BG27" s="370">
        <v>1</v>
      </c>
      <c r="BH27" s="327">
        <v>0</v>
      </c>
      <c r="BI27" s="371">
        <v>0</v>
      </c>
      <c r="BJ27" s="372">
        <v>0</v>
      </c>
      <c r="BK27" s="372">
        <v>0</v>
      </c>
      <c r="BL27" s="373">
        <v>0</v>
      </c>
    </row>
    <row r="28" spans="1:64" ht="19.5" customHeight="1">
      <c r="A28" s="354" t="s">
        <v>877</v>
      </c>
      <c r="B28" s="406" t="s">
        <v>878</v>
      </c>
      <c r="C28" s="356">
        <v>463809524</v>
      </c>
      <c r="D28" s="356">
        <v>435979950</v>
      </c>
      <c r="E28" s="356">
        <v>27829574</v>
      </c>
      <c r="F28" s="357">
        <v>463655606</v>
      </c>
      <c r="G28" s="357">
        <v>435835267</v>
      </c>
      <c r="H28" s="358">
        <v>27820339</v>
      </c>
      <c r="I28" s="359"/>
      <c r="J28" s="359"/>
      <c r="K28" s="358"/>
      <c r="L28" s="518">
        <v>0.99966814299602502</v>
      </c>
      <c r="M28" s="358">
        <v>0</v>
      </c>
      <c r="N28" s="361">
        <v>0</v>
      </c>
      <c r="O28" s="358">
        <v>0</v>
      </c>
      <c r="P28" s="358">
        <v>0</v>
      </c>
      <c r="Q28" s="357">
        <v>0</v>
      </c>
      <c r="R28" s="358">
        <v>0</v>
      </c>
      <c r="S28" s="358">
        <v>463655606</v>
      </c>
      <c r="T28" s="357">
        <v>435835267</v>
      </c>
      <c r="U28" s="357">
        <v>27820339</v>
      </c>
      <c r="V28" s="357"/>
      <c r="W28" s="358"/>
      <c r="X28" s="358"/>
      <c r="Y28" s="357"/>
      <c r="Z28" s="358"/>
      <c r="AA28" s="358"/>
      <c r="AB28" s="357"/>
      <c r="AC28" s="362"/>
      <c r="AD28" s="97">
        <v>0</v>
      </c>
      <c r="AE28" s="97">
        <v>0</v>
      </c>
      <c r="AF28" s="97">
        <v>0</v>
      </c>
      <c r="AG28" s="208" t="s">
        <v>630</v>
      </c>
      <c r="AL28" s="364" t="s">
        <v>877</v>
      </c>
      <c r="AM28" s="365" t="s">
        <v>879</v>
      </c>
      <c r="AN28" s="364">
        <v>463810</v>
      </c>
      <c r="AO28" s="366">
        <v>435980</v>
      </c>
      <c r="AP28" s="366">
        <v>27830</v>
      </c>
      <c r="AQ28" s="367">
        <v>6.0003018477393803E-2</v>
      </c>
      <c r="AR28" s="364"/>
      <c r="AS28" s="366"/>
      <c r="AT28" s="368"/>
      <c r="AU28" s="364"/>
      <c r="AV28" s="366"/>
      <c r="AW28" s="368"/>
      <c r="AX28" s="369">
        <v>0</v>
      </c>
      <c r="AY28" s="366">
        <v>0</v>
      </c>
      <c r="AZ28" s="368">
        <v>0</v>
      </c>
      <c r="BA28" s="369">
        <v>0</v>
      </c>
      <c r="BB28" s="366">
        <v>0</v>
      </c>
      <c r="BC28" s="368">
        <v>0</v>
      </c>
      <c r="BD28" s="369">
        <v>463656</v>
      </c>
      <c r="BE28" s="366">
        <v>435835</v>
      </c>
      <c r="BF28" s="365">
        <v>27821</v>
      </c>
      <c r="BG28" s="370">
        <v>0.99966796748668596</v>
      </c>
      <c r="BH28" s="327">
        <v>1.7550933861798499E-7</v>
      </c>
      <c r="BI28" s="371">
        <v>154</v>
      </c>
      <c r="BJ28" s="372">
        <v>145</v>
      </c>
      <c r="BK28" s="372">
        <v>9</v>
      </c>
      <c r="BL28" s="373">
        <v>3.3203251331359601E-4</v>
      </c>
    </row>
    <row r="29" spans="1:64" ht="19.5" customHeight="1">
      <c r="A29" s="354" t="s">
        <v>389</v>
      </c>
      <c r="B29" s="406" t="s">
        <v>390</v>
      </c>
      <c r="C29" s="356">
        <v>7475000000</v>
      </c>
      <c r="D29" s="356">
        <v>7018779343</v>
      </c>
      <c r="E29" s="356">
        <v>456220657</v>
      </c>
      <c r="F29" s="357">
        <v>3581770574</v>
      </c>
      <c r="G29" s="357">
        <v>3363164858</v>
      </c>
      <c r="H29" s="358">
        <v>218605716</v>
      </c>
      <c r="I29" s="359"/>
      <c r="J29" s="359"/>
      <c r="K29" s="358"/>
      <c r="L29" s="518">
        <v>0.75404427085719805</v>
      </c>
      <c r="M29" s="358">
        <v>2054710351</v>
      </c>
      <c r="N29" s="361">
        <v>1929305494</v>
      </c>
      <c r="O29" s="358">
        <v>125404857</v>
      </c>
      <c r="P29" s="358">
        <v>2054710351</v>
      </c>
      <c r="Q29" s="357">
        <v>1929305494</v>
      </c>
      <c r="R29" s="358">
        <v>125404857</v>
      </c>
      <c r="S29" s="358">
        <v>5636480925</v>
      </c>
      <c r="T29" s="357">
        <v>5292470352</v>
      </c>
      <c r="U29" s="357">
        <v>344010573</v>
      </c>
      <c r="V29" s="357"/>
      <c r="W29" s="358"/>
      <c r="X29" s="358"/>
      <c r="Y29" s="357"/>
      <c r="Z29" s="358"/>
      <c r="AA29" s="358"/>
      <c r="AB29" s="357"/>
      <c r="AC29" s="362"/>
      <c r="AD29" s="97">
        <v>0</v>
      </c>
      <c r="AE29" s="97">
        <v>0</v>
      </c>
      <c r="AF29" s="97">
        <v>0</v>
      </c>
      <c r="AG29" s="208" t="s">
        <v>630</v>
      </c>
      <c r="AL29" s="364" t="s">
        <v>389</v>
      </c>
      <c r="AM29" s="365" t="s">
        <v>880</v>
      </c>
      <c r="AN29" s="364">
        <v>7475000</v>
      </c>
      <c r="AO29" s="366">
        <v>7018779</v>
      </c>
      <c r="AP29" s="366">
        <v>456221</v>
      </c>
      <c r="AQ29" s="367">
        <v>6.1032909698996697E-2</v>
      </c>
      <c r="AR29" s="364"/>
      <c r="AS29" s="366"/>
      <c r="AT29" s="368"/>
      <c r="AU29" s="364"/>
      <c r="AV29" s="366"/>
      <c r="AW29" s="368"/>
      <c r="AX29" s="369">
        <v>2054710</v>
      </c>
      <c r="AY29" s="366">
        <v>1929305</v>
      </c>
      <c r="AZ29" s="368">
        <v>125405</v>
      </c>
      <c r="BA29" s="369">
        <v>2054710</v>
      </c>
      <c r="BB29" s="366">
        <v>1929305</v>
      </c>
      <c r="BC29" s="368">
        <v>125405</v>
      </c>
      <c r="BD29" s="369">
        <v>5636481</v>
      </c>
      <c r="BE29" s="366">
        <v>5292470</v>
      </c>
      <c r="BF29" s="365">
        <v>344011</v>
      </c>
      <c r="BG29" s="370">
        <v>0.75404428093645504</v>
      </c>
      <c r="BH29" s="327">
        <v>-1.0079256762551799E-8</v>
      </c>
      <c r="BI29" s="371">
        <v>1838519</v>
      </c>
      <c r="BJ29" s="372">
        <v>1726309</v>
      </c>
      <c r="BK29" s="372">
        <v>112210</v>
      </c>
      <c r="BL29" s="373">
        <v>0.24595571906354499</v>
      </c>
    </row>
    <row r="30" spans="1:64" ht="19.5" customHeight="1">
      <c r="A30" s="354" t="s">
        <v>391</v>
      </c>
      <c r="B30" s="406" t="s">
        <v>392</v>
      </c>
      <c r="C30" s="356">
        <v>5182913288</v>
      </c>
      <c r="D30" s="356">
        <v>4897754312</v>
      </c>
      <c r="E30" s="356">
        <v>285158976</v>
      </c>
      <c r="F30" s="357">
        <v>4233154209</v>
      </c>
      <c r="G30" s="357">
        <v>4000250077</v>
      </c>
      <c r="H30" s="358">
        <v>232904132</v>
      </c>
      <c r="I30" s="359"/>
      <c r="J30" s="359"/>
      <c r="K30" s="358"/>
      <c r="L30" s="518">
        <v>1</v>
      </c>
      <c r="M30" s="358">
        <v>949759079</v>
      </c>
      <c r="N30" s="361">
        <v>897504235</v>
      </c>
      <c r="O30" s="358">
        <v>52254844</v>
      </c>
      <c r="P30" s="358">
        <v>949759079</v>
      </c>
      <c r="Q30" s="357">
        <v>897504235</v>
      </c>
      <c r="R30" s="358">
        <v>52254844</v>
      </c>
      <c r="S30" s="358">
        <v>5182913288</v>
      </c>
      <c r="T30" s="357">
        <v>4897754312</v>
      </c>
      <c r="U30" s="357">
        <v>285158976</v>
      </c>
      <c r="V30" s="357"/>
      <c r="W30" s="358"/>
      <c r="X30" s="358"/>
      <c r="Y30" s="357"/>
      <c r="Z30" s="358"/>
      <c r="AA30" s="358"/>
      <c r="AB30" s="357"/>
      <c r="AC30" s="362"/>
      <c r="AD30" s="97">
        <v>0</v>
      </c>
      <c r="AE30" s="97">
        <v>0</v>
      </c>
      <c r="AF30" s="97">
        <v>0</v>
      </c>
      <c r="AG30" s="208" t="s">
        <v>630</v>
      </c>
      <c r="AL30" s="364" t="s">
        <v>391</v>
      </c>
      <c r="AM30" s="365" t="s">
        <v>881</v>
      </c>
      <c r="AN30" s="364">
        <v>5182913</v>
      </c>
      <c r="AO30" s="366">
        <v>4897754</v>
      </c>
      <c r="AP30" s="366">
        <v>285159</v>
      </c>
      <c r="AQ30" s="367">
        <v>5.5019059744973502E-2</v>
      </c>
      <c r="AR30" s="364"/>
      <c r="AS30" s="366"/>
      <c r="AT30" s="368"/>
      <c r="AU30" s="364"/>
      <c r="AV30" s="366"/>
      <c r="AW30" s="368"/>
      <c r="AX30" s="369">
        <v>949759</v>
      </c>
      <c r="AY30" s="366">
        <v>897504</v>
      </c>
      <c r="AZ30" s="368">
        <v>52255</v>
      </c>
      <c r="BA30" s="369">
        <v>949759</v>
      </c>
      <c r="BB30" s="366">
        <v>897504</v>
      </c>
      <c r="BC30" s="368">
        <v>52255</v>
      </c>
      <c r="BD30" s="369">
        <v>5182913</v>
      </c>
      <c r="BE30" s="366">
        <v>4897754</v>
      </c>
      <c r="BF30" s="365">
        <v>285159</v>
      </c>
      <c r="BG30" s="370">
        <v>1</v>
      </c>
      <c r="BH30" s="327">
        <v>0</v>
      </c>
      <c r="BI30" s="371">
        <v>0</v>
      </c>
      <c r="BJ30" s="372">
        <v>0</v>
      </c>
      <c r="BK30" s="372">
        <v>0</v>
      </c>
      <c r="BL30" s="373">
        <v>0</v>
      </c>
    </row>
    <row r="31" spans="1:64" ht="19.5" customHeight="1">
      <c r="A31" s="354" t="s">
        <v>393</v>
      </c>
      <c r="B31" s="406" t="s">
        <v>394</v>
      </c>
      <c r="C31" s="356">
        <v>238095238</v>
      </c>
      <c r="D31" s="356">
        <v>210476190</v>
      </c>
      <c r="E31" s="356">
        <v>27619048</v>
      </c>
      <c r="F31" s="357">
        <v>225651799</v>
      </c>
      <c r="G31" s="357">
        <v>199476190</v>
      </c>
      <c r="H31" s="358">
        <v>26175609</v>
      </c>
      <c r="I31" s="359"/>
      <c r="J31" s="359"/>
      <c r="K31" s="358"/>
      <c r="L31" s="518">
        <v>1</v>
      </c>
      <c r="M31" s="358">
        <v>12443439</v>
      </c>
      <c r="N31" s="361">
        <v>11000000</v>
      </c>
      <c r="O31" s="358">
        <v>1443439</v>
      </c>
      <c r="P31" s="358">
        <v>12443439</v>
      </c>
      <c r="Q31" s="357">
        <v>11000000</v>
      </c>
      <c r="R31" s="358">
        <v>1443439</v>
      </c>
      <c r="S31" s="358">
        <v>238095238</v>
      </c>
      <c r="T31" s="358">
        <v>210476190</v>
      </c>
      <c r="U31" s="357">
        <v>27619048</v>
      </c>
      <c r="V31" s="357"/>
      <c r="W31" s="358"/>
      <c r="X31" s="358"/>
      <c r="Y31" s="357"/>
      <c r="Z31" s="358"/>
      <c r="AA31" s="358"/>
      <c r="AB31" s="357"/>
      <c r="AC31" s="362"/>
      <c r="AD31" s="97">
        <v>0</v>
      </c>
      <c r="AE31" s="97">
        <v>0</v>
      </c>
      <c r="AF31" s="97">
        <v>0</v>
      </c>
      <c r="AG31" s="208" t="s">
        <v>630</v>
      </c>
      <c r="AL31" s="364" t="s">
        <v>393</v>
      </c>
      <c r="AM31" s="365" t="s">
        <v>882</v>
      </c>
      <c r="AN31" s="364">
        <v>238095</v>
      </c>
      <c r="AO31" s="366">
        <v>210476</v>
      </c>
      <c r="AP31" s="366">
        <v>27619</v>
      </c>
      <c r="AQ31" s="367">
        <v>0.11599991599991601</v>
      </c>
      <c r="AR31" s="364"/>
      <c r="AS31" s="366"/>
      <c r="AT31" s="368"/>
      <c r="AU31" s="364"/>
      <c r="AV31" s="366"/>
      <c r="AW31" s="368"/>
      <c r="AX31" s="369">
        <v>12443</v>
      </c>
      <c r="AY31" s="366">
        <v>11000</v>
      </c>
      <c r="AZ31" s="368">
        <v>1443</v>
      </c>
      <c r="BA31" s="369">
        <v>12443</v>
      </c>
      <c r="BB31" s="366">
        <v>11000</v>
      </c>
      <c r="BC31" s="368">
        <v>1443</v>
      </c>
      <c r="BD31" s="369">
        <v>238095</v>
      </c>
      <c r="BE31" s="366">
        <v>210476</v>
      </c>
      <c r="BF31" s="365">
        <v>27619</v>
      </c>
      <c r="BG31" s="370">
        <v>1</v>
      </c>
      <c r="BH31" s="327">
        <v>0</v>
      </c>
      <c r="BI31" s="371">
        <v>0</v>
      </c>
      <c r="BJ31" s="372">
        <v>0</v>
      </c>
      <c r="BK31" s="372">
        <v>0</v>
      </c>
      <c r="BL31" s="373">
        <v>0</v>
      </c>
    </row>
    <row r="32" spans="1:64" ht="19.5" customHeight="1">
      <c r="A32" s="354" t="s">
        <v>565</v>
      </c>
      <c r="B32" s="406" t="s">
        <v>566</v>
      </c>
      <c r="C32" s="356">
        <v>859350566</v>
      </c>
      <c r="D32" s="356">
        <v>794724577</v>
      </c>
      <c r="E32" s="356">
        <v>64625989</v>
      </c>
      <c r="F32" s="357">
        <v>859350566</v>
      </c>
      <c r="G32" s="357">
        <v>794724577</v>
      </c>
      <c r="H32" s="358">
        <v>64625989</v>
      </c>
      <c r="I32" s="359"/>
      <c r="J32" s="359"/>
      <c r="K32" s="358"/>
      <c r="L32" s="518">
        <v>1</v>
      </c>
      <c r="M32" s="358">
        <v>0</v>
      </c>
      <c r="N32" s="361">
        <v>0</v>
      </c>
      <c r="O32" s="358">
        <v>0</v>
      </c>
      <c r="P32" s="358">
        <v>0</v>
      </c>
      <c r="Q32" s="357">
        <v>0</v>
      </c>
      <c r="R32" s="358">
        <v>0</v>
      </c>
      <c r="S32" s="358">
        <v>859350566</v>
      </c>
      <c r="T32" s="358">
        <v>794724577</v>
      </c>
      <c r="U32" s="357">
        <v>64625989</v>
      </c>
      <c r="V32" s="357"/>
      <c r="W32" s="358"/>
      <c r="X32" s="358"/>
      <c r="Y32" s="357"/>
      <c r="Z32" s="358"/>
      <c r="AA32" s="358"/>
      <c r="AB32" s="357"/>
      <c r="AC32" s="362"/>
      <c r="AD32" s="97">
        <v>0</v>
      </c>
      <c r="AE32" s="97">
        <v>0</v>
      </c>
      <c r="AF32" s="97">
        <v>0</v>
      </c>
      <c r="AG32" s="208" t="s">
        <v>630</v>
      </c>
      <c r="AL32" s="364" t="s">
        <v>565</v>
      </c>
      <c r="AM32" s="365" t="s">
        <v>882</v>
      </c>
      <c r="AN32" s="364">
        <v>859351</v>
      </c>
      <c r="AO32" s="366">
        <v>794725</v>
      </c>
      <c r="AP32" s="366">
        <v>64626</v>
      </c>
      <c r="AQ32" s="367">
        <v>7.5203263858423394E-2</v>
      </c>
      <c r="AR32" s="364"/>
      <c r="AS32" s="366"/>
      <c r="AT32" s="368"/>
      <c r="AU32" s="364"/>
      <c r="AV32" s="366"/>
      <c r="AW32" s="368"/>
      <c r="AX32" s="369">
        <v>0</v>
      </c>
      <c r="AY32" s="366">
        <v>0</v>
      </c>
      <c r="AZ32" s="368">
        <v>0</v>
      </c>
      <c r="BA32" s="369">
        <v>0</v>
      </c>
      <c r="BB32" s="366">
        <v>0</v>
      </c>
      <c r="BC32" s="368">
        <v>0</v>
      </c>
      <c r="BD32" s="369">
        <v>859351</v>
      </c>
      <c r="BE32" s="366">
        <v>794725</v>
      </c>
      <c r="BF32" s="365">
        <v>64626</v>
      </c>
      <c r="BG32" s="370">
        <v>1</v>
      </c>
      <c r="BH32" s="327">
        <v>0</v>
      </c>
      <c r="BI32" s="371">
        <v>0</v>
      </c>
      <c r="BJ32" s="372">
        <v>0</v>
      </c>
      <c r="BK32" s="372">
        <v>0</v>
      </c>
      <c r="BL32" s="373">
        <v>0</v>
      </c>
    </row>
    <row r="33" spans="1:64" ht="19.5" customHeight="1">
      <c r="A33" s="354" t="s">
        <v>778</v>
      </c>
      <c r="B33" s="406" t="s">
        <v>883</v>
      </c>
      <c r="C33" s="356">
        <v>933117919</v>
      </c>
      <c r="D33" s="356">
        <v>933117919</v>
      </c>
      <c r="E33" s="356">
        <v>0</v>
      </c>
      <c r="F33" s="357">
        <v>933117919</v>
      </c>
      <c r="G33" s="357">
        <v>933117919</v>
      </c>
      <c r="H33" s="358">
        <v>0</v>
      </c>
      <c r="I33" s="359"/>
      <c r="J33" s="359"/>
      <c r="K33" s="358"/>
      <c r="L33" s="518">
        <v>1</v>
      </c>
      <c r="M33" s="358">
        <v>0</v>
      </c>
      <c r="N33" s="361">
        <v>0</v>
      </c>
      <c r="O33" s="358">
        <v>0</v>
      </c>
      <c r="P33" s="358">
        <v>0</v>
      </c>
      <c r="Q33" s="357">
        <v>0</v>
      </c>
      <c r="R33" s="358">
        <v>0</v>
      </c>
      <c r="S33" s="358">
        <v>933117919</v>
      </c>
      <c r="T33" s="358">
        <v>933117919</v>
      </c>
      <c r="U33" s="357">
        <v>0</v>
      </c>
      <c r="V33" s="357"/>
      <c r="W33" s="358"/>
      <c r="X33" s="358"/>
      <c r="Y33" s="357"/>
      <c r="Z33" s="358"/>
      <c r="AA33" s="358"/>
      <c r="AB33" s="357"/>
      <c r="AC33" s="362"/>
      <c r="AD33" s="97">
        <v>0</v>
      </c>
      <c r="AE33" s="97">
        <v>0</v>
      </c>
      <c r="AF33" s="97">
        <v>0</v>
      </c>
      <c r="AG33" s="208" t="s">
        <v>630</v>
      </c>
      <c r="AL33" s="364" t="s">
        <v>778</v>
      </c>
      <c r="AM33" s="365" t="s">
        <v>884</v>
      </c>
      <c r="AN33" s="364">
        <v>933118</v>
      </c>
      <c r="AO33" s="366">
        <v>933118</v>
      </c>
      <c r="AP33" s="366">
        <v>0</v>
      </c>
      <c r="AQ33" s="367">
        <v>0</v>
      </c>
      <c r="AR33" s="364"/>
      <c r="AS33" s="366"/>
      <c r="AT33" s="368"/>
      <c r="AU33" s="364"/>
      <c r="AV33" s="366"/>
      <c r="AW33" s="368"/>
      <c r="AX33" s="369">
        <v>0</v>
      </c>
      <c r="AY33" s="366">
        <v>0</v>
      </c>
      <c r="AZ33" s="368">
        <v>0</v>
      </c>
      <c r="BA33" s="369">
        <v>0</v>
      </c>
      <c r="BB33" s="366">
        <v>0</v>
      </c>
      <c r="BC33" s="368">
        <v>0</v>
      </c>
      <c r="BD33" s="369">
        <v>933118</v>
      </c>
      <c r="BE33" s="366">
        <v>933118</v>
      </c>
      <c r="BF33" s="365">
        <v>0</v>
      </c>
      <c r="BG33" s="370">
        <v>1</v>
      </c>
      <c r="BH33" s="327">
        <v>0</v>
      </c>
      <c r="BI33" s="371">
        <v>0</v>
      </c>
      <c r="BJ33" s="372">
        <v>0</v>
      </c>
      <c r="BK33" s="372">
        <v>0</v>
      </c>
      <c r="BL33" s="373">
        <v>0</v>
      </c>
    </row>
    <row r="34" spans="1:64" ht="19.5" customHeight="1">
      <c r="A34" s="354" t="s">
        <v>885</v>
      </c>
      <c r="B34" s="406" t="s">
        <v>886</v>
      </c>
      <c r="C34" s="356">
        <v>879788670</v>
      </c>
      <c r="D34" s="356">
        <v>812013687</v>
      </c>
      <c r="E34" s="356">
        <v>67774983</v>
      </c>
      <c r="F34" s="357">
        <v>879788670</v>
      </c>
      <c r="G34" s="357">
        <v>812013687</v>
      </c>
      <c r="H34" s="358">
        <v>67774983</v>
      </c>
      <c r="I34" s="359"/>
      <c r="J34" s="359"/>
      <c r="K34" s="358"/>
      <c r="L34" s="518">
        <v>1</v>
      </c>
      <c r="M34" s="358">
        <v>0</v>
      </c>
      <c r="N34" s="361">
        <v>0</v>
      </c>
      <c r="O34" s="358">
        <v>0</v>
      </c>
      <c r="P34" s="358">
        <v>0</v>
      </c>
      <c r="Q34" s="357">
        <v>0</v>
      </c>
      <c r="R34" s="358">
        <v>0</v>
      </c>
      <c r="S34" s="358">
        <v>879788670</v>
      </c>
      <c r="T34" s="358">
        <v>812013687</v>
      </c>
      <c r="U34" s="357">
        <v>67774983</v>
      </c>
      <c r="V34" s="357"/>
      <c r="W34" s="358"/>
      <c r="X34" s="358"/>
      <c r="Y34" s="357"/>
      <c r="Z34" s="358"/>
      <c r="AA34" s="358"/>
      <c r="AB34" s="357"/>
      <c r="AC34" s="362"/>
      <c r="AD34" s="97">
        <v>0</v>
      </c>
      <c r="AE34" s="97">
        <v>0</v>
      </c>
      <c r="AF34" s="97">
        <v>0</v>
      </c>
      <c r="AG34" s="208" t="s">
        <v>630</v>
      </c>
      <c r="AL34" s="364" t="s">
        <v>885</v>
      </c>
      <c r="AM34" s="365" t="s">
        <v>887</v>
      </c>
      <c r="AN34" s="364">
        <v>879789</v>
      </c>
      <c r="AO34" s="366">
        <v>812014</v>
      </c>
      <c r="AP34" s="366">
        <v>67775</v>
      </c>
      <c r="AQ34" s="367">
        <v>7.7035516470426404E-2</v>
      </c>
      <c r="AR34" s="364"/>
      <c r="AS34" s="366"/>
      <c r="AT34" s="368"/>
      <c r="AU34" s="364"/>
      <c r="AV34" s="366"/>
      <c r="AW34" s="368"/>
      <c r="AX34" s="369">
        <v>0</v>
      </c>
      <c r="AY34" s="366">
        <v>0</v>
      </c>
      <c r="AZ34" s="368">
        <v>0</v>
      </c>
      <c r="BA34" s="369">
        <v>0</v>
      </c>
      <c r="BB34" s="366">
        <v>0</v>
      </c>
      <c r="BC34" s="368">
        <v>0</v>
      </c>
      <c r="BD34" s="369">
        <v>879789</v>
      </c>
      <c r="BE34" s="366">
        <v>812014</v>
      </c>
      <c r="BF34" s="365">
        <v>67775</v>
      </c>
      <c r="BG34" s="370">
        <v>1</v>
      </c>
      <c r="BH34" s="327">
        <v>0</v>
      </c>
      <c r="BI34" s="371">
        <v>0</v>
      </c>
      <c r="BJ34" s="372">
        <v>0</v>
      </c>
      <c r="BK34" s="372">
        <v>0</v>
      </c>
      <c r="BL34" s="373">
        <v>0</v>
      </c>
    </row>
    <row r="35" spans="1:64" ht="19.5" customHeight="1">
      <c r="A35" s="354" t="s">
        <v>403</v>
      </c>
      <c r="B35" s="406" t="s">
        <v>404</v>
      </c>
      <c r="C35" s="356">
        <v>4041975845</v>
      </c>
      <c r="D35" s="356">
        <v>3905373750</v>
      </c>
      <c r="E35" s="356">
        <v>136602095</v>
      </c>
      <c r="F35" s="357">
        <v>4041861135</v>
      </c>
      <c r="G35" s="357">
        <v>3905262917</v>
      </c>
      <c r="H35" s="358">
        <v>136598218</v>
      </c>
      <c r="I35" s="359"/>
      <c r="J35" s="359"/>
      <c r="K35" s="358"/>
      <c r="L35" s="518">
        <v>0.99997162038588505</v>
      </c>
      <c r="M35" s="358">
        <v>0</v>
      </c>
      <c r="N35" s="361">
        <v>0</v>
      </c>
      <c r="O35" s="358">
        <v>0</v>
      </c>
      <c r="P35" s="358">
        <v>0</v>
      </c>
      <c r="Q35" s="357">
        <v>0</v>
      </c>
      <c r="R35" s="358">
        <v>0</v>
      </c>
      <c r="S35" s="358">
        <v>4041861135</v>
      </c>
      <c r="T35" s="358">
        <v>3905262917</v>
      </c>
      <c r="U35" s="358">
        <v>136598218</v>
      </c>
      <c r="V35" s="357"/>
      <c r="W35" s="358"/>
      <c r="X35" s="358"/>
      <c r="Y35" s="357"/>
      <c r="Z35" s="358"/>
      <c r="AA35" s="358"/>
      <c r="AB35" s="357"/>
      <c r="AC35" s="362"/>
      <c r="AD35" s="97">
        <v>0</v>
      </c>
      <c r="AE35" s="97">
        <v>0</v>
      </c>
      <c r="AF35" s="97">
        <v>0</v>
      </c>
      <c r="AG35" s="208" t="s">
        <v>630</v>
      </c>
      <c r="AL35" s="364" t="s">
        <v>403</v>
      </c>
      <c r="AM35" s="365" t="s">
        <v>888</v>
      </c>
      <c r="AN35" s="364">
        <v>4041976</v>
      </c>
      <c r="AO35" s="366">
        <v>3905374</v>
      </c>
      <c r="AP35" s="366">
        <v>136602</v>
      </c>
      <c r="AQ35" s="367">
        <v>3.37958463880043E-2</v>
      </c>
      <c r="AR35" s="364"/>
      <c r="AS35" s="366"/>
      <c r="AT35" s="368"/>
      <c r="AU35" s="364"/>
      <c r="AV35" s="366"/>
      <c r="AW35" s="368"/>
      <c r="AX35" s="369">
        <v>0</v>
      </c>
      <c r="AY35" s="366">
        <v>0</v>
      </c>
      <c r="AZ35" s="368">
        <v>0</v>
      </c>
      <c r="BA35" s="369">
        <v>0</v>
      </c>
      <c r="BB35" s="366">
        <v>0</v>
      </c>
      <c r="BC35" s="368">
        <v>0</v>
      </c>
      <c r="BD35" s="369">
        <v>4041861</v>
      </c>
      <c r="BE35" s="366">
        <v>3905263</v>
      </c>
      <c r="BF35" s="365">
        <v>136598</v>
      </c>
      <c r="BG35" s="370">
        <v>0.99997154856931403</v>
      </c>
      <c r="BH35" s="327">
        <v>7.1816571467486794E-8</v>
      </c>
      <c r="BI35" s="371">
        <v>115</v>
      </c>
      <c r="BJ35" s="372">
        <v>111</v>
      </c>
      <c r="BK35" s="372">
        <v>4</v>
      </c>
      <c r="BL35" s="373">
        <v>2.8451430686415899E-5</v>
      </c>
    </row>
    <row r="36" spans="1:64" ht="19.5" customHeight="1">
      <c r="A36" s="354" t="s">
        <v>405</v>
      </c>
      <c r="B36" s="406" t="s">
        <v>406</v>
      </c>
      <c r="C36" s="356">
        <v>1081428571</v>
      </c>
      <c r="D36" s="356">
        <v>1018292803</v>
      </c>
      <c r="E36" s="356">
        <v>63135768</v>
      </c>
      <c r="F36" s="357">
        <v>1074973965</v>
      </c>
      <c r="G36" s="357">
        <v>1012215029</v>
      </c>
      <c r="H36" s="358">
        <v>62758936</v>
      </c>
      <c r="I36" s="359"/>
      <c r="J36" s="359"/>
      <c r="K36" s="358"/>
      <c r="L36" s="518">
        <v>1</v>
      </c>
      <c r="M36" s="358">
        <v>6454606</v>
      </c>
      <c r="N36" s="361">
        <v>6077774</v>
      </c>
      <c r="O36" s="358">
        <v>376832</v>
      </c>
      <c r="P36" s="358">
        <v>6454606</v>
      </c>
      <c r="Q36" s="357">
        <v>6077774</v>
      </c>
      <c r="R36" s="358">
        <v>376832</v>
      </c>
      <c r="S36" s="358">
        <v>1081428571</v>
      </c>
      <c r="T36" s="358">
        <v>1018292803</v>
      </c>
      <c r="U36" s="357">
        <v>63135768</v>
      </c>
      <c r="V36" s="357"/>
      <c r="W36" s="358"/>
      <c r="X36" s="358"/>
      <c r="Y36" s="357"/>
      <c r="Z36" s="358"/>
      <c r="AA36" s="358"/>
      <c r="AB36" s="357"/>
      <c r="AC36" s="362"/>
      <c r="AD36" s="97">
        <v>0</v>
      </c>
      <c r="AE36" s="97">
        <v>0</v>
      </c>
      <c r="AF36" s="97">
        <v>0</v>
      </c>
      <c r="AG36" s="208" t="s">
        <v>892</v>
      </c>
      <c r="AL36" s="364" t="s">
        <v>405</v>
      </c>
      <c r="AM36" s="365" t="s">
        <v>889</v>
      </c>
      <c r="AN36" s="364">
        <v>1081429</v>
      </c>
      <c r="AO36" s="366">
        <v>1018293</v>
      </c>
      <c r="AP36" s="366">
        <v>63136</v>
      </c>
      <c r="AQ36" s="367">
        <v>5.83820112092426E-2</v>
      </c>
      <c r="AR36" s="364"/>
      <c r="AS36" s="366"/>
      <c r="AT36" s="368"/>
      <c r="AU36" s="364"/>
      <c r="AV36" s="366"/>
      <c r="AW36" s="368"/>
      <c r="AX36" s="369">
        <v>6455</v>
      </c>
      <c r="AY36" s="366">
        <v>6078</v>
      </c>
      <c r="AZ36" s="368">
        <v>377</v>
      </c>
      <c r="BA36" s="369">
        <v>6455</v>
      </c>
      <c r="BB36" s="366">
        <v>6078</v>
      </c>
      <c r="BC36" s="368">
        <v>377</v>
      </c>
      <c r="BD36" s="369">
        <v>1081429</v>
      </c>
      <c r="BE36" s="366">
        <v>1018293</v>
      </c>
      <c r="BF36" s="365">
        <v>63136</v>
      </c>
      <c r="BG36" s="370">
        <v>1</v>
      </c>
      <c r="BH36" s="327">
        <v>0</v>
      </c>
      <c r="BI36" s="371">
        <v>0</v>
      </c>
      <c r="BJ36" s="372">
        <v>0</v>
      </c>
      <c r="BK36" s="372">
        <v>0</v>
      </c>
      <c r="BL36" s="373">
        <v>0</v>
      </c>
    </row>
    <row r="37" spans="1:64" ht="19.5" customHeight="1">
      <c r="A37" s="354" t="s">
        <v>890</v>
      </c>
      <c r="B37" s="406" t="s">
        <v>891</v>
      </c>
      <c r="C37" s="356">
        <v>3535631782</v>
      </c>
      <c r="D37" s="356">
        <v>3443492109</v>
      </c>
      <c r="E37" s="356">
        <v>92139673</v>
      </c>
      <c r="F37" s="357">
        <v>3512141281</v>
      </c>
      <c r="G37" s="357">
        <v>3420613778</v>
      </c>
      <c r="H37" s="358">
        <v>91527503</v>
      </c>
      <c r="I37" s="359"/>
      <c r="J37" s="359"/>
      <c r="K37" s="358"/>
      <c r="L37" s="518">
        <v>0.99999776418828401</v>
      </c>
      <c r="M37" s="358">
        <v>23482596</v>
      </c>
      <c r="N37" s="361">
        <v>22870632</v>
      </c>
      <c r="O37" s="358">
        <v>611964</v>
      </c>
      <c r="P37" s="358">
        <v>23482596</v>
      </c>
      <c r="Q37" s="357">
        <v>22870632</v>
      </c>
      <c r="R37" s="358">
        <v>611964</v>
      </c>
      <c r="S37" s="358">
        <v>3535623877</v>
      </c>
      <c r="T37" s="358">
        <v>3443484410</v>
      </c>
      <c r="U37" s="357">
        <v>92139467</v>
      </c>
      <c r="V37" s="357"/>
      <c r="W37" s="358"/>
      <c r="X37" s="358"/>
      <c r="Y37" s="358">
        <v>35000000</v>
      </c>
      <c r="Z37" s="358"/>
      <c r="AA37" s="358"/>
      <c r="AB37" s="358">
        <v>35000000</v>
      </c>
      <c r="AC37" s="362"/>
      <c r="AD37" s="97">
        <v>0</v>
      </c>
      <c r="AE37" s="97">
        <v>0</v>
      </c>
      <c r="AF37" s="97">
        <v>0</v>
      </c>
      <c r="AG37" s="208" t="s">
        <v>892</v>
      </c>
      <c r="AL37" s="364" t="s">
        <v>890</v>
      </c>
      <c r="AM37" s="365" t="s">
        <v>893</v>
      </c>
      <c r="AN37" s="364">
        <v>3535632</v>
      </c>
      <c r="AO37" s="366">
        <v>3443492</v>
      </c>
      <c r="AP37" s="366">
        <v>92140</v>
      </c>
      <c r="AQ37" s="367">
        <v>2.6060404476484E-2</v>
      </c>
      <c r="AR37" s="364"/>
      <c r="AS37" s="366"/>
      <c r="AT37" s="368"/>
      <c r="AU37" s="364"/>
      <c r="AV37" s="366"/>
      <c r="AW37" s="368"/>
      <c r="AX37" s="369">
        <v>23483</v>
      </c>
      <c r="AY37" s="366">
        <v>22871</v>
      </c>
      <c r="AZ37" s="368">
        <v>612</v>
      </c>
      <c r="BA37" s="369">
        <v>23483</v>
      </c>
      <c r="BB37" s="366">
        <v>22871</v>
      </c>
      <c r="BC37" s="368">
        <v>612</v>
      </c>
      <c r="BD37" s="369">
        <v>3535624</v>
      </c>
      <c r="BE37" s="366">
        <v>3478484</v>
      </c>
      <c r="BF37" s="365">
        <v>57140</v>
      </c>
      <c r="BG37" s="370">
        <v>0.99999773732107899</v>
      </c>
      <c r="BH37" s="327">
        <v>2.68672053493901E-8</v>
      </c>
      <c r="BI37" s="371">
        <v>8</v>
      </c>
      <c r="BJ37" s="372">
        <v>-34992</v>
      </c>
      <c r="BK37" s="372">
        <v>35000</v>
      </c>
      <c r="BL37" s="373">
        <v>2.26267892133869E-6</v>
      </c>
    </row>
    <row r="38" spans="1:64" ht="19.5" customHeight="1">
      <c r="A38" s="354" t="s">
        <v>567</v>
      </c>
      <c r="B38" s="406" t="s">
        <v>568</v>
      </c>
      <c r="C38" s="356">
        <v>1221444109</v>
      </c>
      <c r="D38" s="356">
        <v>1109439744</v>
      </c>
      <c r="E38" s="356">
        <v>112004365</v>
      </c>
      <c r="F38" s="357">
        <v>1221444109</v>
      </c>
      <c r="G38" s="357">
        <v>1109439744</v>
      </c>
      <c r="H38" s="358">
        <v>112004365</v>
      </c>
      <c r="I38" s="359"/>
      <c r="J38" s="359"/>
      <c r="K38" s="358"/>
      <c r="L38" s="518">
        <v>1</v>
      </c>
      <c r="M38" s="358">
        <v>0</v>
      </c>
      <c r="N38" s="361">
        <v>0</v>
      </c>
      <c r="O38" s="358">
        <v>0</v>
      </c>
      <c r="P38" s="358">
        <v>0</v>
      </c>
      <c r="Q38" s="357">
        <v>0</v>
      </c>
      <c r="R38" s="358">
        <v>0</v>
      </c>
      <c r="S38" s="358">
        <v>1221444109</v>
      </c>
      <c r="T38" s="358">
        <v>1109439744</v>
      </c>
      <c r="U38" s="357">
        <v>112004365</v>
      </c>
      <c r="V38" s="358"/>
      <c r="W38" s="358"/>
      <c r="X38" s="358"/>
      <c r="Y38" s="358"/>
      <c r="Z38" s="358"/>
      <c r="AA38" s="358"/>
      <c r="AB38" s="358"/>
      <c r="AC38" s="362"/>
      <c r="AD38" s="97">
        <v>0</v>
      </c>
      <c r="AE38" s="97">
        <v>0</v>
      </c>
      <c r="AF38" s="97">
        <v>0</v>
      </c>
      <c r="AG38" s="208" t="s">
        <v>630</v>
      </c>
      <c r="AL38" s="364" t="s">
        <v>567</v>
      </c>
      <c r="AM38" s="365" t="s">
        <v>894</v>
      </c>
      <c r="AN38" s="364">
        <v>1221444</v>
      </c>
      <c r="AO38" s="366">
        <v>1109440</v>
      </c>
      <c r="AP38" s="366">
        <v>112004</v>
      </c>
      <c r="AQ38" s="367">
        <v>9.1698022995732903E-2</v>
      </c>
      <c r="AR38" s="364"/>
      <c r="AS38" s="366"/>
      <c r="AT38" s="368"/>
      <c r="AU38" s="364"/>
      <c r="AV38" s="366"/>
      <c r="AW38" s="368"/>
      <c r="AX38" s="369">
        <v>0</v>
      </c>
      <c r="AY38" s="366">
        <v>0</v>
      </c>
      <c r="AZ38" s="368">
        <v>0</v>
      </c>
      <c r="BA38" s="369">
        <v>0</v>
      </c>
      <c r="BB38" s="366">
        <v>0</v>
      </c>
      <c r="BC38" s="368">
        <v>0</v>
      </c>
      <c r="BD38" s="369">
        <v>1221444</v>
      </c>
      <c r="BE38" s="366">
        <v>1109440</v>
      </c>
      <c r="BF38" s="365">
        <v>112004</v>
      </c>
      <c r="BG38" s="370">
        <v>1</v>
      </c>
      <c r="BH38" s="327">
        <v>0</v>
      </c>
      <c r="BI38" s="371">
        <v>0</v>
      </c>
      <c r="BJ38" s="372">
        <v>0</v>
      </c>
      <c r="BK38" s="372">
        <v>0</v>
      </c>
      <c r="BL38" s="373">
        <v>0</v>
      </c>
    </row>
    <row r="39" spans="1:64" ht="19.5" customHeight="1">
      <c r="A39" s="354" t="s">
        <v>779</v>
      </c>
      <c r="B39" s="406" t="s">
        <v>780</v>
      </c>
      <c r="C39" s="356">
        <v>4470790156</v>
      </c>
      <c r="D39" s="356">
        <v>4174725305</v>
      </c>
      <c r="E39" s="356">
        <v>296064851</v>
      </c>
      <c r="F39" s="357">
        <v>4470790156</v>
      </c>
      <c r="G39" s="357">
        <v>4174725305</v>
      </c>
      <c r="H39" s="358">
        <v>296064851</v>
      </c>
      <c r="I39" s="359"/>
      <c r="J39" s="359"/>
      <c r="K39" s="358"/>
      <c r="L39" s="518">
        <v>1</v>
      </c>
      <c r="M39" s="358">
        <v>0</v>
      </c>
      <c r="N39" s="361">
        <v>0</v>
      </c>
      <c r="O39" s="358">
        <v>0</v>
      </c>
      <c r="P39" s="358">
        <v>0</v>
      </c>
      <c r="Q39" s="357">
        <v>0</v>
      </c>
      <c r="R39" s="358">
        <v>0</v>
      </c>
      <c r="S39" s="358">
        <v>4470790156</v>
      </c>
      <c r="T39" s="358">
        <v>4174725305</v>
      </c>
      <c r="U39" s="358">
        <v>296064851</v>
      </c>
      <c r="V39" s="358"/>
      <c r="W39" s="358"/>
      <c r="X39" s="358"/>
      <c r="Y39" s="358"/>
      <c r="Z39" s="358"/>
      <c r="AA39" s="358"/>
      <c r="AB39" s="358"/>
      <c r="AC39" s="362"/>
      <c r="AD39" s="97">
        <v>0</v>
      </c>
      <c r="AE39" s="97">
        <v>0</v>
      </c>
      <c r="AF39" s="97">
        <v>0</v>
      </c>
      <c r="AG39" s="208" t="s">
        <v>630</v>
      </c>
      <c r="AL39" s="364" t="s">
        <v>779</v>
      </c>
      <c r="AM39" s="365" t="s">
        <v>895</v>
      </c>
      <c r="AN39" s="364">
        <v>4470790</v>
      </c>
      <c r="AO39" s="366">
        <v>4174725</v>
      </c>
      <c r="AP39" s="366">
        <v>296065</v>
      </c>
      <c r="AQ39" s="367">
        <v>6.6222077082573799E-2</v>
      </c>
      <c r="AR39" s="364"/>
      <c r="AS39" s="366"/>
      <c r="AT39" s="368"/>
      <c r="AU39" s="364"/>
      <c r="AV39" s="366"/>
      <c r="AW39" s="368"/>
      <c r="AX39" s="369">
        <v>0</v>
      </c>
      <c r="AY39" s="366">
        <v>0</v>
      </c>
      <c r="AZ39" s="368">
        <v>0</v>
      </c>
      <c r="BA39" s="369">
        <v>0</v>
      </c>
      <c r="BB39" s="366">
        <v>0</v>
      </c>
      <c r="BC39" s="368">
        <v>0</v>
      </c>
      <c r="BD39" s="369">
        <v>4470790</v>
      </c>
      <c r="BE39" s="366">
        <v>4174725</v>
      </c>
      <c r="BF39" s="365">
        <v>296065</v>
      </c>
      <c r="BG39" s="370">
        <v>1</v>
      </c>
      <c r="BH39" s="327">
        <v>0</v>
      </c>
      <c r="BI39" s="371">
        <v>-1</v>
      </c>
      <c r="BJ39" s="372">
        <v>-1</v>
      </c>
      <c r="BK39" s="372">
        <v>0</v>
      </c>
      <c r="BL39" s="373">
        <v>0</v>
      </c>
    </row>
    <row r="40" spans="1:64" ht="19.5" customHeight="1">
      <c r="A40" s="354" t="s">
        <v>781</v>
      </c>
      <c r="B40" s="406" t="s">
        <v>782</v>
      </c>
      <c r="C40" s="356">
        <v>2229878305</v>
      </c>
      <c r="D40" s="356">
        <v>2088218748</v>
      </c>
      <c r="E40" s="356">
        <v>141659557</v>
      </c>
      <c r="F40" s="357">
        <v>2194725484</v>
      </c>
      <c r="G40" s="357">
        <v>2055299113</v>
      </c>
      <c r="H40" s="358">
        <v>139426371</v>
      </c>
      <c r="I40" s="359"/>
      <c r="J40" s="359"/>
      <c r="K40" s="358"/>
      <c r="L40" s="518">
        <v>0.98722471243707099</v>
      </c>
      <c r="M40" s="358">
        <v>6665484</v>
      </c>
      <c r="N40" s="361">
        <v>6242040</v>
      </c>
      <c r="O40" s="358">
        <v>423444</v>
      </c>
      <c r="P40" s="358">
        <v>6665484</v>
      </c>
      <c r="Q40" s="357">
        <v>6242040</v>
      </c>
      <c r="R40" s="358">
        <v>423444</v>
      </c>
      <c r="S40" s="358">
        <v>2201390968</v>
      </c>
      <c r="T40" s="358">
        <v>2061541153</v>
      </c>
      <c r="U40" s="358">
        <v>139849815</v>
      </c>
      <c r="V40" s="358"/>
      <c r="W40" s="358"/>
      <c r="X40" s="358"/>
      <c r="Y40" s="358"/>
      <c r="Z40" s="358"/>
      <c r="AA40" s="358"/>
      <c r="AB40" s="358"/>
      <c r="AC40" s="362"/>
      <c r="AD40" s="97">
        <v>0</v>
      </c>
      <c r="AE40" s="97">
        <v>0</v>
      </c>
      <c r="AF40" s="97">
        <v>0</v>
      </c>
      <c r="AG40" s="208" t="s">
        <v>630</v>
      </c>
      <c r="AL40" s="364" t="s">
        <v>781</v>
      </c>
      <c r="AM40" s="365" t="s">
        <v>896</v>
      </c>
      <c r="AN40" s="364">
        <v>2229878</v>
      </c>
      <c r="AO40" s="366">
        <v>2088219</v>
      </c>
      <c r="AP40" s="366">
        <v>141659</v>
      </c>
      <c r="AQ40" s="367">
        <v>6.3527690752588295E-2</v>
      </c>
      <c r="AR40" s="364"/>
      <c r="AS40" s="366"/>
      <c r="AT40" s="368"/>
      <c r="AU40" s="364"/>
      <c r="AV40" s="366"/>
      <c r="AW40" s="368"/>
      <c r="AX40" s="369">
        <v>6665</v>
      </c>
      <c r="AY40" s="366">
        <v>6242</v>
      </c>
      <c r="AZ40" s="368">
        <v>423</v>
      </c>
      <c r="BA40" s="369">
        <v>6665</v>
      </c>
      <c r="BB40" s="366">
        <v>6242</v>
      </c>
      <c r="BC40" s="368">
        <v>423</v>
      </c>
      <c r="BD40" s="369">
        <v>2201391</v>
      </c>
      <c r="BE40" s="366">
        <v>2061541</v>
      </c>
      <c r="BF40" s="365">
        <v>139850</v>
      </c>
      <c r="BG40" s="370">
        <v>0.98722486162920098</v>
      </c>
      <c r="BH40" s="327">
        <v>-1.4919213020547799E-7</v>
      </c>
      <c r="BI40" s="371">
        <v>28487</v>
      </c>
      <c r="BJ40" s="372">
        <v>26678</v>
      </c>
      <c r="BK40" s="372">
        <v>1809</v>
      </c>
      <c r="BL40" s="373">
        <v>1.27751383707988E-2</v>
      </c>
    </row>
    <row r="41" spans="1:64" ht="19.5" customHeight="1">
      <c r="A41" s="354" t="s">
        <v>897</v>
      </c>
      <c r="B41" s="406" t="s">
        <v>898</v>
      </c>
      <c r="C41" s="356">
        <v>1449803462</v>
      </c>
      <c r="D41" s="356">
        <v>1358935182</v>
      </c>
      <c r="E41" s="356">
        <v>90868280</v>
      </c>
      <c r="F41" s="357">
        <v>1446816234</v>
      </c>
      <c r="G41" s="357">
        <v>1356135182</v>
      </c>
      <c r="H41" s="358">
        <v>90681052</v>
      </c>
      <c r="I41" s="359"/>
      <c r="J41" s="359"/>
      <c r="K41" s="358"/>
      <c r="L41" s="518">
        <v>0.99793956324253896</v>
      </c>
      <c r="M41" s="358">
        <v>0</v>
      </c>
      <c r="N41" s="361">
        <v>0</v>
      </c>
      <c r="O41" s="358">
        <v>0</v>
      </c>
      <c r="P41" s="358">
        <v>0</v>
      </c>
      <c r="Q41" s="357">
        <v>0</v>
      </c>
      <c r="R41" s="358">
        <v>0</v>
      </c>
      <c r="S41" s="358">
        <v>1446816234</v>
      </c>
      <c r="T41" s="358">
        <v>1356135182</v>
      </c>
      <c r="U41" s="358">
        <v>90681052</v>
      </c>
      <c r="V41" s="358"/>
      <c r="W41" s="358"/>
      <c r="X41" s="358"/>
      <c r="Y41" s="358"/>
      <c r="Z41" s="358"/>
      <c r="AA41" s="358"/>
      <c r="AB41" s="358"/>
      <c r="AC41" s="362"/>
      <c r="AD41" s="97">
        <v>0</v>
      </c>
      <c r="AE41" s="97">
        <v>0</v>
      </c>
      <c r="AF41" s="97">
        <v>0</v>
      </c>
      <c r="AG41" s="208" t="s">
        <v>630</v>
      </c>
      <c r="AL41" s="364" t="s">
        <v>897</v>
      </c>
      <c r="AM41" s="365" t="s">
        <v>899</v>
      </c>
      <c r="AN41" s="364">
        <v>1449803</v>
      </c>
      <c r="AO41" s="366">
        <v>1358935</v>
      </c>
      <c r="AP41" s="366">
        <v>90868</v>
      </c>
      <c r="AQ41" s="367">
        <v>6.2676101511722607E-2</v>
      </c>
      <c r="AR41" s="364"/>
      <c r="AS41" s="366"/>
      <c r="AT41" s="368"/>
      <c r="AU41" s="364"/>
      <c r="AV41" s="366"/>
      <c r="AW41" s="368"/>
      <c r="AX41" s="369">
        <v>0</v>
      </c>
      <c r="AY41" s="366">
        <v>0</v>
      </c>
      <c r="AZ41" s="368">
        <v>0</v>
      </c>
      <c r="BA41" s="369">
        <v>0</v>
      </c>
      <c r="BB41" s="366">
        <v>0</v>
      </c>
      <c r="BC41" s="368">
        <v>0</v>
      </c>
      <c r="BD41" s="369">
        <v>1446816</v>
      </c>
      <c r="BE41" s="366">
        <v>1356135</v>
      </c>
      <c r="BF41" s="365">
        <v>90681</v>
      </c>
      <c r="BG41" s="370">
        <v>0.99793972008610798</v>
      </c>
      <c r="BH41" s="327">
        <v>-1.56843569243392E-7</v>
      </c>
      <c r="BI41" s="371">
        <v>2987</v>
      </c>
      <c r="BJ41" s="372">
        <v>2800</v>
      </c>
      <c r="BK41" s="372">
        <v>187</v>
      </c>
      <c r="BL41" s="373">
        <v>2.0602799138917899E-3</v>
      </c>
    </row>
    <row r="42" spans="1:64" ht="19.5" customHeight="1">
      <c r="A42" s="354" t="s">
        <v>407</v>
      </c>
      <c r="B42" s="406" t="s">
        <v>408</v>
      </c>
      <c r="C42" s="356">
        <v>3252514518</v>
      </c>
      <c r="D42" s="356">
        <v>3054894126</v>
      </c>
      <c r="E42" s="356">
        <v>197620392</v>
      </c>
      <c r="F42" s="357">
        <v>3206514107</v>
      </c>
      <c r="G42" s="357">
        <v>3011688665.7571402</v>
      </c>
      <c r="H42" s="358">
        <v>194825441.24285701</v>
      </c>
      <c r="I42" s="359"/>
      <c r="J42" s="359"/>
      <c r="K42" s="358"/>
      <c r="L42" s="518">
        <v>0.98867805239190198</v>
      </c>
      <c r="M42" s="358">
        <v>9175612</v>
      </c>
      <c r="N42" s="361">
        <v>8618109</v>
      </c>
      <c r="O42" s="358">
        <v>557503</v>
      </c>
      <c r="P42" s="358">
        <v>9175612</v>
      </c>
      <c r="Q42" s="357">
        <v>8618109</v>
      </c>
      <c r="R42" s="358">
        <v>557503</v>
      </c>
      <c r="S42" s="358">
        <v>3215689719</v>
      </c>
      <c r="T42" s="358">
        <v>3020306774.7571402</v>
      </c>
      <c r="U42" s="358">
        <v>195382944.24285701</v>
      </c>
      <c r="V42" s="358"/>
      <c r="W42" s="358"/>
      <c r="X42" s="358"/>
      <c r="Y42" s="358"/>
      <c r="Z42" s="358"/>
      <c r="AA42" s="358"/>
      <c r="AB42" s="358"/>
      <c r="AC42" s="362"/>
      <c r="AD42" s="97">
        <v>0</v>
      </c>
      <c r="AE42" s="97">
        <v>0</v>
      </c>
      <c r="AF42" s="97">
        <v>0</v>
      </c>
      <c r="AG42" s="208" t="s">
        <v>630</v>
      </c>
      <c r="AL42" s="364" t="s">
        <v>407</v>
      </c>
      <c r="AM42" s="365" t="s">
        <v>900</v>
      </c>
      <c r="AN42" s="364">
        <v>3252515</v>
      </c>
      <c r="AO42" s="366">
        <v>3054894</v>
      </c>
      <c r="AP42" s="366">
        <v>197621</v>
      </c>
      <c r="AQ42" s="367">
        <v>6.0759443077126503E-2</v>
      </c>
      <c r="AR42" s="364"/>
      <c r="AS42" s="366"/>
      <c r="AT42" s="368"/>
      <c r="AU42" s="364"/>
      <c r="AV42" s="366"/>
      <c r="AW42" s="368"/>
      <c r="AX42" s="369">
        <v>9176</v>
      </c>
      <c r="AY42" s="366">
        <v>8618</v>
      </c>
      <c r="AZ42" s="368">
        <v>558</v>
      </c>
      <c r="BA42" s="369">
        <v>9176</v>
      </c>
      <c r="BB42" s="366">
        <v>8618</v>
      </c>
      <c r="BC42" s="368">
        <v>558</v>
      </c>
      <c r="BD42" s="369">
        <v>3215690</v>
      </c>
      <c r="BE42" s="366">
        <v>3020307</v>
      </c>
      <c r="BF42" s="365">
        <v>195383</v>
      </c>
      <c r="BG42" s="370">
        <v>0.98867799226137298</v>
      </c>
      <c r="BH42" s="327">
        <v>6.0130528889423802E-8</v>
      </c>
      <c r="BI42" s="371">
        <v>36825</v>
      </c>
      <c r="BJ42" s="372">
        <v>34587</v>
      </c>
      <c r="BK42" s="372">
        <v>2238</v>
      </c>
      <c r="BL42" s="373">
        <v>1.1322007738626899E-2</v>
      </c>
    </row>
    <row r="43" spans="1:64" ht="19.5" customHeight="1">
      <c r="A43" s="354" t="s">
        <v>409</v>
      </c>
      <c r="B43" s="406" t="s">
        <v>901</v>
      </c>
      <c r="C43" s="356">
        <v>1027055272</v>
      </c>
      <c r="D43" s="356">
        <v>974532876</v>
      </c>
      <c r="E43" s="356">
        <v>52522396</v>
      </c>
      <c r="F43" s="357">
        <v>1027055272</v>
      </c>
      <c r="G43" s="357">
        <v>974532876</v>
      </c>
      <c r="H43" s="358">
        <v>52522396</v>
      </c>
      <c r="I43" s="359"/>
      <c r="J43" s="359"/>
      <c r="K43" s="358"/>
      <c r="L43" s="518">
        <v>1</v>
      </c>
      <c r="M43" s="358">
        <v>0</v>
      </c>
      <c r="N43" s="361">
        <v>0</v>
      </c>
      <c r="O43" s="358">
        <v>0</v>
      </c>
      <c r="P43" s="358">
        <v>0</v>
      </c>
      <c r="Q43" s="357">
        <v>0</v>
      </c>
      <c r="R43" s="358">
        <v>0</v>
      </c>
      <c r="S43" s="358">
        <v>1027055272</v>
      </c>
      <c r="T43" s="358">
        <v>974532876</v>
      </c>
      <c r="U43" s="357">
        <v>52522396</v>
      </c>
      <c r="V43" s="358"/>
      <c r="W43" s="358"/>
      <c r="X43" s="358"/>
      <c r="Y43" s="358"/>
      <c r="Z43" s="358"/>
      <c r="AA43" s="358"/>
      <c r="AB43" s="358"/>
      <c r="AC43" s="362"/>
      <c r="AD43" s="97">
        <v>0</v>
      </c>
      <c r="AE43" s="97">
        <v>0</v>
      </c>
      <c r="AF43" s="97">
        <v>0</v>
      </c>
      <c r="AG43" s="208" t="s">
        <v>630</v>
      </c>
      <c r="AL43" s="364" t="s">
        <v>409</v>
      </c>
      <c r="AM43" s="365" t="s">
        <v>902</v>
      </c>
      <c r="AN43" s="364">
        <v>1027055</v>
      </c>
      <c r="AO43" s="366">
        <v>974533</v>
      </c>
      <c r="AP43" s="366">
        <v>52522</v>
      </c>
      <c r="AQ43" s="367">
        <v>5.1138449255395298E-2</v>
      </c>
      <c r="AR43" s="364"/>
      <c r="AS43" s="366"/>
      <c r="AT43" s="368"/>
      <c r="AU43" s="364"/>
      <c r="AV43" s="366"/>
      <c r="AW43" s="368"/>
      <c r="AX43" s="369">
        <v>0</v>
      </c>
      <c r="AY43" s="366">
        <v>0</v>
      </c>
      <c r="AZ43" s="368">
        <v>0</v>
      </c>
      <c r="BA43" s="369">
        <v>0</v>
      </c>
      <c r="BB43" s="366">
        <v>0</v>
      </c>
      <c r="BC43" s="368">
        <v>0</v>
      </c>
      <c r="BD43" s="369">
        <v>1027055</v>
      </c>
      <c r="BE43" s="366">
        <v>974533</v>
      </c>
      <c r="BF43" s="365">
        <v>52522</v>
      </c>
      <c r="BG43" s="370">
        <v>1</v>
      </c>
      <c r="BH43" s="327">
        <v>0</v>
      </c>
      <c r="BI43" s="371">
        <v>0</v>
      </c>
      <c r="BJ43" s="372">
        <v>0</v>
      </c>
      <c r="BK43" s="372">
        <v>0</v>
      </c>
      <c r="BL43" s="373">
        <v>0</v>
      </c>
    </row>
    <row r="44" spans="1:64" ht="19.5" customHeight="1">
      <c r="A44" s="354" t="s">
        <v>903</v>
      </c>
      <c r="B44" s="406" t="s">
        <v>904</v>
      </c>
      <c r="C44" s="356">
        <v>2056876929</v>
      </c>
      <c r="D44" s="356">
        <v>1943748699</v>
      </c>
      <c r="E44" s="356">
        <v>113128230</v>
      </c>
      <c r="F44" s="357">
        <v>316089933</v>
      </c>
      <c r="G44" s="357">
        <v>298704987</v>
      </c>
      <c r="H44" s="358">
        <v>17384946</v>
      </c>
      <c r="I44" s="359"/>
      <c r="J44" s="359"/>
      <c r="K44" s="358"/>
      <c r="L44" s="518">
        <v>0.15367469424091401</v>
      </c>
      <c r="M44" s="358">
        <v>0</v>
      </c>
      <c r="N44" s="361">
        <v>0</v>
      </c>
      <c r="O44" s="358">
        <v>0</v>
      </c>
      <c r="P44" s="358">
        <v>0</v>
      </c>
      <c r="Q44" s="357">
        <v>0</v>
      </c>
      <c r="R44" s="358">
        <v>0</v>
      </c>
      <c r="S44" s="358">
        <v>316089933</v>
      </c>
      <c r="T44" s="358">
        <v>298704987</v>
      </c>
      <c r="U44" s="357">
        <v>17384946</v>
      </c>
      <c r="V44" s="358"/>
      <c r="W44" s="358"/>
      <c r="X44" s="358"/>
      <c r="Y44" s="358"/>
      <c r="Z44" s="358"/>
      <c r="AA44" s="358"/>
      <c r="AB44" s="358"/>
      <c r="AC44" s="362"/>
      <c r="AD44" s="97">
        <v>0</v>
      </c>
      <c r="AE44" s="97">
        <v>3.05311331771918E-16</v>
      </c>
      <c r="AF44" s="97">
        <v>0</v>
      </c>
      <c r="AG44" s="208" t="s">
        <v>630</v>
      </c>
      <c r="AL44" s="364" t="s">
        <v>903</v>
      </c>
      <c r="AM44" s="365" t="s">
        <v>905</v>
      </c>
      <c r="AN44" s="364">
        <v>2056877</v>
      </c>
      <c r="AO44" s="366">
        <v>1943749</v>
      </c>
      <c r="AP44" s="366">
        <v>113128</v>
      </c>
      <c r="AQ44" s="367">
        <v>5.4999885749123602E-2</v>
      </c>
      <c r="AR44" s="364"/>
      <c r="AS44" s="366"/>
      <c r="AT44" s="368"/>
      <c r="AU44" s="364"/>
      <c r="AV44" s="366"/>
      <c r="AW44" s="368"/>
      <c r="AX44" s="369">
        <v>0</v>
      </c>
      <c r="AY44" s="366">
        <v>0</v>
      </c>
      <c r="AZ44" s="368">
        <v>0</v>
      </c>
      <c r="BA44" s="369">
        <v>0</v>
      </c>
      <c r="BB44" s="366">
        <v>0</v>
      </c>
      <c r="BC44" s="368">
        <v>0</v>
      </c>
      <c r="BD44" s="369">
        <v>316090</v>
      </c>
      <c r="BE44" s="366">
        <v>298705</v>
      </c>
      <c r="BF44" s="365">
        <v>17385</v>
      </c>
      <c r="BG44" s="370">
        <v>0.15367472143448499</v>
      </c>
      <c r="BH44" s="327">
        <v>-2.71935713669347E-8</v>
      </c>
      <c r="BI44" s="371">
        <v>1740787</v>
      </c>
      <c r="BJ44" s="372">
        <v>1645044</v>
      </c>
      <c r="BK44" s="372">
        <v>95743</v>
      </c>
      <c r="BL44" s="373">
        <v>0.84632527856551498</v>
      </c>
    </row>
    <row r="45" spans="1:64" ht="19.5" customHeight="1">
      <c r="A45" s="354" t="s">
        <v>411</v>
      </c>
      <c r="B45" s="406" t="s">
        <v>906</v>
      </c>
      <c r="C45" s="356">
        <v>2977338571</v>
      </c>
      <c r="D45" s="356">
        <v>2789207143</v>
      </c>
      <c r="E45" s="356">
        <v>188131428</v>
      </c>
      <c r="F45" s="357">
        <v>2319882858</v>
      </c>
      <c r="G45" s="357">
        <v>2173294600</v>
      </c>
      <c r="H45" s="358">
        <v>146588258</v>
      </c>
      <c r="I45" s="359"/>
      <c r="J45" s="359"/>
      <c r="K45" s="358"/>
      <c r="L45" s="518">
        <v>1</v>
      </c>
      <c r="M45" s="358">
        <v>657455713</v>
      </c>
      <c r="N45" s="361">
        <v>615912543</v>
      </c>
      <c r="O45" s="358">
        <v>41543170</v>
      </c>
      <c r="P45" s="358">
        <v>657455713</v>
      </c>
      <c r="Q45" s="357">
        <v>615912543</v>
      </c>
      <c r="R45" s="358">
        <v>41543170</v>
      </c>
      <c r="S45" s="358">
        <v>2977338571</v>
      </c>
      <c r="T45" s="358">
        <v>2789207143</v>
      </c>
      <c r="U45" s="357">
        <v>188131428</v>
      </c>
      <c r="V45" s="358"/>
      <c r="W45" s="358"/>
      <c r="X45" s="358"/>
      <c r="Y45" s="358"/>
      <c r="Z45" s="358"/>
      <c r="AA45" s="358"/>
      <c r="AB45" s="358"/>
      <c r="AC45" s="362"/>
      <c r="AD45" s="97">
        <v>0</v>
      </c>
      <c r="AE45" s="97">
        <v>0</v>
      </c>
      <c r="AF45" s="97">
        <v>0</v>
      </c>
      <c r="AG45" s="208" t="s">
        <v>630</v>
      </c>
      <c r="AL45" s="364" t="s">
        <v>411</v>
      </c>
      <c r="AM45" s="365" t="s">
        <v>907</v>
      </c>
      <c r="AN45" s="364">
        <v>2977339</v>
      </c>
      <c r="AO45" s="366">
        <v>2789207</v>
      </c>
      <c r="AP45" s="366">
        <v>188132</v>
      </c>
      <c r="AQ45" s="367">
        <v>6.3187967510585794E-2</v>
      </c>
      <c r="AR45" s="364"/>
      <c r="AS45" s="366"/>
      <c r="AT45" s="368"/>
      <c r="AU45" s="364"/>
      <c r="AV45" s="366"/>
      <c r="AW45" s="368"/>
      <c r="AX45" s="369">
        <v>657456</v>
      </c>
      <c r="AY45" s="366">
        <v>615913</v>
      </c>
      <c r="AZ45" s="368">
        <v>41543</v>
      </c>
      <c r="BA45" s="369">
        <v>657456</v>
      </c>
      <c r="BB45" s="366">
        <v>615913</v>
      </c>
      <c r="BC45" s="368">
        <v>41543</v>
      </c>
      <c r="BD45" s="369">
        <v>2977339</v>
      </c>
      <c r="BE45" s="366">
        <v>2789207</v>
      </c>
      <c r="BF45" s="365">
        <v>188132</v>
      </c>
      <c r="BG45" s="370">
        <v>1</v>
      </c>
      <c r="BH45" s="327">
        <v>0</v>
      </c>
      <c r="BI45" s="371">
        <v>0</v>
      </c>
      <c r="BJ45" s="372">
        <v>0</v>
      </c>
      <c r="BK45" s="372">
        <v>0</v>
      </c>
      <c r="BL45" s="373">
        <v>0</v>
      </c>
    </row>
    <row r="46" spans="1:64" ht="19.5" customHeight="1">
      <c r="A46" s="354" t="s">
        <v>413</v>
      </c>
      <c r="B46" s="406" t="s">
        <v>908</v>
      </c>
      <c r="C46" s="356">
        <v>369047619</v>
      </c>
      <c r="D46" s="356">
        <v>348011904</v>
      </c>
      <c r="E46" s="356">
        <v>21035715</v>
      </c>
      <c r="F46" s="357">
        <v>311540444</v>
      </c>
      <c r="G46" s="357">
        <v>293782638.30000001</v>
      </c>
      <c r="H46" s="358">
        <v>17757805.699999999</v>
      </c>
      <c r="I46" s="359"/>
      <c r="J46" s="359"/>
      <c r="K46" s="358"/>
      <c r="L46" s="518">
        <v>0.99989736356834502</v>
      </c>
      <c r="M46" s="358">
        <v>57469297</v>
      </c>
      <c r="N46" s="361">
        <v>54193547</v>
      </c>
      <c r="O46" s="358">
        <v>3275750</v>
      </c>
      <c r="P46" s="358">
        <v>57469297</v>
      </c>
      <c r="Q46" s="357">
        <v>54193547</v>
      </c>
      <c r="R46" s="358">
        <v>3275750</v>
      </c>
      <c r="S46" s="358">
        <v>369009741</v>
      </c>
      <c r="T46" s="358">
        <v>347976185.30000001</v>
      </c>
      <c r="U46" s="357">
        <v>21033555.699999999</v>
      </c>
      <c r="V46" s="358"/>
      <c r="W46" s="358"/>
      <c r="X46" s="358"/>
      <c r="Y46" s="358"/>
      <c r="Z46" s="358"/>
      <c r="AA46" s="358"/>
      <c r="AB46" s="358"/>
      <c r="AC46" s="362"/>
      <c r="AD46" s="97">
        <v>0</v>
      </c>
      <c r="AE46" s="97">
        <v>0</v>
      </c>
      <c r="AF46" s="97">
        <v>0</v>
      </c>
      <c r="AG46" s="208" t="s">
        <v>630</v>
      </c>
      <c r="AL46" s="364" t="s">
        <v>413</v>
      </c>
      <c r="AM46" s="365" t="s">
        <v>909</v>
      </c>
      <c r="AN46" s="364">
        <v>369048</v>
      </c>
      <c r="AO46" s="366">
        <v>348012</v>
      </c>
      <c r="AP46" s="366">
        <v>21036</v>
      </c>
      <c r="AQ46" s="367">
        <v>5.7000715354100298E-2</v>
      </c>
      <c r="AR46" s="364"/>
      <c r="AS46" s="366"/>
      <c r="AT46" s="368"/>
      <c r="AU46" s="364"/>
      <c r="AV46" s="366"/>
      <c r="AW46" s="368"/>
      <c r="AX46" s="369">
        <v>57469</v>
      </c>
      <c r="AY46" s="366">
        <v>54194</v>
      </c>
      <c r="AZ46" s="368">
        <v>3275</v>
      </c>
      <c r="BA46" s="369">
        <v>57469</v>
      </c>
      <c r="BB46" s="366">
        <v>54194</v>
      </c>
      <c r="BC46" s="368">
        <v>3275</v>
      </c>
      <c r="BD46" s="369">
        <v>369010</v>
      </c>
      <c r="BE46" s="366">
        <v>347976</v>
      </c>
      <c r="BF46" s="365">
        <v>21034</v>
      </c>
      <c r="BG46" s="370">
        <v>0.99989703236435401</v>
      </c>
      <c r="BH46" s="327">
        <v>3.31203991343898E-7</v>
      </c>
      <c r="BI46" s="371">
        <v>38</v>
      </c>
      <c r="BJ46" s="372">
        <v>36</v>
      </c>
      <c r="BK46" s="372">
        <v>2</v>
      </c>
      <c r="BL46" s="373">
        <v>1.02967635646323E-4</v>
      </c>
    </row>
    <row r="47" spans="1:64" ht="19.5" customHeight="1">
      <c r="A47" s="354" t="s">
        <v>415</v>
      </c>
      <c r="B47" s="406" t="s">
        <v>539</v>
      </c>
      <c r="C47" s="356">
        <v>2254200000</v>
      </c>
      <c r="D47" s="356">
        <v>2129760000</v>
      </c>
      <c r="E47" s="356">
        <v>124440000</v>
      </c>
      <c r="F47" s="357">
        <v>1020250662</v>
      </c>
      <c r="G47" s="357">
        <v>963929132</v>
      </c>
      <c r="H47" s="358">
        <v>56321530</v>
      </c>
      <c r="I47" s="359"/>
      <c r="J47" s="359"/>
      <c r="K47" s="358"/>
      <c r="L47" s="518">
        <v>0.762107548737886</v>
      </c>
      <c r="M47" s="358">
        <v>697692174</v>
      </c>
      <c r="N47" s="361">
        <v>659177041</v>
      </c>
      <c r="O47" s="358">
        <v>38515133</v>
      </c>
      <c r="P47" s="358">
        <v>697692174</v>
      </c>
      <c r="Q47" s="357">
        <v>659177041</v>
      </c>
      <c r="R47" s="358">
        <v>38515133</v>
      </c>
      <c r="S47" s="358">
        <v>1717942836</v>
      </c>
      <c r="T47" s="358">
        <v>1623106173</v>
      </c>
      <c r="U47" s="357">
        <v>94836663</v>
      </c>
      <c r="V47" s="358"/>
      <c r="W47" s="358"/>
      <c r="X47" s="358"/>
      <c r="Y47" s="358"/>
      <c r="Z47" s="358"/>
      <c r="AA47" s="358"/>
      <c r="AB47" s="358"/>
      <c r="AC47" s="362"/>
      <c r="AD47" s="97">
        <v>0</v>
      </c>
      <c r="AE47" s="97">
        <v>0</v>
      </c>
      <c r="AF47" s="97">
        <v>0</v>
      </c>
      <c r="AL47" s="364" t="s">
        <v>415</v>
      </c>
      <c r="AM47" s="365" t="s">
        <v>910</v>
      </c>
      <c r="AN47" s="364">
        <v>2254200</v>
      </c>
      <c r="AO47" s="366">
        <v>2129760</v>
      </c>
      <c r="AP47" s="366">
        <v>124440</v>
      </c>
      <c r="AQ47" s="367">
        <v>5.5203619909502302E-2</v>
      </c>
      <c r="AR47" s="364"/>
      <c r="AS47" s="366"/>
      <c r="AT47" s="368"/>
      <c r="AU47" s="364"/>
      <c r="AV47" s="366"/>
      <c r="AW47" s="368"/>
      <c r="AX47" s="369">
        <v>697692</v>
      </c>
      <c r="AY47" s="366">
        <v>659177</v>
      </c>
      <c r="AZ47" s="368">
        <v>38515</v>
      </c>
      <c r="BA47" s="369">
        <v>697692</v>
      </c>
      <c r="BB47" s="366">
        <v>659177</v>
      </c>
      <c r="BC47" s="368">
        <v>38515</v>
      </c>
      <c r="BD47" s="369">
        <v>1717943</v>
      </c>
      <c r="BE47" s="366">
        <v>1623106</v>
      </c>
      <c r="BF47" s="365">
        <v>94837</v>
      </c>
      <c r="BG47" s="370">
        <v>0.76210762132907495</v>
      </c>
      <c r="BH47" s="327">
        <v>-7.2591188615689401E-8</v>
      </c>
      <c r="BI47" s="371">
        <v>536257</v>
      </c>
      <c r="BJ47" s="372">
        <v>506654</v>
      </c>
      <c r="BK47" s="372">
        <v>29603</v>
      </c>
      <c r="BL47" s="373">
        <v>0.237892378670925</v>
      </c>
    </row>
    <row r="48" spans="1:64" ht="19.5" customHeight="1">
      <c r="A48" s="354" t="s">
        <v>417</v>
      </c>
      <c r="B48" s="406" t="s">
        <v>540</v>
      </c>
      <c r="C48" s="356">
        <v>1544284161</v>
      </c>
      <c r="D48" s="356">
        <v>1454306174</v>
      </c>
      <c r="E48" s="356">
        <v>89977987</v>
      </c>
      <c r="F48" s="357">
        <v>853856071</v>
      </c>
      <c r="G48" s="357">
        <v>804105998</v>
      </c>
      <c r="H48" s="358">
        <v>49750073</v>
      </c>
      <c r="I48" s="359"/>
      <c r="J48" s="359"/>
      <c r="K48" s="358"/>
      <c r="L48" s="518">
        <v>0.96490463981211105</v>
      </c>
      <c r="M48" s="358">
        <v>636230881</v>
      </c>
      <c r="N48" s="361">
        <v>599160777</v>
      </c>
      <c r="O48" s="358">
        <v>37070104</v>
      </c>
      <c r="P48" s="358">
        <v>636230881</v>
      </c>
      <c r="Q48" s="357">
        <v>599160777</v>
      </c>
      <c r="R48" s="358">
        <v>37070104</v>
      </c>
      <c r="S48" s="358">
        <v>1490086952</v>
      </c>
      <c r="T48" s="358">
        <v>1403266775</v>
      </c>
      <c r="U48" s="358">
        <v>86820177</v>
      </c>
      <c r="V48" s="358"/>
      <c r="W48" s="358"/>
      <c r="X48" s="358"/>
      <c r="Y48" s="358"/>
      <c r="Z48" s="358"/>
      <c r="AA48" s="358"/>
      <c r="AB48" s="358"/>
      <c r="AC48" s="362"/>
      <c r="AD48" s="97">
        <v>0</v>
      </c>
      <c r="AE48" s="97">
        <v>0</v>
      </c>
      <c r="AF48" s="97">
        <v>0</v>
      </c>
      <c r="AL48" s="364" t="s">
        <v>417</v>
      </c>
      <c r="AM48" s="365" t="s">
        <v>911</v>
      </c>
      <c r="AN48" s="364">
        <v>1544284</v>
      </c>
      <c r="AO48" s="366">
        <v>1454306</v>
      </c>
      <c r="AP48" s="366">
        <v>89978</v>
      </c>
      <c r="AQ48" s="367">
        <v>5.82651895635777E-2</v>
      </c>
      <c r="AR48" s="364"/>
      <c r="AS48" s="366"/>
      <c r="AT48" s="368"/>
      <c r="AU48" s="364"/>
      <c r="AV48" s="366"/>
      <c r="AW48" s="368"/>
      <c r="AX48" s="369">
        <v>636231</v>
      </c>
      <c r="AY48" s="366">
        <v>599161</v>
      </c>
      <c r="AZ48" s="368">
        <v>37070</v>
      </c>
      <c r="BA48" s="369">
        <v>636231</v>
      </c>
      <c r="BB48" s="366">
        <v>599161</v>
      </c>
      <c r="BC48" s="368">
        <v>37070</v>
      </c>
      <c r="BD48" s="369">
        <v>1490087</v>
      </c>
      <c r="BE48" s="366">
        <v>1403267</v>
      </c>
      <c r="BF48" s="365">
        <v>86820</v>
      </c>
      <c r="BG48" s="370">
        <v>0.96490477140215203</v>
      </c>
      <c r="BH48" s="327">
        <v>-1.3159004041973801E-7</v>
      </c>
      <c r="BI48" s="371">
        <v>54197</v>
      </c>
      <c r="BJ48" s="372">
        <v>51039</v>
      </c>
      <c r="BK48" s="372">
        <v>3158</v>
      </c>
      <c r="BL48" s="373">
        <v>3.5095228597848499E-2</v>
      </c>
    </row>
    <row r="49" spans="1:64" ht="19.5" customHeight="1">
      <c r="A49" s="354" t="s">
        <v>912</v>
      </c>
      <c r="B49" s="406" t="s">
        <v>913</v>
      </c>
      <c r="C49" s="356">
        <v>1380952380.9523799</v>
      </c>
      <c r="D49" s="356">
        <v>1305000000</v>
      </c>
      <c r="E49" s="356">
        <v>75952380.952380896</v>
      </c>
      <c r="F49" s="357">
        <v>340059524</v>
      </c>
      <c r="G49" s="357">
        <v>339300000</v>
      </c>
      <c r="H49" s="358">
        <v>759524</v>
      </c>
      <c r="I49" s="359"/>
      <c r="J49" s="359"/>
      <c r="K49" s="358"/>
      <c r="L49" s="518">
        <v>0.51</v>
      </c>
      <c r="M49" s="358">
        <v>364226190</v>
      </c>
      <c r="N49" s="361">
        <v>326250000</v>
      </c>
      <c r="O49" s="358">
        <v>37976190</v>
      </c>
      <c r="P49" s="358">
        <v>364226190</v>
      </c>
      <c r="Q49" s="357">
        <v>326250000</v>
      </c>
      <c r="R49" s="358">
        <v>37976190</v>
      </c>
      <c r="S49" s="358">
        <v>704285714</v>
      </c>
      <c r="T49" s="358">
        <v>665550000</v>
      </c>
      <c r="U49" s="357">
        <v>38735714</v>
      </c>
      <c r="V49" s="358"/>
      <c r="W49" s="358"/>
      <c r="X49" s="358"/>
      <c r="Y49" s="358"/>
      <c r="Z49" s="358"/>
      <c r="AA49" s="358"/>
      <c r="AB49" s="358"/>
      <c r="AC49" s="362"/>
      <c r="AD49" s="97">
        <v>0</v>
      </c>
      <c r="AE49" s="97">
        <v>0</v>
      </c>
      <c r="AF49" s="97">
        <v>0</v>
      </c>
      <c r="AL49" s="364" t="s">
        <v>912</v>
      </c>
      <c r="AM49" s="365" t="s">
        <v>914</v>
      </c>
      <c r="AN49" s="364">
        <v>1380952</v>
      </c>
      <c r="AO49" s="366">
        <v>1305000</v>
      </c>
      <c r="AP49" s="366">
        <v>75952</v>
      </c>
      <c r="AQ49" s="367">
        <v>5.4999739310272897E-2</v>
      </c>
      <c r="AR49" s="364"/>
      <c r="AS49" s="366"/>
      <c r="AT49" s="368"/>
      <c r="AU49" s="364"/>
      <c r="AV49" s="366"/>
      <c r="AW49" s="368"/>
      <c r="AX49" s="369">
        <v>364226</v>
      </c>
      <c r="AY49" s="366">
        <v>326250</v>
      </c>
      <c r="AZ49" s="368">
        <v>37976</v>
      </c>
      <c r="BA49" s="369">
        <v>364226</v>
      </c>
      <c r="BB49" s="366">
        <v>326250</v>
      </c>
      <c r="BC49" s="368">
        <v>37976</v>
      </c>
      <c r="BD49" s="369">
        <v>704286</v>
      </c>
      <c r="BE49" s="366">
        <v>665550</v>
      </c>
      <c r="BF49" s="365">
        <v>38736</v>
      </c>
      <c r="BG49" s="370">
        <v>0.51000034758630297</v>
      </c>
      <c r="BH49" s="327">
        <v>-3.4758630274023298E-7</v>
      </c>
      <c r="BI49" s="371">
        <v>676666</v>
      </c>
      <c r="BJ49" s="372">
        <v>639450</v>
      </c>
      <c r="BK49" s="372">
        <v>37216</v>
      </c>
      <c r="BL49" s="373">
        <v>0.48999965241369697</v>
      </c>
    </row>
    <row r="50" spans="1:64" ht="19.5" customHeight="1">
      <c r="A50" s="354" t="s">
        <v>419</v>
      </c>
      <c r="B50" s="406" t="s">
        <v>420</v>
      </c>
      <c r="C50" s="356">
        <v>1495238095</v>
      </c>
      <c r="D50" s="356">
        <v>1412908069</v>
      </c>
      <c r="E50" s="356">
        <v>82330026</v>
      </c>
      <c r="F50" s="357">
        <v>759533564</v>
      </c>
      <c r="G50" s="357">
        <v>717712520.40600002</v>
      </c>
      <c r="H50" s="358">
        <v>41821043.593999997</v>
      </c>
      <c r="I50" s="359"/>
      <c r="J50" s="359"/>
      <c r="K50" s="358"/>
      <c r="L50" s="518">
        <v>0.81218293715187195</v>
      </c>
      <c r="M50" s="358">
        <v>454873304</v>
      </c>
      <c r="N50" s="361">
        <v>429827305</v>
      </c>
      <c r="O50" s="358">
        <v>25045999</v>
      </c>
      <c r="P50" s="358">
        <v>454873304</v>
      </c>
      <c r="Q50" s="357">
        <v>429827305</v>
      </c>
      <c r="R50" s="358">
        <v>25045999</v>
      </c>
      <c r="S50" s="358">
        <v>1214406868</v>
      </c>
      <c r="T50" s="358">
        <v>1147539825.4059999</v>
      </c>
      <c r="U50" s="357">
        <v>66867042.5939999</v>
      </c>
      <c r="V50" s="358"/>
      <c r="W50" s="358"/>
      <c r="X50" s="358"/>
      <c r="Y50" s="358"/>
      <c r="Z50" s="358"/>
      <c r="AA50" s="358"/>
      <c r="AB50" s="358"/>
      <c r="AC50" s="362"/>
      <c r="AD50" s="97">
        <v>0</v>
      </c>
      <c r="AE50" s="97">
        <v>0</v>
      </c>
      <c r="AF50" s="97">
        <v>0</v>
      </c>
      <c r="AL50" s="364" t="s">
        <v>419</v>
      </c>
      <c r="AM50" s="365" t="s">
        <v>915</v>
      </c>
      <c r="AN50" s="364">
        <v>1495238</v>
      </c>
      <c r="AO50" s="366">
        <v>1412908</v>
      </c>
      <c r="AP50" s="366">
        <v>82330</v>
      </c>
      <c r="AQ50" s="367">
        <v>5.5061468475252798E-2</v>
      </c>
      <c r="AR50" s="408"/>
      <c r="AS50" s="366"/>
      <c r="AT50" s="368"/>
      <c r="AU50" s="364"/>
      <c r="AV50" s="366"/>
      <c r="AW50" s="368"/>
      <c r="AX50" s="369">
        <v>454873</v>
      </c>
      <c r="AY50" s="366">
        <v>429827</v>
      </c>
      <c r="AZ50" s="368">
        <v>25046</v>
      </c>
      <c r="BA50" s="369">
        <v>454873</v>
      </c>
      <c r="BB50" s="366">
        <v>429827</v>
      </c>
      <c r="BC50" s="368">
        <v>25046</v>
      </c>
      <c r="BD50" s="369">
        <v>1214407</v>
      </c>
      <c r="BE50" s="366">
        <v>1147540</v>
      </c>
      <c r="BF50" s="365">
        <v>66867</v>
      </c>
      <c r="BG50" s="370">
        <v>0.81218307720911298</v>
      </c>
      <c r="BH50" s="327">
        <v>-1.4005724124910299E-7</v>
      </c>
      <c r="BI50" s="371">
        <v>280831</v>
      </c>
      <c r="BJ50" s="372">
        <v>265368</v>
      </c>
      <c r="BK50" s="372">
        <v>15463</v>
      </c>
      <c r="BL50" s="373">
        <v>0.18781692279088699</v>
      </c>
    </row>
    <row r="51" spans="1:64" ht="19.5" customHeight="1">
      <c r="A51" s="354" t="s">
        <v>421</v>
      </c>
      <c r="B51" s="406" t="s">
        <v>422</v>
      </c>
      <c r="C51" s="356">
        <v>285714286</v>
      </c>
      <c r="D51" s="356">
        <v>269984987</v>
      </c>
      <c r="E51" s="356">
        <v>15729299</v>
      </c>
      <c r="F51" s="357">
        <v>285666344</v>
      </c>
      <c r="G51" s="357">
        <v>269939684</v>
      </c>
      <c r="H51" s="358">
        <v>15726660</v>
      </c>
      <c r="I51" s="359"/>
      <c r="J51" s="359"/>
      <c r="K51" s="358"/>
      <c r="L51" s="518">
        <v>0.99988663073328599</v>
      </c>
      <c r="M51" s="358">
        <v>15551</v>
      </c>
      <c r="N51" s="361">
        <v>14695</v>
      </c>
      <c r="O51" s="358">
        <v>856</v>
      </c>
      <c r="P51" s="358">
        <v>15551</v>
      </c>
      <c r="Q51" s="357">
        <v>14695</v>
      </c>
      <c r="R51" s="358">
        <v>856</v>
      </c>
      <c r="S51" s="358">
        <v>285681895</v>
      </c>
      <c r="T51" s="358">
        <v>269954379</v>
      </c>
      <c r="U51" s="357">
        <v>15727516</v>
      </c>
      <c r="V51" s="358"/>
      <c r="W51" s="358"/>
      <c r="X51" s="358"/>
      <c r="Y51" s="358"/>
      <c r="Z51" s="358"/>
      <c r="AA51" s="358"/>
      <c r="AB51" s="358"/>
      <c r="AC51" s="362"/>
      <c r="AD51" s="97">
        <v>0</v>
      </c>
      <c r="AE51" s="97">
        <v>0</v>
      </c>
      <c r="AF51" s="97">
        <v>0</v>
      </c>
      <c r="AL51" s="364" t="s">
        <v>421</v>
      </c>
      <c r="AM51" s="365" t="s">
        <v>916</v>
      </c>
      <c r="AN51" s="364">
        <v>285714</v>
      </c>
      <c r="AO51" s="366">
        <v>269985</v>
      </c>
      <c r="AP51" s="366">
        <v>15729</v>
      </c>
      <c r="AQ51" s="367">
        <v>5.5051555051555102E-2</v>
      </c>
      <c r="AR51" s="364"/>
      <c r="AS51" s="366"/>
      <c r="AT51" s="368"/>
      <c r="AU51" s="364"/>
      <c r="AV51" s="366"/>
      <c r="AW51" s="368"/>
      <c r="AX51" s="369">
        <v>16</v>
      </c>
      <c r="AY51" s="366">
        <v>15</v>
      </c>
      <c r="AZ51" s="368">
        <v>1</v>
      </c>
      <c r="BA51" s="369">
        <v>16</v>
      </c>
      <c r="BB51" s="366">
        <v>15</v>
      </c>
      <c r="BC51" s="368">
        <v>1</v>
      </c>
      <c r="BD51" s="369">
        <v>285682</v>
      </c>
      <c r="BE51" s="366">
        <v>269954</v>
      </c>
      <c r="BF51" s="365">
        <v>15728</v>
      </c>
      <c r="BG51" s="370">
        <v>0.99988799988800003</v>
      </c>
      <c r="BH51" s="327">
        <v>-1.3691547139371701E-6</v>
      </c>
      <c r="BI51" s="371">
        <v>32</v>
      </c>
      <c r="BJ51" s="372">
        <v>31</v>
      </c>
      <c r="BK51" s="372">
        <v>1</v>
      </c>
      <c r="BL51" s="373">
        <v>1.12000112000077E-4</v>
      </c>
    </row>
    <row r="52" spans="1:64" ht="19.5" customHeight="1">
      <c r="A52" s="354" t="s">
        <v>423</v>
      </c>
      <c r="B52" s="406" t="s">
        <v>424</v>
      </c>
      <c r="C52" s="356">
        <v>741409524</v>
      </c>
      <c r="D52" s="356">
        <v>686744218</v>
      </c>
      <c r="E52" s="356">
        <v>54665306</v>
      </c>
      <c r="F52" s="357">
        <v>543075927</v>
      </c>
      <c r="G52" s="357">
        <v>503034073</v>
      </c>
      <c r="H52" s="358">
        <v>40041854</v>
      </c>
      <c r="I52" s="359"/>
      <c r="J52" s="359"/>
      <c r="K52" s="358"/>
      <c r="L52" s="518">
        <v>0.99781578066376997</v>
      </c>
      <c r="M52" s="358">
        <v>196714196</v>
      </c>
      <c r="N52" s="361">
        <v>182210145</v>
      </c>
      <c r="O52" s="358">
        <v>14504051</v>
      </c>
      <c r="P52" s="358">
        <v>196714196</v>
      </c>
      <c r="Q52" s="357">
        <v>182210145</v>
      </c>
      <c r="R52" s="358">
        <v>14504051</v>
      </c>
      <c r="S52" s="358">
        <v>739790123</v>
      </c>
      <c r="T52" s="358">
        <v>685244218</v>
      </c>
      <c r="U52" s="357">
        <v>54545905</v>
      </c>
      <c r="V52" s="358"/>
      <c r="W52" s="358"/>
      <c r="X52" s="358"/>
      <c r="Y52" s="358"/>
      <c r="Z52" s="358"/>
      <c r="AA52" s="358"/>
      <c r="AB52" s="358"/>
      <c r="AC52" s="362"/>
      <c r="AD52" s="97">
        <v>0</v>
      </c>
      <c r="AE52" s="97">
        <v>0</v>
      </c>
      <c r="AF52" s="97">
        <v>0</v>
      </c>
      <c r="AL52" s="364" t="s">
        <v>423</v>
      </c>
      <c r="AM52" s="365" t="s">
        <v>917</v>
      </c>
      <c r="AN52" s="364">
        <v>741410</v>
      </c>
      <c r="AO52" s="366">
        <v>686744</v>
      </c>
      <c r="AP52" s="366">
        <v>54666</v>
      </c>
      <c r="AQ52" s="367">
        <v>7.3732482701878904E-2</v>
      </c>
      <c r="AR52" s="364"/>
      <c r="AS52" s="366"/>
      <c r="AT52" s="368"/>
      <c r="AU52" s="364"/>
      <c r="AV52" s="366"/>
      <c r="AW52" s="368"/>
      <c r="AX52" s="369">
        <v>196714</v>
      </c>
      <c r="AY52" s="366">
        <v>182210</v>
      </c>
      <c r="AZ52" s="368">
        <v>14504</v>
      </c>
      <c r="BA52" s="369">
        <v>196714</v>
      </c>
      <c r="BB52" s="366">
        <v>182210</v>
      </c>
      <c r="BC52" s="368">
        <v>14504</v>
      </c>
      <c r="BD52" s="369">
        <v>739790</v>
      </c>
      <c r="BE52" s="366">
        <v>685244</v>
      </c>
      <c r="BF52" s="365">
        <v>54546</v>
      </c>
      <c r="BG52" s="370">
        <v>0.99781497417083698</v>
      </c>
      <c r="BH52" s="327">
        <v>8.0649293332513097E-7</v>
      </c>
      <c r="BI52" s="371">
        <v>1620</v>
      </c>
      <c r="BJ52" s="372">
        <v>1500</v>
      </c>
      <c r="BK52" s="372">
        <v>120</v>
      </c>
      <c r="BL52" s="373">
        <v>2.1850258291633601E-3</v>
      </c>
    </row>
    <row r="53" spans="1:64" ht="19.5" customHeight="1">
      <c r="A53" s="354" t="s">
        <v>918</v>
      </c>
      <c r="B53" s="406" t="s">
        <v>856</v>
      </c>
      <c r="C53" s="356">
        <v>8000000000</v>
      </c>
      <c r="D53" s="356">
        <v>7560000000</v>
      </c>
      <c r="E53" s="356">
        <v>440000000</v>
      </c>
      <c r="F53" s="357">
        <v>800000000</v>
      </c>
      <c r="G53" s="357">
        <v>756000000</v>
      </c>
      <c r="H53" s="358">
        <v>44000000</v>
      </c>
      <c r="I53" s="359"/>
      <c r="J53" s="359"/>
      <c r="K53" s="358"/>
      <c r="L53" s="518">
        <v>0.4</v>
      </c>
      <c r="M53" s="358">
        <v>2400000000</v>
      </c>
      <c r="N53" s="361">
        <v>2268000000</v>
      </c>
      <c r="O53" s="358">
        <v>132000000</v>
      </c>
      <c r="P53" s="358">
        <v>2400000000</v>
      </c>
      <c r="Q53" s="357">
        <v>2268000000</v>
      </c>
      <c r="R53" s="358">
        <v>132000000</v>
      </c>
      <c r="S53" s="358">
        <v>3200000000</v>
      </c>
      <c r="T53" s="358">
        <v>3024000000</v>
      </c>
      <c r="U53" s="357">
        <v>176000000</v>
      </c>
      <c r="V53" s="358"/>
      <c r="W53" s="358"/>
      <c r="X53" s="358"/>
      <c r="Y53" s="358"/>
      <c r="Z53" s="358"/>
      <c r="AA53" s="358"/>
      <c r="AB53" s="358"/>
      <c r="AC53" s="362"/>
      <c r="AD53" s="97">
        <v>0</v>
      </c>
      <c r="AE53" s="97">
        <v>0</v>
      </c>
      <c r="AF53" s="97">
        <v>0</v>
      </c>
      <c r="AL53" s="364" t="s">
        <v>918</v>
      </c>
      <c r="AM53" s="365" t="s">
        <v>857</v>
      </c>
      <c r="AN53" s="364">
        <v>8000000</v>
      </c>
      <c r="AO53" s="366">
        <v>7560000</v>
      </c>
      <c r="AP53" s="366">
        <v>440000</v>
      </c>
      <c r="AQ53" s="367">
        <v>5.5E-2</v>
      </c>
      <c r="AR53" s="364"/>
      <c r="AS53" s="366"/>
      <c r="AT53" s="368"/>
      <c r="AU53" s="364"/>
      <c r="AV53" s="366"/>
      <c r="AW53" s="368"/>
      <c r="AX53" s="369">
        <v>2400000</v>
      </c>
      <c r="AY53" s="366">
        <v>2268000</v>
      </c>
      <c r="AZ53" s="368">
        <v>132000</v>
      </c>
      <c r="BA53" s="369">
        <v>2400000</v>
      </c>
      <c r="BB53" s="366">
        <v>2268000</v>
      </c>
      <c r="BC53" s="368">
        <v>132000</v>
      </c>
      <c r="BD53" s="369">
        <v>3200000</v>
      </c>
      <c r="BE53" s="366">
        <v>3024000</v>
      </c>
      <c r="BF53" s="365">
        <v>176000</v>
      </c>
      <c r="BG53" s="370">
        <v>0.4</v>
      </c>
      <c r="BH53" s="327">
        <v>0</v>
      </c>
      <c r="BI53" s="371">
        <v>4800000</v>
      </c>
      <c r="BJ53" s="372">
        <v>4536000</v>
      </c>
      <c r="BK53" s="372">
        <v>264000</v>
      </c>
      <c r="BL53" s="373">
        <v>0.6</v>
      </c>
    </row>
    <row r="54" spans="1:64" ht="19.5" customHeight="1">
      <c r="A54" s="354" t="s">
        <v>919</v>
      </c>
      <c r="B54" s="406" t="s">
        <v>859</v>
      </c>
      <c r="C54" s="380">
        <v>10000000000</v>
      </c>
      <c r="D54" s="380">
        <v>9450000000</v>
      </c>
      <c r="E54" s="356">
        <v>550000000</v>
      </c>
      <c r="F54" s="357">
        <v>250000000</v>
      </c>
      <c r="G54" s="357">
        <v>236250000</v>
      </c>
      <c r="H54" s="358">
        <v>13750000</v>
      </c>
      <c r="I54" s="359"/>
      <c r="J54" s="359"/>
      <c r="K54" s="358"/>
      <c r="L54" s="518">
        <v>0.32500000000000001</v>
      </c>
      <c r="M54" s="358">
        <v>3000000000</v>
      </c>
      <c r="N54" s="361">
        <v>2835000000</v>
      </c>
      <c r="O54" s="358">
        <v>165000000</v>
      </c>
      <c r="P54" s="358">
        <v>3000000000</v>
      </c>
      <c r="Q54" s="357">
        <v>2835000000</v>
      </c>
      <c r="R54" s="358">
        <v>165000000</v>
      </c>
      <c r="S54" s="358">
        <v>3250000000</v>
      </c>
      <c r="T54" s="358">
        <v>3071250000</v>
      </c>
      <c r="U54" s="357">
        <v>178750000</v>
      </c>
      <c r="V54" s="358"/>
      <c r="W54" s="358"/>
      <c r="X54" s="358"/>
      <c r="Y54" s="358"/>
      <c r="Z54" s="358"/>
      <c r="AA54" s="358"/>
      <c r="AB54" s="358"/>
      <c r="AC54" s="362"/>
      <c r="AD54" s="97">
        <v>0</v>
      </c>
      <c r="AE54" s="97">
        <v>0</v>
      </c>
      <c r="AF54" s="97">
        <v>0</v>
      </c>
      <c r="AL54" s="364" t="s">
        <v>919</v>
      </c>
      <c r="AM54" s="365" t="s">
        <v>860</v>
      </c>
      <c r="AN54" s="364">
        <v>10000000</v>
      </c>
      <c r="AO54" s="366">
        <v>9450000</v>
      </c>
      <c r="AP54" s="366">
        <v>550000</v>
      </c>
      <c r="AQ54" s="367">
        <v>5.5E-2</v>
      </c>
      <c r="AR54" s="364"/>
      <c r="AS54" s="366"/>
      <c r="AT54" s="368"/>
      <c r="AU54" s="364"/>
      <c r="AV54" s="366"/>
      <c r="AW54" s="368"/>
      <c r="AX54" s="369">
        <v>3000000</v>
      </c>
      <c r="AY54" s="366">
        <v>2835000</v>
      </c>
      <c r="AZ54" s="368">
        <v>165000</v>
      </c>
      <c r="BA54" s="369">
        <v>3000000</v>
      </c>
      <c r="BB54" s="366">
        <v>2835000</v>
      </c>
      <c r="BC54" s="368">
        <v>165000</v>
      </c>
      <c r="BD54" s="369">
        <v>3250000</v>
      </c>
      <c r="BE54" s="366">
        <v>3071250</v>
      </c>
      <c r="BF54" s="365">
        <v>178750</v>
      </c>
      <c r="BG54" s="370">
        <v>0.32500000000000001</v>
      </c>
      <c r="BH54" s="327">
        <v>0</v>
      </c>
      <c r="BI54" s="371">
        <v>6750000</v>
      </c>
      <c r="BJ54" s="372">
        <v>6378750</v>
      </c>
      <c r="BK54" s="372">
        <v>371250</v>
      </c>
      <c r="BL54" s="373">
        <v>0.67500000000000004</v>
      </c>
    </row>
    <row r="55" spans="1:64" ht="19.5" customHeight="1">
      <c r="A55" s="354" t="s">
        <v>920</v>
      </c>
      <c r="B55" s="406" t="s">
        <v>862</v>
      </c>
      <c r="C55" s="380">
        <v>10000000000</v>
      </c>
      <c r="D55" s="380">
        <v>9450000000</v>
      </c>
      <c r="E55" s="356">
        <v>550000000</v>
      </c>
      <c r="F55" s="357">
        <v>0</v>
      </c>
      <c r="G55" s="357">
        <v>0</v>
      </c>
      <c r="H55" s="358">
        <v>0</v>
      </c>
      <c r="I55" s="359"/>
      <c r="J55" s="359"/>
      <c r="K55" s="358"/>
      <c r="L55" s="518">
        <v>2.5000000000000001E-2</v>
      </c>
      <c r="M55" s="358">
        <v>250000000</v>
      </c>
      <c r="N55" s="361">
        <v>236250000</v>
      </c>
      <c r="O55" s="358">
        <v>13750000</v>
      </c>
      <c r="P55" s="358">
        <v>250000000</v>
      </c>
      <c r="Q55" s="357">
        <v>236250000</v>
      </c>
      <c r="R55" s="358">
        <v>13750000</v>
      </c>
      <c r="S55" s="358">
        <v>250000000</v>
      </c>
      <c r="T55" s="358">
        <v>236250000</v>
      </c>
      <c r="U55" s="357">
        <v>13750000</v>
      </c>
      <c r="V55" s="358"/>
      <c r="W55" s="358"/>
      <c r="X55" s="358"/>
      <c r="Y55" s="358"/>
      <c r="Z55" s="358"/>
      <c r="AA55" s="358"/>
      <c r="AB55" s="358"/>
      <c r="AC55" s="362"/>
      <c r="AD55" s="97">
        <v>0</v>
      </c>
      <c r="AE55" s="97">
        <v>0</v>
      </c>
      <c r="AF55" s="97">
        <v>0</v>
      </c>
      <c r="AL55" s="364" t="s">
        <v>920</v>
      </c>
      <c r="AM55" s="365" t="s">
        <v>863</v>
      </c>
      <c r="AN55" s="364">
        <v>10000000</v>
      </c>
      <c r="AO55" s="366">
        <v>9450000</v>
      </c>
      <c r="AP55" s="366">
        <v>550000</v>
      </c>
      <c r="AQ55" s="367">
        <v>5.5E-2</v>
      </c>
      <c r="AR55" s="364"/>
      <c r="AS55" s="366"/>
      <c r="AT55" s="368">
        <v>0</v>
      </c>
      <c r="AU55" s="364"/>
      <c r="AV55" s="366"/>
      <c r="AW55" s="368"/>
      <c r="AX55" s="369">
        <v>250000</v>
      </c>
      <c r="AY55" s="366">
        <v>236250</v>
      </c>
      <c r="AZ55" s="368">
        <v>13750</v>
      </c>
      <c r="BA55" s="369">
        <v>250000</v>
      </c>
      <c r="BB55" s="366">
        <v>236250</v>
      </c>
      <c r="BC55" s="368">
        <v>13750</v>
      </c>
      <c r="BD55" s="369">
        <v>250000</v>
      </c>
      <c r="BE55" s="366">
        <v>236250</v>
      </c>
      <c r="BF55" s="365">
        <v>13750</v>
      </c>
      <c r="BG55" s="370">
        <v>2.5000000000000001E-2</v>
      </c>
      <c r="BH55" s="327">
        <v>0</v>
      </c>
      <c r="BI55" s="371">
        <v>9750000</v>
      </c>
      <c r="BJ55" s="372">
        <v>9213750</v>
      </c>
      <c r="BK55" s="372">
        <v>536250</v>
      </c>
      <c r="BL55" s="373">
        <v>0.97499999999999998</v>
      </c>
    </row>
    <row r="56" spans="1:64" ht="19.5" customHeight="1">
      <c r="A56" s="354" t="s">
        <v>921</v>
      </c>
      <c r="B56" s="406" t="s">
        <v>922</v>
      </c>
      <c r="C56" s="356">
        <v>-417948976</v>
      </c>
      <c r="D56" s="356">
        <v>-417948976</v>
      </c>
      <c r="E56" s="356">
        <v>0</v>
      </c>
      <c r="F56" s="357">
        <v>-417268342</v>
      </c>
      <c r="G56" s="357">
        <v>-417268342</v>
      </c>
      <c r="H56" s="358">
        <v>0</v>
      </c>
      <c r="I56" s="359"/>
      <c r="J56" s="359"/>
      <c r="K56" s="358"/>
      <c r="L56" s="518">
        <v>0.99999994257672298</v>
      </c>
      <c r="M56" s="358">
        <v>-680610</v>
      </c>
      <c r="N56" s="361">
        <v>-680610</v>
      </c>
      <c r="O56" s="358">
        <v>0</v>
      </c>
      <c r="P56" s="358">
        <v>-680610</v>
      </c>
      <c r="Q56" s="357">
        <v>-680610</v>
      </c>
      <c r="R56" s="358">
        <v>0</v>
      </c>
      <c r="S56" s="226">
        <v>-417948952</v>
      </c>
      <c r="T56" s="226">
        <v>-417948952</v>
      </c>
      <c r="U56" s="227">
        <v>0</v>
      </c>
      <c r="V56" s="358"/>
      <c r="W56" s="358"/>
      <c r="X56" s="358"/>
      <c r="Y56" s="358"/>
      <c r="Z56" s="358"/>
      <c r="AA56" s="358"/>
      <c r="AB56" s="358"/>
      <c r="AC56" s="362"/>
      <c r="AD56" s="97">
        <v>0</v>
      </c>
      <c r="AE56" s="97">
        <v>0</v>
      </c>
      <c r="AF56" s="97">
        <v>0</v>
      </c>
      <c r="AL56" s="364" t="s">
        <v>921</v>
      </c>
      <c r="AM56" s="365" t="s">
        <v>923</v>
      </c>
      <c r="AN56" s="364">
        <v>-417949</v>
      </c>
      <c r="AO56" s="366">
        <v>-417949</v>
      </c>
      <c r="AP56" s="366">
        <v>0</v>
      </c>
      <c r="AQ56" s="367">
        <v>0</v>
      </c>
      <c r="AR56" s="364"/>
      <c r="AS56" s="366"/>
      <c r="AT56" s="368"/>
      <c r="AU56" s="364"/>
      <c r="AV56" s="366"/>
      <c r="AW56" s="368"/>
      <c r="AX56" s="369">
        <v>-681</v>
      </c>
      <c r="AY56" s="366">
        <v>-681</v>
      </c>
      <c r="AZ56" s="368">
        <v>0</v>
      </c>
      <c r="BA56" s="369">
        <v>-681</v>
      </c>
      <c r="BB56" s="366">
        <v>-681</v>
      </c>
      <c r="BC56" s="368">
        <v>0</v>
      </c>
      <c r="BD56" s="369">
        <v>-417949</v>
      </c>
      <c r="BE56" s="366">
        <v>-417949</v>
      </c>
      <c r="BF56" s="365">
        <v>0</v>
      </c>
      <c r="BG56" s="370">
        <v>1</v>
      </c>
      <c r="BH56" s="327">
        <v>-5.7423277022294903E-8</v>
      </c>
      <c r="BI56" s="371">
        <v>0</v>
      </c>
      <c r="BJ56" s="372">
        <v>0</v>
      </c>
      <c r="BK56" s="372">
        <v>0</v>
      </c>
      <c r="BL56" s="373">
        <v>0</v>
      </c>
    </row>
    <row r="57" spans="1:64" ht="19.5" customHeight="1">
      <c r="A57" s="354" t="s">
        <v>924</v>
      </c>
      <c r="B57" s="406" t="s">
        <v>925</v>
      </c>
      <c r="C57" s="356">
        <v>-26677595</v>
      </c>
      <c r="D57" s="356">
        <v>0</v>
      </c>
      <c r="E57" s="356">
        <v>-26677595</v>
      </c>
      <c r="F57" s="357">
        <v>1766931</v>
      </c>
      <c r="G57" s="357">
        <v>0</v>
      </c>
      <c r="H57" s="358">
        <v>1766931</v>
      </c>
      <c r="I57" s="359"/>
      <c r="J57" s="359"/>
      <c r="K57" s="358"/>
      <c r="L57" s="518"/>
      <c r="M57" s="227">
        <v>42813</v>
      </c>
      <c r="N57" s="361"/>
      <c r="O57" s="358">
        <v>42813</v>
      </c>
      <c r="P57" s="358">
        <v>42813</v>
      </c>
      <c r="Q57" s="357">
        <v>0</v>
      </c>
      <c r="R57" s="358">
        <v>42813</v>
      </c>
      <c r="S57" s="227">
        <v>1809744</v>
      </c>
      <c r="T57" s="226"/>
      <c r="U57" s="227">
        <v>1809744</v>
      </c>
      <c r="V57" s="358"/>
      <c r="W57" s="358"/>
      <c r="X57" s="358"/>
      <c r="Y57" s="358"/>
      <c r="Z57" s="358"/>
      <c r="AA57" s="358"/>
      <c r="AB57" s="358"/>
      <c r="AC57" s="362"/>
      <c r="AD57" s="97">
        <v>-1809744</v>
      </c>
      <c r="AE57" s="97" t="e">
        <f>#DIV/0!</f>
        <v>#DIV/0!</v>
      </c>
      <c r="AF57" s="97">
        <v>-1809744</v>
      </c>
      <c r="AL57" s="364" t="s">
        <v>924</v>
      </c>
      <c r="AM57" s="365" t="s">
        <v>923</v>
      </c>
      <c r="AN57" s="364">
        <v>-26678</v>
      </c>
      <c r="AO57" s="366">
        <v>0</v>
      </c>
      <c r="AP57" s="366">
        <v>-26678</v>
      </c>
      <c r="AQ57" s="367">
        <v>1</v>
      </c>
      <c r="AR57" s="364"/>
      <c r="AS57" s="366"/>
      <c r="AT57" s="368"/>
      <c r="AU57" s="364"/>
      <c r="AV57" s="366"/>
      <c r="AW57" s="368"/>
      <c r="AX57" s="369">
        <v>43</v>
      </c>
      <c r="AY57" s="366">
        <v>0</v>
      </c>
      <c r="AZ57" s="368">
        <v>43</v>
      </c>
      <c r="BA57" s="369">
        <v>43</v>
      </c>
      <c r="BB57" s="366">
        <v>0</v>
      </c>
      <c r="BC57" s="368">
        <v>43</v>
      </c>
      <c r="BD57" s="369">
        <v>1810</v>
      </c>
      <c r="BE57" s="366">
        <v>0</v>
      </c>
      <c r="BF57" s="365">
        <v>1810</v>
      </c>
      <c r="BG57" s="370">
        <v>-6.7846165379713594E-2</v>
      </c>
      <c r="BH57" s="327">
        <v>6.7846165379713594E-2</v>
      </c>
      <c r="BI57" s="371">
        <v>-1810</v>
      </c>
      <c r="BJ57" s="372">
        <v>0</v>
      </c>
      <c r="BK57" s="372">
        <v>-1810</v>
      </c>
      <c r="BL57" s="373">
        <v>1.06784616537971</v>
      </c>
    </row>
    <row r="58" spans="1:64" ht="19.5" customHeight="1">
      <c r="A58" s="354" t="s">
        <v>455</v>
      </c>
      <c r="B58" s="406" t="s">
        <v>543</v>
      </c>
      <c r="C58" s="356">
        <v>-594273582</v>
      </c>
      <c r="D58" s="356">
        <v>-594273582</v>
      </c>
      <c r="E58" s="356">
        <v>0</v>
      </c>
      <c r="F58" s="357">
        <v>-592318241</v>
      </c>
      <c r="G58" s="357">
        <v>-592318241</v>
      </c>
      <c r="H58" s="358">
        <v>0</v>
      </c>
      <c r="I58" s="359"/>
      <c r="J58" s="359"/>
      <c r="K58" s="358"/>
      <c r="L58" s="518">
        <v>1</v>
      </c>
      <c r="M58" s="358">
        <v>-1955341</v>
      </c>
      <c r="N58" s="361">
        <v>-1955341</v>
      </c>
      <c r="O58" s="358">
        <v>0</v>
      </c>
      <c r="P58" s="358">
        <v>-1955341</v>
      </c>
      <c r="Q58" s="357">
        <v>-1955341</v>
      </c>
      <c r="R58" s="358">
        <v>0</v>
      </c>
      <c r="S58" s="226">
        <v>-594273582</v>
      </c>
      <c r="T58" s="226">
        <v>-594273582</v>
      </c>
      <c r="U58" s="227">
        <v>0</v>
      </c>
      <c r="V58" s="358"/>
      <c r="W58" s="358"/>
      <c r="X58" s="358"/>
      <c r="Y58" s="358"/>
      <c r="Z58" s="358"/>
      <c r="AA58" s="358"/>
      <c r="AB58" s="358"/>
      <c r="AC58" s="362"/>
      <c r="AD58" s="97">
        <v>0</v>
      </c>
      <c r="AE58" s="97">
        <v>0</v>
      </c>
      <c r="AF58" s="97">
        <v>0</v>
      </c>
      <c r="AL58" s="364" t="s">
        <v>455</v>
      </c>
      <c r="AM58" s="365" t="s">
        <v>926</v>
      </c>
      <c r="AN58" s="364">
        <v>-594274</v>
      </c>
      <c r="AO58" s="366">
        <v>-594274</v>
      </c>
      <c r="AP58" s="366">
        <v>0</v>
      </c>
      <c r="AQ58" s="367">
        <v>0</v>
      </c>
      <c r="AR58" s="364"/>
      <c r="AS58" s="366"/>
      <c r="AT58" s="368">
        <v>0</v>
      </c>
      <c r="AU58" s="364"/>
      <c r="AV58" s="366"/>
      <c r="AW58" s="368"/>
      <c r="AX58" s="369">
        <v>-1955</v>
      </c>
      <c r="AY58" s="366">
        <v>-1955</v>
      </c>
      <c r="AZ58" s="368">
        <v>0</v>
      </c>
      <c r="BA58" s="369">
        <v>-1955</v>
      </c>
      <c r="BB58" s="366">
        <v>-1955</v>
      </c>
      <c r="BC58" s="368">
        <v>0</v>
      </c>
      <c r="BD58" s="369">
        <v>-594274</v>
      </c>
      <c r="BE58" s="366">
        <v>-594274</v>
      </c>
      <c r="BF58" s="365">
        <v>0</v>
      </c>
      <c r="BG58" s="370">
        <v>1</v>
      </c>
      <c r="BH58" s="327">
        <v>0</v>
      </c>
      <c r="BI58" s="371">
        <v>0</v>
      </c>
      <c r="BJ58" s="372">
        <v>0</v>
      </c>
      <c r="BK58" s="372">
        <v>0</v>
      </c>
      <c r="BL58" s="373">
        <v>0</v>
      </c>
    </row>
    <row r="59" spans="1:64" ht="19.5" customHeight="1">
      <c r="A59" s="354" t="s">
        <v>457</v>
      </c>
      <c r="B59" s="378" t="s">
        <v>544</v>
      </c>
      <c r="C59" s="356">
        <v>-34587351</v>
      </c>
      <c r="D59" s="356">
        <v>0</v>
      </c>
      <c r="E59" s="356">
        <v>-34587351</v>
      </c>
      <c r="F59" s="357">
        <v>2246175</v>
      </c>
      <c r="G59" s="357">
        <v>0</v>
      </c>
      <c r="H59" s="358">
        <v>2246175</v>
      </c>
      <c r="I59" s="359"/>
      <c r="J59" s="359"/>
      <c r="K59" s="358"/>
      <c r="L59" s="518">
        <v>0</v>
      </c>
      <c r="M59" s="227">
        <v>-8727</v>
      </c>
      <c r="N59" s="361"/>
      <c r="O59" s="358">
        <v>-8727</v>
      </c>
      <c r="P59" s="358">
        <v>-8727</v>
      </c>
      <c r="Q59" s="357">
        <v>0</v>
      </c>
      <c r="R59" s="358">
        <v>-8727</v>
      </c>
      <c r="S59" s="227">
        <v>2237448</v>
      </c>
      <c r="T59" s="226"/>
      <c r="U59" s="227">
        <v>2237448</v>
      </c>
      <c r="V59" s="358"/>
      <c r="W59" s="358"/>
      <c r="X59" s="358"/>
      <c r="Y59" s="358"/>
      <c r="Z59" s="358"/>
      <c r="AA59" s="358"/>
      <c r="AB59" s="358"/>
      <c r="AC59" s="362"/>
      <c r="AD59" s="97">
        <v>-2237448</v>
      </c>
      <c r="AE59" s="97" t="e">
        <f>#DIV/0!</f>
        <v>#DIV/0!</v>
      </c>
      <c r="AF59" s="97">
        <v>-2237448</v>
      </c>
      <c r="AL59" s="364" t="s">
        <v>457</v>
      </c>
      <c r="AM59" s="365" t="s">
        <v>926</v>
      </c>
      <c r="AN59" s="364"/>
      <c r="AO59" s="366"/>
      <c r="AP59" s="366"/>
      <c r="AQ59" s="367"/>
      <c r="AR59" s="364"/>
      <c r="AS59" s="366"/>
      <c r="AT59" s="368"/>
      <c r="AU59" s="364"/>
      <c r="AV59" s="366"/>
      <c r="AW59" s="368"/>
      <c r="AX59" s="369">
        <v>-9</v>
      </c>
      <c r="AY59" s="366">
        <v>0</v>
      </c>
      <c r="AZ59" s="368">
        <v>-9</v>
      </c>
      <c r="BA59" s="369">
        <v>-9</v>
      </c>
      <c r="BB59" s="366">
        <v>0</v>
      </c>
      <c r="BC59" s="368">
        <v>-9</v>
      </c>
      <c r="BD59" s="369">
        <v>2237</v>
      </c>
      <c r="BE59" s="366">
        <v>0</v>
      </c>
      <c r="BF59" s="365">
        <v>2237</v>
      </c>
      <c r="BG59" s="370" t="e">
        <f>#DIV/0!</f>
        <v>#DIV/0!</v>
      </c>
      <c r="BH59" s="327"/>
      <c r="BI59" s="371">
        <v>-2237</v>
      </c>
      <c r="BJ59" s="372">
        <v>0</v>
      </c>
      <c r="BK59" s="372">
        <v>-2237</v>
      </c>
      <c r="BL59" s="373" t="e">
        <f>#DIV/0!</f>
        <v>#DIV/0!</v>
      </c>
    </row>
    <row r="60" spans="1:64" ht="19.5" customHeight="1">
      <c r="A60" s="354" t="s">
        <v>927</v>
      </c>
      <c r="B60" s="378" t="s">
        <v>928</v>
      </c>
      <c r="C60" s="356">
        <v>0</v>
      </c>
      <c r="D60" s="356">
        <v>0</v>
      </c>
      <c r="E60" s="356">
        <v>0</v>
      </c>
      <c r="F60" s="357">
        <v>0</v>
      </c>
      <c r="G60" s="357">
        <v>58132478</v>
      </c>
      <c r="H60" s="358">
        <v>-58132478</v>
      </c>
      <c r="I60" s="359"/>
      <c r="J60" s="359"/>
      <c r="K60" s="358"/>
      <c r="L60" s="518"/>
      <c r="M60" s="226">
        <v>0</v>
      </c>
      <c r="N60" s="389">
        <v>0</v>
      </c>
      <c r="O60" s="358">
        <v>0</v>
      </c>
      <c r="P60" s="358">
        <v>0</v>
      </c>
      <c r="Q60" s="357">
        <v>0</v>
      </c>
      <c r="R60" s="358">
        <v>0</v>
      </c>
      <c r="S60" s="358">
        <v>0</v>
      </c>
      <c r="T60" s="358">
        <v>58132478</v>
      </c>
      <c r="U60" s="357">
        <v>-58132478</v>
      </c>
      <c r="V60" s="358"/>
      <c r="W60" s="358"/>
      <c r="X60" s="358"/>
      <c r="Y60" s="358"/>
      <c r="Z60" s="358"/>
      <c r="AA60" s="358"/>
      <c r="AB60" s="358"/>
      <c r="AC60" s="362"/>
      <c r="AL60" s="364" t="s">
        <v>187</v>
      </c>
      <c r="AM60" s="365" t="s">
        <v>187</v>
      </c>
      <c r="AN60" s="382" t="s">
        <v>866</v>
      </c>
      <c r="AO60" s="383" t="s">
        <v>866</v>
      </c>
      <c r="AP60" s="383" t="s">
        <v>866</v>
      </c>
      <c r="AQ60" s="367" t="s">
        <v>866</v>
      </c>
      <c r="AR60" s="382" t="s">
        <v>866</v>
      </c>
      <c r="AS60" s="383" t="s">
        <v>866</v>
      </c>
      <c r="AT60" s="384" t="s">
        <v>866</v>
      </c>
      <c r="AU60" s="382" t="s">
        <v>866</v>
      </c>
      <c r="AV60" s="383" t="s">
        <v>866</v>
      </c>
      <c r="AW60" s="384" t="s">
        <v>866</v>
      </c>
      <c r="AX60" s="385" t="s">
        <v>866</v>
      </c>
      <c r="AY60" s="383" t="s">
        <v>866</v>
      </c>
      <c r="AZ60" s="384" t="s">
        <v>866</v>
      </c>
      <c r="BA60" s="385" t="s">
        <v>866</v>
      </c>
      <c r="BB60" s="383" t="s">
        <v>866</v>
      </c>
      <c r="BC60" s="384" t="s">
        <v>866</v>
      </c>
      <c r="BD60" s="385" t="s">
        <v>866</v>
      </c>
      <c r="BE60" s="383" t="s">
        <v>866</v>
      </c>
      <c r="BF60" s="386" t="s">
        <v>866</v>
      </c>
      <c r="BG60" s="370"/>
      <c r="BH60" s="327">
        <v>0</v>
      </c>
      <c r="BI60" s="387" t="s">
        <v>866</v>
      </c>
      <c r="BJ60" s="388" t="s">
        <v>866</v>
      </c>
      <c r="BK60" s="388" t="s">
        <v>866</v>
      </c>
      <c r="BL60" s="373"/>
    </row>
    <row r="61" spans="1:64" ht="19.5" customHeight="1">
      <c r="A61" s="354" t="s">
        <v>929</v>
      </c>
      <c r="B61" s="410" t="s">
        <v>977</v>
      </c>
      <c r="C61" s="356">
        <v>0</v>
      </c>
      <c r="D61" s="356">
        <v>0</v>
      </c>
      <c r="E61" s="356">
        <v>0</v>
      </c>
      <c r="F61" s="357">
        <v>-1524000000</v>
      </c>
      <c r="G61" s="357">
        <v>-1440180000</v>
      </c>
      <c r="H61" s="358">
        <v>-83820000</v>
      </c>
      <c r="I61" s="359"/>
      <c r="J61" s="359"/>
      <c r="K61" s="358"/>
      <c r="L61" s="518"/>
      <c r="M61" s="389"/>
      <c r="N61" s="389"/>
      <c r="O61" s="389">
        <v>0</v>
      </c>
      <c r="P61" s="358">
        <v>0</v>
      </c>
      <c r="Q61" s="357">
        <v>0</v>
      </c>
      <c r="R61" s="358">
        <v>0</v>
      </c>
      <c r="S61" s="358">
        <v>-1524000000</v>
      </c>
      <c r="T61" s="358">
        <v>-1440180000</v>
      </c>
      <c r="U61" s="357">
        <v>-83820000</v>
      </c>
      <c r="V61" s="358"/>
      <c r="W61" s="358"/>
      <c r="X61" s="358"/>
      <c r="Y61" s="358"/>
      <c r="Z61" s="358"/>
      <c r="AA61" s="358"/>
      <c r="AB61" s="358"/>
      <c r="AC61" s="362"/>
      <c r="AL61" s="364" t="s">
        <v>929</v>
      </c>
      <c r="AM61" s="365" t="s">
        <v>931</v>
      </c>
      <c r="AN61" s="364"/>
      <c r="AO61" s="366"/>
      <c r="AP61" s="366"/>
      <c r="AQ61" s="367"/>
      <c r="AR61" s="364"/>
      <c r="AS61" s="366"/>
      <c r="AT61" s="368"/>
      <c r="AU61" s="364"/>
      <c r="AV61" s="366"/>
      <c r="AW61" s="368"/>
      <c r="AX61" s="369">
        <v>0</v>
      </c>
      <c r="AY61" s="366">
        <v>0</v>
      </c>
      <c r="AZ61" s="368">
        <v>0</v>
      </c>
      <c r="BA61" s="369">
        <v>0</v>
      </c>
      <c r="BB61" s="366">
        <v>0</v>
      </c>
      <c r="BC61" s="368">
        <v>0</v>
      </c>
      <c r="BD61" s="369">
        <v>-1524000</v>
      </c>
      <c r="BE61" s="366">
        <v>-1440180</v>
      </c>
      <c r="BF61" s="365">
        <v>-83820</v>
      </c>
      <c r="BG61" s="370" t="e">
        <f>#DIV/0!</f>
        <v>#DIV/0!</v>
      </c>
      <c r="BH61" s="327"/>
      <c r="BI61" s="411"/>
      <c r="BJ61" s="412"/>
      <c r="BK61" s="412">
        <v>0</v>
      </c>
      <c r="BL61" s="413"/>
    </row>
    <row r="62" spans="1:64" ht="19.5" customHeight="1">
      <c r="A62" s="2728" t="s">
        <v>932</v>
      </c>
      <c r="B62" s="2728"/>
      <c r="C62" s="390">
        <v>80161427603.952393</v>
      </c>
      <c r="D62" s="390">
        <v>75771854093</v>
      </c>
      <c r="E62" s="390">
        <v>4389573510.9523802</v>
      </c>
      <c r="F62" s="390">
        <v>39813583173</v>
      </c>
      <c r="G62" s="390">
        <v>37636570990.463097</v>
      </c>
      <c r="H62" s="390">
        <v>2177012182.53686</v>
      </c>
      <c r="I62" s="390">
        <v>0</v>
      </c>
      <c r="J62" s="390">
        <v>0</v>
      </c>
      <c r="K62" s="390">
        <v>0</v>
      </c>
      <c r="L62" s="520"/>
      <c r="M62" s="390">
        <v>11774766608</v>
      </c>
      <c r="N62" s="390">
        <v>11084978386</v>
      </c>
      <c r="O62" s="390">
        <v>689788222</v>
      </c>
      <c r="P62" s="390">
        <v>11774766608</v>
      </c>
      <c r="Q62" s="390">
        <v>11084978386</v>
      </c>
      <c r="R62" s="390">
        <v>689788222</v>
      </c>
      <c r="S62" s="390">
        <v>51588349781</v>
      </c>
      <c r="T62" s="390">
        <v>48721549376.463097</v>
      </c>
      <c r="U62" s="390">
        <v>2866800404.53686</v>
      </c>
      <c r="V62" s="390">
        <v>0</v>
      </c>
      <c r="W62" s="390">
        <v>0</v>
      </c>
      <c r="X62" s="390">
        <v>0</v>
      </c>
      <c r="Y62" s="390">
        <v>58132478</v>
      </c>
      <c r="Z62" s="390">
        <v>0</v>
      </c>
      <c r="AA62" s="390">
        <v>0</v>
      </c>
      <c r="AB62" s="390">
        <v>58132478</v>
      </c>
      <c r="AC62" s="392"/>
      <c r="AG62" s="208" t="s">
        <v>630</v>
      </c>
      <c r="AI62" s="233"/>
      <c r="AJ62" s="233"/>
      <c r="AK62" s="233"/>
      <c r="AL62" s="414"/>
      <c r="AM62" s="415"/>
      <c r="AN62" s="414">
        <v>80196015</v>
      </c>
      <c r="AO62" s="416">
        <v>75771854</v>
      </c>
      <c r="AP62" s="416">
        <v>4424161</v>
      </c>
      <c r="AQ62" s="395">
        <v>5.5166843389911603E-2</v>
      </c>
      <c r="AR62" s="414">
        <v>0</v>
      </c>
      <c r="AS62" s="416">
        <v>0</v>
      </c>
      <c r="AT62" s="417">
        <v>0</v>
      </c>
      <c r="AU62" s="396">
        <v>0</v>
      </c>
      <c r="AV62" s="397">
        <v>0</v>
      </c>
      <c r="AW62" s="398">
        <v>0</v>
      </c>
      <c r="AX62" s="418">
        <v>11774766</v>
      </c>
      <c r="AY62" s="416">
        <v>11084979</v>
      </c>
      <c r="AZ62" s="417">
        <v>689787</v>
      </c>
      <c r="BA62" s="418">
        <v>11774766</v>
      </c>
      <c r="BB62" s="416">
        <v>11084979</v>
      </c>
      <c r="BC62" s="417">
        <v>689787</v>
      </c>
      <c r="BD62" s="418">
        <v>51588351</v>
      </c>
      <c r="BE62" s="416">
        <v>48721548</v>
      </c>
      <c r="BF62" s="415">
        <v>2866803</v>
      </c>
      <c r="BG62" s="417"/>
      <c r="BH62" s="419"/>
      <c r="BI62" s="414">
        <v>27110341</v>
      </c>
      <c r="BJ62" s="416">
        <v>25610125</v>
      </c>
      <c r="BK62" s="416">
        <v>1500216</v>
      </c>
      <c r="BL62" s="405">
        <v>5.5337407965469702E-2</v>
      </c>
    </row>
    <row r="63" spans="1:64" ht="19.5" customHeight="1">
      <c r="A63" s="354" t="s">
        <v>353</v>
      </c>
      <c r="B63" s="406" t="s">
        <v>354</v>
      </c>
      <c r="C63" s="356">
        <v>2184327380</v>
      </c>
      <c r="D63" s="356">
        <v>2081205268</v>
      </c>
      <c r="E63" s="356">
        <v>103122112</v>
      </c>
      <c r="F63" s="357">
        <v>2184327379</v>
      </c>
      <c r="G63" s="357">
        <v>2081205267.5</v>
      </c>
      <c r="H63" s="358">
        <v>103122111.5</v>
      </c>
      <c r="I63" s="359"/>
      <c r="J63" s="359"/>
      <c r="K63" s="358"/>
      <c r="L63" s="518">
        <v>0.99999999975975495</v>
      </c>
      <c r="M63" s="358">
        <v>0</v>
      </c>
      <c r="N63" s="361">
        <v>0</v>
      </c>
      <c r="O63" s="358">
        <v>0</v>
      </c>
      <c r="P63" s="358">
        <v>0</v>
      </c>
      <c r="Q63" s="357">
        <v>0</v>
      </c>
      <c r="R63" s="358">
        <v>0</v>
      </c>
      <c r="S63" s="358">
        <v>2184327379</v>
      </c>
      <c r="T63" s="357">
        <v>2081205267.5</v>
      </c>
      <c r="U63" s="357">
        <v>103122111.5</v>
      </c>
      <c r="V63" s="357"/>
      <c r="W63" s="358"/>
      <c r="X63" s="358"/>
      <c r="Y63" s="357"/>
      <c r="Z63" s="357"/>
      <c r="AA63" s="358"/>
      <c r="AB63" s="357"/>
      <c r="AC63" s="362"/>
      <c r="AD63" s="97">
        <v>0</v>
      </c>
      <c r="AE63" s="97">
        <v>0</v>
      </c>
      <c r="AF63" s="97">
        <v>0</v>
      </c>
      <c r="AG63" s="208" t="s">
        <v>630</v>
      </c>
      <c r="AL63" s="364" t="s">
        <v>353</v>
      </c>
      <c r="AM63" s="365" t="s">
        <v>933</v>
      </c>
      <c r="AN63" s="364">
        <v>2184327</v>
      </c>
      <c r="AO63" s="366">
        <v>2081205</v>
      </c>
      <c r="AP63" s="366">
        <v>103122</v>
      </c>
      <c r="AQ63" s="367">
        <v>4.7209964442137098E-2</v>
      </c>
      <c r="AR63" s="364"/>
      <c r="AS63" s="366"/>
      <c r="AT63" s="368"/>
      <c r="AU63" s="364"/>
      <c r="AV63" s="366"/>
      <c r="AW63" s="368"/>
      <c r="AX63" s="369">
        <v>0</v>
      </c>
      <c r="AY63" s="366">
        <v>0</v>
      </c>
      <c r="AZ63" s="368">
        <v>0</v>
      </c>
      <c r="BA63" s="369">
        <v>0</v>
      </c>
      <c r="BB63" s="366">
        <v>0</v>
      </c>
      <c r="BC63" s="368">
        <v>0</v>
      </c>
      <c r="BD63" s="369">
        <v>2184327</v>
      </c>
      <c r="BE63" s="366">
        <v>2081205</v>
      </c>
      <c r="BF63" s="365">
        <v>103122</v>
      </c>
      <c r="BG63" s="370">
        <v>1</v>
      </c>
      <c r="BH63" s="327">
        <v>-2.4024504607922402E-10</v>
      </c>
      <c r="BI63" s="371">
        <v>0</v>
      </c>
      <c r="BJ63" s="372">
        <v>0</v>
      </c>
      <c r="BK63" s="372">
        <v>0</v>
      </c>
      <c r="BL63" s="373">
        <v>0</v>
      </c>
    </row>
    <row r="64" spans="1:64" ht="19.5" customHeight="1">
      <c r="A64" s="354" t="s">
        <v>357</v>
      </c>
      <c r="B64" s="406" t="s">
        <v>358</v>
      </c>
      <c r="C64" s="356">
        <v>1037773141</v>
      </c>
      <c r="D64" s="356">
        <v>979544905</v>
      </c>
      <c r="E64" s="356">
        <v>58228236</v>
      </c>
      <c r="F64" s="357">
        <v>492067818</v>
      </c>
      <c r="G64" s="357">
        <v>464458469</v>
      </c>
      <c r="H64" s="358">
        <v>27609349</v>
      </c>
      <c r="I64" s="359"/>
      <c r="J64" s="359"/>
      <c r="K64" s="358"/>
      <c r="L64" s="518">
        <v>0.867809875444148</v>
      </c>
      <c r="M64" s="358">
        <v>408521962</v>
      </c>
      <c r="N64" s="361">
        <v>385600273</v>
      </c>
      <c r="O64" s="358">
        <v>22921689</v>
      </c>
      <c r="P64" s="358">
        <v>408521962</v>
      </c>
      <c r="Q64" s="357">
        <v>385600273</v>
      </c>
      <c r="R64" s="358">
        <v>22921689</v>
      </c>
      <c r="S64" s="358">
        <v>900589780</v>
      </c>
      <c r="T64" s="358">
        <v>850058742</v>
      </c>
      <c r="U64" s="358">
        <v>50531038</v>
      </c>
      <c r="V64" s="357"/>
      <c r="W64" s="358"/>
      <c r="X64" s="358"/>
      <c r="Y64" s="357"/>
      <c r="Z64" s="357"/>
      <c r="AA64" s="358"/>
      <c r="AB64" s="357"/>
      <c r="AC64" s="362"/>
      <c r="AD64" s="97">
        <v>0</v>
      </c>
      <c r="AE64" s="97">
        <v>0</v>
      </c>
      <c r="AF64" s="97">
        <v>0</v>
      </c>
      <c r="AG64" s="208" t="s">
        <v>630</v>
      </c>
      <c r="AL64" s="364" t="s">
        <v>357</v>
      </c>
      <c r="AM64" s="365" t="s">
        <v>934</v>
      </c>
      <c r="AN64" s="364">
        <v>1037773</v>
      </c>
      <c r="AO64" s="366">
        <v>979545</v>
      </c>
      <c r="AP64" s="366">
        <v>58228</v>
      </c>
      <c r="AQ64" s="367">
        <v>5.6108609493598298E-2</v>
      </c>
      <c r="AR64" s="364"/>
      <c r="AS64" s="366"/>
      <c r="AT64" s="368"/>
      <c r="AU64" s="364"/>
      <c r="AV64" s="366"/>
      <c r="AW64" s="368"/>
      <c r="AX64" s="369">
        <v>408522</v>
      </c>
      <c r="AY64" s="366">
        <v>385600</v>
      </c>
      <c r="AZ64" s="368">
        <v>22922</v>
      </c>
      <c r="BA64" s="369">
        <v>408522</v>
      </c>
      <c r="BB64" s="366">
        <v>385600</v>
      </c>
      <c r="BC64" s="368">
        <v>22922</v>
      </c>
      <c r="BD64" s="369">
        <v>900590</v>
      </c>
      <c r="BE64" s="366">
        <v>850059</v>
      </c>
      <c r="BF64" s="365">
        <v>50531</v>
      </c>
      <c r="BG64" s="370">
        <v>0.86781020512192897</v>
      </c>
      <c r="BH64" s="327">
        <v>-3.29677781407689E-7</v>
      </c>
      <c r="BI64" s="371">
        <v>137183</v>
      </c>
      <c r="BJ64" s="372">
        <v>129486</v>
      </c>
      <c r="BK64" s="372">
        <v>7697</v>
      </c>
      <c r="BL64" s="373">
        <v>0.132189794878071</v>
      </c>
    </row>
    <row r="65" spans="1:64" ht="19.5" customHeight="1">
      <c r="A65" s="354" t="s">
        <v>363</v>
      </c>
      <c r="B65" s="406" t="s">
        <v>364</v>
      </c>
      <c r="C65" s="356">
        <v>1200000000</v>
      </c>
      <c r="D65" s="356">
        <v>1134000000</v>
      </c>
      <c r="E65" s="356">
        <v>66000000</v>
      </c>
      <c r="F65" s="357">
        <v>312000000</v>
      </c>
      <c r="G65" s="357">
        <v>294840000</v>
      </c>
      <c r="H65" s="358">
        <v>17160000</v>
      </c>
      <c r="I65" s="359"/>
      <c r="J65" s="359"/>
      <c r="K65" s="358"/>
      <c r="L65" s="518">
        <v>0.51</v>
      </c>
      <c r="M65" s="358">
        <v>300000000</v>
      </c>
      <c r="N65" s="361">
        <v>283500000</v>
      </c>
      <c r="O65" s="358">
        <v>16500000</v>
      </c>
      <c r="P65" s="358">
        <v>300000000</v>
      </c>
      <c r="Q65" s="357">
        <v>283500000</v>
      </c>
      <c r="R65" s="358">
        <v>16500000</v>
      </c>
      <c r="S65" s="358">
        <v>612000000</v>
      </c>
      <c r="T65" s="357">
        <v>578340000</v>
      </c>
      <c r="U65" s="357">
        <v>33660000</v>
      </c>
      <c r="V65" s="357"/>
      <c r="W65" s="358"/>
      <c r="X65" s="358"/>
      <c r="Y65" s="357"/>
      <c r="Z65" s="357"/>
      <c r="AA65" s="358"/>
      <c r="AB65" s="357"/>
      <c r="AC65" s="362"/>
      <c r="AD65" s="97">
        <v>0</v>
      </c>
      <c r="AE65" s="97">
        <v>0</v>
      </c>
      <c r="AF65" s="97">
        <v>0</v>
      </c>
      <c r="AG65" s="208" t="s">
        <v>630</v>
      </c>
      <c r="AL65" s="364" t="s">
        <v>363</v>
      </c>
      <c r="AM65" s="365" t="s">
        <v>935</v>
      </c>
      <c r="AN65" s="364">
        <v>1200000</v>
      </c>
      <c r="AO65" s="366">
        <v>1134000</v>
      </c>
      <c r="AP65" s="366">
        <v>66000</v>
      </c>
      <c r="AQ65" s="367">
        <v>5.5E-2</v>
      </c>
      <c r="AR65" s="364"/>
      <c r="AS65" s="366"/>
      <c r="AT65" s="368"/>
      <c r="AU65" s="364"/>
      <c r="AV65" s="366"/>
      <c r="AW65" s="368"/>
      <c r="AX65" s="369">
        <v>300000</v>
      </c>
      <c r="AY65" s="366">
        <v>283500</v>
      </c>
      <c r="AZ65" s="368">
        <v>16500</v>
      </c>
      <c r="BA65" s="369">
        <v>300000</v>
      </c>
      <c r="BB65" s="366">
        <v>283500</v>
      </c>
      <c r="BC65" s="368">
        <v>16500</v>
      </c>
      <c r="BD65" s="369">
        <v>612000</v>
      </c>
      <c r="BE65" s="366">
        <v>578340</v>
      </c>
      <c r="BF65" s="365">
        <v>33660</v>
      </c>
      <c r="BG65" s="370">
        <v>0.51</v>
      </c>
      <c r="BH65" s="327">
        <v>0</v>
      </c>
      <c r="BI65" s="371">
        <v>588000</v>
      </c>
      <c r="BJ65" s="372">
        <v>555660</v>
      </c>
      <c r="BK65" s="372">
        <v>32340</v>
      </c>
      <c r="BL65" s="373">
        <v>0.49</v>
      </c>
    </row>
    <row r="66" spans="1:64" ht="19.5" customHeight="1">
      <c r="A66" s="354" t="s">
        <v>365</v>
      </c>
      <c r="B66" s="406" t="s">
        <v>366</v>
      </c>
      <c r="C66" s="356">
        <v>663090987</v>
      </c>
      <c r="D66" s="356">
        <v>626808650</v>
      </c>
      <c r="E66" s="356">
        <v>36282337</v>
      </c>
      <c r="F66" s="357">
        <v>642691995</v>
      </c>
      <c r="G66" s="357">
        <v>607525829</v>
      </c>
      <c r="H66" s="358">
        <v>35166166</v>
      </c>
      <c r="I66" s="359"/>
      <c r="J66" s="359"/>
      <c r="K66" s="358"/>
      <c r="L66" s="518">
        <v>0.999993226002864</v>
      </c>
      <c r="M66" s="358">
        <v>20394500</v>
      </c>
      <c r="N66" s="361">
        <v>19278575</v>
      </c>
      <c r="O66" s="358">
        <v>1115925</v>
      </c>
      <c r="P66" s="358">
        <v>20394500</v>
      </c>
      <c r="Q66" s="357">
        <v>19278575</v>
      </c>
      <c r="R66" s="358">
        <v>1115925</v>
      </c>
      <c r="S66" s="358">
        <v>663086495</v>
      </c>
      <c r="T66" s="357">
        <v>626804404</v>
      </c>
      <c r="U66" s="357">
        <v>36282091</v>
      </c>
      <c r="V66" s="357"/>
      <c r="W66" s="358"/>
      <c r="X66" s="358"/>
      <c r="Y66" s="357"/>
      <c r="Z66" s="357"/>
      <c r="AA66" s="358"/>
      <c r="AB66" s="357"/>
      <c r="AC66" s="362"/>
      <c r="AD66" s="97">
        <v>0</v>
      </c>
      <c r="AE66" s="97">
        <v>0</v>
      </c>
      <c r="AF66" s="97">
        <v>0</v>
      </c>
      <c r="AG66" s="208" t="s">
        <v>630</v>
      </c>
      <c r="AL66" s="364" t="s">
        <v>365</v>
      </c>
      <c r="AM66" s="365" t="s">
        <v>936</v>
      </c>
      <c r="AN66" s="364">
        <v>663091</v>
      </c>
      <c r="AO66" s="366">
        <v>626809</v>
      </c>
      <c r="AP66" s="366">
        <v>36282</v>
      </c>
      <c r="AQ66" s="367">
        <v>5.4716471796480398E-2</v>
      </c>
      <c r="AR66" s="364"/>
      <c r="AS66" s="366"/>
      <c r="AT66" s="368"/>
      <c r="AU66" s="364"/>
      <c r="AV66" s="366"/>
      <c r="AW66" s="368"/>
      <c r="AX66" s="369">
        <v>20395</v>
      </c>
      <c r="AY66" s="366">
        <v>19279</v>
      </c>
      <c r="AZ66" s="368">
        <v>1116</v>
      </c>
      <c r="BA66" s="369">
        <v>20395</v>
      </c>
      <c r="BB66" s="366">
        <v>19279</v>
      </c>
      <c r="BC66" s="368">
        <v>1116</v>
      </c>
      <c r="BD66" s="521">
        <v>663091</v>
      </c>
      <c r="BE66" s="522">
        <v>626809</v>
      </c>
      <c r="BF66" s="365">
        <v>36282</v>
      </c>
      <c r="BG66" s="370">
        <v>1</v>
      </c>
      <c r="BH66" s="327">
        <v>-6.7739971360003503E-6</v>
      </c>
      <c r="BI66" s="371">
        <v>0</v>
      </c>
      <c r="BJ66" s="372">
        <v>0</v>
      </c>
      <c r="BK66" s="372">
        <v>0</v>
      </c>
      <c r="BL66" s="373">
        <v>0</v>
      </c>
    </row>
    <row r="67" spans="1:64" ht="19.5" customHeight="1">
      <c r="A67" s="354" t="s">
        <v>367</v>
      </c>
      <c r="B67" s="406" t="s">
        <v>368</v>
      </c>
      <c r="C67" s="356">
        <v>535119402</v>
      </c>
      <c r="D67" s="356">
        <v>505057474</v>
      </c>
      <c r="E67" s="356">
        <v>30061928</v>
      </c>
      <c r="F67" s="357">
        <v>511469883</v>
      </c>
      <c r="G67" s="357">
        <v>482736537</v>
      </c>
      <c r="H67" s="358">
        <v>28733346</v>
      </c>
      <c r="I67" s="359"/>
      <c r="J67" s="359"/>
      <c r="K67" s="358"/>
      <c r="L67" s="518">
        <v>0.99999370962679801</v>
      </c>
      <c r="M67" s="358">
        <v>23646153</v>
      </c>
      <c r="N67" s="361">
        <v>22317760</v>
      </c>
      <c r="O67" s="358">
        <v>1328393</v>
      </c>
      <c r="P67" s="358">
        <v>23646153</v>
      </c>
      <c r="Q67" s="357">
        <v>22317760</v>
      </c>
      <c r="R67" s="358">
        <v>1328393</v>
      </c>
      <c r="S67" s="358">
        <v>535116036</v>
      </c>
      <c r="T67" s="357">
        <v>505054297</v>
      </c>
      <c r="U67" s="357">
        <v>30061739</v>
      </c>
      <c r="V67" s="357"/>
      <c r="W67" s="358"/>
      <c r="X67" s="358"/>
      <c r="Y67" s="357"/>
      <c r="Z67" s="357"/>
      <c r="AA67" s="358"/>
      <c r="AB67" s="357"/>
      <c r="AC67" s="362"/>
      <c r="AD67" s="97">
        <v>0</v>
      </c>
      <c r="AE67" s="97">
        <v>0</v>
      </c>
      <c r="AF67" s="97">
        <v>0</v>
      </c>
      <c r="AG67" s="208" t="s">
        <v>630</v>
      </c>
      <c r="AL67" s="364" t="s">
        <v>367</v>
      </c>
      <c r="AM67" s="365" t="s">
        <v>937</v>
      </c>
      <c r="AN67" s="364">
        <v>535119</v>
      </c>
      <c r="AO67" s="366">
        <v>505057</v>
      </c>
      <c r="AP67" s="366">
        <v>30062</v>
      </c>
      <c r="AQ67" s="367">
        <v>5.6178158503061897E-2</v>
      </c>
      <c r="AR67" s="364"/>
      <c r="AS67" s="366"/>
      <c r="AT67" s="368"/>
      <c r="AU67" s="364"/>
      <c r="AV67" s="366"/>
      <c r="AW67" s="368"/>
      <c r="AX67" s="369">
        <v>23646</v>
      </c>
      <c r="AY67" s="366">
        <v>22318</v>
      </c>
      <c r="AZ67" s="368">
        <v>1328</v>
      </c>
      <c r="BA67" s="369">
        <v>23646</v>
      </c>
      <c r="BB67" s="366">
        <v>22318</v>
      </c>
      <c r="BC67" s="368">
        <v>1328</v>
      </c>
      <c r="BD67" s="521">
        <v>535119</v>
      </c>
      <c r="BE67" s="522">
        <v>505057</v>
      </c>
      <c r="BF67" s="365">
        <v>30062</v>
      </c>
      <c r="BG67" s="370">
        <v>1</v>
      </c>
      <c r="BH67" s="327">
        <v>-6.2903732019892197E-6</v>
      </c>
      <c r="BI67" s="371">
        <v>0</v>
      </c>
      <c r="BJ67" s="372">
        <v>0</v>
      </c>
      <c r="BK67" s="372">
        <v>0</v>
      </c>
      <c r="BL67" s="373">
        <v>0</v>
      </c>
    </row>
    <row r="68" spans="1:64" ht="19.5" customHeight="1">
      <c r="A68" s="354" t="s">
        <v>371</v>
      </c>
      <c r="B68" s="406" t="s">
        <v>372</v>
      </c>
      <c r="C68" s="356">
        <v>1809523810</v>
      </c>
      <c r="D68" s="356">
        <v>1710512130</v>
      </c>
      <c r="E68" s="356">
        <v>99011680</v>
      </c>
      <c r="F68" s="357">
        <v>1079461657</v>
      </c>
      <c r="G68" s="357">
        <v>1020396774</v>
      </c>
      <c r="H68" s="358">
        <v>59064883</v>
      </c>
      <c r="I68" s="359"/>
      <c r="J68" s="359"/>
      <c r="K68" s="358"/>
      <c r="L68" s="518">
        <v>0.88101085608787799</v>
      </c>
      <c r="M68" s="358">
        <v>514748464</v>
      </c>
      <c r="N68" s="361">
        <v>486582982</v>
      </c>
      <c r="O68" s="358">
        <v>28165482</v>
      </c>
      <c r="P68" s="358">
        <v>514748464</v>
      </c>
      <c r="Q68" s="357">
        <v>486582982</v>
      </c>
      <c r="R68" s="358">
        <v>28165482</v>
      </c>
      <c r="S68" s="358">
        <v>1594210121</v>
      </c>
      <c r="T68" s="357">
        <v>1506979756</v>
      </c>
      <c r="U68" s="357">
        <v>87230365</v>
      </c>
      <c r="V68" s="357"/>
      <c r="W68" s="358"/>
      <c r="X68" s="358"/>
      <c r="Y68" s="357"/>
      <c r="Z68" s="357"/>
      <c r="AA68" s="358"/>
      <c r="AB68" s="357"/>
      <c r="AC68" s="362"/>
      <c r="AD68" s="97">
        <v>0</v>
      </c>
      <c r="AE68" s="97">
        <v>0</v>
      </c>
      <c r="AF68" s="97">
        <v>0</v>
      </c>
      <c r="AG68" s="208" t="s">
        <v>630</v>
      </c>
      <c r="AL68" s="364" t="s">
        <v>371</v>
      </c>
      <c r="AM68" s="365" t="s">
        <v>938</v>
      </c>
      <c r="AN68" s="364">
        <v>1809524</v>
      </c>
      <c r="AO68" s="366">
        <v>1710512</v>
      </c>
      <c r="AP68" s="366">
        <v>99012</v>
      </c>
      <c r="AQ68" s="367">
        <v>5.4717152135036598E-2</v>
      </c>
      <c r="AR68" s="364"/>
      <c r="AS68" s="366"/>
      <c r="AT68" s="368"/>
      <c r="AU68" s="364"/>
      <c r="AV68" s="366"/>
      <c r="AW68" s="368"/>
      <c r="AX68" s="369">
        <v>514748</v>
      </c>
      <c r="AY68" s="366">
        <v>486583</v>
      </c>
      <c r="AZ68" s="368">
        <v>28165</v>
      </c>
      <c r="BA68" s="369">
        <v>514748</v>
      </c>
      <c r="BB68" s="366">
        <v>486583</v>
      </c>
      <c r="BC68" s="368">
        <v>28165</v>
      </c>
      <c r="BD68" s="369">
        <v>1594210</v>
      </c>
      <c r="BE68" s="366">
        <v>1506980</v>
      </c>
      <c r="BF68" s="365">
        <v>87230</v>
      </c>
      <c r="BG68" s="370">
        <v>0.88101069673571597</v>
      </c>
      <c r="BH68" s="327">
        <v>1.5935216191032E-7</v>
      </c>
      <c r="BI68" s="371">
        <v>215314</v>
      </c>
      <c r="BJ68" s="372">
        <v>203532</v>
      </c>
      <c r="BK68" s="372">
        <v>11782</v>
      </c>
      <c r="BL68" s="373">
        <v>0.118989303264284</v>
      </c>
    </row>
    <row r="69" spans="1:64" ht="19.5" customHeight="1">
      <c r="A69" s="354" t="s">
        <v>939</v>
      </c>
      <c r="B69" s="406" t="s">
        <v>940</v>
      </c>
      <c r="C69" s="356">
        <v>0</v>
      </c>
      <c r="D69" s="356">
        <v>0</v>
      </c>
      <c r="E69" s="356">
        <v>0</v>
      </c>
      <c r="F69" s="357">
        <v>0</v>
      </c>
      <c r="G69" s="357">
        <v>0</v>
      </c>
      <c r="H69" s="358">
        <v>0</v>
      </c>
      <c r="I69" s="359"/>
      <c r="J69" s="359"/>
      <c r="K69" s="428"/>
      <c r="L69" s="518"/>
      <c r="M69" s="389"/>
      <c r="N69" s="361"/>
      <c r="O69" s="389">
        <v>0</v>
      </c>
      <c r="P69" s="358">
        <v>0</v>
      </c>
      <c r="Q69" s="357">
        <v>0</v>
      </c>
      <c r="R69" s="358">
        <v>0</v>
      </c>
      <c r="S69" s="358">
        <v>0</v>
      </c>
      <c r="T69" s="357">
        <v>0</v>
      </c>
      <c r="U69" s="357">
        <v>0</v>
      </c>
      <c r="V69" s="357"/>
      <c r="W69" s="358"/>
      <c r="X69" s="358"/>
      <c r="Y69" s="357"/>
      <c r="Z69" s="358"/>
      <c r="AA69" s="358"/>
      <c r="AB69" s="357"/>
      <c r="AC69" s="362"/>
      <c r="AL69" s="364" t="s">
        <v>939</v>
      </c>
      <c r="AM69" s="365" t="s">
        <v>941</v>
      </c>
      <c r="AN69" s="364"/>
      <c r="AO69" s="366"/>
      <c r="AP69" s="366"/>
      <c r="AQ69" s="367"/>
      <c r="AR69" s="364"/>
      <c r="AS69" s="366"/>
      <c r="AT69" s="368"/>
      <c r="AU69" s="364"/>
      <c r="AV69" s="366"/>
      <c r="AW69" s="368"/>
      <c r="AX69" s="369">
        <v>0</v>
      </c>
      <c r="AY69" s="366">
        <v>0</v>
      </c>
      <c r="AZ69" s="368">
        <v>0</v>
      </c>
      <c r="BA69" s="369">
        <v>0</v>
      </c>
      <c r="BB69" s="366">
        <v>0</v>
      </c>
      <c r="BC69" s="368">
        <v>0</v>
      </c>
      <c r="BD69" s="369">
        <v>0</v>
      </c>
      <c r="BE69" s="366">
        <v>0</v>
      </c>
      <c r="BF69" s="365">
        <v>0</v>
      </c>
      <c r="BG69" s="370" t="e">
        <f>#DIV/0!</f>
        <v>#DIV/0!</v>
      </c>
      <c r="BI69" s="421"/>
      <c r="BJ69" s="422"/>
      <c r="BK69" s="422"/>
      <c r="BL69" s="423"/>
    </row>
    <row r="70" spans="1:64" ht="19.5" customHeight="1">
      <c r="A70" s="2728" t="s">
        <v>942</v>
      </c>
      <c r="B70" s="2728"/>
      <c r="C70" s="390">
        <v>7429834720</v>
      </c>
      <c r="D70" s="390">
        <v>7037128427</v>
      </c>
      <c r="E70" s="390">
        <v>392706293</v>
      </c>
      <c r="F70" s="390">
        <v>5222018732</v>
      </c>
      <c r="G70" s="390">
        <v>4951162876.5</v>
      </c>
      <c r="H70" s="390">
        <v>270855855.5</v>
      </c>
      <c r="I70" s="404">
        <v>0</v>
      </c>
      <c r="J70" s="404">
        <v>0</v>
      </c>
      <c r="K70" s="404">
        <v>0</v>
      </c>
      <c r="L70" s="520"/>
      <c r="M70" s="390">
        <v>1267311079</v>
      </c>
      <c r="N70" s="390">
        <v>1197279590</v>
      </c>
      <c r="O70" s="390">
        <v>70031489</v>
      </c>
      <c r="P70" s="390">
        <v>1267311079</v>
      </c>
      <c r="Q70" s="390">
        <v>1197279590</v>
      </c>
      <c r="R70" s="390">
        <v>70031489</v>
      </c>
      <c r="S70" s="390">
        <v>6489329811</v>
      </c>
      <c r="T70" s="390">
        <v>6148442466.5</v>
      </c>
      <c r="U70" s="390">
        <v>340887344.5</v>
      </c>
      <c r="V70" s="390">
        <v>0</v>
      </c>
      <c r="W70" s="390">
        <v>0</v>
      </c>
      <c r="X70" s="390">
        <v>0</v>
      </c>
      <c r="Y70" s="390">
        <v>0</v>
      </c>
      <c r="Z70" s="390">
        <v>0</v>
      </c>
      <c r="AA70" s="390">
        <v>0</v>
      </c>
      <c r="AB70" s="390">
        <v>0</v>
      </c>
      <c r="AC70" s="392"/>
      <c r="AG70" s="208" t="s">
        <v>630</v>
      </c>
      <c r="AI70" s="233"/>
      <c r="AJ70" s="233"/>
      <c r="AK70" s="233"/>
      <c r="AL70" s="393"/>
      <c r="AM70" s="401" t="s">
        <v>943</v>
      </c>
      <c r="AN70" s="393">
        <v>7429834</v>
      </c>
      <c r="AO70" s="390">
        <v>7037128</v>
      </c>
      <c r="AP70" s="390">
        <v>392706</v>
      </c>
      <c r="AQ70" s="395">
        <v>5.2855285865067797E-2</v>
      </c>
      <c r="AR70" s="393">
        <v>0</v>
      </c>
      <c r="AS70" s="390">
        <v>0</v>
      </c>
      <c r="AT70" s="399">
        <v>0</v>
      </c>
      <c r="AU70" s="396">
        <v>0</v>
      </c>
      <c r="AV70" s="397">
        <v>0</v>
      </c>
      <c r="AW70" s="398">
        <v>0</v>
      </c>
      <c r="AX70" s="400">
        <v>1267311</v>
      </c>
      <c r="AY70" s="390">
        <v>1197280</v>
      </c>
      <c r="AZ70" s="399">
        <v>70031</v>
      </c>
      <c r="BA70" s="400">
        <v>1267311</v>
      </c>
      <c r="BB70" s="390">
        <v>1197280</v>
      </c>
      <c r="BC70" s="399">
        <v>70031</v>
      </c>
      <c r="BD70" s="400">
        <v>6489337</v>
      </c>
      <c r="BE70" s="390">
        <v>6148450</v>
      </c>
      <c r="BF70" s="401">
        <v>340887</v>
      </c>
      <c r="BG70" s="399"/>
      <c r="BH70" s="419"/>
      <c r="BI70" s="414">
        <v>940497</v>
      </c>
      <c r="BJ70" s="416">
        <v>888678</v>
      </c>
      <c r="BK70" s="416">
        <v>51819</v>
      </c>
      <c r="BL70" s="405">
        <v>5.5097464425723802E-2</v>
      </c>
    </row>
    <row r="71" spans="1:64" ht="19.5" customHeight="1">
      <c r="A71" s="354" t="s">
        <v>783</v>
      </c>
      <c r="B71" s="410" t="s">
        <v>784</v>
      </c>
      <c r="C71" s="356">
        <v>444626571</v>
      </c>
      <c r="D71" s="356">
        <v>417948976</v>
      </c>
      <c r="E71" s="356">
        <v>26677595</v>
      </c>
      <c r="F71" s="357">
        <v>443902492</v>
      </c>
      <c r="G71" s="357">
        <v>417268342</v>
      </c>
      <c r="H71" s="358">
        <v>26634150</v>
      </c>
      <c r="I71" s="359"/>
      <c r="J71" s="359"/>
      <c r="K71" s="358"/>
      <c r="L71" s="518">
        <v>0.99999994257672298</v>
      </c>
      <c r="M71" s="358">
        <v>724053</v>
      </c>
      <c r="N71" s="361">
        <v>680610</v>
      </c>
      <c r="O71" s="358">
        <v>43443</v>
      </c>
      <c r="P71" s="358">
        <v>724053</v>
      </c>
      <c r="Q71" s="358">
        <v>680610</v>
      </c>
      <c r="R71" s="358">
        <v>43443</v>
      </c>
      <c r="S71" s="358">
        <v>444626545</v>
      </c>
      <c r="T71" s="358">
        <v>417948952</v>
      </c>
      <c r="U71" s="389">
        <v>26677593</v>
      </c>
      <c r="V71" s="358"/>
      <c r="W71" s="358"/>
      <c r="X71" s="358"/>
      <c r="Y71" s="358"/>
      <c r="Z71" s="358"/>
      <c r="AA71" s="358"/>
      <c r="AB71" s="358"/>
      <c r="AC71" s="362"/>
      <c r="AD71" s="97">
        <v>0</v>
      </c>
      <c r="AE71" s="97">
        <v>0</v>
      </c>
      <c r="AF71" s="97">
        <v>0</v>
      </c>
      <c r="AG71" s="208" t="s">
        <v>630</v>
      </c>
      <c r="AL71" s="364" t="s">
        <v>783</v>
      </c>
      <c r="AM71" s="365" t="s">
        <v>944</v>
      </c>
      <c r="AN71" s="364">
        <v>444627</v>
      </c>
      <c r="AO71" s="366">
        <v>417949</v>
      </c>
      <c r="AP71" s="366">
        <v>26678</v>
      </c>
      <c r="AQ71" s="367">
        <v>6.0000854648952898E-2</v>
      </c>
      <c r="AR71" s="364"/>
      <c r="AS71" s="366"/>
      <c r="AT71" s="368"/>
      <c r="AU71" s="364"/>
      <c r="AV71" s="366"/>
      <c r="AW71" s="368"/>
      <c r="AX71" s="369">
        <v>724</v>
      </c>
      <c r="AY71" s="366">
        <v>681</v>
      </c>
      <c r="AZ71" s="368">
        <v>43</v>
      </c>
      <c r="BA71" s="369">
        <v>724</v>
      </c>
      <c r="BB71" s="366">
        <v>681</v>
      </c>
      <c r="BC71" s="368">
        <v>43</v>
      </c>
      <c r="BD71" s="369">
        <v>444627</v>
      </c>
      <c r="BE71" s="366">
        <v>417949</v>
      </c>
      <c r="BF71" s="365">
        <v>26678</v>
      </c>
      <c r="BG71" s="370">
        <v>1</v>
      </c>
      <c r="BH71" s="327">
        <v>-5.7423277022294903E-8</v>
      </c>
      <c r="BI71" s="371">
        <v>0</v>
      </c>
      <c r="BJ71" s="372">
        <v>0</v>
      </c>
      <c r="BK71" s="372">
        <v>0</v>
      </c>
      <c r="BL71" s="373">
        <v>0</v>
      </c>
    </row>
    <row r="72" spans="1:64" ht="19.5" customHeight="1">
      <c r="A72" s="354" t="s">
        <v>465</v>
      </c>
      <c r="B72" s="410" t="s">
        <v>466</v>
      </c>
      <c r="C72" s="356">
        <v>628860933</v>
      </c>
      <c r="D72" s="356">
        <v>594273582</v>
      </c>
      <c r="E72" s="356">
        <v>34587351</v>
      </c>
      <c r="F72" s="357">
        <v>626791789</v>
      </c>
      <c r="G72" s="357">
        <v>592318241</v>
      </c>
      <c r="H72" s="358">
        <v>34473548</v>
      </c>
      <c r="I72" s="359"/>
      <c r="J72" s="359"/>
      <c r="K72" s="358"/>
      <c r="L72" s="518">
        <v>1</v>
      </c>
      <c r="M72" s="358">
        <v>2069144</v>
      </c>
      <c r="N72" s="361">
        <v>1955341</v>
      </c>
      <c r="O72" s="358">
        <v>113803</v>
      </c>
      <c r="P72" s="358">
        <v>2069144</v>
      </c>
      <c r="Q72" s="358">
        <v>1955341</v>
      </c>
      <c r="R72" s="358">
        <v>113803</v>
      </c>
      <c r="S72" s="358">
        <v>628860933</v>
      </c>
      <c r="T72" s="358">
        <v>594273582</v>
      </c>
      <c r="U72" s="389">
        <v>34587351</v>
      </c>
      <c r="V72" s="358"/>
      <c r="W72" s="358"/>
      <c r="X72" s="358"/>
      <c r="Y72" s="358"/>
      <c r="Z72" s="358"/>
      <c r="AA72" s="358"/>
      <c r="AB72" s="358"/>
      <c r="AC72" s="362"/>
      <c r="AD72" s="97">
        <v>0</v>
      </c>
      <c r="AE72" s="97">
        <v>0</v>
      </c>
      <c r="AF72" s="97">
        <v>0</v>
      </c>
      <c r="AG72" s="208" t="s">
        <v>630</v>
      </c>
      <c r="AL72" s="364" t="s">
        <v>465</v>
      </c>
      <c r="AM72" s="365" t="s">
        <v>945</v>
      </c>
      <c r="AN72" s="364">
        <v>628861</v>
      </c>
      <c r="AO72" s="366">
        <v>594274</v>
      </c>
      <c r="AP72" s="366">
        <v>34587</v>
      </c>
      <c r="AQ72" s="367">
        <v>5.4999435487333499E-2</v>
      </c>
      <c r="AR72" s="364"/>
      <c r="AS72" s="366"/>
      <c r="AT72" s="368"/>
      <c r="AU72" s="364"/>
      <c r="AV72" s="366"/>
      <c r="AW72" s="368"/>
      <c r="AX72" s="369">
        <v>2069</v>
      </c>
      <c r="AY72" s="366">
        <v>1955</v>
      </c>
      <c r="AZ72" s="368">
        <v>114</v>
      </c>
      <c r="BA72" s="369">
        <v>2069</v>
      </c>
      <c r="BB72" s="366">
        <v>1955</v>
      </c>
      <c r="BC72" s="368">
        <v>114</v>
      </c>
      <c r="BD72" s="369">
        <v>628861</v>
      </c>
      <c r="BE72" s="366">
        <v>594274</v>
      </c>
      <c r="BF72" s="365">
        <v>34587</v>
      </c>
      <c r="BG72" s="370">
        <v>1</v>
      </c>
      <c r="BH72" s="327">
        <v>0</v>
      </c>
      <c r="BI72" s="371">
        <v>0</v>
      </c>
      <c r="BJ72" s="372">
        <v>0</v>
      </c>
      <c r="BK72" s="372">
        <v>0</v>
      </c>
      <c r="BL72" s="373">
        <v>0</v>
      </c>
    </row>
    <row r="73" spans="1:64" ht="19.5" customHeight="1">
      <c r="A73" s="354" t="s">
        <v>524</v>
      </c>
      <c r="B73" s="410" t="s">
        <v>525</v>
      </c>
      <c r="C73" s="356">
        <v>1866954711</v>
      </c>
      <c r="D73" s="356">
        <v>1799598563</v>
      </c>
      <c r="E73" s="356">
        <v>67356148</v>
      </c>
      <c r="F73" s="357">
        <v>1866954711</v>
      </c>
      <c r="G73" s="357">
        <v>1799598563</v>
      </c>
      <c r="H73" s="358">
        <v>67356148</v>
      </c>
      <c r="I73" s="359"/>
      <c r="J73" s="359"/>
      <c r="K73" s="358"/>
      <c r="L73" s="518">
        <v>1</v>
      </c>
      <c r="M73" s="358">
        <v>0</v>
      </c>
      <c r="N73" s="361">
        <v>0</v>
      </c>
      <c r="O73" s="358">
        <v>0</v>
      </c>
      <c r="P73" s="358">
        <v>0</v>
      </c>
      <c r="Q73" s="358">
        <v>0</v>
      </c>
      <c r="R73" s="358">
        <v>0</v>
      </c>
      <c r="S73" s="358">
        <v>1866954711</v>
      </c>
      <c r="T73" s="358">
        <v>1799598563</v>
      </c>
      <c r="U73" s="357">
        <v>67356148</v>
      </c>
      <c r="V73" s="358"/>
      <c r="W73" s="358"/>
      <c r="X73" s="358"/>
      <c r="Y73" s="358"/>
      <c r="Z73" s="358"/>
      <c r="AA73" s="358"/>
      <c r="AB73" s="358"/>
      <c r="AC73" s="362"/>
      <c r="AD73" s="97">
        <v>0</v>
      </c>
      <c r="AE73" s="97">
        <v>0</v>
      </c>
      <c r="AF73" s="97">
        <v>0</v>
      </c>
      <c r="AG73" s="208" t="s">
        <v>630</v>
      </c>
      <c r="AL73" s="364" t="s">
        <v>524</v>
      </c>
      <c r="AM73" s="365" t="s">
        <v>946</v>
      </c>
      <c r="AN73" s="364">
        <v>1866955</v>
      </c>
      <c r="AO73" s="366">
        <v>1799599</v>
      </c>
      <c r="AP73" s="366">
        <v>67356</v>
      </c>
      <c r="AQ73" s="367">
        <v>3.6077998666277401E-2</v>
      </c>
      <c r="AR73" s="364"/>
      <c r="AS73" s="366"/>
      <c r="AT73" s="368"/>
      <c r="AU73" s="364"/>
      <c r="AV73" s="366"/>
      <c r="AW73" s="368"/>
      <c r="AX73" s="369">
        <v>0</v>
      </c>
      <c r="AY73" s="366">
        <v>0</v>
      </c>
      <c r="AZ73" s="368">
        <v>0</v>
      </c>
      <c r="BA73" s="369">
        <v>0</v>
      </c>
      <c r="BB73" s="366">
        <v>0</v>
      </c>
      <c r="BC73" s="368">
        <v>0</v>
      </c>
      <c r="BD73" s="369">
        <v>1866955</v>
      </c>
      <c r="BE73" s="366">
        <v>1799599</v>
      </c>
      <c r="BF73" s="365">
        <v>67356</v>
      </c>
      <c r="BG73" s="370">
        <v>1</v>
      </c>
      <c r="BH73" s="327">
        <v>0</v>
      </c>
      <c r="BI73" s="371">
        <v>0</v>
      </c>
      <c r="BJ73" s="372">
        <v>0</v>
      </c>
      <c r="BK73" s="372">
        <v>0</v>
      </c>
      <c r="BL73" s="373">
        <v>0</v>
      </c>
    </row>
    <row r="74" spans="1:64" ht="19.5" customHeight="1">
      <c r="A74" s="354" t="s">
        <v>947</v>
      </c>
      <c r="B74" s="410" t="s">
        <v>948</v>
      </c>
      <c r="C74" s="356">
        <v>79212113</v>
      </c>
      <c r="D74" s="356">
        <v>46804708</v>
      </c>
      <c r="E74" s="356">
        <v>32407405</v>
      </c>
      <c r="F74" s="357">
        <v>79212113</v>
      </c>
      <c r="G74" s="357">
        <v>46804708</v>
      </c>
      <c r="H74" s="358">
        <v>32407405</v>
      </c>
      <c r="I74" s="359"/>
      <c r="J74" s="359"/>
      <c r="K74" s="358"/>
      <c r="L74" s="518">
        <v>1</v>
      </c>
      <c r="M74" s="358">
        <v>0</v>
      </c>
      <c r="N74" s="361">
        <v>0</v>
      </c>
      <c r="O74" s="358">
        <v>0</v>
      </c>
      <c r="P74" s="358">
        <v>0</v>
      </c>
      <c r="Q74" s="358">
        <v>0</v>
      </c>
      <c r="R74" s="358">
        <v>0</v>
      </c>
      <c r="S74" s="358">
        <v>79212113</v>
      </c>
      <c r="T74" s="358">
        <v>46804708</v>
      </c>
      <c r="U74" s="357">
        <v>32407405</v>
      </c>
      <c r="V74" s="358"/>
      <c r="W74" s="358"/>
      <c r="X74" s="358"/>
      <c r="Y74" s="358"/>
      <c r="Z74" s="358"/>
      <c r="AA74" s="358"/>
      <c r="AB74" s="358"/>
      <c r="AC74" s="362"/>
      <c r="AD74" s="97">
        <v>0</v>
      </c>
      <c r="AE74" s="97">
        <v>0</v>
      </c>
      <c r="AF74" s="97">
        <v>0</v>
      </c>
      <c r="AG74" s="208" t="s">
        <v>630</v>
      </c>
      <c r="AL74" s="364" t="s">
        <v>947</v>
      </c>
      <c r="AM74" s="365" t="s">
        <v>949</v>
      </c>
      <c r="AN74" s="364">
        <v>79212</v>
      </c>
      <c r="AO74" s="366">
        <v>46805</v>
      </c>
      <c r="AP74" s="366">
        <v>32407</v>
      </c>
      <c r="AQ74" s="367">
        <v>0.40911730545876901</v>
      </c>
      <c r="AR74" s="364"/>
      <c r="AS74" s="366"/>
      <c r="AT74" s="368"/>
      <c r="AU74" s="364"/>
      <c r="AV74" s="366"/>
      <c r="AW74" s="368"/>
      <c r="AX74" s="369">
        <v>0</v>
      </c>
      <c r="AY74" s="366">
        <v>0</v>
      </c>
      <c r="AZ74" s="368">
        <v>0</v>
      </c>
      <c r="BA74" s="369">
        <v>0</v>
      </c>
      <c r="BB74" s="366">
        <v>0</v>
      </c>
      <c r="BC74" s="368">
        <v>0</v>
      </c>
      <c r="BD74" s="369">
        <v>79212</v>
      </c>
      <c r="BE74" s="366">
        <v>46805</v>
      </c>
      <c r="BF74" s="365">
        <v>32407</v>
      </c>
      <c r="BG74" s="370">
        <v>1</v>
      </c>
      <c r="BH74" s="327">
        <v>0</v>
      </c>
      <c r="BI74" s="371">
        <v>0</v>
      </c>
      <c r="BJ74" s="372">
        <v>0</v>
      </c>
      <c r="BK74" s="372">
        <v>0</v>
      </c>
      <c r="BL74" s="373">
        <v>0</v>
      </c>
    </row>
    <row r="75" spans="1:64" ht="19.5" customHeight="1">
      <c r="A75" s="354" t="s">
        <v>950</v>
      </c>
      <c r="B75" s="410" t="s">
        <v>951</v>
      </c>
      <c r="C75" s="356">
        <v>709877612</v>
      </c>
      <c r="D75" s="356">
        <v>667213968</v>
      </c>
      <c r="E75" s="356">
        <v>42663644</v>
      </c>
      <c r="F75" s="357">
        <v>709877612</v>
      </c>
      <c r="G75" s="357">
        <v>667213968</v>
      </c>
      <c r="H75" s="358">
        <v>42663644</v>
      </c>
      <c r="I75" s="359"/>
      <c r="J75" s="359"/>
      <c r="K75" s="358"/>
      <c r="L75" s="518">
        <v>1</v>
      </c>
      <c r="M75" s="358">
        <v>0</v>
      </c>
      <c r="N75" s="361">
        <v>0</v>
      </c>
      <c r="O75" s="358">
        <v>0</v>
      </c>
      <c r="P75" s="358">
        <v>0</v>
      </c>
      <c r="Q75" s="358">
        <v>0</v>
      </c>
      <c r="R75" s="358">
        <v>0</v>
      </c>
      <c r="S75" s="358">
        <v>709877612</v>
      </c>
      <c r="T75" s="358">
        <v>667213968</v>
      </c>
      <c r="U75" s="357">
        <v>42663644</v>
      </c>
      <c r="V75" s="358"/>
      <c r="W75" s="358"/>
      <c r="X75" s="358"/>
      <c r="Y75" s="358"/>
      <c r="Z75" s="358"/>
      <c r="AA75" s="358"/>
      <c r="AB75" s="358"/>
      <c r="AC75" s="362"/>
      <c r="AD75" s="97">
        <v>0</v>
      </c>
      <c r="AE75" s="97">
        <v>0</v>
      </c>
      <c r="AF75" s="97">
        <v>0</v>
      </c>
      <c r="AG75" s="208" t="s">
        <v>630</v>
      </c>
      <c r="AL75" s="364" t="s">
        <v>950</v>
      </c>
      <c r="AM75" s="365" t="s">
        <v>952</v>
      </c>
      <c r="AN75" s="364">
        <v>709878</v>
      </c>
      <c r="AO75" s="366">
        <v>667214</v>
      </c>
      <c r="AP75" s="366">
        <v>42664</v>
      </c>
      <c r="AQ75" s="367">
        <v>6.0100467967735299E-2</v>
      </c>
      <c r="AR75" s="364"/>
      <c r="AS75" s="366"/>
      <c r="AT75" s="368"/>
      <c r="AU75" s="364"/>
      <c r="AV75" s="366"/>
      <c r="AW75" s="368"/>
      <c r="AX75" s="369">
        <v>0</v>
      </c>
      <c r="AY75" s="366">
        <v>0</v>
      </c>
      <c r="AZ75" s="368">
        <v>0</v>
      </c>
      <c r="BA75" s="369">
        <v>0</v>
      </c>
      <c r="BB75" s="366">
        <v>0</v>
      </c>
      <c r="BC75" s="368">
        <v>0</v>
      </c>
      <c r="BD75" s="369">
        <v>709878</v>
      </c>
      <c r="BE75" s="366">
        <v>667214</v>
      </c>
      <c r="BF75" s="365">
        <v>42664</v>
      </c>
      <c r="BG75" s="370">
        <v>1</v>
      </c>
      <c r="BH75" s="327">
        <v>0</v>
      </c>
      <c r="BI75" s="371">
        <v>0</v>
      </c>
      <c r="BJ75" s="372">
        <v>0</v>
      </c>
      <c r="BK75" s="372">
        <v>0</v>
      </c>
      <c r="BL75" s="373">
        <v>0</v>
      </c>
    </row>
    <row r="76" spans="1:64" ht="19.5" customHeight="1">
      <c r="A76" s="354" t="s">
        <v>467</v>
      </c>
      <c r="B76" s="410" t="s">
        <v>468</v>
      </c>
      <c r="C76" s="356">
        <v>200000000</v>
      </c>
      <c r="D76" s="356">
        <v>188000000</v>
      </c>
      <c r="E76" s="356">
        <v>12000000</v>
      </c>
      <c r="F76" s="357">
        <v>199680819</v>
      </c>
      <c r="G76" s="357">
        <v>187699970</v>
      </c>
      <c r="H76" s="358">
        <v>11980849</v>
      </c>
      <c r="I76" s="359"/>
      <c r="J76" s="359"/>
      <c r="K76" s="358"/>
      <c r="L76" s="518">
        <v>0.99920196808510597</v>
      </c>
      <c r="M76" s="358">
        <v>159575</v>
      </c>
      <c r="N76" s="361">
        <v>150000</v>
      </c>
      <c r="O76" s="358">
        <v>9575</v>
      </c>
      <c r="P76" s="358">
        <v>159575</v>
      </c>
      <c r="Q76" s="358">
        <v>150000</v>
      </c>
      <c r="R76" s="358">
        <v>9575</v>
      </c>
      <c r="S76" s="358">
        <v>199840394</v>
      </c>
      <c r="T76" s="358">
        <v>187849970</v>
      </c>
      <c r="U76" s="357">
        <v>11990424</v>
      </c>
      <c r="V76" s="358"/>
      <c r="W76" s="358"/>
      <c r="X76" s="358"/>
      <c r="Y76" s="358"/>
      <c r="Z76" s="358"/>
      <c r="AA76" s="358"/>
      <c r="AB76" s="358"/>
      <c r="AC76" s="362"/>
      <c r="AD76" s="97">
        <v>0</v>
      </c>
      <c r="AE76" s="97">
        <v>0</v>
      </c>
      <c r="AF76" s="97">
        <v>0</v>
      </c>
      <c r="AG76" s="208" t="s">
        <v>630</v>
      </c>
      <c r="AL76" s="364" t="s">
        <v>467</v>
      </c>
      <c r="AM76" s="365" t="s">
        <v>953</v>
      </c>
      <c r="AN76" s="364">
        <v>200000</v>
      </c>
      <c r="AO76" s="366">
        <v>188000</v>
      </c>
      <c r="AP76" s="366">
        <v>12000</v>
      </c>
      <c r="AQ76" s="367">
        <v>0.06</v>
      </c>
      <c r="AR76" s="364"/>
      <c r="AS76" s="366"/>
      <c r="AT76" s="368"/>
      <c r="AU76" s="364"/>
      <c r="AV76" s="366"/>
      <c r="AW76" s="368"/>
      <c r="AX76" s="369">
        <v>160</v>
      </c>
      <c r="AY76" s="366">
        <v>150</v>
      </c>
      <c r="AZ76" s="368">
        <v>10</v>
      </c>
      <c r="BA76" s="369">
        <v>160</v>
      </c>
      <c r="BB76" s="366">
        <v>150</v>
      </c>
      <c r="BC76" s="368">
        <v>10</v>
      </c>
      <c r="BD76" s="369">
        <v>199840</v>
      </c>
      <c r="BE76" s="366">
        <v>187850</v>
      </c>
      <c r="BF76" s="365">
        <v>11990</v>
      </c>
      <c r="BG76" s="370">
        <v>0.99919999999999998</v>
      </c>
      <c r="BH76" s="327">
        <v>1.96808510599666E-6</v>
      </c>
      <c r="BI76" s="371">
        <v>160</v>
      </c>
      <c r="BJ76" s="372">
        <v>150</v>
      </c>
      <c r="BK76" s="372">
        <v>10</v>
      </c>
      <c r="BL76" s="373">
        <v>8.0000000000002302E-4</v>
      </c>
    </row>
    <row r="77" spans="1:64" ht="19.5" customHeight="1">
      <c r="A77" s="354" t="s">
        <v>469</v>
      </c>
      <c r="B77" s="410" t="s">
        <v>954</v>
      </c>
      <c r="C77" s="356">
        <v>1427800000</v>
      </c>
      <c r="D77" s="356">
        <v>1342093000</v>
      </c>
      <c r="E77" s="356">
        <v>85707000</v>
      </c>
      <c r="F77" s="357">
        <v>1385772671</v>
      </c>
      <c r="G77" s="357">
        <v>1302588459</v>
      </c>
      <c r="H77" s="358">
        <v>83184212</v>
      </c>
      <c r="I77" s="359"/>
      <c r="J77" s="359"/>
      <c r="K77" s="358"/>
      <c r="L77" s="518">
        <v>0.97056497500545802</v>
      </c>
      <c r="M77" s="358">
        <v>0</v>
      </c>
      <c r="N77" s="361">
        <v>0</v>
      </c>
      <c r="O77" s="358">
        <v>0</v>
      </c>
      <c r="P77" s="358">
        <v>0</v>
      </c>
      <c r="Q77" s="358">
        <v>0</v>
      </c>
      <c r="R77" s="358">
        <v>0</v>
      </c>
      <c r="S77" s="358">
        <v>1385772671</v>
      </c>
      <c r="T77" s="358">
        <v>1302588459</v>
      </c>
      <c r="U77" s="357">
        <v>83184212</v>
      </c>
      <c r="V77" s="358"/>
      <c r="W77" s="358"/>
      <c r="X77" s="358"/>
      <c r="Y77" s="358"/>
      <c r="Z77" s="358"/>
      <c r="AA77" s="358"/>
      <c r="AB77" s="358"/>
      <c r="AC77" s="362"/>
      <c r="AD77" s="97">
        <v>0</v>
      </c>
      <c r="AE77" s="97">
        <v>0</v>
      </c>
      <c r="AF77" s="97">
        <v>0</v>
      </c>
      <c r="AG77" s="208" t="s">
        <v>630</v>
      </c>
      <c r="AL77" s="364" t="s">
        <v>469</v>
      </c>
      <c r="AM77" s="365" t="s">
        <v>955</v>
      </c>
      <c r="AN77" s="364">
        <v>1427800</v>
      </c>
      <c r="AO77" s="366">
        <v>1342093</v>
      </c>
      <c r="AP77" s="366">
        <v>85707</v>
      </c>
      <c r="AQ77" s="367">
        <v>6.0027314749964998E-2</v>
      </c>
      <c r="AR77" s="364"/>
      <c r="AS77" s="366"/>
      <c r="AT77" s="368"/>
      <c r="AU77" s="364"/>
      <c r="AV77" s="366"/>
      <c r="AW77" s="368"/>
      <c r="AX77" s="369">
        <v>0</v>
      </c>
      <c r="AY77" s="366">
        <v>0</v>
      </c>
      <c r="AZ77" s="368">
        <v>0</v>
      </c>
      <c r="BA77" s="369">
        <v>0</v>
      </c>
      <c r="BB77" s="366">
        <v>0</v>
      </c>
      <c r="BC77" s="368">
        <v>0</v>
      </c>
      <c r="BD77" s="369">
        <v>1385773</v>
      </c>
      <c r="BE77" s="366">
        <v>1302588</v>
      </c>
      <c r="BF77" s="365">
        <v>83185</v>
      </c>
      <c r="BG77" s="370">
        <v>0.97056520521081402</v>
      </c>
      <c r="BH77" s="327">
        <v>-2.3020535577789E-7</v>
      </c>
      <c r="BI77" s="371">
        <v>42027</v>
      </c>
      <c r="BJ77" s="372">
        <v>39505</v>
      </c>
      <c r="BK77" s="372">
        <v>2522</v>
      </c>
      <c r="BL77" s="373">
        <v>2.9434794789186199E-2</v>
      </c>
    </row>
    <row r="78" spans="1:64" ht="19.5" customHeight="1">
      <c r="A78" s="354" t="s">
        <v>956</v>
      </c>
      <c r="B78" s="410" t="s">
        <v>856</v>
      </c>
      <c r="C78" s="356">
        <v>800000000</v>
      </c>
      <c r="D78" s="356">
        <v>752000000</v>
      </c>
      <c r="E78" s="356">
        <v>48000000</v>
      </c>
      <c r="F78" s="357">
        <v>168000000</v>
      </c>
      <c r="G78" s="357">
        <v>157920000</v>
      </c>
      <c r="H78" s="358">
        <v>10080000</v>
      </c>
      <c r="I78" s="359"/>
      <c r="J78" s="359"/>
      <c r="K78" s="358"/>
      <c r="L78" s="518">
        <v>0.91</v>
      </c>
      <c r="M78" s="358">
        <v>560000000</v>
      </c>
      <c r="N78" s="361">
        <v>526400000</v>
      </c>
      <c r="O78" s="358">
        <v>33600000</v>
      </c>
      <c r="P78" s="358">
        <v>560000000</v>
      </c>
      <c r="Q78" s="358">
        <v>526400000</v>
      </c>
      <c r="R78" s="358">
        <v>33600000</v>
      </c>
      <c r="S78" s="358">
        <v>728000000</v>
      </c>
      <c r="T78" s="358">
        <v>684320000</v>
      </c>
      <c r="U78" s="357">
        <v>43680000</v>
      </c>
      <c r="V78" s="358"/>
      <c r="W78" s="358"/>
      <c r="X78" s="358"/>
      <c r="Y78" s="358"/>
      <c r="Z78" s="358"/>
      <c r="AA78" s="358"/>
      <c r="AB78" s="358"/>
      <c r="AC78" s="362"/>
      <c r="AD78" s="97">
        <v>0</v>
      </c>
      <c r="AE78" s="97">
        <v>0</v>
      </c>
      <c r="AF78" s="97">
        <v>0</v>
      </c>
      <c r="AG78" s="208" t="s">
        <v>630</v>
      </c>
      <c r="AL78" s="364" t="s">
        <v>956</v>
      </c>
      <c r="AM78" s="365" t="s">
        <v>857</v>
      </c>
      <c r="AN78" s="364">
        <v>800000</v>
      </c>
      <c r="AO78" s="366">
        <v>752000</v>
      </c>
      <c r="AP78" s="366">
        <v>48000</v>
      </c>
      <c r="AQ78" s="367">
        <v>0.06</v>
      </c>
      <c r="AR78" s="364"/>
      <c r="AS78" s="366"/>
      <c r="AT78" s="368">
        <v>0</v>
      </c>
      <c r="AU78" s="364"/>
      <c r="AV78" s="366"/>
      <c r="AW78" s="368"/>
      <c r="AX78" s="369">
        <v>560000</v>
      </c>
      <c r="AY78" s="366">
        <v>526400</v>
      </c>
      <c r="AZ78" s="368">
        <v>33600</v>
      </c>
      <c r="BA78" s="369">
        <v>560000</v>
      </c>
      <c r="BB78" s="366">
        <v>526400</v>
      </c>
      <c r="BC78" s="368">
        <v>33600</v>
      </c>
      <c r="BD78" s="369">
        <v>728000</v>
      </c>
      <c r="BE78" s="366">
        <v>684320</v>
      </c>
      <c r="BF78" s="365">
        <v>43680</v>
      </c>
      <c r="BG78" s="370">
        <v>0.91</v>
      </c>
      <c r="BH78" s="327"/>
      <c r="BI78" s="371">
        <v>72000</v>
      </c>
      <c r="BJ78" s="372">
        <v>67680</v>
      </c>
      <c r="BK78" s="372">
        <v>4320</v>
      </c>
      <c r="BL78" s="373">
        <v>0.09</v>
      </c>
    </row>
    <row r="79" spans="1:64" ht="19.5" customHeight="1">
      <c r="A79" s="354" t="s">
        <v>957</v>
      </c>
      <c r="B79" s="410" t="s">
        <v>859</v>
      </c>
      <c r="C79" s="380">
        <v>1000000000</v>
      </c>
      <c r="D79" s="380">
        <v>940000000</v>
      </c>
      <c r="E79" s="356">
        <v>60000000</v>
      </c>
      <c r="F79" s="357">
        <v>8000000</v>
      </c>
      <c r="G79" s="357">
        <v>7520000</v>
      </c>
      <c r="H79" s="358">
        <v>480000</v>
      </c>
      <c r="I79" s="359"/>
      <c r="J79" s="359"/>
      <c r="K79" s="358"/>
      <c r="L79" s="518">
        <v>0.26214893617021301</v>
      </c>
      <c r="M79" s="358">
        <v>254148936</v>
      </c>
      <c r="N79" s="361">
        <v>238900000</v>
      </c>
      <c r="O79" s="358">
        <v>15248936</v>
      </c>
      <c r="P79" s="358">
        <v>254148936</v>
      </c>
      <c r="Q79" s="358">
        <v>238900000</v>
      </c>
      <c r="R79" s="358">
        <v>15248936</v>
      </c>
      <c r="S79" s="358">
        <v>262148936</v>
      </c>
      <c r="T79" s="358">
        <v>246420000</v>
      </c>
      <c r="U79" s="357">
        <v>15728936</v>
      </c>
      <c r="V79" s="358"/>
      <c r="W79" s="358"/>
      <c r="X79" s="358"/>
      <c r="Y79" s="358"/>
      <c r="Z79" s="358"/>
      <c r="AA79" s="358"/>
      <c r="AB79" s="358"/>
      <c r="AC79" s="362"/>
      <c r="AD79" s="97">
        <v>0</v>
      </c>
      <c r="AE79" s="97">
        <v>0</v>
      </c>
      <c r="AF79" s="97">
        <v>0</v>
      </c>
      <c r="AG79" s="208" t="s">
        <v>630</v>
      </c>
      <c r="AL79" s="364" t="s">
        <v>957</v>
      </c>
      <c r="AM79" s="365" t="s">
        <v>860</v>
      </c>
      <c r="AN79" s="364">
        <v>1000000</v>
      </c>
      <c r="AO79" s="366">
        <v>940000</v>
      </c>
      <c r="AP79" s="366">
        <v>60000</v>
      </c>
      <c r="AQ79" s="367">
        <v>0.06</v>
      </c>
      <c r="AR79" s="364"/>
      <c r="AS79" s="366"/>
      <c r="AT79" s="368"/>
      <c r="AU79" s="364"/>
      <c r="AV79" s="366"/>
      <c r="AW79" s="368"/>
      <c r="AX79" s="369">
        <v>254149</v>
      </c>
      <c r="AY79" s="366">
        <v>238900</v>
      </c>
      <c r="AZ79" s="368">
        <v>15249</v>
      </c>
      <c r="BA79" s="369">
        <v>254149</v>
      </c>
      <c r="BB79" s="366">
        <v>238900</v>
      </c>
      <c r="BC79" s="368">
        <v>15249</v>
      </c>
      <c r="BD79" s="369">
        <v>262149</v>
      </c>
      <c r="BE79" s="366">
        <v>246420</v>
      </c>
      <c r="BF79" s="365">
        <v>15729</v>
      </c>
      <c r="BG79" s="370">
        <v>0.26214900000000002</v>
      </c>
      <c r="BH79" s="327"/>
      <c r="BI79" s="371">
        <v>737851</v>
      </c>
      <c r="BJ79" s="372">
        <v>693580</v>
      </c>
      <c r="BK79" s="372">
        <v>44271</v>
      </c>
      <c r="BL79" s="373">
        <v>0.73785100000000003</v>
      </c>
    </row>
    <row r="80" spans="1:64" ht="19.5" customHeight="1">
      <c r="A80" s="354" t="s">
        <v>958</v>
      </c>
      <c r="B80" s="410" t="s">
        <v>862</v>
      </c>
      <c r="C80" s="380">
        <v>1500000000</v>
      </c>
      <c r="D80" s="380">
        <v>1410000000</v>
      </c>
      <c r="E80" s="356">
        <v>90000000</v>
      </c>
      <c r="F80" s="357">
        <v>0</v>
      </c>
      <c r="G80" s="357">
        <v>0</v>
      </c>
      <c r="H80" s="358">
        <v>0</v>
      </c>
      <c r="I80" s="359"/>
      <c r="J80" s="359"/>
      <c r="K80" s="358"/>
      <c r="L80" s="518">
        <v>0.20015602836879401</v>
      </c>
      <c r="M80" s="358">
        <v>300234043</v>
      </c>
      <c r="N80" s="361">
        <v>282220000</v>
      </c>
      <c r="O80" s="358">
        <v>18014043</v>
      </c>
      <c r="P80" s="358">
        <v>300234043</v>
      </c>
      <c r="Q80" s="358">
        <v>282220000</v>
      </c>
      <c r="R80" s="358">
        <v>18014043</v>
      </c>
      <c r="S80" s="358">
        <v>300234043</v>
      </c>
      <c r="T80" s="358">
        <v>282220000</v>
      </c>
      <c r="U80" s="357">
        <v>18014043</v>
      </c>
      <c r="V80" s="358"/>
      <c r="W80" s="358"/>
      <c r="X80" s="358"/>
      <c r="Y80" s="358"/>
      <c r="Z80" s="358"/>
      <c r="AA80" s="358"/>
      <c r="AB80" s="358"/>
      <c r="AC80" s="362"/>
      <c r="AD80" s="97">
        <v>0</v>
      </c>
      <c r="AE80" s="97">
        <v>3.05311331771918E-16</v>
      </c>
      <c r="AF80" s="97">
        <v>0</v>
      </c>
      <c r="AG80" s="208" t="s">
        <v>630</v>
      </c>
      <c r="AL80" s="364" t="s">
        <v>958</v>
      </c>
      <c r="AM80" s="365" t="s">
        <v>863</v>
      </c>
      <c r="AN80" s="364">
        <v>1500000</v>
      </c>
      <c r="AO80" s="366">
        <v>1410000</v>
      </c>
      <c r="AP80" s="366">
        <v>90000</v>
      </c>
      <c r="AQ80" s="367">
        <v>0.06</v>
      </c>
      <c r="AR80" s="364"/>
      <c r="AS80" s="366"/>
      <c r="AT80" s="368"/>
      <c r="AU80" s="364"/>
      <c r="AV80" s="366"/>
      <c r="AW80" s="368"/>
      <c r="AX80" s="369">
        <v>300234</v>
      </c>
      <c r="AY80" s="366">
        <v>282220</v>
      </c>
      <c r="AZ80" s="368">
        <v>18014</v>
      </c>
      <c r="BA80" s="369">
        <v>300234</v>
      </c>
      <c r="BB80" s="366">
        <v>282220</v>
      </c>
      <c r="BC80" s="368">
        <v>18014</v>
      </c>
      <c r="BD80" s="369">
        <v>300234</v>
      </c>
      <c r="BE80" s="366">
        <v>282220</v>
      </c>
      <c r="BF80" s="365">
        <v>18014</v>
      </c>
      <c r="BG80" s="370">
        <v>0.200156</v>
      </c>
      <c r="BH80" s="327"/>
      <c r="BI80" s="371">
        <v>1199766</v>
      </c>
      <c r="BJ80" s="372">
        <v>1127780</v>
      </c>
      <c r="BK80" s="372">
        <v>71986</v>
      </c>
      <c r="BL80" s="373">
        <v>0.799844</v>
      </c>
    </row>
    <row r="81" spans="1:94" ht="19.5" customHeight="1">
      <c r="A81" s="354" t="s">
        <v>959</v>
      </c>
      <c r="B81" s="410" t="s">
        <v>868</v>
      </c>
      <c r="C81" s="356">
        <v>0</v>
      </c>
      <c r="D81" s="356">
        <v>0</v>
      </c>
      <c r="E81" s="356">
        <v>0</v>
      </c>
      <c r="F81" s="357">
        <v>0</v>
      </c>
      <c r="G81" s="357">
        <v>0</v>
      </c>
      <c r="H81" s="358">
        <v>0</v>
      </c>
      <c r="I81" s="359"/>
      <c r="J81" s="359"/>
      <c r="K81" s="359"/>
      <c r="L81" s="518"/>
      <c r="M81" s="389"/>
      <c r="N81" s="361"/>
      <c r="O81" s="389">
        <v>0</v>
      </c>
      <c r="P81" s="358">
        <v>0</v>
      </c>
      <c r="Q81" s="358">
        <v>0</v>
      </c>
      <c r="R81" s="358">
        <v>0</v>
      </c>
      <c r="S81" s="358">
        <v>0</v>
      </c>
      <c r="T81" s="358">
        <v>0</v>
      </c>
      <c r="U81" s="357">
        <v>0</v>
      </c>
      <c r="V81" s="358"/>
      <c r="W81" s="358"/>
      <c r="X81" s="358"/>
      <c r="Y81" s="358"/>
      <c r="Z81" s="358"/>
      <c r="AA81" s="358"/>
      <c r="AB81" s="358"/>
      <c r="AC81" s="362"/>
      <c r="AL81" s="364" t="s">
        <v>959</v>
      </c>
      <c r="AM81" s="365" t="s">
        <v>960</v>
      </c>
      <c r="AN81" s="364"/>
      <c r="AO81" s="366"/>
      <c r="AP81" s="366"/>
      <c r="AQ81" s="367"/>
      <c r="AR81" s="364"/>
      <c r="AS81" s="366"/>
      <c r="AT81" s="368"/>
      <c r="AU81" s="364"/>
      <c r="AV81" s="366"/>
      <c r="AW81" s="368"/>
      <c r="AX81" s="369">
        <v>0</v>
      </c>
      <c r="AY81" s="366">
        <v>0</v>
      </c>
      <c r="AZ81" s="368">
        <v>0</v>
      </c>
      <c r="BA81" s="369">
        <v>0</v>
      </c>
      <c r="BB81" s="366">
        <v>0</v>
      </c>
      <c r="BC81" s="368">
        <v>0</v>
      </c>
      <c r="BD81" s="369">
        <v>0</v>
      </c>
      <c r="BE81" s="366">
        <v>0</v>
      </c>
      <c r="BF81" s="365">
        <v>0</v>
      </c>
      <c r="BG81" s="370" t="e">
        <f>#DIV/0!</f>
        <v>#DIV/0!</v>
      </c>
      <c r="BI81" s="421"/>
      <c r="BJ81" s="422"/>
      <c r="BK81" s="422"/>
      <c r="BL81" s="423"/>
    </row>
    <row r="82" spans="1:94" ht="19.5" customHeight="1">
      <c r="A82" s="2728" t="s">
        <v>961</v>
      </c>
      <c r="B82" s="2728"/>
      <c r="C82" s="390">
        <v>8657331940</v>
      </c>
      <c r="D82" s="390">
        <v>8157932797</v>
      </c>
      <c r="E82" s="390">
        <v>499399143</v>
      </c>
      <c r="F82" s="390">
        <v>5488192207</v>
      </c>
      <c r="G82" s="390">
        <v>5178932251</v>
      </c>
      <c r="H82" s="390">
        <v>309259956</v>
      </c>
      <c r="I82" s="404">
        <v>0</v>
      </c>
      <c r="J82" s="404">
        <v>0</v>
      </c>
      <c r="K82" s="404">
        <v>0</v>
      </c>
      <c r="L82" s="520"/>
      <c r="M82" s="390">
        <v>1117335751</v>
      </c>
      <c r="N82" s="390">
        <v>1050305951</v>
      </c>
      <c r="O82" s="390">
        <v>67029800</v>
      </c>
      <c r="P82" s="390">
        <v>1117335751</v>
      </c>
      <c r="Q82" s="390">
        <v>1050305951</v>
      </c>
      <c r="R82" s="390">
        <v>67029800</v>
      </c>
      <c r="S82" s="390">
        <v>6605527958</v>
      </c>
      <c r="T82" s="390">
        <v>6229238202</v>
      </c>
      <c r="U82" s="390">
        <v>376289756</v>
      </c>
      <c r="V82" s="390">
        <v>0</v>
      </c>
      <c r="W82" s="390">
        <v>0</v>
      </c>
      <c r="X82" s="390">
        <v>0</v>
      </c>
      <c r="Y82" s="390">
        <v>0</v>
      </c>
      <c r="Z82" s="390">
        <v>0</v>
      </c>
      <c r="AA82" s="390">
        <v>0</v>
      </c>
      <c r="AB82" s="390">
        <v>0</v>
      </c>
      <c r="AC82" s="392"/>
      <c r="AI82" s="233"/>
      <c r="AJ82" s="233"/>
      <c r="AL82" s="393"/>
      <c r="AM82" s="401" t="s">
        <v>962</v>
      </c>
      <c r="AN82" s="393">
        <v>8657333</v>
      </c>
      <c r="AO82" s="390">
        <v>8157934</v>
      </c>
      <c r="AP82" s="390">
        <v>499399</v>
      </c>
      <c r="AQ82" s="395">
        <v>5.7685086157596099E-2</v>
      </c>
      <c r="AR82" s="393">
        <v>0</v>
      </c>
      <c r="AS82" s="390">
        <v>0</v>
      </c>
      <c r="AT82" s="399">
        <v>0</v>
      </c>
      <c r="AU82" s="396">
        <v>0</v>
      </c>
      <c r="AV82" s="397">
        <v>0</v>
      </c>
      <c r="AW82" s="398">
        <v>0</v>
      </c>
      <c r="AX82" s="400">
        <v>1117336</v>
      </c>
      <c r="AY82" s="390">
        <v>1050306</v>
      </c>
      <c r="AZ82" s="399">
        <v>67030</v>
      </c>
      <c r="BA82" s="400">
        <v>1117336</v>
      </c>
      <c r="BB82" s="390">
        <v>1050306</v>
      </c>
      <c r="BC82" s="399">
        <v>67030</v>
      </c>
      <c r="BD82" s="400">
        <v>6605529</v>
      </c>
      <c r="BE82" s="390">
        <v>6229239</v>
      </c>
      <c r="BF82" s="401">
        <v>376290</v>
      </c>
      <c r="BG82" s="399"/>
      <c r="BH82" s="402"/>
      <c r="BI82" s="414">
        <v>2051804</v>
      </c>
      <c r="BJ82" s="416">
        <v>1928695</v>
      </c>
      <c r="BK82" s="416">
        <v>123109</v>
      </c>
      <c r="BL82" s="405">
        <v>6.0000370405750299E-2</v>
      </c>
    </row>
    <row r="83" spans="1:94" ht="19.5" customHeight="1">
      <c r="A83" s="354" t="s">
        <v>963</v>
      </c>
      <c r="B83" s="410" t="s">
        <v>964</v>
      </c>
      <c r="C83" s="164"/>
      <c r="D83" s="164"/>
      <c r="E83" s="164"/>
      <c r="F83" s="357">
        <v>0</v>
      </c>
      <c r="G83" s="357">
        <v>0</v>
      </c>
      <c r="H83" s="358">
        <v>0</v>
      </c>
      <c r="I83" s="359"/>
      <c r="J83" s="359"/>
      <c r="K83" s="358"/>
      <c r="L83" s="518"/>
      <c r="M83" s="361">
        <v>154704</v>
      </c>
      <c r="N83" s="361">
        <v>6778240</v>
      </c>
      <c r="O83" s="361">
        <v>-6623536</v>
      </c>
      <c r="P83" s="358">
        <v>154704</v>
      </c>
      <c r="Q83" s="358">
        <v>6778240</v>
      </c>
      <c r="R83" s="358">
        <v>-6623536</v>
      </c>
      <c r="S83" s="356">
        <v>154704</v>
      </c>
      <c r="T83" s="356">
        <v>6778240</v>
      </c>
      <c r="U83" s="424">
        <v>-6623536</v>
      </c>
      <c r="V83" s="358"/>
      <c r="W83" s="358"/>
      <c r="X83" s="358"/>
      <c r="Y83" s="358"/>
      <c r="Z83" s="358"/>
      <c r="AA83" s="358"/>
      <c r="AB83" s="358"/>
      <c r="AC83" s="362"/>
      <c r="AL83" s="364" t="s">
        <v>963</v>
      </c>
      <c r="AM83" s="365" t="s">
        <v>965</v>
      </c>
      <c r="AN83" s="364"/>
      <c r="AO83" s="366"/>
      <c r="AP83" s="366"/>
      <c r="AQ83" s="367"/>
      <c r="AR83" s="364"/>
      <c r="AS83" s="366"/>
      <c r="AT83" s="368"/>
      <c r="AU83" s="364"/>
      <c r="AV83" s="366"/>
      <c r="AW83" s="368"/>
      <c r="AX83" s="369">
        <v>155</v>
      </c>
      <c r="AY83" s="366">
        <v>6778</v>
      </c>
      <c r="AZ83" s="368">
        <v>-6623</v>
      </c>
      <c r="BA83" s="369">
        <v>155</v>
      </c>
      <c r="BB83" s="366">
        <v>6778</v>
      </c>
      <c r="BC83" s="368">
        <v>-6623</v>
      </c>
      <c r="BD83" s="369">
        <v>155</v>
      </c>
      <c r="BE83" s="366">
        <v>6778</v>
      </c>
      <c r="BF83" s="365">
        <v>-6623</v>
      </c>
      <c r="BG83" s="370" t="e">
        <f>#DIV/0!</f>
        <v>#DIV/0!</v>
      </c>
      <c r="BI83" s="371"/>
      <c r="BJ83" s="372"/>
      <c r="BK83" s="372"/>
      <c r="BL83" s="425"/>
    </row>
    <row r="84" spans="1:94" ht="19.5" customHeight="1">
      <c r="A84" s="354"/>
      <c r="B84" s="354"/>
      <c r="C84" s="164"/>
      <c r="D84" s="164"/>
      <c r="E84" s="164"/>
      <c r="F84" s="358"/>
      <c r="G84" s="358"/>
      <c r="H84" s="358"/>
      <c r="I84" s="359"/>
      <c r="J84" s="359"/>
      <c r="K84" s="359"/>
      <c r="L84" s="51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362"/>
      <c r="AE84" s="426"/>
      <c r="AF84" s="426"/>
      <c r="AG84" s="427"/>
      <c r="AK84" s="426"/>
      <c r="AL84" s="364"/>
      <c r="AM84" s="365"/>
      <c r="AN84" s="364"/>
      <c r="AO84" s="366"/>
      <c r="AP84" s="366"/>
      <c r="AQ84" s="367"/>
      <c r="AR84" s="364"/>
      <c r="AS84" s="366"/>
      <c r="AT84" s="368"/>
      <c r="AU84" s="364"/>
      <c r="AV84" s="366"/>
      <c r="AW84" s="368"/>
      <c r="AX84" s="369"/>
      <c r="AY84" s="366"/>
      <c r="AZ84" s="368"/>
      <c r="BA84" s="369"/>
      <c r="BB84" s="366"/>
      <c r="BC84" s="368"/>
      <c r="BD84" s="369"/>
      <c r="BE84" s="366"/>
      <c r="BF84" s="365"/>
      <c r="BG84" s="368"/>
      <c r="BI84" s="371"/>
      <c r="BJ84" s="372"/>
      <c r="BK84" s="372"/>
      <c r="BL84" s="425"/>
    </row>
    <row r="85" spans="1:94" ht="19.5" customHeight="1">
      <c r="A85" s="354"/>
      <c r="B85" s="354"/>
      <c r="C85" s="164"/>
      <c r="D85" s="164"/>
      <c r="E85" s="164"/>
      <c r="F85" s="358"/>
      <c r="G85" s="358"/>
      <c r="H85" s="358"/>
      <c r="I85" s="359"/>
      <c r="J85" s="359"/>
      <c r="K85" s="428"/>
      <c r="L85" s="51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362"/>
      <c r="AE85" s="231"/>
      <c r="AF85" s="231"/>
      <c r="AG85" s="216"/>
      <c r="AK85" s="231"/>
      <c r="AL85" s="364"/>
      <c r="AM85" s="365"/>
      <c r="AN85" s="364"/>
      <c r="AO85" s="366"/>
      <c r="AP85" s="366"/>
      <c r="AQ85" s="367"/>
      <c r="AR85" s="364"/>
      <c r="AS85" s="366"/>
      <c r="AT85" s="368"/>
      <c r="AU85" s="364"/>
      <c r="AV85" s="366"/>
      <c r="AW85" s="368"/>
      <c r="AX85" s="369"/>
      <c r="AY85" s="366"/>
      <c r="AZ85" s="368"/>
      <c r="BA85" s="369"/>
      <c r="BB85" s="366"/>
      <c r="BC85" s="368"/>
      <c r="BD85" s="369"/>
      <c r="BE85" s="366"/>
      <c r="BF85" s="365"/>
      <c r="BG85" s="368"/>
      <c r="BI85" s="371"/>
      <c r="BJ85" s="372"/>
      <c r="BK85" s="372"/>
      <c r="BL85" s="425"/>
    </row>
    <row r="86" spans="1:94" s="337" customFormat="1" ht="19.5" customHeight="1">
      <c r="A86" s="2729" t="s">
        <v>767</v>
      </c>
      <c r="B86" s="2729"/>
      <c r="C86" s="429">
        <v>194324288078.052</v>
      </c>
      <c r="D86" s="429">
        <v>184585966966.978</v>
      </c>
      <c r="E86" s="429">
        <v>9738321111.0739803</v>
      </c>
      <c r="F86" s="429">
        <v>106303601310</v>
      </c>
      <c r="G86" s="429">
        <v>101505214321.69299</v>
      </c>
      <c r="H86" s="429">
        <v>4798386988.30686</v>
      </c>
      <c r="I86" s="429">
        <v>0</v>
      </c>
      <c r="J86" s="429">
        <v>0</v>
      </c>
      <c r="K86" s="429">
        <v>0</v>
      </c>
      <c r="L86" s="523">
        <v>0</v>
      </c>
      <c r="M86" s="429">
        <v>23555262966</v>
      </c>
      <c r="N86" s="429">
        <v>22221173488.982498</v>
      </c>
      <c r="O86" s="429">
        <v>1334089477.01754</v>
      </c>
      <c r="P86" s="429">
        <v>23555262966</v>
      </c>
      <c r="Q86" s="429">
        <v>22221173488.982498</v>
      </c>
      <c r="R86" s="429">
        <v>1334089477.01754</v>
      </c>
      <c r="S86" s="429">
        <v>129858864276</v>
      </c>
      <c r="T86" s="429">
        <v>123726387810.67599</v>
      </c>
      <c r="U86" s="429">
        <v>6132476465.3243999</v>
      </c>
      <c r="V86" s="429">
        <v>0</v>
      </c>
      <c r="W86" s="429">
        <v>0</v>
      </c>
      <c r="X86" s="429">
        <v>-6488189</v>
      </c>
      <c r="Y86" s="429">
        <v>115288555</v>
      </c>
      <c r="Z86" s="429">
        <v>-27173885</v>
      </c>
      <c r="AA86" s="429">
        <v>-27173885</v>
      </c>
      <c r="AB86" s="429">
        <v>88114670</v>
      </c>
      <c r="AC86" s="392"/>
      <c r="AD86" s="233"/>
      <c r="AE86" s="233"/>
      <c r="AF86" s="233"/>
      <c r="AG86" s="340"/>
      <c r="AH86" s="340"/>
      <c r="AI86" s="233"/>
      <c r="AJ86" s="233"/>
      <c r="AK86" s="233"/>
      <c r="AL86" s="431"/>
      <c r="AM86" s="432"/>
      <c r="AN86" s="431">
        <v>194358877</v>
      </c>
      <c r="AO86" s="429">
        <v>184585967</v>
      </c>
      <c r="AP86" s="429">
        <v>9772910</v>
      </c>
      <c r="AQ86" s="433">
        <v>5.0282807509738799E-2</v>
      </c>
      <c r="AR86" s="431">
        <v>0</v>
      </c>
      <c r="AS86" s="429">
        <v>0</v>
      </c>
      <c r="AT86" s="434">
        <v>0</v>
      </c>
      <c r="AU86" s="431">
        <v>0</v>
      </c>
      <c r="AV86" s="429">
        <v>0</v>
      </c>
      <c r="AW86" s="434">
        <v>0</v>
      </c>
      <c r="AX86" s="435">
        <v>23555261</v>
      </c>
      <c r="AY86" s="429">
        <v>22221175</v>
      </c>
      <c r="AZ86" s="434">
        <v>1334086</v>
      </c>
      <c r="BA86" s="431">
        <v>23555261</v>
      </c>
      <c r="BB86" s="429">
        <v>22221175</v>
      </c>
      <c r="BC86" s="434">
        <v>1334086</v>
      </c>
      <c r="BD86" s="431">
        <v>129858874</v>
      </c>
      <c r="BE86" s="429">
        <v>123726394</v>
      </c>
      <c r="BF86" s="432">
        <v>6132480</v>
      </c>
      <c r="BG86" s="434"/>
      <c r="BI86" s="436">
        <v>63002834</v>
      </c>
      <c r="BJ86" s="437">
        <v>59426169</v>
      </c>
      <c r="BK86" s="437">
        <v>3576665</v>
      </c>
      <c r="BL86" s="438"/>
      <c r="BN86" s="326"/>
    </row>
    <row r="87" spans="1:94" s="439" customFormat="1" ht="19.5" customHeight="1">
      <c r="C87" s="440">
        <v>0</v>
      </c>
      <c r="D87" s="440">
        <v>0</v>
      </c>
      <c r="E87" s="440">
        <v>0</v>
      </c>
      <c r="F87" s="232">
        <v>0</v>
      </c>
      <c r="G87" s="232">
        <v>0</v>
      </c>
      <c r="H87" s="232">
        <v>0</v>
      </c>
      <c r="I87" s="441"/>
      <c r="J87" s="442"/>
      <c r="K87" s="442"/>
      <c r="L87" s="524"/>
      <c r="M87" s="442"/>
      <c r="N87" s="442">
        <v>0</v>
      </c>
      <c r="O87" s="444"/>
      <c r="P87" s="442"/>
      <c r="Q87" s="442"/>
      <c r="R87" s="442"/>
      <c r="S87" s="442"/>
      <c r="T87" s="442"/>
      <c r="U87" s="442"/>
      <c r="V87" s="442"/>
      <c r="W87" s="442"/>
      <c r="X87" s="442"/>
      <c r="Y87" s="445"/>
      <c r="Z87" s="446"/>
      <c r="AA87" s="446"/>
      <c r="AB87" s="446"/>
      <c r="AC87" s="445"/>
      <c r="AD87" s="193"/>
      <c r="AE87" s="193"/>
      <c r="AF87" s="193"/>
      <c r="AG87" s="447"/>
      <c r="AH87" s="447"/>
      <c r="AI87" s="193"/>
      <c r="AJ87" s="193"/>
      <c r="AK87" s="193"/>
      <c r="AM87" s="448"/>
      <c r="AN87" s="449"/>
      <c r="AO87" s="449"/>
      <c r="AP87" s="449"/>
      <c r="AQ87" s="443"/>
      <c r="AR87" s="449"/>
      <c r="AS87" s="193"/>
      <c r="AT87" s="450"/>
      <c r="AU87" s="451"/>
      <c r="AV87" s="451"/>
      <c r="AW87" s="451"/>
      <c r="AX87" s="451">
        <v>-1.96599999815226</v>
      </c>
      <c r="AY87" s="193">
        <v>1.5110175386071201</v>
      </c>
      <c r="AZ87" s="193">
        <v>-3.4770175402518402</v>
      </c>
      <c r="BA87" s="193">
        <v>-1.96599999815226</v>
      </c>
      <c r="BB87" s="193">
        <v>1.5110175386071201</v>
      </c>
      <c r="BC87" s="193">
        <v>-3.4770175402518402</v>
      </c>
      <c r="BD87" s="193">
        <v>9.7240000069141406</v>
      </c>
      <c r="BE87" s="193">
        <v>6.1893244087696102</v>
      </c>
      <c r="BF87" s="193">
        <v>3.53467559721321</v>
      </c>
      <c r="BG87" s="193"/>
      <c r="BI87" s="193">
        <v>1497324</v>
      </c>
      <c r="BJ87" s="193">
        <v>2</v>
      </c>
      <c r="BK87" s="193">
        <v>-26678</v>
      </c>
      <c r="BL87" s="193"/>
    </row>
    <row r="88" spans="1:94" ht="19.5" customHeight="1">
      <c r="E88" s="525"/>
      <c r="F88" s="452"/>
      <c r="G88" s="452"/>
      <c r="H88" s="452"/>
      <c r="I88" s="452"/>
      <c r="J88" s="452"/>
      <c r="K88" s="452"/>
      <c r="L88" s="526"/>
      <c r="M88" s="452"/>
      <c r="N88" s="452"/>
      <c r="O88" s="452"/>
      <c r="P88" s="452"/>
      <c r="Q88" s="452"/>
      <c r="R88" s="452"/>
      <c r="S88" s="392"/>
      <c r="T88" s="392"/>
      <c r="U88" s="392"/>
      <c r="V88" s="362"/>
      <c r="W88" s="362"/>
      <c r="X88" s="362"/>
      <c r="Y88" s="454"/>
      <c r="Z88" s="362"/>
      <c r="AA88" s="362"/>
      <c r="AB88" s="362"/>
      <c r="AC88" s="454"/>
      <c r="AJ88" s="326"/>
      <c r="AL88" s="326"/>
      <c r="AN88" s="392"/>
      <c r="AO88" s="392"/>
      <c r="AP88" s="392"/>
      <c r="AQ88" s="455"/>
      <c r="AR88" s="362"/>
      <c r="AS88" s="97"/>
      <c r="AT88" s="456"/>
      <c r="AU88" s="326"/>
      <c r="AV88" s="326"/>
      <c r="AW88" s="326"/>
      <c r="AX88" s="326"/>
      <c r="BD88" s="326"/>
      <c r="BE88" s="208" t="s">
        <v>978</v>
      </c>
      <c r="BI88" s="208" t="s">
        <v>979</v>
      </c>
      <c r="BK88" s="208" t="s">
        <v>979</v>
      </c>
    </row>
    <row r="89" spans="1:94" ht="19.5" customHeight="1">
      <c r="C89" s="290"/>
      <c r="D89" s="290"/>
      <c r="E89" s="283"/>
      <c r="F89" s="97"/>
      <c r="G89" s="97"/>
      <c r="H89" s="97"/>
      <c r="I89" s="454"/>
      <c r="J89" s="454"/>
      <c r="K89" s="454"/>
      <c r="M89" s="362"/>
      <c r="N89" s="362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454"/>
      <c r="Z89" s="362"/>
      <c r="AA89" s="362"/>
      <c r="AB89" s="362"/>
      <c r="AC89" s="454"/>
      <c r="AJ89" s="326"/>
      <c r="AL89" s="326"/>
      <c r="AN89" s="392"/>
      <c r="AO89" s="392"/>
      <c r="AP89" s="392"/>
      <c r="AQ89" s="455"/>
      <c r="AR89" s="362"/>
      <c r="AS89" s="97"/>
      <c r="AT89" s="456"/>
      <c r="AU89" s="326"/>
      <c r="AV89" s="326"/>
      <c r="AW89" s="326"/>
      <c r="AX89" s="326"/>
      <c r="BD89" s="326"/>
    </row>
    <row r="90" spans="1:94" s="97" customFormat="1" ht="19.5" customHeight="1">
      <c r="A90" s="326"/>
      <c r="B90" s="326"/>
      <c r="E90" s="283"/>
      <c r="F90" s="290"/>
      <c r="G90" s="290"/>
      <c r="H90" s="290"/>
      <c r="I90" s="327"/>
      <c r="J90" s="327"/>
      <c r="K90" s="327"/>
      <c r="L90" s="510"/>
      <c r="P90" s="208"/>
      <c r="Q90" s="208"/>
      <c r="R90" s="208"/>
      <c r="S90" s="290"/>
      <c r="T90" s="290"/>
      <c r="U90" s="290"/>
      <c r="Y90" s="326"/>
      <c r="AC90" s="326"/>
      <c r="AG90" s="208"/>
      <c r="AH90" s="208"/>
      <c r="AN90" s="326"/>
      <c r="AQ90" s="328"/>
      <c r="AR90" s="233"/>
      <c r="AS90" s="329"/>
      <c r="AT90" s="329"/>
      <c r="AU90" s="326"/>
      <c r="AV90" s="326"/>
      <c r="AW90" s="326"/>
      <c r="AX90" s="326"/>
      <c r="BH90" s="326"/>
      <c r="BM90" s="326"/>
      <c r="BN90" s="326"/>
    </row>
    <row r="91" spans="1:94" ht="23.25" customHeight="1">
      <c r="A91" s="457" t="s">
        <v>966</v>
      </c>
      <c r="C91" s="326"/>
      <c r="D91" s="326"/>
      <c r="E91" s="326"/>
      <c r="F91" s="458"/>
      <c r="G91" s="458"/>
      <c r="H91" s="326"/>
      <c r="I91" s="459"/>
      <c r="J91" s="459"/>
      <c r="K91" s="459"/>
      <c r="L91" s="326"/>
      <c r="M91" s="290"/>
      <c r="N91" s="290"/>
      <c r="O91" s="290"/>
      <c r="P91" s="290"/>
      <c r="Q91" s="290"/>
      <c r="R91" s="290"/>
      <c r="S91" s="460"/>
      <c r="T91" s="458"/>
      <c r="U91" s="458"/>
      <c r="V91" s="458"/>
      <c r="W91" s="458"/>
      <c r="X91" s="458"/>
      <c r="Y91" s="461"/>
      <c r="Z91" s="458"/>
      <c r="AA91" s="458"/>
      <c r="AB91" s="326"/>
      <c r="AC91" s="461"/>
      <c r="AJ91" s="326"/>
      <c r="AL91" s="462"/>
      <c r="AM91" s="283"/>
      <c r="AN91" s="326"/>
      <c r="AO91" s="326"/>
      <c r="AP91" s="326"/>
      <c r="AQ91" s="326"/>
      <c r="AR91" s="326"/>
      <c r="AS91" s="326"/>
      <c r="AT91" s="326"/>
      <c r="AU91" s="97"/>
      <c r="AV91" s="97"/>
      <c r="AW91" s="97"/>
      <c r="BD91" s="302"/>
      <c r="BE91" s="302"/>
      <c r="BF91" s="302"/>
      <c r="BH91" s="444"/>
      <c r="BI91" s="451"/>
      <c r="BJ91" s="451"/>
      <c r="BK91" s="451"/>
      <c r="BN91" s="97"/>
      <c r="BO91" s="97"/>
      <c r="BY91" s="97"/>
      <c r="BZ91" s="97"/>
      <c r="CA91" s="97"/>
      <c r="CB91" s="97"/>
    </row>
    <row r="92" spans="1:94" s="474" customFormat="1" ht="23.25" customHeight="1">
      <c r="A92" s="463" t="s">
        <v>967</v>
      </c>
      <c r="B92" s="464" t="s">
        <v>968</v>
      </c>
      <c r="C92" s="465">
        <v>2229878305</v>
      </c>
      <c r="D92" s="465">
        <v>2061541153</v>
      </c>
      <c r="E92" s="466">
        <v>168337152</v>
      </c>
      <c r="F92" s="357">
        <v>2223126565</v>
      </c>
      <c r="G92" s="357">
        <v>2055299113</v>
      </c>
      <c r="H92" s="358">
        <v>167827452</v>
      </c>
      <c r="I92" s="467"/>
      <c r="J92" s="467"/>
      <c r="K92" s="226"/>
      <c r="L92" s="468">
        <v>1</v>
      </c>
      <c r="M92" s="226">
        <v>6751740</v>
      </c>
      <c r="N92" s="230">
        <v>6242040</v>
      </c>
      <c r="O92" s="226">
        <v>509700</v>
      </c>
      <c r="P92" s="226">
        <v>6751740</v>
      </c>
      <c r="Q92" s="226">
        <v>6242040</v>
      </c>
      <c r="R92" s="226">
        <v>509700</v>
      </c>
      <c r="S92" s="226">
        <v>2229878305</v>
      </c>
      <c r="T92" s="226">
        <v>2061541153</v>
      </c>
      <c r="U92" s="227">
        <v>168337152</v>
      </c>
      <c r="V92" s="226"/>
      <c r="W92" s="226"/>
      <c r="X92" s="226"/>
      <c r="Y92" s="226"/>
      <c r="Z92" s="226"/>
      <c r="AA92" s="226"/>
      <c r="AB92" s="226"/>
      <c r="AC92" s="290"/>
      <c r="AD92" s="97">
        <v>0</v>
      </c>
      <c r="AE92" s="97">
        <v>0</v>
      </c>
      <c r="AF92" s="97">
        <v>0</v>
      </c>
      <c r="AG92" s="208" t="s">
        <v>630</v>
      </c>
      <c r="AH92" s="208"/>
      <c r="AI92" s="208"/>
      <c r="AJ92" s="98"/>
      <c r="AK92" s="98"/>
      <c r="AL92" s="469" t="s">
        <v>967</v>
      </c>
      <c r="AM92" s="470" t="s">
        <v>968</v>
      </c>
      <c r="AN92" s="364">
        <v>2229878</v>
      </c>
      <c r="AO92" s="366">
        <v>2061541</v>
      </c>
      <c r="AP92" s="366">
        <v>168337</v>
      </c>
      <c r="AQ92" s="367">
        <v>7.5491573978486701E-2</v>
      </c>
      <c r="AR92" s="471"/>
      <c r="AS92" s="472"/>
      <c r="AT92" s="473"/>
      <c r="AU92" s="471"/>
      <c r="AV92" s="472"/>
      <c r="AW92" s="473"/>
      <c r="AX92" s="369">
        <v>6752</v>
      </c>
      <c r="AY92" s="366">
        <v>6242</v>
      </c>
      <c r="AZ92" s="368">
        <v>510</v>
      </c>
      <c r="BA92" s="369">
        <v>6752</v>
      </c>
      <c r="BB92" s="366">
        <v>6242</v>
      </c>
      <c r="BC92" s="368">
        <v>510</v>
      </c>
      <c r="BD92" s="369">
        <v>2229878</v>
      </c>
      <c r="BE92" s="366">
        <v>2061541</v>
      </c>
      <c r="BF92" s="365">
        <v>168337</v>
      </c>
      <c r="BG92" s="370">
        <v>1</v>
      </c>
      <c r="BH92" s="327">
        <v>0</v>
      </c>
      <c r="BI92" s="371">
        <v>0</v>
      </c>
      <c r="BJ92" s="372">
        <v>0</v>
      </c>
      <c r="BK92" s="372">
        <v>0</v>
      </c>
      <c r="BL92" s="373">
        <v>0</v>
      </c>
      <c r="BN92" s="98"/>
      <c r="BO92" s="98"/>
      <c r="BP92" s="475"/>
      <c r="BQ92" s="476"/>
      <c r="BR92" s="477"/>
      <c r="BS92" s="475"/>
      <c r="BT92" s="476"/>
      <c r="BU92" s="477"/>
      <c r="BV92" s="475"/>
      <c r="BW92" s="476"/>
      <c r="BX92" s="477"/>
      <c r="BY92" s="98"/>
      <c r="BZ92" s="98"/>
      <c r="CA92" s="98"/>
      <c r="CB92" s="98"/>
    </row>
    <row r="93" spans="1:94" s="474" customFormat="1" ht="23.25" customHeight="1">
      <c r="A93" s="463" t="s">
        <v>969</v>
      </c>
      <c r="B93" s="464" t="s">
        <v>970</v>
      </c>
      <c r="C93" s="465">
        <v>3252514518</v>
      </c>
      <c r="D93" s="465">
        <v>3020306775</v>
      </c>
      <c r="E93" s="466">
        <v>232207743</v>
      </c>
      <c r="F93" s="357">
        <v>3243233830</v>
      </c>
      <c r="G93" s="357">
        <v>3011688665.7571402</v>
      </c>
      <c r="H93" s="358">
        <v>231545164.24285701</v>
      </c>
      <c r="I93" s="467"/>
      <c r="J93" s="467"/>
      <c r="K93" s="226"/>
      <c r="L93" s="468">
        <v>0.99999999991959199</v>
      </c>
      <c r="M93" s="226">
        <v>9280688</v>
      </c>
      <c r="N93" s="230">
        <v>8618109</v>
      </c>
      <c r="O93" s="226">
        <v>662579</v>
      </c>
      <c r="P93" s="226">
        <v>9280688</v>
      </c>
      <c r="Q93" s="226">
        <v>8618109</v>
      </c>
      <c r="R93" s="226">
        <v>662579</v>
      </c>
      <c r="S93" s="226">
        <v>3252514518</v>
      </c>
      <c r="T93" s="226">
        <v>3020306774.7571402</v>
      </c>
      <c r="U93" s="227">
        <v>232207743.24285701</v>
      </c>
      <c r="V93" s="226"/>
      <c r="W93" s="226"/>
      <c r="X93" s="226"/>
      <c r="Y93" s="226"/>
      <c r="Z93" s="226"/>
      <c r="AA93" s="226"/>
      <c r="AB93" s="226"/>
      <c r="AC93" s="290"/>
      <c r="AD93" s="97">
        <v>0</v>
      </c>
      <c r="AE93" s="97">
        <v>0</v>
      </c>
      <c r="AF93" s="97">
        <v>0</v>
      </c>
      <c r="AG93" s="208" t="s">
        <v>630</v>
      </c>
      <c r="AH93" s="208"/>
      <c r="AI93" s="208"/>
      <c r="AJ93" s="98"/>
      <c r="AK93" s="98"/>
      <c r="AL93" s="478" t="s">
        <v>969</v>
      </c>
      <c r="AM93" s="479" t="s">
        <v>970</v>
      </c>
      <c r="AN93" s="364">
        <v>3252515</v>
      </c>
      <c r="AO93" s="366">
        <v>3020307</v>
      </c>
      <c r="AP93" s="366">
        <v>232208</v>
      </c>
      <c r="AQ93" s="367">
        <v>7.1393367901454702E-2</v>
      </c>
      <c r="AR93" s="480"/>
      <c r="AS93" s="315"/>
      <c r="AT93" s="481"/>
      <c r="AU93" s="480"/>
      <c r="AV93" s="315"/>
      <c r="AW93" s="481"/>
      <c r="AX93" s="369">
        <v>9281</v>
      </c>
      <c r="AY93" s="366">
        <v>8618</v>
      </c>
      <c r="AZ93" s="368">
        <v>663</v>
      </c>
      <c r="BA93" s="369">
        <v>9281</v>
      </c>
      <c r="BB93" s="366">
        <v>8618</v>
      </c>
      <c r="BC93" s="368">
        <v>663</v>
      </c>
      <c r="BD93" s="369">
        <v>3252515</v>
      </c>
      <c r="BE93" s="366">
        <v>3020307</v>
      </c>
      <c r="BF93" s="365">
        <v>232208</v>
      </c>
      <c r="BG93" s="370">
        <v>1</v>
      </c>
      <c r="BH93" s="327">
        <v>-8.0408013580779399E-11</v>
      </c>
      <c r="BI93" s="371">
        <v>0</v>
      </c>
      <c r="BJ93" s="372">
        <v>0</v>
      </c>
      <c r="BK93" s="372">
        <v>0</v>
      </c>
      <c r="BL93" s="373">
        <v>0</v>
      </c>
      <c r="BN93" s="98"/>
      <c r="BO93" s="98"/>
      <c r="BP93" s="482"/>
      <c r="BQ93" s="483"/>
      <c r="BR93" s="484"/>
      <c r="BS93" s="482"/>
      <c r="BT93" s="483"/>
      <c r="BU93" s="484"/>
      <c r="BV93" s="482"/>
      <c r="BW93" s="483"/>
      <c r="BX93" s="484"/>
      <c r="BY93" s="98"/>
      <c r="BZ93" s="98"/>
      <c r="CA93" s="98"/>
      <c r="CB93" s="98"/>
      <c r="CG93" s="98"/>
      <c r="CH93" s="98"/>
      <c r="CI93" s="98"/>
      <c r="CM93" s="98"/>
      <c r="CN93" s="98"/>
      <c r="CO93" s="98"/>
    </row>
    <row r="94" spans="1:94" s="474" customFormat="1" ht="23.25" customHeight="1">
      <c r="A94" s="463"/>
      <c r="B94" s="463"/>
      <c r="C94" s="465"/>
      <c r="D94" s="465"/>
      <c r="E94" s="466"/>
      <c r="F94" s="465"/>
      <c r="G94" s="465"/>
      <c r="H94" s="465"/>
      <c r="I94" s="485"/>
      <c r="J94" s="485"/>
      <c r="K94" s="485"/>
      <c r="L94" s="486"/>
      <c r="M94" s="465"/>
      <c r="N94" s="465"/>
      <c r="O94" s="465"/>
      <c r="P94" s="465"/>
      <c r="Q94" s="465"/>
      <c r="R94" s="465"/>
      <c r="S94" s="465"/>
      <c r="T94" s="465"/>
      <c r="U94" s="465"/>
      <c r="V94" s="465"/>
      <c r="W94" s="465"/>
      <c r="X94" s="465"/>
      <c r="Y94" s="465"/>
      <c r="Z94" s="465"/>
      <c r="AA94" s="465"/>
      <c r="AB94" s="465"/>
      <c r="AD94" s="98"/>
      <c r="AE94" s="98"/>
      <c r="AF94" s="98"/>
      <c r="AG94" s="102"/>
      <c r="AH94" s="102"/>
      <c r="AI94" s="98"/>
      <c r="AJ94" s="98"/>
      <c r="AK94" s="98"/>
      <c r="AL94" s="487"/>
      <c r="AM94" s="488"/>
      <c r="AN94" s="489"/>
      <c r="AO94" s="490"/>
      <c r="AP94" s="490"/>
      <c r="AQ94" s="491"/>
      <c r="AR94" s="489"/>
      <c r="AS94" s="492"/>
      <c r="AT94" s="493"/>
      <c r="AU94" s="489"/>
      <c r="AV94" s="490"/>
      <c r="AW94" s="494"/>
      <c r="AX94" s="489"/>
      <c r="AY94" s="490"/>
      <c r="AZ94" s="494"/>
      <c r="BA94" s="489"/>
      <c r="BB94" s="490"/>
      <c r="BC94" s="494"/>
      <c r="BD94" s="489"/>
      <c r="BE94" s="490"/>
      <c r="BF94" s="490"/>
      <c r="BG94" s="495"/>
      <c r="BH94" s="496"/>
      <c r="BI94" s="489"/>
      <c r="BJ94" s="490"/>
      <c r="BK94" s="490"/>
      <c r="BL94" s="495"/>
      <c r="BN94" s="98"/>
      <c r="BO94" s="98"/>
      <c r="BP94" s="497"/>
      <c r="BQ94" s="498"/>
      <c r="BR94" s="499"/>
      <c r="BS94" s="497"/>
      <c r="BT94" s="498"/>
      <c r="BU94" s="499"/>
      <c r="BV94" s="497"/>
      <c r="BW94" s="498"/>
      <c r="BX94" s="499"/>
      <c r="BY94" s="98"/>
      <c r="BZ94" s="98"/>
      <c r="CA94" s="98"/>
      <c r="CB94" s="98"/>
      <c r="CG94" s="98"/>
      <c r="CH94" s="98"/>
      <c r="CI94" s="98"/>
      <c r="CM94" s="98"/>
      <c r="CN94" s="98"/>
      <c r="CO94" s="98"/>
      <c r="CP94" s="98"/>
    </row>
    <row r="95" spans="1:94" s="98" customFormat="1" ht="23.25" customHeight="1">
      <c r="A95" s="500"/>
      <c r="B95" s="500"/>
      <c r="C95" s="501">
        <v>5482392823</v>
      </c>
      <c r="D95" s="501">
        <v>5081847928</v>
      </c>
      <c r="E95" s="501">
        <v>400544895</v>
      </c>
      <c r="F95" s="501">
        <v>5466360395</v>
      </c>
      <c r="G95" s="501">
        <v>5066987778.7571402</v>
      </c>
      <c r="H95" s="501">
        <v>399372616.24285698</v>
      </c>
      <c r="I95" s="501">
        <v>0</v>
      </c>
      <c r="J95" s="501">
        <v>0</v>
      </c>
      <c r="K95" s="501">
        <v>0</v>
      </c>
      <c r="L95" s="501"/>
      <c r="M95" s="501">
        <v>16032428</v>
      </c>
      <c r="N95" s="501">
        <v>14860149</v>
      </c>
      <c r="O95" s="501">
        <v>1172279</v>
      </c>
      <c r="P95" s="501">
        <v>16032428</v>
      </c>
      <c r="Q95" s="501">
        <v>14860149</v>
      </c>
      <c r="R95" s="501">
        <v>1172279</v>
      </c>
      <c r="S95" s="501">
        <v>5482392823</v>
      </c>
      <c r="T95" s="501">
        <v>5081847927.7571402</v>
      </c>
      <c r="U95" s="501">
        <v>400544895.24285698</v>
      </c>
      <c r="V95" s="501">
        <v>0</v>
      </c>
      <c r="W95" s="501">
        <v>0</v>
      </c>
      <c r="X95" s="501">
        <v>0</v>
      </c>
      <c r="Y95" s="501">
        <v>0</v>
      </c>
      <c r="Z95" s="501">
        <v>0</v>
      </c>
      <c r="AA95" s="501">
        <v>0</v>
      </c>
      <c r="AB95" s="501">
        <v>0</v>
      </c>
      <c r="AC95" s="474"/>
      <c r="AG95" s="102"/>
      <c r="AH95" s="102"/>
      <c r="AL95" s="502"/>
      <c r="AM95" s="503"/>
      <c r="AN95" s="504">
        <v>5482393</v>
      </c>
      <c r="AO95" s="505">
        <v>5081848</v>
      </c>
      <c r="AP95" s="506">
        <v>400545</v>
      </c>
      <c r="AQ95" s="507"/>
      <c r="AR95" s="508"/>
      <c r="AS95" s="505"/>
      <c r="AT95" s="507"/>
      <c r="AU95" s="508"/>
      <c r="AV95" s="505"/>
      <c r="AW95" s="507"/>
      <c r="AX95" s="508">
        <v>16033</v>
      </c>
      <c r="AY95" s="505">
        <v>14860</v>
      </c>
      <c r="AZ95" s="507">
        <v>1173</v>
      </c>
      <c r="BA95" s="508">
        <v>16033</v>
      </c>
      <c r="BB95" s="505">
        <v>14860</v>
      </c>
      <c r="BC95" s="507">
        <v>1173</v>
      </c>
      <c r="BD95" s="508">
        <v>5482393</v>
      </c>
      <c r="BE95" s="505">
        <v>5081848</v>
      </c>
      <c r="BF95" s="507">
        <v>400545</v>
      </c>
      <c r="BG95" s="509"/>
      <c r="BH95" s="496"/>
      <c r="BI95" s="508">
        <v>0</v>
      </c>
      <c r="BJ95" s="505">
        <v>0</v>
      </c>
      <c r="BK95" s="507">
        <v>0</v>
      </c>
      <c r="BL95" s="507"/>
      <c r="BM95" s="474"/>
      <c r="BP95" s="508"/>
      <c r="BQ95" s="505"/>
      <c r="BR95" s="507"/>
      <c r="BS95" s="508"/>
      <c r="BT95" s="505"/>
      <c r="BU95" s="507"/>
      <c r="BV95" s="508"/>
      <c r="BW95" s="505"/>
      <c r="BX95" s="507"/>
      <c r="CC95" s="474"/>
      <c r="CD95" s="474"/>
      <c r="CE95" s="474"/>
      <c r="CF95" s="474"/>
      <c r="CJ95" s="474"/>
      <c r="CK95" s="474"/>
      <c r="CL95" s="474"/>
    </row>
    <row r="96" spans="1:94" s="97" customFormat="1" ht="20.25" customHeight="1">
      <c r="A96" s="326"/>
      <c r="C96" s="97">
        <v>0</v>
      </c>
      <c r="D96" s="97">
        <v>-61264946</v>
      </c>
      <c r="E96" s="97">
        <v>61264946</v>
      </c>
      <c r="F96" s="232">
        <v>0</v>
      </c>
      <c r="G96" s="232">
        <v>0</v>
      </c>
      <c r="H96" s="232">
        <v>0</v>
      </c>
      <c r="I96" s="327"/>
      <c r="J96" s="327"/>
      <c r="K96" s="327"/>
      <c r="L96" s="510"/>
      <c r="M96" s="97">
        <v>0</v>
      </c>
      <c r="N96" s="97">
        <v>0</v>
      </c>
      <c r="O96" s="97">
        <v>0</v>
      </c>
      <c r="P96" s="97">
        <v>0</v>
      </c>
      <c r="Q96" s="97">
        <v>0</v>
      </c>
      <c r="R96" s="97">
        <v>0</v>
      </c>
      <c r="S96" s="97">
        <v>0</v>
      </c>
      <c r="T96" s="97">
        <v>0</v>
      </c>
      <c r="U96" s="97">
        <v>0</v>
      </c>
      <c r="V96" s="290"/>
      <c r="W96" s="290"/>
      <c r="X96" s="290"/>
      <c r="Y96" s="402"/>
      <c r="Z96" s="290"/>
      <c r="AA96" s="290"/>
      <c r="AB96" s="290"/>
      <c r="AC96" s="326"/>
      <c r="AG96" s="208"/>
      <c r="AH96" s="208"/>
      <c r="AN96" s="449">
        <v>-0.177000000141561</v>
      </c>
      <c r="AO96" s="449">
        <v>-7.1999999694526196E-2</v>
      </c>
      <c r="AP96" s="449">
        <v>-0.10499999998137401</v>
      </c>
      <c r="AQ96" s="328"/>
      <c r="AR96" s="233"/>
      <c r="AS96" s="329"/>
      <c r="AT96" s="329"/>
      <c r="AU96" s="326"/>
      <c r="AV96" s="326"/>
      <c r="AW96" s="326"/>
      <c r="AX96" s="326">
        <v>0.57200000000011597</v>
      </c>
      <c r="AY96" s="97">
        <v>-0.148999999999432</v>
      </c>
      <c r="AZ96" s="97">
        <v>0.72100000000000397</v>
      </c>
      <c r="BA96" s="97">
        <v>0.57200000000011597</v>
      </c>
      <c r="BB96" s="97">
        <v>-0.148999999999432</v>
      </c>
      <c r="BC96" s="97">
        <v>0.72100000000000397</v>
      </c>
      <c r="BD96" s="97">
        <v>0.177000000141561</v>
      </c>
      <c r="BE96" s="97">
        <v>7.2242856957018403E-2</v>
      </c>
      <c r="BF96" s="97">
        <v>0.10475714300992001</v>
      </c>
      <c r="BH96" s="326"/>
      <c r="BI96" s="97">
        <v>0</v>
      </c>
      <c r="BJ96" s="97">
        <v>0</v>
      </c>
      <c r="BK96" s="97">
        <v>0</v>
      </c>
      <c r="BM96" s="326"/>
      <c r="BN96" s="326"/>
    </row>
    <row r="97" spans="1:15" s="451" customFormat="1" ht="19.5" customHeight="1">
      <c r="A97" s="511"/>
      <c r="L97" s="527"/>
      <c r="O97" s="512"/>
    </row>
    <row r="98" spans="1:15" s="451" customFormat="1" ht="19.5" customHeight="1">
      <c r="A98" s="513"/>
      <c r="L98" s="527"/>
      <c r="O98" s="512"/>
    </row>
    <row r="99" spans="1:15" s="451" customFormat="1" ht="19.5" customHeight="1">
      <c r="A99" s="511"/>
      <c r="L99" s="527"/>
    </row>
    <row r="100" spans="1:15" s="451" customFormat="1" ht="19.5" customHeight="1">
      <c r="A100" s="513"/>
      <c r="L100" s="527"/>
    </row>
    <row r="101" spans="1:15" s="451" customFormat="1" ht="19.5" customHeight="1">
      <c r="A101" s="513"/>
      <c r="L101" s="527"/>
    </row>
    <row r="102" spans="1:15" s="451" customFormat="1" ht="19.5" customHeight="1">
      <c r="A102" s="513"/>
      <c r="L102" s="527"/>
    </row>
    <row r="103" spans="1:15" s="451" customFormat="1" ht="19.5" customHeight="1">
      <c r="A103" s="514"/>
      <c r="L103" s="527"/>
    </row>
    <row r="104" spans="1:15" s="451" customFormat="1" ht="19.5" customHeight="1">
      <c r="A104" s="514"/>
      <c r="L104" s="527"/>
    </row>
    <row r="105" spans="1:15" s="451" customFormat="1" ht="19.5" customHeight="1">
      <c r="A105" s="514"/>
      <c r="L105" s="527"/>
    </row>
    <row r="106" spans="1:15" s="451" customFormat="1" ht="19.5" customHeight="1">
      <c r="A106" s="514"/>
      <c r="L106" s="527"/>
    </row>
    <row r="107" spans="1:15" s="451" customFormat="1" ht="19.5" customHeight="1">
      <c r="A107" s="515"/>
      <c r="L107" s="527"/>
    </row>
    <row r="108" spans="1:15" s="451" customFormat="1" ht="19.5" customHeight="1">
      <c r="A108" s="515"/>
      <c r="L108" s="527"/>
    </row>
    <row r="109" spans="1:15" s="451" customFormat="1" ht="19.5" customHeight="1">
      <c r="A109" s="513"/>
      <c r="L109" s="527"/>
    </row>
    <row r="110" spans="1:15" s="451" customFormat="1" ht="19.5" customHeight="1">
      <c r="A110" s="516"/>
      <c r="L110" s="527"/>
    </row>
    <row r="111" spans="1:15" s="451" customFormat="1" ht="19.5" customHeight="1">
      <c r="A111" s="513"/>
      <c r="L111" s="527"/>
    </row>
    <row r="112" spans="1:15" s="451" customFormat="1" ht="19.5" customHeight="1">
      <c r="A112" s="513"/>
      <c r="L112" s="527"/>
    </row>
    <row r="113" spans="1:12" s="451" customFormat="1" ht="19.5" customHeight="1">
      <c r="A113" s="513"/>
      <c r="L113" s="527"/>
    </row>
    <row r="114" spans="1:12" s="451" customFormat="1" ht="19.5" customHeight="1">
      <c r="A114" s="513"/>
      <c r="L114" s="527"/>
    </row>
    <row r="115" spans="1:12" s="451" customFormat="1" ht="19.5" customHeight="1">
      <c r="A115" s="511"/>
      <c r="L115" s="527"/>
    </row>
    <row r="116" spans="1:12" s="451" customFormat="1" ht="19.5" customHeight="1">
      <c r="A116" s="511"/>
      <c r="L116" s="527"/>
    </row>
    <row r="117" spans="1:12" s="451" customFormat="1" ht="19.5" customHeight="1">
      <c r="L117" s="527"/>
    </row>
    <row r="118" spans="1:12" s="451" customFormat="1" ht="19.5" customHeight="1">
      <c r="L118" s="527"/>
    </row>
    <row r="119" spans="1:12" s="326" customFormat="1" ht="19.5" customHeight="1">
      <c r="L119" s="510"/>
    </row>
    <row r="120" spans="1:12" s="326" customFormat="1" ht="19.5" customHeight="1">
      <c r="L120" s="510"/>
    </row>
    <row r="121" spans="1:12" s="326" customFormat="1" ht="19.5" customHeight="1">
      <c r="L121" s="510"/>
    </row>
    <row r="122" spans="1:12" s="326" customFormat="1" ht="19.5" customHeight="1">
      <c r="L122" s="510"/>
    </row>
    <row r="123" spans="1:12" s="326" customFormat="1" ht="19.5" customHeight="1">
      <c r="L123" s="510"/>
    </row>
    <row r="124" spans="1:12" s="326" customFormat="1" ht="19.5" customHeight="1">
      <c r="L124" s="510"/>
    </row>
    <row r="125" spans="1:12" s="326" customFormat="1" ht="19.5" customHeight="1">
      <c r="L125" s="510"/>
    </row>
    <row r="126" spans="1:12" s="326" customFormat="1" ht="19.5" customHeight="1">
      <c r="L126" s="510"/>
    </row>
    <row r="127" spans="1:12" s="326" customFormat="1" ht="19.5" customHeight="1">
      <c r="L127" s="510"/>
    </row>
    <row r="128" spans="1:12" s="326" customFormat="1" ht="19.5" customHeight="1">
      <c r="L128" s="510"/>
    </row>
    <row r="129" spans="12:12" s="326" customFormat="1" ht="19.5" customHeight="1">
      <c r="L129" s="510"/>
    </row>
    <row r="130" spans="12:12" s="326" customFormat="1" ht="19.5" customHeight="1">
      <c r="L130" s="510"/>
    </row>
    <row r="131" spans="12:12" s="326" customFormat="1" ht="19.5" customHeight="1">
      <c r="L131" s="510"/>
    </row>
    <row r="132" spans="12:12" s="326" customFormat="1" ht="19.5" customHeight="1">
      <c r="L132" s="510"/>
    </row>
    <row r="133" spans="12:12" s="326" customFormat="1" ht="19.5" customHeight="1">
      <c r="L133" s="510"/>
    </row>
    <row r="134" spans="12:12" s="326" customFormat="1" ht="19.5" customHeight="1">
      <c r="L134" s="510"/>
    </row>
    <row r="135" spans="12:12" s="326" customFormat="1" ht="19.5" customHeight="1">
      <c r="L135" s="510"/>
    </row>
    <row r="136" spans="12:12" s="326" customFormat="1" ht="19.5" customHeight="1">
      <c r="L136" s="510"/>
    </row>
    <row r="137" spans="12:12" s="326" customFormat="1" ht="19.5" customHeight="1">
      <c r="L137" s="510"/>
    </row>
    <row r="138" spans="12:12" s="326" customFormat="1" ht="19.5" customHeight="1">
      <c r="L138" s="510"/>
    </row>
    <row r="139" spans="12:12" s="326" customFormat="1" ht="19.5" customHeight="1">
      <c r="L139" s="510"/>
    </row>
    <row r="140" spans="12:12" s="326" customFormat="1" ht="19.5" customHeight="1">
      <c r="L140" s="510"/>
    </row>
    <row r="141" spans="12:12" s="326" customFormat="1" ht="19.5" customHeight="1">
      <c r="L141" s="510"/>
    </row>
    <row r="142" spans="12:12" s="326" customFormat="1" ht="19.5" customHeight="1">
      <c r="L142" s="510"/>
    </row>
    <row r="143" spans="12:12" s="326" customFormat="1" ht="19.5" customHeight="1">
      <c r="L143" s="510"/>
    </row>
    <row r="144" spans="12:12" s="326" customFormat="1" ht="19.5" customHeight="1">
      <c r="L144" s="510"/>
    </row>
    <row r="145" spans="12:12" s="326" customFormat="1" ht="19.5" customHeight="1">
      <c r="L145" s="510"/>
    </row>
    <row r="146" spans="12:12" s="326" customFormat="1" ht="19.5" customHeight="1">
      <c r="L146" s="510"/>
    </row>
    <row r="147" spans="12:12" s="326" customFormat="1" ht="19.5" customHeight="1">
      <c r="L147" s="510"/>
    </row>
  </sheetData>
  <mergeCells count="30">
    <mergeCell ref="A24:B24"/>
    <mergeCell ref="A62:B62"/>
    <mergeCell ref="A70:B70"/>
    <mergeCell ref="A82:B82"/>
    <mergeCell ref="A86:B86"/>
    <mergeCell ref="AU2:AW2"/>
    <mergeCell ref="AX2:AZ2"/>
    <mergeCell ref="BA2:BC2"/>
    <mergeCell ref="BD2:BG2"/>
    <mergeCell ref="BI2:BL2"/>
    <mergeCell ref="AN2:AN3"/>
    <mergeCell ref="AO2:AO3"/>
    <mergeCell ref="AP2:AP3"/>
    <mergeCell ref="AQ2:AQ3"/>
    <mergeCell ref="AR2:AT2"/>
    <mergeCell ref="S2:U2"/>
    <mergeCell ref="V2:X2"/>
    <mergeCell ref="Y2:AB2"/>
    <mergeCell ref="AL2:AL3"/>
    <mergeCell ref="AM2:AM3"/>
    <mergeCell ref="F2:H2"/>
    <mergeCell ref="I2:K2"/>
    <mergeCell ref="L2:L3"/>
    <mergeCell ref="M2:O2"/>
    <mergeCell ref="P2:R2"/>
    <mergeCell ref="A2:A3"/>
    <mergeCell ref="B2:B3"/>
    <mergeCell ref="C2:C3"/>
    <mergeCell ref="D2:D3"/>
    <mergeCell ref="E2:E3"/>
  </mergeCells>
  <phoneticPr fontId="101" type="noConversion"/>
  <conditionalFormatting sqref="E88">
    <cfRule type="cellIs" dxfId="15" priority="12" operator="equal">
      <formula>1</formula>
    </cfRule>
    <cfRule type="cellIs" dxfId="14" priority="13" operator="between">
      <formula>0.9</formula>
      <formula>1</formula>
    </cfRule>
  </conditionalFormatting>
  <conditionalFormatting sqref="L2:L61">
    <cfRule type="cellIs" dxfId="13" priority="6" operator="equal">
      <formula>1</formula>
    </cfRule>
    <cfRule type="cellIs" dxfId="12" priority="7" operator="between">
      <formula>0.9</formula>
      <formula>1</formula>
    </cfRule>
  </conditionalFormatting>
  <conditionalFormatting sqref="L4:L85">
    <cfRule type="cellIs" dxfId="11" priority="5" operator="greaterThan">
      <formula>1</formula>
    </cfRule>
  </conditionalFormatting>
  <conditionalFormatting sqref="L63:L69">
    <cfRule type="cellIs" dxfId="10" priority="8" operator="equal">
      <formula>1</formula>
    </cfRule>
    <cfRule type="cellIs" dxfId="9" priority="9" operator="between">
      <formula>0.9</formula>
      <formula>1</formula>
    </cfRule>
  </conditionalFormatting>
  <conditionalFormatting sqref="L71:L85 L90">
    <cfRule type="cellIs" dxfId="8" priority="16" operator="equal">
      <formula>1</formula>
    </cfRule>
    <cfRule type="cellIs" dxfId="7" priority="17" operator="between">
      <formula>0.9</formula>
      <formula>1</formula>
    </cfRule>
  </conditionalFormatting>
  <conditionalFormatting sqref="L92:L94">
    <cfRule type="cellIs" dxfId="6" priority="2" operator="greaterThan">
      <formula>1</formula>
    </cfRule>
    <cfRule type="cellIs" dxfId="5" priority="3" operator="equal">
      <formula>1</formula>
    </cfRule>
    <cfRule type="cellIs" dxfId="4" priority="4" operator="between">
      <formula>0.9</formula>
      <formula>1</formula>
    </cfRule>
  </conditionalFormatting>
  <conditionalFormatting sqref="L97:L65486">
    <cfRule type="cellIs" dxfId="3" priority="14" operator="equal">
      <formula>1</formula>
    </cfRule>
    <cfRule type="cellIs" dxfId="2" priority="15" operator="between">
      <formula>0.9</formula>
      <formula>1</formula>
    </cfRule>
  </conditionalFormatting>
  <conditionalFormatting sqref="AT88:AT89">
    <cfRule type="cellIs" dxfId="1" priority="10" operator="equal">
      <formula>1</formula>
    </cfRule>
    <cfRule type="cellIs" dxfId="0" priority="11" operator="between">
      <formula>0.9</formula>
      <formula>1</formula>
    </cfRule>
  </conditionalFormatting>
  <dataValidations count="1">
    <dataValidation type="list" allowBlank="1" showInputMessage="1" showErrorMessage="1" sqref="LA45:LA46 UW45:UW46 AES45:AES46 AOO45:AOO46 AYK45:AYK46 BIG45:BIG46 BSC45:BSC46 CBY45:CBY46 CLU45:CLU46 CVQ45:CVQ46 DFM45:DFM46 DPI45:DPI46 DZE45:DZE46 EJA45:EJA46 ESW45:ESW46 FCS45:FCS46 FMO45:FMO46 FWK45:FWK46 GGG45:GGG46 GQC45:GQC46 GZY45:GZY46 HJU45:HJU46 HTQ45:HTQ46 IDM45:IDM46 INI45:INI46 IXE45:IXE46 JHA45:JHA46 JQW45:JQW46 KAS45:KAS46 KKO45:KKO46 KUK45:KUK46 LEG45:LEG46 LOC45:LOC46 LXY45:LXY46 MHU45:MHU46 MRQ45:MRQ46 NBM45:NBM46 NLI45:NLI46 NVE45:NVE46 OFA45:OFA46 OOW45:OOW46 OYS45:OYS46 PIO45:PIO46 PSK45:PSK46 QCG45:QCG46 QMC45:QMC46 QVY45:QVY46 RFU45:RFU46 RPQ45:RPQ46 RZM45:RZM46 SJI45:SJI46 STE45:STE46 TDA45:TDA46 TMW45:TMW46 TWS45:TWS46 UGO45:UGO46 UQK45:UQK46 VAG45:VAG46 VKC45:VKC46 VTY45:VTY46 WDU45:WDU46 WNQ45:WNQ46 WXM45:WXM46" xr:uid="{00000000-0002-0000-0800-000000000000}">
      <formula1>$AZ$4:$AZ$9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調整說明</vt:lpstr>
      <vt:lpstr>BS2_WIP</vt:lpstr>
      <vt:lpstr>Over Under Bill 1 COPY 到CO欄位</vt:lpstr>
      <vt:lpstr>WIP-IPC_月</vt:lpstr>
      <vt:lpstr>Over Under Bill 2</vt:lpstr>
      <vt:lpstr>A0 BS 1240在建</vt:lpstr>
      <vt:lpstr>B0 2264預收</vt:lpstr>
      <vt:lpstr>計價收入預算</vt:lpstr>
      <vt:lpstr>預算A1 BIM</vt:lpstr>
      <vt:lpstr>202608收入成本表</vt:lpstr>
      <vt:lpstr>分月預算(完比)</vt:lpstr>
      <vt:lpstr>2026FCST%</vt:lpstr>
      <vt:lpstr>202609-202712-2031完比法各月收入彙總</vt:lpstr>
      <vt:lpstr>SAP累計至20260831收入實際數</vt:lpstr>
      <vt:lpstr>A3 22 FCST</vt:lpstr>
      <vt:lpstr>A4 23 FCST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nhjh</dc:creator>
  <dc:description/>
  <cp:lastModifiedBy>Arwen Kuo 郭品彣</cp:lastModifiedBy>
  <cp:revision>0</cp:revision>
  <cp:lastPrinted>2026-10-03T07:52:12Z</cp:lastPrinted>
  <dcterms:created xsi:type="dcterms:W3CDTF">2019-10-11T03:53:48Z</dcterms:created>
  <dcterms:modified xsi:type="dcterms:W3CDTF">2026-10-03T14:07:04Z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0x010100E27063DB669C594384F296E8978281BE</vt:lpwstr>
  </property>
</Properties>
</file>